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74.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71.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NOTAS" sheetId="1" r:id="rId5"/>
    <sheet state="visible" name="SESSÕES" sheetId="2" r:id="rId6"/>
    <sheet state="visible" name="SESSÕES | PRÉ VENDAS" sheetId="3" r:id="rId7"/>
    <sheet state="visible" name="SESSÕES | GESTÃO" sheetId="4" r:id="rId8"/>
    <sheet state="visible" name="SESSÕES | EXECUTIVOS" sheetId="5" r:id="rId9"/>
    <sheet state="visible" name=" SESSÕES | CANAIS" sheetId="6" r:id="rId10"/>
    <sheet state="visible" name="SESSÕES | CLASS" sheetId="7" r:id="rId11"/>
    <sheet state="visible" name="MÁQUINA DE VENDAS" sheetId="8" r:id="rId12"/>
    <sheet state="visible" name="CERTIFICAÇÃO EM IA" sheetId="9" r:id="rId13"/>
    <sheet state="visible" name="PROGRAMA DE GESTÃO" sheetId="10" r:id="rId14"/>
    <sheet state="visible" name="CERTIFICAÇÃO DE VENDEDORES B2B" sheetId="11" r:id="rId15"/>
    <sheet state="visible" name="ESPECIALIZAÇÃO DE VENDEDORES" sheetId="12" r:id="rId16"/>
    <sheet state="hidden" name="CORTES" sheetId="13" r:id="rId17"/>
    <sheet state="hidden" name="Cortes Exportados Asana 1005" sheetId="14" r:id="rId18"/>
    <sheet state="hidden" name="DEPOIMENTOS" sheetId="15" r:id="rId19"/>
    <sheet state="visible" name="Listas" sheetId="16" r:id="rId20"/>
  </sheets>
  <definedNames>
    <definedName hidden="1" localSheetId="13" name="_xlnm._FilterDatabase">'Cortes Exportados Asana 1005'!$A$1:$Z$321</definedName>
    <definedName hidden="1" localSheetId="12" name="Z_BE0E24FF_E905_4556_BF58_9EBCE7C8F460_.wvu.FilterData">CORTES!$B$6:$J$354</definedName>
  </definedNames>
  <calcPr/>
  <customWorkbookViews>
    <customWorkbookView activeSheetId="0" maximized="1" windowHeight="0" windowWidth="0" guid="{BE0E24FF-E905-4556-BF58-9EBCE7C8F460}" name="Filtro 1"/>
  </customWorkbookViews>
</workbook>
</file>

<file path=xl/sharedStrings.xml><?xml version="1.0" encoding="utf-8"?>
<sst xmlns="http://schemas.openxmlformats.org/spreadsheetml/2006/main" count="17359" uniqueCount="6945">
  <si>
    <t>Grupo</t>
  </si>
  <si>
    <t>LinkedIn e Sales Navigator na Prática</t>
  </si>
  <si>
    <t>Pré-Vendas</t>
  </si>
  <si>
    <t>Aprendizados de 100 Mentorias para SDRs</t>
  </si>
  <si>
    <t>Speedio na Prática</t>
  </si>
  <si>
    <t>Por dentro da Estrutura de SDRs da Zendesk</t>
  </si>
  <si>
    <t>Apollo.io na Prática</t>
  </si>
  <si>
    <t>O que os melhores SDRs fazem</t>
  </si>
  <si>
    <t>Como construir o seu playbook de SDR</t>
  </si>
  <si>
    <t>A máquina de vendas das máquinas de vendas</t>
  </si>
  <si>
    <t>Aumento de Conversão na Prospecção</t>
  </si>
  <si>
    <t>Abordagens Inteligentes usando Social Selling</t>
  </si>
  <si>
    <t>Produtividade Baseada em Cadência e Gestão do Tempo</t>
  </si>
  <si>
    <t>Técnicas de Cold Calling</t>
  </si>
  <si>
    <t>Por quê os leads não respondem?</t>
  </si>
  <si>
    <t>ƒb</t>
  </si>
  <si>
    <t>Prospectando Grandes Contas</t>
  </si>
  <si>
    <t>Construindo uma Carreira em Vendas Internacionais</t>
  </si>
  <si>
    <t>Como ser um SDR Top Performer?</t>
  </si>
  <si>
    <t>Carreira e Mulheres em Vendas</t>
  </si>
  <si>
    <t>SPIN Selling na Prospecção</t>
  </si>
  <si>
    <r>
      <rPr>
        <rFont val="Poppins"/>
        <b/>
        <color rgb="FFFFFFFF"/>
        <sz val="12.0"/>
      </rPr>
      <t xml:space="preserve">CADASTRO DE SESSÕES AO VIVO &amp; EXPERTS DE VENDAS B2B
</t>
    </r>
    <r>
      <rPr>
        <rFont val="Poppins"/>
        <b/>
        <color rgb="FFFFFFFF"/>
        <sz val="21.0"/>
      </rPr>
      <t>BIBLIOTECA DE CONTEÚDOS</t>
    </r>
  </si>
  <si>
    <t>Técnicas de PNL e Gatilhos Mentais</t>
  </si>
  <si>
    <t>Automações Produtivas para SDRs</t>
  </si>
  <si>
    <t>Modelo GPCT</t>
  </si>
  <si>
    <t>Aumento de Produtividade com ferramentas de Sales Engagement</t>
  </si>
  <si>
    <t>Case G4 Educação</t>
  </si>
  <si>
    <t>Case de Vendas Gupy</t>
  </si>
  <si>
    <t>Construindo um PDI como Pré-Vendedor</t>
  </si>
  <si>
    <t>Fluxos de Cadência de Prospecção</t>
  </si>
  <si>
    <t>Resiliência na Área de Vendas</t>
  </si>
  <si>
    <t>Opções de Carreira para SDRs</t>
  </si>
  <si>
    <t>Estruturando uma Operação de Pré-Vendas</t>
  </si>
  <si>
    <t>Escuta Ativa</t>
  </si>
  <si>
    <t>Planejamento de Território de Prospecção</t>
  </si>
  <si>
    <t>Desafios do SDR que vira Vendedor</t>
  </si>
  <si>
    <t>Case: Rock Content</t>
  </si>
  <si>
    <t>Assédio não é normal, ok?</t>
  </si>
  <si>
    <t>Autogestão Baseada em Indicadores</t>
  </si>
  <si>
    <t>-&gt; Legenda de Competências</t>
  </si>
  <si>
    <t>Como Ter um Perfil de Autoridade no LinkedIn</t>
  </si>
  <si>
    <t>Relacionamento Marketing &lt;&gt; Pré-Vendas</t>
  </si>
  <si>
    <t>Mensagem de prospecção que convertem</t>
  </si>
  <si>
    <r>
      <rPr>
        <rFont val="Poppins"/>
        <b/>
        <color rgb="FFFFFFFF"/>
        <sz val="12.0"/>
      </rPr>
      <t xml:space="preserve">CADASTRO DE SESSÕES AO VIVO &amp; EXPERTS DE VENDAS B2B
</t>
    </r>
    <r>
      <rPr>
        <rFont val="Poppins"/>
        <b/>
        <color rgb="FFFFFFFF"/>
        <sz val="21.0"/>
      </rPr>
      <t>BIBLIOTECA DE CONTEÚDOS</t>
    </r>
  </si>
  <si>
    <t>Como autoconhecimento e inteligência emocional te ajudam a vender mais?</t>
  </si>
  <si>
    <t>Relacionamento Executivo de Vendas &lt;&gt; Pré vendas</t>
  </si>
  <si>
    <t>Liderança pelo exemplo: como ser a referência para o time?</t>
  </si>
  <si>
    <t>Inteligência Artificial aplicada a Prospecção</t>
  </si>
  <si>
    <t>Aprendizado baseado em projetos</t>
  </si>
  <si>
    <t>Comunicação não violenta em conversas difíceis</t>
  </si>
  <si>
    <t>Como seu lider pode te ajudar a ter sucesso?</t>
  </si>
  <si>
    <t>A importância do posicionamento de produto na prospecção</t>
  </si>
  <si>
    <t>Como ser mais produtivo em pré vendas</t>
  </si>
  <si>
    <t>Operação de Pré-Vendas como motor de crescimento de Startups</t>
  </si>
  <si>
    <t>Como ser um "influenciador corporativo" nas redes sociais</t>
  </si>
  <si>
    <t>Aprendizados da "Semana de Prospecção B2B"</t>
  </si>
  <si>
    <t>Framework de avaliação de ligações</t>
  </si>
  <si>
    <t>O papel do pré-vendedor em Account Based Marketing</t>
  </si>
  <si>
    <t>Práticas de comunicação escrita efetiva</t>
  </si>
  <si>
    <t>O papel de um mentor no desenvolvimento em vendas</t>
  </si>
  <si>
    <t>Indicação como canal de geração de oportunidades</t>
  </si>
  <si>
    <t>Prospectando a base de concorrentes</t>
  </si>
  <si>
    <t>Como montar uma rotina de sucesso e equilíbrio</t>
  </si>
  <si>
    <t>Como a sazonalidade pode impactar seu ICP?</t>
  </si>
  <si>
    <t>Você está qualificando ou só fazendo agendamento?</t>
  </si>
  <si>
    <t>Como lidar com a rejeição (dos clientes)?</t>
  </si>
  <si>
    <t>Prospecção em mercados altamente concorridos</t>
  </si>
  <si>
    <t>Técnicas para reduzir no-show de prospects</t>
  </si>
  <si>
    <t>Como organizar o dia a dia de uma operação volumosa em pré vendas</t>
  </si>
  <si>
    <t>Como criar account planning para prospectar contas enterprise</t>
  </si>
  <si>
    <t>Táticas de Growth Mindset para Pré-Vendedores</t>
  </si>
  <si>
    <t>Palestra RD Summit 2023</t>
  </si>
  <si>
    <t>Além da meta: o que é preciso para ser promovido.</t>
  </si>
  <si>
    <t>Estruturação e avaliação de testes na prospecção</t>
  </si>
  <si>
    <t>Autoestima e autoconfiança a favor do vendedor</t>
  </si>
  <si>
    <t>IA na Prática: Potencialize sua performance como pré-vendedor</t>
  </si>
  <si>
    <t>Técnicas de aprendizado "lado-a-lado" com pares</t>
  </si>
  <si>
    <t>Segmentos para focar sua prospecção em 2024</t>
  </si>
  <si>
    <t>Superando a barreira das secretarias executivas</t>
  </si>
  <si>
    <t>Como montar seu mapa de desenvolvimento?</t>
  </si>
  <si>
    <t>Funil Social Selling para SDRs: Como gerar mais leads e ligações mornas a partir do LinkedIn</t>
  </si>
  <si>
    <t>Gestão de marca pessoal para pré vendedores</t>
  </si>
  <si>
    <t>Como aproveitar a sobra de budget na prospecção?</t>
  </si>
  <si>
    <t>Preciso ser especialista no produto para saber prospectar?</t>
  </si>
  <si>
    <t>Diferenças de pré-vendas no Brasil e nos EUA</t>
  </si>
  <si>
    <t>Contorno de objeções na prospecção B2B</t>
  </si>
  <si>
    <t>Técnicas de Cold Call para prospecção ativa</t>
  </si>
  <si>
    <t>O impacto de soluções de sales engagement na produtividade</t>
  </si>
  <si>
    <t>Abordagens de prospecção para o RH</t>
  </si>
  <si>
    <t>Construção (e evolução) de cadências de prospecção ativa</t>
  </si>
  <si>
    <t>Mapeando Contas Enterprise e entendendo o processo de compra</t>
  </si>
  <si>
    <t>Retomada de Leads Perdidos</t>
  </si>
  <si>
    <t>Como prospectar a nova geração de decisores</t>
  </si>
  <si>
    <t>Reduzindo No-show na prospecção outbound</t>
  </si>
  <si>
    <t>Estratégias para aumentar a produtividade na prospecção</t>
  </si>
  <si>
    <t>Como um assistente de AI pode ajudar o pré-vendedor</t>
  </si>
  <si>
    <t>Otimizando o Fluxo de Contato com Leads</t>
  </si>
  <si>
    <t>Transformar objeções em oportunidades</t>
  </si>
  <si>
    <t>Melhores práticas de "Role Play" para pré-vendedores</t>
  </si>
  <si>
    <t>Como encantar, engajar e converter através do WhatsApp</t>
  </si>
  <si>
    <t>Colaboração entre pré-vendas e vendas para conquistar grandes contas</t>
  </si>
  <si>
    <t>Best Sellers - Receita Previsível</t>
  </si>
  <si>
    <t>Como realizar testes A/B  para maximizar resultados</t>
  </si>
  <si>
    <t>Planejamento de atividades diárias para maximizar a qualificação de leads</t>
  </si>
  <si>
    <t>Aumentando a qualidade dos dados em bases de prospecção</t>
  </si>
  <si>
    <t>Convertendo indicações em oportunidades</t>
  </si>
  <si>
    <t>Maximizando o potencial do e-mail</t>
  </si>
  <si>
    <t>Rotinas de autoavaliação de performance de pre-vendedores</t>
  </si>
  <si>
    <t>Como usar os gatilhos mentais a seu favor</t>
  </si>
  <si>
    <t>Ascensão de SDR a gestor</t>
  </si>
  <si>
    <t xml:space="preserve">Personalizando pitches para diferentes segmentos </t>
  </si>
  <si>
    <t>Principais indicadores na área de pre-vendas</t>
  </si>
  <si>
    <t>Abertura de oportunidades através de contatos operacionais</t>
  </si>
  <si>
    <t>Mapeando o comportamento de diferentes consumidores</t>
  </si>
  <si>
    <t>Como receber e responder ao feedback dos líderes</t>
  </si>
  <si>
    <t>Ciência para validação de mensagens de prospecção</t>
  </si>
  <si>
    <t>Prospectando o segmento de manufatura</t>
  </si>
  <si>
    <t>RD Summit 2024 : Níveis de Maturidade em vendas B2B</t>
  </si>
  <si>
    <t>Mapeando e contornando objeções com IA</t>
  </si>
  <si>
    <t>Como Big Data pode ser um aliado em pré-vendas</t>
  </si>
  <si>
    <t>Primeira impressão na prospecção: O impacto da imagem profissional</t>
  </si>
  <si>
    <t>Grave, envie e converta: Como os vídeos podem ajudar na prospecção</t>
  </si>
  <si>
    <t>Nutrição de leads para maximizar conversões</t>
  </si>
  <si>
    <t>Por que o telefone ainda supera e-mails e mensagens na primeira conexão?</t>
  </si>
  <si>
    <t>Prospecção na base de clientes</t>
  </si>
  <si>
    <t>Técnicas para transformar "agora não" em "vamos marcar"</t>
  </si>
  <si>
    <t>Como falar do produto sem sobrecarregar o lead</t>
  </si>
  <si>
    <t>O pitch perfeito: Gancho, valor e call to action</t>
  </si>
  <si>
    <t>6 formas diferentes de aprender todos os dias</t>
  </si>
  <si>
    <t>CAC e LTV: O que esses números significam para a prospecção?</t>
  </si>
  <si>
    <t>Como identificar e explorar oportunidades de Upsell ?</t>
  </si>
  <si>
    <t>Gatilhos certeiros: como deixar seu pitch impossível de ignorar</t>
  </si>
  <si>
    <t>Como expandir sua rede em eventos</t>
  </si>
  <si>
    <t>ROI na prática: como engajar leads que não enxergam valor</t>
  </si>
  <si>
    <t>Dar e receber feedback com clareza</t>
  </si>
  <si>
    <t>Pré Vendas Brasil: Um estudo sobre como o papel do pré-vendedor está evoluindo</t>
  </si>
  <si>
    <t>Lidando com o não: o que separa SDRs comuns dos que sempre batem meta</t>
  </si>
  <si>
    <t>De SDR a líder: o poder da auto responsabilidade para crescer na carreira</t>
  </si>
  <si>
    <t>Como medir e analisar a qualidade do lead</t>
  </si>
  <si>
    <t>Saúde mental na linha de frente: práticas simples pra lidar com a rotina de SDR</t>
  </si>
  <si>
    <t>Os 8 Ímãs da atenção: Capturando o interesse do lead desde o primeiro contato</t>
  </si>
  <si>
    <t>Copy com persuasão</t>
  </si>
  <si>
    <t>Planejamento e organização para bater a meta</t>
  </si>
  <si>
    <t>Cold Calling Sucks: dicas do livro para perder o medo e fazer ligações</t>
  </si>
  <si>
    <t>A diferença entre prospectar para PMEs e grandes empresas: O que pré-vendedores precisam ajustar</t>
  </si>
  <si>
    <t>A passagem que faz vender: o que não pode faltar quando o SDR entrega pro closer</t>
  </si>
  <si>
    <t>Como fazer o diagnóstico do seu funil</t>
  </si>
  <si>
    <t>Transição para liderança: O que muda quando você vira líder</t>
  </si>
  <si>
    <t>Criação e aplicação de agentes de IA para pré vendas</t>
  </si>
  <si>
    <t>Prospectando contas grandes com estratégia</t>
  </si>
  <si>
    <t>Nome do conteúdo</t>
  </si>
  <si>
    <t>Plano de carreira em pré-vendas</t>
  </si>
  <si>
    <t>Expert Convidado</t>
  </si>
  <si>
    <t>Cargo</t>
  </si>
  <si>
    <t>Empresa Expert</t>
  </si>
  <si>
    <t>O que o marketing pode te ensinar pra chamar atenção de leads</t>
  </si>
  <si>
    <t>Perfil do Expert</t>
  </si>
  <si>
    <t>Challenger Sales na prospecção: como provocar o lead do jeito certo</t>
  </si>
  <si>
    <t>Dimensão</t>
  </si>
  <si>
    <t>Competência</t>
  </si>
  <si>
    <t>Link na Hubla</t>
  </si>
  <si>
    <t>Como criar conexão na comunicação escrita</t>
  </si>
  <si>
    <t>Link na Hubla - FullPass</t>
  </si>
  <si>
    <t>Nota da Community Manager</t>
  </si>
  <si>
    <t>Data</t>
  </si>
  <si>
    <t>Tópicos</t>
  </si>
  <si>
    <t>Link do Drive</t>
  </si>
  <si>
    <t>Organização de rotina para entregar mais com menos estresse</t>
  </si>
  <si>
    <t>Geração de demanda em uma era 100% digital</t>
  </si>
  <si>
    <t>Como usar indicadores financeiros para qualificar leads</t>
  </si>
  <si>
    <t>Prospecção de C-levels: técnicas para abordar esse público com assertividade</t>
  </si>
  <si>
    <t>Copy para SDRs: O que não pode faltar na sua mensagem</t>
  </si>
  <si>
    <t>Gestão Comercial</t>
  </si>
  <si>
    <t>Perfil DISC: Autoconhecimento para potencializar resultados</t>
  </si>
  <si>
    <t>SPICED na prospecção: revelando necessidades ocultas do lead</t>
  </si>
  <si>
    <t>Vendas, Gestão 4.0, Educação e Empreendedorismo</t>
  </si>
  <si>
    <t>Pré-Vendas (Prospecção)</t>
  </si>
  <si>
    <t>Cultura de Equipes de Vendas de Alta Performance</t>
  </si>
  <si>
    <t>Carreira em Vendas: Desafios da Liderança Comercial</t>
  </si>
  <si>
    <t>Thiago Iamnhuque</t>
  </si>
  <si>
    <t>Alinhamento entre Marketing e Vendas B2B</t>
  </si>
  <si>
    <t>Sales Manager</t>
  </si>
  <si>
    <t>Construindo uma máquina de vendas Inbound</t>
  </si>
  <si>
    <t>Linkedin</t>
  </si>
  <si>
    <t>Escalando Equipes de Prospecção</t>
  </si>
  <si>
    <t>https://www.linkedin.com/in/thiago-iamnhuque/</t>
  </si>
  <si>
    <t>Parcerias Estratégicas e Canais Indiretos</t>
  </si>
  <si>
    <r>
      <rPr>
        <rFont val="Poppins"/>
        <b/>
        <color rgb="FFFFFFFF"/>
        <sz val="12.0"/>
      </rPr>
      <t xml:space="preserve">CADASTRO DE SESSÕES AO VIVO &amp; EXPERTS DE VENDAS B2B
</t>
    </r>
    <r>
      <rPr>
        <rFont val="Poppins"/>
        <b/>
        <color rgb="FFFFFFFF"/>
        <sz val="21.0"/>
      </rPr>
      <t>BIBLIOTECA DE CONTEÚDOS</t>
    </r>
  </si>
  <si>
    <t>Estratégias de Customer Success para aceleração e crescimento</t>
  </si>
  <si>
    <t>Gestão de Equipes de Vendas Enterprise</t>
  </si>
  <si>
    <t>Escalando Operações de Vendas para PMEs</t>
  </si>
  <si>
    <t>Estratégias de Pricing para B2B</t>
  </si>
  <si>
    <t>Conhecimento Técnico</t>
  </si>
  <si>
    <t>Vendas no Mercado de Midia e Advertising</t>
  </si>
  <si>
    <t>Gestão de Vendas de Serviços</t>
  </si>
  <si>
    <t>Gestão de Vendas</t>
  </si>
  <si>
    <t>https://universidade.pipelovers.net/m/lessons/linkedin-e-sales-navigator-na-pratica1769551998143?classId=3302</t>
  </si>
  <si>
    <t>Gestão de Vendas nas Big Techs</t>
  </si>
  <si>
    <t>Integrando Equipes de Vendas pós M&amp;A</t>
  </si>
  <si>
    <t>Demissões e Layoffs</t>
  </si>
  <si>
    <t>Criando uma Cultura de Alta Performance</t>
  </si>
  <si>
    <t>ABM - Account Based Marketing</t>
  </si>
  <si>
    <t>WhatsApp para Acelerar Vendas</t>
  </si>
  <si>
    <t xml:space="preserve">Metas e Rampagem de Vendedores </t>
  </si>
  <si>
    <t>Terceirização de Equipes de Vendas</t>
  </si>
  <si>
    <t>Land &amp; Expand</t>
  </si>
  <si>
    <t>CRM Hubspot - Melhores Práticas</t>
  </si>
  <si>
    <t>E-commerce como Canal de Vendas B2B</t>
  </si>
  <si>
    <t>Ferramentas de Vendas</t>
  </si>
  <si>
    <t xml:space="preserve"> 1. PipeLovers 💚 SDRs com Thiago Iamnhuque "LinkedIn e Sales Navigator na Prática"</t>
  </si>
  <si>
    <t>Cultura de Feedback para Líderes de Vendas</t>
  </si>
  <si>
    <t>Passagem de Bastão Entre Hunters &amp; Farmers</t>
  </si>
  <si>
    <t>Gustavo Pagotto</t>
  </si>
  <si>
    <t>Fundador</t>
  </si>
  <si>
    <t>Win-Loss Analysis</t>
  </si>
  <si>
    <t>PipeLovers</t>
  </si>
  <si>
    <t>https://www.linkedin.com/in/gpagotto/</t>
  </si>
  <si>
    <t>O papel da liderança no Work-Life Balance</t>
  </si>
  <si>
    <t>O que motiva vendedores de alta performance?</t>
  </si>
  <si>
    <t>Extraindo o máximo de uma sessão de benchmark</t>
  </si>
  <si>
    <t>Como conduzir conversas dificeis com vendedores?</t>
  </si>
  <si>
    <t>O impacto de comunicar a estratégia da empresa para vendedores</t>
  </si>
  <si>
    <t>Qual perfil de vendedor ideal para sua empresa?</t>
  </si>
  <si>
    <t>Relações Publicas como estratégia de crescimento</t>
  </si>
  <si>
    <t>Autodesenvolvimento</t>
  </si>
  <si>
    <t>Alinhamento entre Marketing e Vendas</t>
  </si>
  <si>
    <t>Aprendizado Ativo</t>
  </si>
  <si>
    <t>https://universidade.pipelovers.net/m/lessons/aprendizados-de-100-mentorias-para-sdrs1769551998054?classId=3304</t>
  </si>
  <si>
    <t>Pesquisa de NPS como fonte de insights</t>
  </si>
  <si>
    <t>Rituais efetivos para Gestão de Vendas</t>
  </si>
  <si>
    <t>Planejamento de Vendas Bottom-Up</t>
  </si>
  <si>
    <t>Saúde Mental para Lideres de Vendas</t>
  </si>
  <si>
    <t>Estratégias de Internacionalização</t>
  </si>
  <si>
    <t>Como formar um vendedor como seu sucessor?</t>
  </si>
  <si>
    <t xml:space="preserve">A importância de idiomas na sua carreira </t>
  </si>
  <si>
    <t>Como estruturar uma nova unidade de negócios</t>
  </si>
  <si>
    <t>Vendas Omnichannel: aumentando a conversão de vendas com comunicação 360</t>
  </si>
  <si>
    <t>Carreira em rede: rotacionando dentro da organização</t>
  </si>
  <si>
    <t>Benchmarking</t>
  </si>
  <si>
    <t>2. PipeLovers 💚 SDRs com Gustavo Pagotto "Aprendizados de 100 Mentorias para SDRs"</t>
  </si>
  <si>
    <t xml:space="preserve">SPIN Selling como metodologia em todo funil de vendas </t>
  </si>
  <si>
    <t>Maucir Nascimento</t>
  </si>
  <si>
    <t>Construção e gestão de playbooks de vendas</t>
  </si>
  <si>
    <t>CGO</t>
  </si>
  <si>
    <t>Speedio</t>
  </si>
  <si>
    <t>https://www.linkedin.com/in/maucirnascimento/</t>
  </si>
  <si>
    <t>Aumento de conversão basedo em nichos e especialização</t>
  </si>
  <si>
    <t>O CFO como um aliado do time de vendas</t>
  </si>
  <si>
    <t>Aumento de portfólio de produtos: desafios e oportunidades</t>
  </si>
  <si>
    <t>Gamification na gestão comercial</t>
  </si>
  <si>
    <t>Sucessão de um founder na diretoria de vendas</t>
  </si>
  <si>
    <t>O futuro de big data na prospecção</t>
  </si>
  <si>
    <t>https://universidade.pipelovers.net/m/lessons/speedio-na-pratica1769551998117?classId=3311</t>
  </si>
  <si>
    <t>Como aumentar a participação de mercado</t>
  </si>
  <si>
    <t>Escolhendo um mentor para sua carreira</t>
  </si>
  <si>
    <t>Chief Revenue Officer: papéis e responsabilidades</t>
  </si>
  <si>
    <t>Como estimular o autodesenvolvimento do seu time de vendas?</t>
  </si>
  <si>
    <t>Planejamento Comercial</t>
  </si>
  <si>
    <t>Resiliência e adaptação às mudanças em vendas</t>
  </si>
  <si>
    <t>Construção de um Planejamento Comercial derivado da Visão Estratégica</t>
  </si>
  <si>
    <t>João Bizzarri</t>
  </si>
  <si>
    <t>Inclusão de PCDs em equipes de vendas</t>
  </si>
  <si>
    <t>Head of Sales Strategy &amp; Operations LATAM</t>
  </si>
  <si>
    <t>LinkedIn</t>
  </si>
  <si>
    <t>Criando um Programa de Indicação de Clientes</t>
  </si>
  <si>
    <t>3. PipeLovers 💚 SDRs com Maurcir Nascimento "Speedio na Prática"(2022-07-20 04:04 GMT-7)</t>
  </si>
  <si>
    <t>https://universidade.pipelovers.net/m/lessons/construcao-de-um-planejamento-comercial-derivado-da-visao-estrategica1769552222098?moduleId=472&amp;classId=3062</t>
  </si>
  <si>
    <t>João Bevilacqua</t>
  </si>
  <si>
    <t>LATAM Sales Development Director</t>
  </si>
  <si>
    <t>Como aprender com a concorrência?</t>
  </si>
  <si>
    <t>Zendesk</t>
  </si>
  <si>
    <t>https://www.linkedin.com/in/joaoambevilacqua/</t>
  </si>
  <si>
    <t>Jolt Effect: como superar a indecisão de clientes</t>
  </si>
  <si>
    <t>Como calcular o ROI de Sales Enablement</t>
  </si>
  <si>
    <t>Validação e escala de novos canais de geração de demanda</t>
  </si>
  <si>
    <t>Estruturando uma área de Customer Success</t>
  </si>
  <si>
    <t>Técnicas de Vendas</t>
  </si>
  <si>
    <t>https://universidade.pipelovers.net/m/lessons/por-dentro-da-estrutura-de-sdrs-da-zendesk1769551998168?classId=3314</t>
  </si>
  <si>
    <t>Criação de bases de prospecção com LDRs</t>
  </si>
  <si>
    <t>Community-led Growth como avenida de crescimento em vendas</t>
  </si>
  <si>
    <t>Estratégias de Marketing B2B para Grandes Contas</t>
  </si>
  <si>
    <t>Modelos de Remuneração Variável em Vendas B2B</t>
  </si>
  <si>
    <t xml:space="preserve">Inteligência Artificial (IA) aplicada à gestão comercial </t>
  </si>
  <si>
    <t>Administrando a pressão de resultados em vendas</t>
  </si>
  <si>
    <t>Abordagem e Prospecção</t>
  </si>
  <si>
    <t>4. PipeLovers 💚 SDRs com João Bevilacqua "Por dentro da Estrutura de SDRs da Zendesk"(2022-07-27 04:04 GMT-7)</t>
  </si>
  <si>
    <t>Estratégias para expansão internacional</t>
  </si>
  <si>
    <t>O que é Revenue Operations?</t>
  </si>
  <si>
    <t>Henrique Souza</t>
  </si>
  <si>
    <t>Director of Revenue Operations</t>
  </si>
  <si>
    <t>João Olivério</t>
  </si>
  <si>
    <t>Como a Inteligência Artificial vai transformar o marketing B2B?</t>
  </si>
  <si>
    <t>Nstech</t>
  </si>
  <si>
    <t>Country Manager</t>
  </si>
  <si>
    <t>https://universidade.pipelovers.net/m/lessons/o-que-e-revenue-operations1769552222044?classId=2534</t>
  </si>
  <si>
    <t>Apollo</t>
  </si>
  <si>
    <t>https://www.linkedin.com/in/joaoluisoliverio/</t>
  </si>
  <si>
    <t>Como mapear a cultura do seu time de vendas?</t>
  </si>
  <si>
    <t>Rituais para gestão de gestores: o papel do diretor de vendas</t>
  </si>
  <si>
    <t>Como mapear a jornada de compra do seu cliente</t>
  </si>
  <si>
    <t>Melhores práticas de onboarding de vendedores</t>
  </si>
  <si>
    <t>https://universidade.pipelovers.net/m/lessons/apolloio-na-pratica1769551998090?classId=3323</t>
  </si>
  <si>
    <t>Automação de WhatsApp para Leads Inbound</t>
  </si>
  <si>
    <t>Panorama de Geração de Leads no Brasil (by Leadster)</t>
  </si>
  <si>
    <t>Melhores práticas na gestão de CRM</t>
  </si>
  <si>
    <t>Demonstrações Interativas: a nova forma de vender SaaS</t>
  </si>
  <si>
    <t>O impacto de Social Media na construção de marca</t>
  </si>
  <si>
    <t>Automações de marketing para apoiar vendas</t>
  </si>
  <si>
    <t>02. PipeLovers 💙 Planejamento Comercial com Henrique Souza "O que é Revenue Operations?".mp4</t>
  </si>
  <si>
    <t>Estruturando uma operação de vendas para o setor público</t>
  </si>
  <si>
    <t>Como montar uma área de planejamento comercial do zero?</t>
  </si>
  <si>
    <t>Aplicando "Receita Previsível" na prática</t>
  </si>
  <si>
    <t>5. PipeLovers 💚 SDRs com João Olivério "Apollo.io na Prática" (2022-08-03 08:03 GMT-3)</t>
  </si>
  <si>
    <t>Mauricio Zotarelli</t>
  </si>
  <si>
    <t>Theo Orosco</t>
  </si>
  <si>
    <t>Sales Operations Manager</t>
  </si>
  <si>
    <t>Alinhamento entre vendas e customer success</t>
  </si>
  <si>
    <t>CEO</t>
  </si>
  <si>
    <t>Gupy</t>
  </si>
  <si>
    <t>Exact Sales</t>
  </si>
  <si>
    <t>https://www.linkedin.com/in/theoorosco/</t>
  </si>
  <si>
    <t>https://universidade.pipelovers.net/m/lessons/como-montar-uma-area-de-planejamento-comercial-do-zero1769552222150?classId=3080</t>
  </si>
  <si>
    <t>Lidando com uma nova geração de vendedores</t>
  </si>
  <si>
    <t>Como avaliar uma agência de marketing?</t>
  </si>
  <si>
    <t>Inteligência Emocional</t>
  </si>
  <si>
    <t>Diversidade aumenta as vendas. Como?</t>
  </si>
  <si>
    <t>https://universidade.pipelovers.net/aulas/os-segredos-dos-melhores-pre-vendedores-do-brasil-1775073349177</t>
  </si>
  <si>
    <t>Impacto de CX no crescimento de receita</t>
  </si>
  <si>
    <t>Como estruturar um time de Revenue Ops</t>
  </si>
  <si>
    <t>Rituais de Avaliação de Performance</t>
  </si>
  <si>
    <t>03. PipeLovers 💙 Planejamento Comercial com Mauricio Zotarelli "Como criar área de planejamento comercial do zero?".mp4</t>
  </si>
  <si>
    <t>Como mensurar testes no Processo de Vendas</t>
  </si>
  <si>
    <t>Motivação</t>
  </si>
  <si>
    <t>6. PipeLovers 💚 SDRs com Theo Orosco "O que os melhores SDRs fazem" (2022-08-10 08:04 GMT-3)</t>
  </si>
  <si>
    <t>Tecnologias para Aumentar a Produtividade de Vendas</t>
  </si>
  <si>
    <t>Nelson Fagundes</t>
  </si>
  <si>
    <t>Senior Commercial Planning Manager</t>
  </si>
  <si>
    <t>iFood</t>
  </si>
  <si>
    <t>Rafael Follador</t>
  </si>
  <si>
    <t>https://universidade.pipelovers.net/m/lessons/como-mensurar-testes-no-processo-de-vendas1769552222196?classId=3081</t>
  </si>
  <si>
    <t>SMB &amp; xDR Program Manager LATAM</t>
  </si>
  <si>
    <t>Análise de Concorrência</t>
  </si>
  <si>
    <t>https://www.linkedin.com/in/rafaelfollador/</t>
  </si>
  <si>
    <t>Forecast de Vendas: Processos e Previsibilidade</t>
  </si>
  <si>
    <t>Definição de Metas Baseado em Capacity</t>
  </si>
  <si>
    <t>Inteligência de Dados para Mapeamento de Território</t>
  </si>
  <si>
    <t>Impacto do Comissionamento sobre Equipes de Vendas</t>
  </si>
  <si>
    <t>https://universidade.pipelovers.net/m/lessons/como-construir-o-seu-playbook-de-sdr1769551998012?classId=3330</t>
  </si>
  <si>
    <t>Estruturação de equipes de planejamento comercial</t>
  </si>
  <si>
    <t>Inteligencia Artificial aplicada a Planejamento Comercial</t>
  </si>
  <si>
    <t>Pensamento Crítico</t>
  </si>
  <si>
    <t xml:space="preserve">Melhores práticas de rampagem de Vendedores </t>
  </si>
  <si>
    <t>Métricas de Funil</t>
  </si>
  <si>
    <t>Storytelling em paineis de gestão para vendedores</t>
  </si>
  <si>
    <t>04. PipeLovers Planejamento Comercial com Nelson Fagundes “Como mensurar testes no processo de vendas".mp4</t>
  </si>
  <si>
    <t>Processos e qualidade de bases de dados para planejamento comercial</t>
  </si>
  <si>
    <t>Mapeando os gargalos nos processos e sistemas internos</t>
  </si>
  <si>
    <t>Patricia Antonelli</t>
  </si>
  <si>
    <t>Senior Director Business Development</t>
  </si>
  <si>
    <t>Nesttle</t>
  </si>
  <si>
    <t>https://universidade.pipelovers.net/m/lessons/tecnologias-para-aumentar-a-produtividade-de-vendas1769552222258?classId=3082</t>
  </si>
  <si>
    <t>Comunicação conciliadora para conversas difíceis</t>
  </si>
  <si>
    <t>Rotinas e Rituais</t>
  </si>
  <si>
    <t>8. PipeLovers 💚 SDRs com Rafael Follador "Como Construir o seu Playbook de SDR?" (2022-08-24 08:05 GMT-3)</t>
  </si>
  <si>
    <t>Erros de cálculo de comissão: impactos e alternativas</t>
  </si>
  <si>
    <t>Thiago Reis</t>
  </si>
  <si>
    <t>Os desafios de um Country Manager em novos mercados</t>
  </si>
  <si>
    <t>Growth Machine</t>
  </si>
  <si>
    <t>https://www.linkedin.com/in/thiago-reis-/</t>
  </si>
  <si>
    <t>Modelos de Incentivo de Equipes Comerciais</t>
  </si>
  <si>
    <t>Inteligência Artificial: o que ela não vai resolver para um gerente de vendas?</t>
  </si>
  <si>
    <t>Gestão baseada em OKR - Objective and Key Results</t>
  </si>
  <si>
    <t>05. PipeLovers 💙 Planejamento Comercial com Patricia Antonelli "Tecnologias para aumentar a produtivid (2023-02-28 19:35 GMT-3)</t>
  </si>
  <si>
    <t>https://universidade.pipelovers.net/m/lessons/a-maquina-das-maquinas-de-vendas-b2b-do-brasil1772542661755?classId=3766</t>
  </si>
  <si>
    <t>Eficiência de funil e rentabilidade de vendas</t>
  </si>
  <si>
    <t>Juliana Sousa</t>
  </si>
  <si>
    <t>Demand Generation Manager</t>
  </si>
  <si>
    <t>Thomson Reuters</t>
  </si>
  <si>
    <t>https://universidade.pipelovers.net/m/lessons/analise-de-concorrencia1769552222284?classId=3066</t>
  </si>
  <si>
    <t>Planejamento Estratégico para Novos Segmentos e Mercados</t>
  </si>
  <si>
    <t>Calculando seu CAC e Unit Economics</t>
  </si>
  <si>
    <t>Plano de 30-60-90 primeiros dias</t>
  </si>
  <si>
    <t>Operações de Inside Sales para Vendas Complexas</t>
  </si>
  <si>
    <t>7. PipeLovers 💚 SDRs com Thiago Reis "A máquina de vendas das máquinas de vendas" (2022-08-17 08:04 GMT-3)</t>
  </si>
  <si>
    <t>Planejamento de Geração de Demanda</t>
  </si>
  <si>
    <t>Visão de Negócio</t>
  </si>
  <si>
    <t>Conhecimento de Produto e Negócio</t>
  </si>
  <si>
    <t>Análise da Concorrência</t>
  </si>
  <si>
    <t>Oshry Vidal</t>
  </si>
  <si>
    <t>06. PipeLovers 💙 Planejamento Comercial com Juliana Sousa "Análise de Concorrência" (2023-03-02 18:35 GMT-3)</t>
  </si>
  <si>
    <t>Pintrest</t>
  </si>
  <si>
    <t>https://www.linkedin.com/in/vidalo/</t>
  </si>
  <si>
    <t>Mapeamento da Jornada de Compra do Cliente</t>
  </si>
  <si>
    <t>Livia Lima</t>
  </si>
  <si>
    <t>Pinterest</t>
  </si>
  <si>
    <t>https://universidade.pipelovers.net/m/lessons/forecast-de-vendas-processos-e-previsibilidade1769552222319?classId=3083</t>
  </si>
  <si>
    <t>Planejamento de Key Accounts</t>
  </si>
  <si>
    <t>Google Maps como base de prospecção</t>
  </si>
  <si>
    <t>Como avaliar um headhunter para seu time de vendas</t>
  </si>
  <si>
    <t>https://universidade.pipelovers.net/m/lessons/aumento-de-conversao-na-prospeccao1769552002545?classId=3337</t>
  </si>
  <si>
    <t>Como conquistar confiança de Stakeholders?</t>
  </si>
  <si>
    <t>Apresentações Executivas para o Conselho da Empresa</t>
  </si>
  <si>
    <t>https://www.linkedin.com/in/liviazingallilima/</t>
  </si>
  <si>
    <t>Como avaliar a terceirização de prospecção?</t>
  </si>
  <si>
    <t>Estratégicas de aquisição de clientes com ampliação de portfólio</t>
  </si>
  <si>
    <t>Como alinhar expectativas entre diferentes níveis de senioridade?</t>
  </si>
  <si>
    <t>9. PipeLovers 💚 SDRs com Oshry Vidal "Aumento de Conversão na Prospecção" (2022-08-31 08:03 GMT-3)</t>
  </si>
  <si>
    <t>07. PipeLovers 💙 Planejamento Comercial com Livia Lima "Forecast de Vendas: Processos e Previsibilidad (2023-03-08 18:35 GMT-3)</t>
  </si>
  <si>
    <t>Sales Coaching baseado em métricas</t>
  </si>
  <si>
    <t>Denise Maia</t>
  </si>
  <si>
    <t>Fundadora</t>
  </si>
  <si>
    <t>DMS</t>
  </si>
  <si>
    <t>Amanda Alves</t>
  </si>
  <si>
    <t>Integrando times de produto e comercial</t>
  </si>
  <si>
    <t>Revenue Operations Manager</t>
  </si>
  <si>
    <t>Take Blip</t>
  </si>
  <si>
    <t>https://universidade.pipelovers.net/m/lessons/definicao-de-metas-baseado-em-capacity1769552222357?classId=3084</t>
  </si>
  <si>
    <t xml:space="preserve">Comunicação de metas baseado em dados </t>
  </si>
  <si>
    <t>Metologia Lean aplicado ao planejamento de vendas</t>
  </si>
  <si>
    <t>https://www.linkedin.com/in/denisemaiasoares/</t>
  </si>
  <si>
    <t>Melhores práticas para elaborar um planejamento top down</t>
  </si>
  <si>
    <t>Inbound na prática: Estruturando sua máquina de vendas</t>
  </si>
  <si>
    <t>Indicadores financeiros que todo gestor de vendas precisa saber</t>
  </si>
  <si>
    <t>Email como canal de geração de demanda</t>
  </si>
  <si>
    <t>https://universidade.pipelovers.net/m/lessons/abordagens-inteligentes-usando-social-selling1769552002626?classId=3339</t>
  </si>
  <si>
    <t>Escala internacional: estratégia comercial e da marca</t>
  </si>
  <si>
    <t>08. PipeLovers 💙 Planejamento Comercial com Amanda Alves "Definição de Metas baseado em Capacity" (2023-03-16 18:35 GMT-3)</t>
  </si>
  <si>
    <t>Como construir autoridade e confiança com contas estratégicas</t>
  </si>
  <si>
    <t>https://universidade.pipelovers.net/m/lessons/inteligencia-de-dados-para-mapeamento-de-territorio1769552223003?classId=3464</t>
  </si>
  <si>
    <t>Crescimento orientado pela experiência do cliente</t>
  </si>
  <si>
    <t>Liderança sob pressão: como manter foco e equilíbrio</t>
  </si>
  <si>
    <t>Gestão de expectativas com pares e liderança</t>
  </si>
  <si>
    <t>10. PipeLovers 💚 SDRs com Denise Maia "Abordagens Inteligentes usando Social Selling" (2022-09-06 08:04 GMT-3)</t>
  </si>
  <si>
    <t>Ritual de Pipeline Review individual: estrutura e implantação</t>
  </si>
  <si>
    <t>Ana Duccini</t>
  </si>
  <si>
    <t>O papel do gestor comercial na geração de demanda</t>
  </si>
  <si>
    <t>Head of Sales</t>
  </si>
  <si>
    <t>Loja integrada</t>
  </si>
  <si>
    <t>Teoria da evolução da natureza aplicada à vendas</t>
  </si>
  <si>
    <t>https://www.linkedin.com/in/anaduccini/</t>
  </si>
  <si>
    <t>Gestão de Tempo e da Informação</t>
  </si>
  <si>
    <t>https://universidade.pipelovers.net/m/lessons/produtividade-baseada-em-cadencia-e-gestao-do-tempo1769552002705?classId=3344</t>
  </si>
  <si>
    <t>Priorização de Atividades</t>
  </si>
  <si>
    <t>11. PipeLovers 💚 SDRs com Ana Duccini “Produtividade Baseada em Cadência e Gestão do Tempo” (2022-09-14 08:06 GMT-3)</t>
  </si>
  <si>
    <t>Jessica Bosco
Fernanda Garcia</t>
  </si>
  <si>
    <t>Fundadoras</t>
  </si>
  <si>
    <t>Academia Rapport</t>
  </si>
  <si>
    <t>-</t>
  </si>
  <si>
    <t>Tendencias de mercado</t>
  </si>
  <si>
    <t>Tendencias do Setor</t>
  </si>
  <si>
    <t>https://universidade.pipelovers.net/m/lessons/tecnicas-de-cold-calling1769552002783?classId=3347</t>
  </si>
  <si>
    <t>09. PipeLovers 💙 Planejamento Comercial com João Oliverio "Inteligência de dados para mapeamento de te (2023-03-23 18:36 GMT-3)</t>
  </si>
  <si>
    <t>Luiz Gaziri</t>
  </si>
  <si>
    <t>Professor Unicamp &amp; FAE</t>
  </si>
  <si>
    <t>FAE/UNICAMP</t>
  </si>
  <si>
    <t>https://universidade.pipelovers.net/m/lessons/impacto-do-comissionamento-sobre-equipes-de-vendas1769552223061?classId=3463</t>
  </si>
  <si>
    <t>12. PipeLovers 💚 SDRs com Jessica Bosco e Fernanda Garcia “Técnicas de Cold Calling” (2022-09-21 08:04 GMT-3)</t>
  </si>
  <si>
    <t>Lucas Ribeiro
Carolina Souza</t>
  </si>
  <si>
    <t>SDR
SDR Team Leader</t>
  </si>
  <si>
    <r>
      <rPr>
        <rFont val="Nunito"/>
        <sz val="10.0"/>
      </rPr>
      <t xml:space="preserve">Portão 3 
</t>
    </r>
    <r>
      <rPr>
        <rFont val="Nunito"/>
        <color rgb="FF1155CC"/>
        <sz val="10.0"/>
      </rPr>
      <t>Runrun.it</t>
    </r>
  </si>
  <si>
    <t>https://universidade.pipelovers.net/m/lessons/por-que-os-leads-nao-respondem1769552002933?classId=3351</t>
  </si>
  <si>
    <t>Relacionamento Interpessoal</t>
  </si>
  <si>
    <t>Liderança e Influência</t>
  </si>
  <si>
    <t>Reconhecimento e Recompensas</t>
  </si>
  <si>
    <t>10. PipeLovers 💙 Planejamento Comercial com Luiz Gaziri "Equipes de Vendas Sem Comissão" (2023-03-30 18:35 GMT-3)</t>
  </si>
  <si>
    <t>Thiago Frassati</t>
  </si>
  <si>
    <t>Gerente de Planejamento Comercial</t>
  </si>
  <si>
    <t>Docket</t>
  </si>
  <si>
    <t>https://universidade.pipelovers.net/m/lessons/estruturacao-de-equipes-de-planejamento-comercial1769552227047?classId=3462</t>
  </si>
  <si>
    <t>Contorno de Objeções</t>
  </si>
  <si>
    <t>13. PipeLovers 💚 SDRs com Lucas Ribeiro e Carolina Souza "Por quê os leads não respondem?" (2022-09-28 08:02 GMT-3)</t>
  </si>
  <si>
    <t>Tatiana Pimenta</t>
  </si>
  <si>
    <t>Vittude</t>
  </si>
  <si>
    <t>https://www.linkedin.com/in/tatianapimenta/</t>
  </si>
  <si>
    <t>11. PipeLovers 💙 Planejamento Comercial"Estruturação de equipes de Planejamento Comercial" com Thiago  (2023-04-13 18:35 GMT-3)</t>
  </si>
  <si>
    <t>https://universidade.pipelovers.net/m/lessons/prospectando-grandes-contas1769552002862?classId=3352</t>
  </si>
  <si>
    <t>https://universidade.pipelovers.net/m/lessons/inteligencia-artificial-aplicada-a-planejamento-comercial1769552226867?classId=3461</t>
  </si>
  <si>
    <t>14. PipeLovers 💚 SDRs com Tatiana Pimenta "Prospectando Grandes Contas" (2022-10-05 08:04 GMT-3)</t>
  </si>
  <si>
    <t>Juliana Menegatti</t>
  </si>
  <si>
    <t>Account Executive EMEA</t>
  </si>
  <si>
    <t>Messenger People</t>
  </si>
  <si>
    <t>https://www.linkedin.com/in/julianamenegatti/</t>
  </si>
  <si>
    <t>Inovações Tecnológicas</t>
  </si>
  <si>
    <t>12. PipeLovers 💙 Planejamento Comercial: "Inteligencia Artificial aplicada a Planejamento Comercial" c (2023-04-19 18:35 GMT-3)</t>
  </si>
  <si>
    <t>Executivos</t>
  </si>
  <si>
    <t>Visão de Negócios</t>
  </si>
  <si>
    <t>Tendências de Mercado</t>
  </si>
  <si>
    <t>https://universidade.pipelovers.net/aulas/construindo-uma-carreira-internacional-em-vendas-b2b-1775073941335</t>
  </si>
  <si>
    <t>Luana Petrolli</t>
  </si>
  <si>
    <t>Coordenadora de Planejamento Comercial</t>
  </si>
  <si>
    <t>Creditas</t>
  </si>
  <si>
    <t>https://universidade.pipelovers.net/aulas/melhores-praticas-de-rampagem-de-vendedores-1775159616248</t>
  </si>
  <si>
    <t>13. PipeLovers 💙 Planejamento Comercial: "Melhores práticas de rampagem de Vendedores " com Luana Petr (2023-04-27 18:38 GMT-3)</t>
  </si>
  <si>
    <t>Cenário Internacional</t>
  </si>
  <si>
    <t>Ricardo Moraes</t>
  </si>
  <si>
    <t>15. PipeLovers 💚 SDRs com Juliana Menegatti "Construindo uma Carreira em Vendas Internacionais" (2022-10-11 18:06 GMT-3)</t>
  </si>
  <si>
    <t>Diretor de Satisfação do Cliente e Suporte</t>
  </si>
  <si>
    <t>ZOHO</t>
  </si>
  <si>
    <t>https://universidade.pipelovers.net/m/lessons/storytelling-em-paineis-de-gestao-para-vendedores1769552227163?classId=3459</t>
  </si>
  <si>
    <t>Pedro Caldeira</t>
  </si>
  <si>
    <t>Amazon AWS</t>
  </si>
  <si>
    <t>https://www.linkedin.com/in/caldeirapedro/</t>
  </si>
  <si>
    <t>https://universidade.pipelovers.net/m/lessons/como-ser-um-sdr-top-performer1769552003068?classId=3358</t>
  </si>
  <si>
    <t>14. PipeLovers 💙 Planejamento Comercial: "Storytelling em painéis de gestão para vendedores" com Ricar (2023-05-04 18:34 GMT-3)</t>
  </si>
  <si>
    <t>Midori Toyota</t>
  </si>
  <si>
    <t>Analista de Dados Sênior</t>
  </si>
  <si>
    <t>Itaú</t>
  </si>
  <si>
    <t>https://universidade.pipelovers.net/m/lessons/processos-e-qualidade-de-bases-de-dados-para-planejamento-comercial1769552227223?classId=3085</t>
  </si>
  <si>
    <t>16. PipeLovers 💚 SDRs com Pedro Caldeira "Como ser um SDR Top Performer?" (2022-10-19 08:03 GMT-3)</t>
  </si>
  <si>
    <t>Angelita Oliveira</t>
  </si>
  <si>
    <t>Key Account Sales Leader &amp; Partner</t>
  </si>
  <si>
    <t>Idwall</t>
  </si>
  <si>
    <t>https://www.linkedin.com/in/angelita-oliveira/</t>
  </si>
  <si>
    <t>https://universidade.pipelovers.net/m/lessons/carreira-e-mulheres-em-vendas1769552003169?classId=3363</t>
  </si>
  <si>
    <t>15. PipeLovers 💙 Planejamento Comercial: "Processos e qualidade de bases de dados para planejamento co (2023-05-11 18:34 GMT-3)</t>
  </si>
  <si>
    <t>Caroline Moraes</t>
  </si>
  <si>
    <t>Líder de Sales Ops</t>
  </si>
  <si>
    <t xml:space="preserve">Runrun.it </t>
  </si>
  <si>
    <t>https://universidade.pipelovers.net/m/lessons/mapeando-os-gargalos-nos-processos-e-sistemas-internos1769552227282?classId=3086</t>
  </si>
  <si>
    <t>17. PipeLovers 💚 SDRs com Angelita Oliveira "Carreira e Mulheres em Vendas" (2022-10-26 08:05 GMT-3)</t>
  </si>
  <si>
    <t>Bianca Junqueira</t>
  </si>
  <si>
    <t>Portão 3</t>
  </si>
  <si>
    <t>https://www.linkedin.com/in/bianca-junqueira/</t>
  </si>
  <si>
    <t>16. PipeLovers 💙 Planejamento Comercial: " Mapeando os gargalos nos processos e sistemas internos" com (2023-05-18 18:35 GMT-3)</t>
  </si>
  <si>
    <t>Fabio Moreira</t>
  </si>
  <si>
    <t>Chief Commercial Officer</t>
  </si>
  <si>
    <t>CreditCorpBR</t>
  </si>
  <si>
    <t>https://universidade.pipelovers.net/m/lessons/comunicacao-conciliadora-para-conversas-dificeis1769552227312?classId=3087</t>
  </si>
  <si>
    <t>https://universidade.pipelovers.net/m/lessons/spin-selling-na-prospeccao1769552005937?classId=3364</t>
  </si>
  <si>
    <t>https://www.linkedin.com/in/fabio-moreira-0141b121/</t>
  </si>
  <si>
    <t>Comunicação e Relacionamento</t>
  </si>
  <si>
    <t>Comunicação Não-Agressiva</t>
  </si>
  <si>
    <t>17. PipeLovers 💙 Planejamento Comercial: "Comunicação conciliadora para conversas difíceis" com Fabio  (2023-05-25 18:35 GMT-3)</t>
  </si>
  <si>
    <t>Qualificação e Entendimento da Dor</t>
  </si>
  <si>
    <t>18. PipeLovers 💚 SDRs com Bianca Junqueira "SPIN Selling na Prospecção" (2022-11-01 18:06 GMT-3)</t>
  </si>
  <si>
    <t>Gabriel Amato</t>
  </si>
  <si>
    <t>Manager, Sales Strategy &amp; Operations</t>
  </si>
  <si>
    <t>Docusign</t>
  </si>
  <si>
    <t>Julio Ramone</t>
  </si>
  <si>
    <t>https://universidade.pipelovers.net/m/lessons/erros-de-calculo-de-comissao-impactos-e-alternativas1769552227361?classId=3088</t>
  </si>
  <si>
    <t>Coordenador de BDR Enterprise</t>
  </si>
  <si>
    <t>https://www.linkedin.com/in/juliocesarramone/</t>
  </si>
  <si>
    <t>https://universidade.pipelovers.net/m/lessons/tecnicas-de-pnl-e-gatilhos-mentais1769552005987?classId=3365</t>
  </si>
  <si>
    <t>18. PipeLovers 💙 Planejamento Comercial: "Erros de cálculo de comissão: impactos e alternativas" com G (2023-06-01 18:36 GMT-3)</t>
  </si>
  <si>
    <t>Gregory Street</t>
  </si>
  <si>
    <t>https://universidade.pipelovers.net/m/lessons/os-desafios-de-um-country-manager-em-novos-mercados1769552231015?classId=3067</t>
  </si>
  <si>
    <t>https://universidade.pipelovers.net/m/lessons/tecnicas-de-pnl-e-gatilhos-mentais1769552005987?moduleId=776&amp;classId=3365</t>
  </si>
  <si>
    <t>Tecnicas de Rapport</t>
  </si>
  <si>
    <t>19. PipeLovers 💚 SDRs com Julio Ramone "Técnicas de PNL e Gatilhos Mentais" (2022-11-09 08:05 GMT-3)</t>
  </si>
  <si>
    <t>Segmentação de Mercado</t>
  </si>
  <si>
    <t>19. PipeLovers 💙 Planejamento Comercial: "Os desafios de um Country Manager em novos mercados" com Gre (2023-06-07 18:04 GMT-3)</t>
  </si>
  <si>
    <t>Marcelo Silva</t>
  </si>
  <si>
    <t>Sales Ops</t>
  </si>
  <si>
    <t>https://www.linkedin.com/in/marcelosalesops/</t>
  </si>
  <si>
    <t>https://universidade.pipelovers.net/m/lessons/automacoes-produtivas-para-sdrs1769552006015?classId=3369</t>
  </si>
  <si>
    <t>Marcio Pereira</t>
  </si>
  <si>
    <t>https://universidade.pipelovers.net/m/lessons/modelos-de-incentivo-de-equipes-comerciais1769552231122?classId=3089</t>
  </si>
  <si>
    <t>20. PipeLovers💚SDRs com Marcelo Silva "Automações Produtivas para SDRs" (2022-11-16 08:06 GMT-3)</t>
  </si>
  <si>
    <t>Gabriel Baeta</t>
  </si>
  <si>
    <t>Sales Director</t>
  </si>
  <si>
    <t>Alinea Helath</t>
  </si>
  <si>
    <t>https://www.linkedin.com/in/gabrielbaeta/</t>
  </si>
  <si>
    <t>https://www.linkedin.com/in/marcio-pereira-5327939/</t>
  </si>
  <si>
    <t>https://universidade.pipelovers.net/m/lessons/modelo-gpct1769552006045?classId=3370</t>
  </si>
  <si>
    <t>20. PipeLovers 💙 Planejamento Comercial: "Modelos de Incentivo de Equipes Comerciais" com Marcio Perei (2023-06-22 18:36 GMT-3)</t>
  </si>
  <si>
    <t>21. PipeLovers💚SDRs com Gabriel Baeta "Modelo GPCT" (2022-11-23 08:05 GMT-3)</t>
  </si>
  <si>
    <t>Sérgio Albuquerque</t>
  </si>
  <si>
    <t>Sales Representative</t>
  </si>
  <si>
    <t>Meetime</t>
  </si>
  <si>
    <t>Mauricio Vergani</t>
  </si>
  <si>
    <t>https://www.linkedin.com/in/s%C3%A9rgio-albuquerque-68985b14a/</t>
  </si>
  <si>
    <t>Neoxs</t>
  </si>
  <si>
    <t>https://universidade.pipelovers.net/m/lessons/inteligencia-artificial-o-que-ela-nao-vai-resolver-para-um-gerente-de-vendas1769552231190?classId=3090</t>
  </si>
  <si>
    <t>https://universidade.pipelovers.net/m/lessons/aumento-de-produtividade-com-ferramentas-de-sales-engagement1769552006095?classId=3371</t>
  </si>
  <si>
    <t>https://www.linkedin.com/in/mauricio-vergani-8b7765/</t>
  </si>
  <si>
    <t>22. PipeLovers💚SDRs com Sérgio Albuquerque "Aumento de Produtividade com ferramentas de Sales Engageme (2022-11-30 08:04 GMT-3)</t>
  </si>
  <si>
    <t>Marina Mello</t>
  </si>
  <si>
    <t>Sócia e Head Comercial</t>
  </si>
  <si>
    <t>G4 Educação</t>
  </si>
  <si>
    <t>https://www.linkedin.com/in/marina-p-mello/</t>
  </si>
  <si>
    <t>21. PipeLovers 💙 Planejamento Comercial: "Inteligência Artificial: o que ela não vai resolver para um  (2023-06-29 18:36 GMT-3)</t>
  </si>
  <si>
    <t>Flavio Nusbaum</t>
  </si>
  <si>
    <t>Diretor Geral</t>
  </si>
  <si>
    <t>Martin Baum Consulting</t>
  </si>
  <si>
    <t>https://universidade.pipelovers.net/m/lessons/gestao-baseada-em-okr-objective-and-key-results1769552231241?classId=3091</t>
  </si>
  <si>
    <t>https://universidade.pipelovers.net/m/lessons/case-g4-educacao1769552006142?classId=3372</t>
  </si>
  <si>
    <t>23. PipeLovers💚SDRs com Mariana Mello "Case G4 Educação"  (2022-12-07 08:02 GMT-3)</t>
  </si>
  <si>
    <t>Ieza de Oliveira</t>
  </si>
  <si>
    <t>Gerente de Pré Vendas</t>
  </si>
  <si>
    <t>https://www.linkedin.com/in/iezadeoliveira/</t>
  </si>
  <si>
    <t>22. PipeLovers 💙 Planejamento Comercial: "Gestão baseada em OKRs - Objective and Key Results" com Flav (2023-07-05 18:36 GMT-3)</t>
  </si>
  <si>
    <t>Cadu Dias</t>
  </si>
  <si>
    <t>Co-founder</t>
  </si>
  <si>
    <t>https://universidade.pipelovers.net/m/lessons/eficiencia-de-funil-e-rentabilidade-de-vendas1769552231350?classId=3104</t>
  </si>
  <si>
    <t>https://universidade.pipelovers.net/m/lessons/case-de-vendas-gupy1769552006171?classId=3378</t>
  </si>
  <si>
    <t>Canais e Parcerias</t>
  </si>
  <si>
    <t>24. PipeLovers💚SDRs com Ieza de Oliveira "Case de Vendas Gupy" (2022-12-14 08:04 GMT-3)</t>
  </si>
  <si>
    <t>MODELOS DE PROGRAMAS DE CANAIS</t>
  </si>
  <si>
    <t>Julia Ennes</t>
  </si>
  <si>
    <t>Coordenadora de Pré-vendas</t>
  </si>
  <si>
    <t>ROI</t>
  </si>
  <si>
    <t>https://www.linkedin.com/in/juliaennes/</t>
  </si>
  <si>
    <t>23. PipeLovers 💙 Planejamento Comercial: "Eficiência de funil e rentabilidade de vendas" com Cadu Dias (2023-07-13 18:35 GMT-3)</t>
  </si>
  <si>
    <t>CASE: STONE</t>
  </si>
  <si>
    <t>CASE: XP INC</t>
  </si>
  <si>
    <t>Heloisa Macedo</t>
  </si>
  <si>
    <t>Sales &amp; Marketing Director</t>
  </si>
  <si>
    <t>Air Robotics Drones</t>
  </si>
  <si>
    <t>https://universidade.pipelovers.net/m/lessons/planejamento-estrategico-para-novos-segmentos-e-mercados1769552231526?classId=3068</t>
  </si>
  <si>
    <t>CASE: MERCADO PAGO</t>
  </si>
  <si>
    <t>https://universidade.pipelovers.net/m/lessons/construindo-um-pdi-como-pre-vendedor1769552018835?classId=3379</t>
  </si>
  <si>
    <t>CASE: AMAZON WEB SERVICES</t>
  </si>
  <si>
    <t>CASE: LOJA INTEGRADA</t>
  </si>
  <si>
    <t>CASE: ALELO</t>
  </si>
  <si>
    <t>CASE: GYMPASS</t>
  </si>
  <si>
    <t>ENGAJAMENTO DE PARCEIROS</t>
  </si>
  <si>
    <t>Técnicas de Organização e Rotina</t>
  </si>
  <si>
    <t>INTERNACIONALIZAÇÃO VIA CANAIS</t>
  </si>
  <si>
    <t>25. PipeLovers💚SDRs com Julia Ennes "Construindo seu PDI como Pré-Vendedor" (2022-12-21 08:05 GMT-3)</t>
  </si>
  <si>
    <t>MÉTRICAS DE GESTÃO DE CANAIS</t>
  </si>
  <si>
    <t>Matheus Quirino</t>
  </si>
  <si>
    <t>Co-Founder &amp; CMO</t>
  </si>
  <si>
    <t>Processo de Vendas</t>
  </si>
  <si>
    <t>24. PipeLovers 💙 Planejamento Comercial - "Planejamento Estratégico para Novos Segmentos e Mercados" c (2023-07-20 18:36 GMT-3)</t>
  </si>
  <si>
    <t>https://www.linkedin.com/in/matheusqcosta/</t>
  </si>
  <si>
    <t>FERRAMENTAS E ENGAJAMENTO DE PARCEIROS</t>
  </si>
  <si>
    <t xml:space="preserve">Caio Bolognesi  </t>
  </si>
  <si>
    <t>PROCESSOS B2B2C</t>
  </si>
  <si>
    <t>General Partner</t>
  </si>
  <si>
    <t>Monashees</t>
  </si>
  <si>
    <t>https://universidade.pipelovers.net/m/lessons/calculando-seu-cac-e-unit-economics1769552231474?classId=3093</t>
  </si>
  <si>
    <t>CASE: CREDITAS</t>
  </si>
  <si>
    <t>https://universidade.pipelovers.net/m/lessons/fluxos-de-cadencia-de-prospeccao1769552018874?classId=3380</t>
  </si>
  <si>
    <t>O OUTRO LADO: COMO É SER UM PARCEIRO?</t>
  </si>
  <si>
    <t>CASE: MICROSOFT</t>
  </si>
  <si>
    <t>FUSÃO DE PROGRAMAS DE CANAIS PÓS-M&amp;A</t>
  </si>
  <si>
    <t>CASE: GOOGLE CLOUD</t>
  </si>
  <si>
    <t>ROTINAS DE GESTÃO DE CANAIS INDIRETOS</t>
  </si>
  <si>
    <t>MODELO DE FRANQUIAS: CASE ALGAR TELECOM</t>
  </si>
  <si>
    <t>26. PipeLovers 💚 SDRs "Fluxos de Cadência de Prospecção" com Matheus Quirino (2023-01-04 08:05 GMT-3)</t>
  </si>
  <si>
    <t>COMO ESTRUTURAR COMISSIONAMENTO PARA CANAIS INDIRETOS</t>
  </si>
  <si>
    <t>Unit Economic</t>
  </si>
  <si>
    <t>Giovanna Rosa</t>
  </si>
  <si>
    <t>25. PipeLovers 💙 Planejamento Comercial: "Calculando seu CAC e Unit Economics" com Caio Bolognesi da M (2023-07-27 18:35 GMT-3)</t>
  </si>
  <si>
    <t>Sales Leader B2B</t>
  </si>
  <si>
    <t>https://www.linkedin.com/in/giovanna-prosa</t>
  </si>
  <si>
    <t>PARTNER BUSINESS PLAN: COMO CONSTRUIR COM O CANAL UM PLANO DE CRESCIMENTO</t>
  </si>
  <si>
    <t>Caio Decicco</t>
  </si>
  <si>
    <t>Growth and Digital Sales Manager</t>
  </si>
  <si>
    <t>PARTNER ENABLEMENT: O QUE FUNCIONA PARA CAPACITAR CANAIS?</t>
  </si>
  <si>
    <t>Accesstage</t>
  </si>
  <si>
    <t>https://universidade.pipelovers.net/m/lessons/plano-de-30-60-90-primeiros-dias1769552231576?classId=3094</t>
  </si>
  <si>
    <t>ESTRATÉGIA PLG COMO CANAL DE AQUISIÇÃO</t>
  </si>
  <si>
    <t>https://universidade.pipelovers.net/m/lessons/resiliencia-na-area-de-vendas1769552018214?classId=3385</t>
  </si>
  <si>
    <t>PRODUCT MARKETING PARA CANAIS</t>
  </si>
  <si>
    <t>COMO AVALIAR SEU PROGRAMA DE CANAIS</t>
  </si>
  <si>
    <t>COMO CRIAR VANTAGEM COMPETITIVA E ESCALAR NEGÓCIOS COM ECOSSISTEMA DE PARCERIA</t>
  </si>
  <si>
    <t>MODELOS DE ATENDIMENTO HIGH TOUCH COMO FERRAMENTA DE GO TO MARKET</t>
  </si>
  <si>
    <t>JOB DESCRIPTION DOS EXECUTIVOS DE CANAIS E PARCERIAS</t>
  </si>
  <si>
    <t>RECRUTAMENTO E SELEÇÃO NA PRÁTICA</t>
  </si>
  <si>
    <t>Resiliência</t>
  </si>
  <si>
    <t>27. PipeLovers💚SDRs "Resiliência na área de Vendas" com Giovanna Rosa (2023-01-11 08:05 GMT-3)</t>
  </si>
  <si>
    <t>26. PipeLovers 💙 Planejamento Comercial: "Plano de 30-60-90 primeiros dias" com Caio Deccico (2023-08-03 18:36 GMT-3)</t>
  </si>
  <si>
    <t>GESTÃO DE CONFLITO DE CONTAS ENTRE CANAIS</t>
  </si>
  <si>
    <t>Rodrigo Aranha</t>
  </si>
  <si>
    <t>https://www.linkedin.com/in/rodrigomaranha/</t>
  </si>
  <si>
    <t>Angela Kanbour</t>
  </si>
  <si>
    <t>Business Development &amp; Inside Sales Senior Director</t>
  </si>
  <si>
    <t>Oracle</t>
  </si>
  <si>
    <t>https://universidade.pipelovers.net/m/lessons/operacoes-de-inside-sales-para-vendas-complexas1769552242243?classId=3095</t>
  </si>
  <si>
    <t>COMO IMPLEMENTAR UMA POLÍTICA DE MDF (MARKETING DEVELOPMENT FUND)</t>
  </si>
  <si>
    <t>https://universidade.pipelovers.net/m/lessons/opcoes-de-carreira-para-sdrs1769552018631?classId=3386</t>
  </si>
  <si>
    <t>CAPACITAÇÃO DE VENDAS PARA CANAIS</t>
  </si>
  <si>
    <t>SEGMENTAÇÃO DE CANAIS E PARCEIROS</t>
  </si>
  <si>
    <t>VENDAS PARA SETOR PÚBLICO VIA CANAIS</t>
  </si>
  <si>
    <t>COMO GERAR VALOR PARA O CANAL ALÉM DA COMISSÃO</t>
  </si>
  <si>
    <t>PESQUISA DE SATISFAÇÃO PARA CANAIS</t>
  </si>
  <si>
    <t>O QUE UM CANAL PRECISA PARA CRESCER?</t>
  </si>
  <si>
    <t>NOVAS LINHAS DE RECEITA PARA SEU PARCEIRO</t>
  </si>
  <si>
    <t>27. PipeLovers 💙 Planejamento Comercial: "Operações de Inside Sales para Vendas Complexas" com Angela  (2023-08-10 18:35 GMT-3)</t>
  </si>
  <si>
    <t>ESTRUTURA ORGANIZACIONAL PARA TIMES DE CANAIS</t>
  </si>
  <si>
    <t>ENGAJAMENTO DE CANAIS EM ALTA ESCALA</t>
  </si>
  <si>
    <t>Weverton Soares</t>
  </si>
  <si>
    <t>Gerente de Marketing</t>
  </si>
  <si>
    <t>Zoho CRM</t>
  </si>
  <si>
    <t>CATALYST 2023: MELHORES PRÁTICAS SOBRE PARCERIAS E ECOSSISTEMAS DIRETO DAS TRINCHEIRAS</t>
  </si>
  <si>
    <t>https://universidade.pipelovers.net/m/lessons/planejamento-de-geracao-de-demanda1769552242542?classId=3097</t>
  </si>
  <si>
    <t>28. PipeLovers💚SDRs "Opções de Carreira para SDRs" com Rodrigo Aranha (2023-01-18 08:04 GMT-3)</t>
  </si>
  <si>
    <t>A EVOLUÇÃO DOS MODELOS DE CANAIS INDIRETOS NO MUNDO DIGITAL</t>
  </si>
  <si>
    <t>Lucas Abrucezze</t>
  </si>
  <si>
    <t>Gerente Comercial B2B</t>
  </si>
  <si>
    <t>ESTRATÉGIAS DE CUSTOMER SUCCESS PARA PARCEIROS</t>
  </si>
  <si>
    <t>Escola Conquer</t>
  </si>
  <si>
    <t>https://universidade.pipelovers.net/m/lessons/estruturando-uma-operacao-de-pre-vendas1769552018768?classId=3387</t>
  </si>
  <si>
    <t>RD SUMMIT 2023</t>
  </si>
  <si>
    <t>MÉTODO OCTO</t>
  </si>
  <si>
    <t>PODCAST COMO CANAL DE ENGAJAMENTO COM PARCEIROS E CLIENTES</t>
  </si>
  <si>
    <t>COMO CONSTRUIR UM PLANEJAMENTO ESTRATÉGICO PARA ÁREA DE CANAIS</t>
  </si>
  <si>
    <t>PAPÉIS E RESPONSABILIDADES DO PARTNER ACCOUNT MANAGER</t>
  </si>
  <si>
    <t>https://www.linkedin.com/in/wevsoares/</t>
  </si>
  <si>
    <t>29. PipeLovers 💚 SDRs "Estruturando uma Operação de Pré-Vendas" com Lucas Abrucezze (2023-01-25 08:07 GMT-3)</t>
  </si>
  <si>
    <t>Guilherme Bonaroti</t>
  </si>
  <si>
    <t>Diretor Operacional</t>
  </si>
  <si>
    <t>VALIDAÇÃO DE NOVOS MODELOS DE PARCERIAS</t>
  </si>
  <si>
    <t>Better Now</t>
  </si>
  <si>
    <t>https://www.linkedin.com/in/bonaroti/</t>
  </si>
  <si>
    <t>GESTÃO DE PARCERIAS EM MARKETPLACES</t>
  </si>
  <si>
    <t>CONSTRUÇÃO DE OFERTAS DE VALOR AGREGADO COM PARCEIROS</t>
  </si>
  <si>
    <t>SALESFORCE TRAILHEAD UM ECOSSISTEMA DE ENABLEMENT</t>
  </si>
  <si>
    <t>28. PipeLovers 💙 Planejamento Comercial: "Planejamento de Geração de Demanda" com Weverton Soares do Z (2023-08-17 18:36 GMT-3)</t>
  </si>
  <si>
    <t>COMO PRIORIZAR A MELHOR OFERTA PARA SEU CANAL?</t>
  </si>
  <si>
    <t>https://universidade.pipelovers.net/m/lessons/escuta-ativa1769552018798?classId=3388</t>
  </si>
  <si>
    <t>Marcelo Mafra</t>
  </si>
  <si>
    <t>EXPANSÃO INTERNACIONAL COM FRANQUIAS</t>
  </si>
  <si>
    <t>Master Vendas</t>
  </si>
  <si>
    <t>https://universidade.pipelovers.net/m/lessons/mapeamento-da-jornada-de-compra-do-cliente1769552242569?classId=3098</t>
  </si>
  <si>
    <t>DIFERENÇA NA GESTÃO DE CANAIS COM MARCA PRÓPRIA E REVENDAS INDEPENDENTES</t>
  </si>
  <si>
    <t>ESTRUTURANDO DO ZERO UM CANAL TOP PERFORMER</t>
  </si>
  <si>
    <t>OTIMIZAÇÃO DE VERBAS DE MARKETING PARA CANAIS</t>
  </si>
  <si>
    <t>INFLUENCIADORES COMO CANAL DE VENDAS</t>
  </si>
  <si>
    <t>PREVISIBILIDADE DE FORECAST EM PROGRAMAS DE CANAIS</t>
  </si>
  <si>
    <t>30. PipeLovers 💚 SDRs "Escuta Ativa" com Guilherme Bonaroti (2023-02-01 08:05 GMT-3)</t>
  </si>
  <si>
    <t>https://www.linkedin.com/in/marcelomafra/</t>
  </si>
  <si>
    <t>7 PECADOS NA GESTÃO DE CANAIS INDIRETOS</t>
  </si>
  <si>
    <t>Carmen Baretti</t>
  </si>
  <si>
    <t>Account Manager</t>
  </si>
  <si>
    <t>PROGRAMA DE INDICAÇÃO DE CLIENTES: CASE CHATGURU</t>
  </si>
  <si>
    <t>Google</t>
  </si>
  <si>
    <t>https://universidade.pipelovers.net/m/lessons/planejamento-de-territorio-de-prospeccao1769552018953?classId=3389</t>
  </si>
  <si>
    <t>O FUTURO DOS CANAIS INDIRETOS NO MERCADO DE TECNOLOGIA</t>
  </si>
  <si>
    <t>Jornada de Compra do Cliente</t>
  </si>
  <si>
    <t>PIPELINE DE PARCERIAS ESTRATÉGICAS</t>
  </si>
  <si>
    <t>29. PipeLovers 💙 Planejamento Comercial: "Mapeamento da Jornada de Compra do Cliente" com Marcelo Mafr (2023-08-24 18:35 GMT-3)</t>
  </si>
  <si>
    <t>Lucas Momm</t>
  </si>
  <si>
    <t>CASE: PROGRAMa DE CANAS DO ZOHO CRM</t>
  </si>
  <si>
    <t>CRO e Co-founder</t>
  </si>
  <si>
    <t>Mind Minners</t>
  </si>
  <si>
    <t>https://universidade.pipelovers.net/m/lessons/planejamento-de-key-accounts1769552242658?classId=3103</t>
  </si>
  <si>
    <t>IDENTIFICANDO ALAVANCAS NOS CANAIS DE VENDAS INDIRETAS</t>
  </si>
  <si>
    <t>VENDEDORES ESPECIALISTAS COM PRODUTOS DE PARCEIROS</t>
  </si>
  <si>
    <t>QUANDO E COMO USAR MULTICANAIS COMO ESTRATÉGIA DE CRESCIMENTO DE RECEITA</t>
  </si>
  <si>
    <t>DEMONSTRAÇÕES INTERATIVAS PARA CAPACITAÇÃO DE CANAIS INDIRETOS</t>
  </si>
  <si>
    <t>31. PipeLovers 💚 SDRs "Planejamento de Território de Prospecção" com Carmen Barretti (2023-02-08 08:03 GMT-3)</t>
  </si>
  <si>
    <t>MOLDANDO SEU PROGRAMA DE CANAIS AO CONTEXTO ORGANIZACIONAL</t>
  </si>
  <si>
    <t>Patricia Ribeiro</t>
  </si>
  <si>
    <t>Enterprise Account Executive</t>
  </si>
  <si>
    <t>LexisNexis</t>
  </si>
  <si>
    <t>COMO CONSTRUIR UM ECOSSISTEMA EM UMA INDÚSTRIA TRADICIONAL</t>
  </si>
  <si>
    <t>https://www.linkedin.com/in/admpatriciaribeiro</t>
  </si>
  <si>
    <t>Gestão de Carteira de Clientes</t>
  </si>
  <si>
    <t>VENDAS INDIRETAS PARA CLIENTES ENTERPRISE</t>
  </si>
  <si>
    <t>30. PipeLovers 💙 Planejamento Comercial: "Planejamento de Key Accounts" com Lucas Momm da Mind Minners (2023-09-01 13:09 GMT-3)</t>
  </si>
  <si>
    <t>Michel Zetun</t>
  </si>
  <si>
    <t>O IMPACTO DOS MARKETPLACES EM NEGÓCIOS B2B</t>
  </si>
  <si>
    <t xml:space="preserve">Founder </t>
  </si>
  <si>
    <t>MapLead</t>
  </si>
  <si>
    <t>https://universidade.pipelovers.net/m/lessons/google-maps-como-base-de-prospeccao1769552242716?classId=3100</t>
  </si>
  <si>
    <t>GERAÇÃO DE DEMANDA PARA CANAIS</t>
  </si>
  <si>
    <t>https://universidade.pipelovers.net/m/lessons/desafios-do-sdr-que-vira-vendedor1769552018922?classId=3390</t>
  </si>
  <si>
    <t>O PAPEL DO DISTRIBUIDOR PARA ESCALAR VENDAS INDIRETAS</t>
  </si>
  <si>
    <t>GAMIFICAÇÃO EM PROGRAMAS DE CANAIS E PARCERIAS</t>
  </si>
  <si>
    <t>AQUISIÇÃO DE NOVOS CLIENTES VIA CANAIS</t>
  </si>
  <si>
    <t>AMPLIAÇÃO DE PORTFÓLIO DE PRODUTOS NOS CANAIS DE DISTRIBUIÇÃO</t>
  </si>
  <si>
    <t>PADRONIZAÇÃO DE PROCESSOS DE VENDAS EM REVENDAS</t>
  </si>
  <si>
    <t>31. PipeLovers 💙 Planejamento Comercial: "Google Maps como base de prospecção" com Michel Zetun (2023-09-14 13:06 GMT-3)</t>
  </si>
  <si>
    <t>ESTRUTURANDO UMA EQUIPE DE GESTÃO DE PARCERIAS</t>
  </si>
  <si>
    <t>32. PipeLovers💚SDRs com Patricia Ribeiro "Desafios do SDR que vira Vendedor" (2023-02-15 08:05 GMT-3)</t>
  </si>
  <si>
    <t>Gustavo Salles</t>
  </si>
  <si>
    <t>CEO e Fundador</t>
  </si>
  <si>
    <t>BOAS PRÁTICAS DE OFFBOARDING DE CANAIS</t>
  </si>
  <si>
    <t>Sales Hunter</t>
  </si>
  <si>
    <t>https://universidade.pipelovers.net/aulas/como-avaliar-um-headhunter-para-seu-time-de-vendas-1775491524100</t>
  </si>
  <si>
    <t>DESAFIOS DE APURAÇÃO DE COMISSÕES DE PARCEIROS</t>
  </si>
  <si>
    <t>LIÇÕES DE UMA CARREIRA EM TECNOLOGIA E EMPREENDEDORISMO</t>
  </si>
  <si>
    <t>CONECTANDO CANAIS COM MARKETING, PRODUTO E CUSTOMER SUCCESS</t>
  </si>
  <si>
    <t>PARTNER ACCOUNT MANAGER: ESCOPO E RESPONSABILIDADES</t>
  </si>
  <si>
    <t>TRANSIÇÃO DE CARREIRA DE VENDAS DIRETAS PARA GESTÃO DE CANAIS INDIRETOS</t>
  </si>
  <si>
    <t>ALAVANCANDO RESULTADO ATRAVÉS DE PARCERIAS DE INTEGRAÇÃO DE PRODUTOS</t>
  </si>
  <si>
    <t>Mentoria e Desenvolvimento de Talentos</t>
  </si>
  <si>
    <t>32. PipeLovers 💙 Planejamento Comercial: "Como avaliar um headhunter para seu time de vendas" com Gust (2023-09-21 13:06 GMT-3)</t>
  </si>
  <si>
    <t>RD SUMMIT: NÍVEIS DE MATURIDADE EM VENDAS B2B</t>
  </si>
  <si>
    <t>Marina Marinangelo</t>
  </si>
  <si>
    <t>Startup Program Manager</t>
  </si>
  <si>
    <t>GERAÇÃO DE LEADS ATRAVÉS DE CANAIS NÃO REMUNERADOS</t>
  </si>
  <si>
    <t>Amazon Web Services (AWS)</t>
  </si>
  <si>
    <t>https://universidade.pipelovers.net/m/lessons/como-conquistar-confianca-de-stakeholders1769552242776?classId=3102</t>
  </si>
  <si>
    <t>HARD E SOFT SKILLS PARA GESTÃO DE CANAIS</t>
  </si>
  <si>
    <t>PROGRAMA DE AFILIADOS: PRIMEIROS PASSOS PARA CRIAR UM NOVO CANAL</t>
  </si>
  <si>
    <t>PARCERIAS DE VALOR ADICIONADO (VALUE-ADDED PARTNERSHIPS PARA CRESCIMENTO SUSTENTÁVEL</t>
  </si>
  <si>
    <t>PRIMEIROS PASSOS PARA CRIAR UM PLAYBOOK DE CANAIS</t>
  </si>
  <si>
    <t>PLANEJANDO O ANO COM CANAIS FRANQUEADOS</t>
  </si>
  <si>
    <t>Stakeholder Management</t>
  </si>
  <si>
    <t>PLANO DE CARREIRA EM VENDAS INDIRETAS</t>
  </si>
  <si>
    <t>33. PipeLovers 💙 Planejamento Comercial: "Como conquistar confiança de Stakeholders?"com Marina Marinangelo da Amazon Web Services (AWS)</t>
  </si>
  <si>
    <t>Ricardo Gottschalk</t>
  </si>
  <si>
    <t>CRO &amp; Co-founder</t>
  </si>
  <si>
    <t>Conta Simples</t>
  </si>
  <si>
    <t>CAPTAÇÃO DE CANAIS DE TICKET BAIXO</t>
  </si>
  <si>
    <t>Thaise Bolzan</t>
  </si>
  <si>
    <t>https://universidade.pipelovers.net/m/lessons/apresentacoes-executivas-para-o-conselho-da-empresa1769552242831?classId=3105</t>
  </si>
  <si>
    <t>Coordenadora de Inside Sales</t>
  </si>
  <si>
    <t>Rock Content</t>
  </si>
  <si>
    <t>KPIS ESTRATÉGICOS PARA ESCALAR E OTIMIZAR CANAIS DE VENDAS</t>
  </si>
  <si>
    <t>https://www.linkedin.com/in/izebolzan/</t>
  </si>
  <si>
    <t>CANAIS DE DISTRIBUIÇÃO: ESTRUTURANDO O ESSENCIAL PARA CRESCER</t>
  </si>
  <si>
    <t>A CULPA NÃO É DO CANAL: ERROS QUE COMETEMOS E COMO EVITÁ-LOS</t>
  </si>
  <si>
    <t>ALIANÇAS ESTRATÉGICAS PARA AMPLIAÇÃO DE PORTFÓLIO DE OFERTAS</t>
  </si>
  <si>
    <t>GERENCIANDO REVENDAS EM MERCADOS REGULADOS</t>
  </si>
  <si>
    <t>34. PipeLovers 💙 Planejamento Comercial: "Apresentações Executivas para o Conselho da Empresa" com Ric (2023-10-05 13:08 GMT-3)</t>
  </si>
  <si>
    <t>ESTRATÉGIA DE GOVERNANÇA PARA DIFERENTES CANAIS DE VENDAS</t>
  </si>
  <si>
    <t>Como avaliar a terceirização de prospecção?</t>
  </si>
  <si>
    <t>EXEMPLOS PRÁTICOS: EXPLORANDO O USO DE IA EM PROGRAMAS DE PARCERIA</t>
  </si>
  <si>
    <t>Aquiles Casabona</t>
  </si>
  <si>
    <t>https://universidade.pipelovers.net/m/lessons/case-rock-content1769552018997?classId=3391</t>
  </si>
  <si>
    <t>Chief Revenue Officer - SaaS</t>
  </si>
  <si>
    <t>ASB Marketing</t>
  </si>
  <si>
    <t>https://universidade.pipelovers.net/aulas/como-avaliar-a-terceirizaca0-de-prospecca0-1775492909109</t>
  </si>
  <si>
    <t>ARQUITETURA DE CANAIS: COMO CONSTRUIR E ESCALAR UM MODELO DE REPRESENTAÇÃO COMERCIAL</t>
  </si>
  <si>
    <t>DE CPF A CNPJ: O ESSENCIAL PARA SEU CANAL VIRAR EMPRESA</t>
  </si>
  <si>
    <t>DAR E RECEBER FEEDBACK COM CLAREZA</t>
  </si>
  <si>
    <t>PROGRAMA DE CANAIS SOB A ÓTICA DO CANAL</t>
  </si>
  <si>
    <t>COMO ESTRUTURAR UM PRM EM UM CRM COMUM</t>
  </si>
  <si>
    <t>COMO IMPULSIONAR O CRESCIMENTO DE RECEITA ALAVANCANDO CANAIS DE DISTRIBUIÇÃO</t>
  </si>
  <si>
    <t>CS + CANAIS A COLABORAÇÃO QUE TRANSFORMA BASE EM RECEITA</t>
  </si>
  <si>
    <t>35. PipeLovers 💙 Planejamento Comercial: "Como avaliar a terceirização de prospecção?" com Aquiles Cas (2023-10-19 18:38 GMT-3)</t>
  </si>
  <si>
    <t>ESTRATÉGIAS WIN-WIN COMO CONSTRUIR SINERGIA REAL COM PARCEIROS</t>
  </si>
  <si>
    <t>Michael Lima</t>
  </si>
  <si>
    <t>Senior Sales Manager</t>
  </si>
  <si>
    <t>Zenvia</t>
  </si>
  <si>
    <t>AVALIAÇÃO DE EXPANSÃO DE CANAIS NA AMÉRICA LATINA</t>
  </si>
  <si>
    <t>https://universidade.pipelovers.net/m/lessons/estrategicas-de-aquisicao-de-clientes-com-ampliacao-de-portfolio1769552242871?classId=3107</t>
  </si>
  <si>
    <t>COMO LIDERAR PROJETOS E PESSOAS SEM SER GESTOR DIRETO</t>
  </si>
  <si>
    <t>33. PipeLovers 💚 SDRs Case "Rock Content" com Thaise Bolzan (2023-03-01 08:05 GMT-3)</t>
  </si>
  <si>
    <t>GESTÃO DO TEMPO - TÉCNICAS DE ORGANIZAÇÃO E PRODUTIVIDADE</t>
  </si>
  <si>
    <t>Ana Nunes</t>
  </si>
  <si>
    <t>REVOPS PARA CANAIS: COMO DESENHAR UMA OPERAÇÃO QUE AJUDA O PARCEIRO A VENDER MAIS</t>
  </si>
  <si>
    <t>Business Development Representative</t>
  </si>
  <si>
    <t>Swile</t>
  </si>
  <si>
    <t>COMO ESTABELECER PARCERIAS ESTRATÉGICAS PARA IMPULSIONAR SUA RECEITA</t>
  </si>
  <si>
    <t>https://universidade.pipelovers.net/m/lessons/assedio-nao-e-normal-ok1769552019039?classId=3392</t>
  </si>
  <si>
    <t>COMO FAZER SEU CANAL REFLETIR SUA CULTURA PARA O MERCADO</t>
  </si>
  <si>
    <t>AFILIADOS QUE VENDEM: COMO CRIAR UM PROGRAMA DE PARCERIAS COM ESCALA</t>
  </si>
  <si>
    <t>CONSTRUÇÃO DE CONFIANÇA NA RELAÇÃO COM PARCEIROS</t>
  </si>
  <si>
    <t>UpSell e Cross Sell</t>
  </si>
  <si>
    <t>COMO IDENTIFICAR O IPP (PERFIL DE PARCEIRO IDEAL)</t>
  </si>
  <si>
    <t>36. PipeLovers 💙 Planejamento Comercial: "Estratégias de aquisição de clientes com ampliação de portfó (2023-10-26 13:06 GMT-3)</t>
  </si>
  <si>
    <t>COMO CRIAR CONSISTÊNCIA NO CANAL: O PAPEL DA DISCIPLINA NO DIA A DIA</t>
  </si>
  <si>
    <t>https://universidade.pipelovers.net/m/lessons/palestra-rd-summit-20231769552039345?classId=3108</t>
  </si>
  <si>
    <t>ESTRATÉGIA DE ONBOARDING E RAMPAGEM DE NOVOS CANAIS INDIRETOS</t>
  </si>
  <si>
    <t>GESTÃO DE RELACIONAMENTO COM PARCEIROS ESTRATÉGICOS</t>
  </si>
  <si>
    <t>TAM, SAM E SOM PARA CANAIS</t>
  </si>
  <si>
    <t>GESTÃO DE EXPECTATIVA COM STAKEHOLDERS EM CANAIS</t>
  </si>
  <si>
    <t>34. PipeLovers💚SDRs com Ana Nunes "Assédio não é normal, ok?" (2023-03-08 08:05 GMT-3)</t>
  </si>
  <si>
    <t>COMO ESTRUTURAR UM PROGRAMA DE CANAIS DO ZERO</t>
  </si>
  <si>
    <t>GESTÃO ESTRATÉGICA NA ERA DE IA: AUTOMAÇÃO E O NOVO PAPEL DO PARCEIRO</t>
  </si>
  <si>
    <t>Bruna Craveiro</t>
  </si>
  <si>
    <t>Senior Sales Manager Brazil</t>
  </si>
  <si>
    <t>eMentor</t>
  </si>
  <si>
    <t>KPIS DE CANAIS: COMO MEDIR ENGAJAMENTO E PERFORMANCE</t>
  </si>
  <si>
    <t>https://universidade.pipelovers.net/m/lessons/autogestao-baseada-em-indicadores1769552019066?classId=3393</t>
  </si>
  <si>
    <t>GESTÃO DE FUNIL DE VENDAS DE CANAIS INDIRETOS</t>
  </si>
  <si>
    <t>Class</t>
  </si>
  <si>
    <t>37. "Palestra RD Summit 2023" com Gustavo Pagotto (2023-11-07 08:09 GMT-3)</t>
  </si>
  <si>
    <t>Leonardo Sertã</t>
  </si>
  <si>
    <t>ex-PayPal e Mckinsey</t>
  </si>
  <si>
    <t>https://universidade.pipelovers.net/m/lessons/como-alinhar-expectativas-entre-diferentes-niveis-de-senioridade1769552243258?classId=3109</t>
  </si>
  <si>
    <t>35. PipeLovers💚SDRs com Bruna Craveiro "Autogestão Baseada em Indicadores" (2023-03-15 08:06 GMT-3)</t>
  </si>
  <si>
    <t>Dar e Receber Feedbacks</t>
  </si>
  <si>
    <t>Daniel Fidelis</t>
  </si>
  <si>
    <t>38. PipeLovers 💙 Planejamento Comercial: "Como alinhar expectativas entre diferentes níveis de seniori (2023-11-16 13:36 GMT-3)</t>
  </si>
  <si>
    <t>Signifyd</t>
  </si>
  <si>
    <t>Daniel Baunds</t>
  </si>
  <si>
    <t>Especialista em Aceleração de Vendas</t>
  </si>
  <si>
    <t>https://www.linkedin.com/in/daniel-fidelis-ab8700159/</t>
  </si>
  <si>
    <t>https://universidade.pipelovers.net/m/lessons/sales-coaching-baseado-em-metricas1769552243176?classId=3110</t>
  </si>
  <si>
    <t>https://universidade.pipelovers.net/m/lessons/como-ter-um-perfil-de-autoridade-no-linkedin1769552019091?classId=3396</t>
  </si>
  <si>
    <t>39. PipeLovers 💙 Planejamento Comercial: "Sales Coaching baseado em métricas" com Daniel Baunds (2023-11-23 13:06 GMT-3)</t>
  </si>
  <si>
    <t>Nicolas Scridelli</t>
  </si>
  <si>
    <t>Triider &amp; Habitissimo</t>
  </si>
  <si>
    <t>https://universidade.pipelovers.net/m/lessons/integrando-times-de-produto-e-comercial1769552243229?classId=3111</t>
  </si>
  <si>
    <t>Gestão de Conflitos e Resolução de Problemas</t>
  </si>
  <si>
    <t>40. PipeLovers 💙 Planejamento Comercial: "Comunicação de metas baseado em dados" com Hugo Scott (2023-11-30 18:35 GMT-3)</t>
  </si>
  <si>
    <t>Hugo Scott</t>
  </si>
  <si>
    <t>Gerente de Planejamento Comercial e Inteligência de Mercado</t>
  </si>
  <si>
    <t>Localiza</t>
  </si>
  <si>
    <t>https://universidade.pipelovers.net/aulas/comunicacao-de-metas-baseado-em-dados-1775493397166</t>
  </si>
  <si>
    <t>Credibilidade e Reputação</t>
  </si>
  <si>
    <t>36. PipeLovers💚SDRs - "COMO TER UM PERFIL DE AUTORIDADE NO LINKEDIN" com Daniel Fideles (2023-03-22 08:05 GMT-3)</t>
  </si>
  <si>
    <t>Amanda de Paula</t>
  </si>
  <si>
    <t>Inbound Marketing Leader</t>
  </si>
  <si>
    <t>https://www.linkedin.com/in/amandadeepaula/</t>
  </si>
  <si>
    <t>41. PipeLovers 💙 Planejamento Comercial: "Integrando times de produto e comercial" com Nicolas Scridel (2023-12-07 13:06 GMT-3)</t>
  </si>
  <si>
    <t>Gilberto Strafacci</t>
  </si>
  <si>
    <t>VP of Strategy and Operations</t>
  </si>
  <si>
    <t>Setec Consulting Group</t>
  </si>
  <si>
    <t>https://universidade.pipelovers.net/m/lessons/metologia-lean-aplicado-ao-planejamento-de-vendas1769552243324?classId=3482</t>
  </si>
  <si>
    <t>https://universidade.pipelovers.net/m/lessons/relacionamento-marketing-pre-vendas1769552019140?classId=3395</t>
  </si>
  <si>
    <t>Metodologias de Vendas</t>
  </si>
  <si>
    <t>42. PipeLovers 💙 Planejamento Comercial: "Metodologia Lean aplicado ao planejamento de vendas" com Gil (2023-12-14 13:05 GMT-3)</t>
  </si>
  <si>
    <t>Patricia Jôlo</t>
  </si>
  <si>
    <t>Especialista em Vendas e Customer Success</t>
  </si>
  <si>
    <t>https://universidade.pipelovers.net/m/lessons/melhores-praticas-para-elaborar-um-planejamento-top-down1769552243353?classId=3115</t>
  </si>
  <si>
    <t>37. PipeLovers 💚 SDRs com Amanda de Paula "Relacionamento entre Marketing e Pré-Vendas" (2023-03-29 08:05 GMT-3)</t>
  </si>
  <si>
    <t>43. PipeLovers 💙 Planejamento Comercial: "Melhores práticas para elaborar um planejamento top down" co (2023-12-21 13:05 GMT-3)</t>
  </si>
  <si>
    <t>Líderes de Vendas</t>
  </si>
  <si>
    <t>Sergio Alonso</t>
  </si>
  <si>
    <t>Planejamento de Vendas B2B na Pratica</t>
  </si>
  <si>
    <t>Leonardo Barros</t>
  </si>
  <si>
    <t>Coordenador de SDR</t>
  </si>
  <si>
    <t>Sr Partner Marketing Manager Brazil</t>
  </si>
  <si>
    <t>https://universidade.pipelovers.net/aulas/planejamento-de-vendas-b2b-na-pratica-1775494022190</t>
  </si>
  <si>
    <t>https://www.linkedin.com/in/-sergioalonso/</t>
  </si>
  <si>
    <t>1. PipeLovers 💚 Sales Leaders com Leonardo Barros "Planejamento de Vendas B2B na Pratica".mp4</t>
  </si>
  <si>
    <t>https://universidade.pipelovers.net/aulas/mensagem-de-prospeccao-que-convertem-1775074225062</t>
  </si>
  <si>
    <t>Recrutamento de Equipes de Vendas de Alta Performance</t>
  </si>
  <si>
    <t>Marina Carvalho</t>
  </si>
  <si>
    <t>Talent Acquisition Manager</t>
  </si>
  <si>
    <t>SDRs</t>
  </si>
  <si>
    <t>Beontag</t>
  </si>
  <si>
    <t>https://universidade.pipelovers.net/aulas/recrutamento-de-equipes-de-vendas-de-alta-performance-1775495873086</t>
  </si>
  <si>
    <t>38. PipeLovers💚SDRs "Mensagens de prospecção que convertem" com Sergio Alonso do G4 Educação (2023-04-12 08:04 GMT-3)</t>
  </si>
  <si>
    <t>Leonardo Schutel</t>
  </si>
  <si>
    <t xml:space="preserve">TotalPass </t>
  </si>
  <si>
    <t>https://www.linkedin.com/in/leonardo-s-3552b21a9/</t>
  </si>
  <si>
    <t>2. PipeLovers 💚 Sales Leaders com Marina Carvalho "Recrutamento de Equipes de Vendas de Alta Performance".mp4</t>
  </si>
  <si>
    <t>Como montar seu stack de ferramentas</t>
  </si>
  <si>
    <t>Eduardo Muller</t>
  </si>
  <si>
    <t>B2B Stack</t>
  </si>
  <si>
    <t>https://universidade.pipelovers.net/aulas/como-montar-seu-stack-de-ferramentas-1775505416458</t>
  </si>
  <si>
    <t>https://universidade.pipelovers.net/aulas/como-autoconhecimento-e-inteligencia-emocional-te-ajudam-a-vender-mais--1775681110809</t>
  </si>
  <si>
    <t>3. PipeLovers 💚 Sales Leaders com Eduardo Muller "Como montar seu stack de ferramentas".mp4</t>
  </si>
  <si>
    <t>Alfredo Soares</t>
  </si>
  <si>
    <t>https://universidade.pipelovers.net/m/lessons/vendas-gestao-40-educacao-e-empreendedorismo1769552243459?classId=3116</t>
  </si>
  <si>
    <t>Gatilhos de Stress</t>
  </si>
  <si>
    <t>39. PipeLovers💚SDRs: "Como autoconhecimento e inteligência emocional te ajudam a vender mais?" com Leo (2023-04-19 08:04 GMT-3)</t>
  </si>
  <si>
    <t>Rodrigo Saretto</t>
  </si>
  <si>
    <t>Senior Account Executive</t>
  </si>
  <si>
    <t>Voxy</t>
  </si>
  <si>
    <t>https://www.linkedin.com/in/rodrigosaretto/</t>
  </si>
  <si>
    <t>4. PipeLovers 💚 Sales Leaders com Alfredo Soares "Vendas, Gestão 4.0, Educação e Empreendedorismo".mp4</t>
  </si>
  <si>
    <t>Denis Tassitano 
Carla Gatti
Daniel Schwebel</t>
  </si>
  <si>
    <t>VP Head of Concur LATAM
CRO
Diretor de Vendas LATAM</t>
  </si>
  <si>
    <t>SAP
Autodoc
Sinch</t>
  </si>
  <si>
    <t>https://universidade.pipelovers.net/m/lessons/cultura-de-equipes-de-vendas-de-alta-performance1769552243539?classId=3481</t>
  </si>
  <si>
    <t>https://universidade.pipelovers.net/m/lessons/relacionamento-executivo-de-vendas-pre-vendas1769552019257?classId=3401</t>
  </si>
  <si>
    <t>https://universidade.pipelovers.net/m/lessons/carreira-em-vendas-desafios-da-lideranca-comercial1769552243571?classId=3775</t>
  </si>
  <si>
    <t>5. PipeLovers 💚 Sales Leaders com Gustavo Pagotto "Carreira em Vendas: Desafios da Liderança Comercial" (2022-09-22 18:05 GMT-3)</t>
  </si>
  <si>
    <t>André Siqueira</t>
  </si>
  <si>
    <t>RD Station</t>
  </si>
  <si>
    <t>https://universidade.pipelovers.net/m/lessons/alinhamento-entre-marketing-e-vendas-b2b1769552247196?classId=3118</t>
  </si>
  <si>
    <t>40. PipeLovers💚SDRs: "Relacionamento Executivo de Vendas &lt;&gt; Pré Vendedor" com Rodrigo Saretto da Voxy (2023-04-26 08:04 GMT-3)</t>
  </si>
  <si>
    <t>6. PipeLovers 💚 Sales Leaders com André Siqueira "Alinhamento entre Marketing e Vendas B2B" (2022-09-27 18:04 GMT-3)</t>
  </si>
  <si>
    <t>Heloísa Kinal</t>
  </si>
  <si>
    <t>Thiago Gabri</t>
  </si>
  <si>
    <t>O Guia Não Definitivo de Vendas</t>
  </si>
  <si>
    <t>https://universidade.pipelovers.net/m/lessons/construindo-uma-maquina-de-vendas-inbound1769552247256?classId=3479</t>
  </si>
  <si>
    <t xml:space="preserve"> Business Development Account Executive</t>
  </si>
  <si>
    <t>Salesforce</t>
  </si>
  <si>
    <t>https://www.linkedin.com/in/helo%C3%ADsa-kinal-99aa2952/</t>
  </si>
  <si>
    <t>7. PipeLovers 💚 Sales Leaders com Thiago Gabri "Construindo uma máquina de vendas Inbound" (2022-10-04 18:03 GMT-3)</t>
  </si>
  <si>
    <t>Juliane Garcia</t>
  </si>
  <si>
    <t>https://universidade.pipelovers.net/m/lessons/escalando-equipes-de-prospeccao1769552247342?classId=3478</t>
  </si>
  <si>
    <t>8. PipeLovers 💚 Sales Leaders com Juliane Garcia "Escalando Equipes de Prospecção" (2022-10-11 18:06 GMT-3)</t>
  </si>
  <si>
    <t>https://universidade.pipelovers.net/m/lessons/lideranca-pelo-exemplo-como-ser-a-referencia-para-o-time1769552019284?classId=3405</t>
  </si>
  <si>
    <t>Cláudio Bessa</t>
  </si>
  <si>
    <t>Principal LATAM Leader</t>
  </si>
  <si>
    <t>IBM</t>
  </si>
  <si>
    <t>https://universidade.pipelovers.net/m/lessons/parcerias-estrategicas-e-canais-indiretos1769552247370?classId=3477</t>
  </si>
  <si>
    <t>9. PipeLovers 💚 Sales Leaders com Claudio Bessa "Parcerias Estratégicas e Canais Indiretos" (2022-10-13 18:04 GMT-3)</t>
  </si>
  <si>
    <t>Mateus Pestana</t>
  </si>
  <si>
    <t>SenseData</t>
  </si>
  <si>
    <t>https://universidade.pipelovers.net/m/lessons/estrategias-de-customer-success-para-aceleracao-e-crescimento1769552247399?classId=3475</t>
  </si>
  <si>
    <t>41. PipeLovers💚SDRs: "Liderança pelo exemplo: como ser a referência para o time?" com Heloisa Kinal da (2023-05-03 08:04 GMT-3)</t>
  </si>
  <si>
    <t>10. PipeLovers 💚 Sales Leaders com Mateus Pestana "Estratégias de Customer Success" (2022-10-27 18:05 GMT-3)</t>
  </si>
  <si>
    <t>Igor de Moura Batista</t>
  </si>
  <si>
    <t>Consultor em Vendas B2B</t>
  </si>
  <si>
    <t>Luís Puccetti</t>
  </si>
  <si>
    <t>Enterprise Sales Director</t>
  </si>
  <si>
    <t>iBusiness</t>
  </si>
  <si>
    <t>DocuSign</t>
  </si>
  <si>
    <t>https://universidade.pipelovers.net/m/lessons/gestao-de-equipes-de-vendas-enterprise1769552247429?classId=3472</t>
  </si>
  <si>
    <t>https://www.linkedin.com/in/igorbatista/</t>
  </si>
  <si>
    <t>12. PipeLovers 💚 Sales Leaders com Ludmilla Fernandes "Escalando Operações de Vendas para PMEs" (2022-11-10 18:05 GMT-3)</t>
  </si>
  <si>
    <t>https://universidade.pipelovers.net/m/lessons/inteligencia-artificial-aplicada-a-prospeccao1769552019309?classId=3422</t>
  </si>
  <si>
    <t>Ludmilla Fernandes</t>
  </si>
  <si>
    <t>COO</t>
  </si>
  <si>
    <t>Sólides</t>
  </si>
  <si>
    <t>https://universidade.pipelovers.net/m/lessons/escalando-operacoes-de-vendas-para-pmes1769552247459?moduleId=910&amp;classId=3501</t>
  </si>
  <si>
    <t>Raphael Dyxklay</t>
  </si>
  <si>
    <t>Barte</t>
  </si>
  <si>
    <t>https://universidade.pipelovers.net/m/lessons/estrategias-de-pricing-para-b2b1769552247505?classId=3120</t>
  </si>
  <si>
    <t>42. PipeLovers💚SDRs: "Inteligência Artificial aplicada a Prospecção" com Igor Batista da iBusiness (2023-05-10 08:05 GMT-3)</t>
  </si>
  <si>
    <t>Jayme Pereira</t>
  </si>
  <si>
    <t>Head of New Business</t>
  </si>
  <si>
    <t>Sinch</t>
  </si>
  <si>
    <t>https://www.linkedin.com/in/jaymepereira/</t>
  </si>
  <si>
    <t>Negociação e Fechamento de Vendas</t>
  </si>
  <si>
    <t>13. PipeLovers💚 com Raphael Dyxklay: “Estratégias de Pricing para B2B” (2022-11-17 18:35 GMT-3)</t>
  </si>
  <si>
    <t>Michelle Schneider</t>
  </si>
  <si>
    <t>Sales Industry Leader</t>
  </si>
  <si>
    <t>TikTok</t>
  </si>
  <si>
    <t>https://universidade.pipelovers.net/m/lessons/vendas-no-mercado-de-midia-e-advertising1769552251526?classId=3499</t>
  </si>
  <si>
    <t>https://universidade.pipelovers.net/m/lessons/aprendizado-baseado-em-projetos1769552019347?classId=3423</t>
  </si>
  <si>
    <t>14. PipeLovers 💚 Sales Leaders com Michelle Schneider: "Vendas no Mercado de Midia e Advertising" (2022-11-22 18:06 GMT-3)</t>
  </si>
  <si>
    <t>Lelio Souza</t>
  </si>
  <si>
    <t>VP Digital Services</t>
  </si>
  <si>
    <t>Afya</t>
  </si>
  <si>
    <t>https://universidade.pipelovers.net/m/lessons/gestao-de-vendas-de-servicos1769552251657?classId=3496</t>
  </si>
  <si>
    <t>43. PipeLovers💚SDRs: "Aprendizado baseado em projetos" com Jayme Pereira da Sinch (2023-05-16 08:05 GMT-3)</t>
  </si>
  <si>
    <t>15. PipeLovers💚Sales Leaders com Lelio Souza "Gestão de Vendas de Serviços" (2022-12-01 18:36 GMT-3)</t>
  </si>
  <si>
    <t>Cleber Voelzke</t>
  </si>
  <si>
    <t>RVP Service Sales LATAM</t>
  </si>
  <si>
    <t>https://universidade.pipelovers.net/m/lessons/gestao-de-vendas-nas-big-techs1769552251724?classId=3495</t>
  </si>
  <si>
    <t>Cindy Carbonari</t>
  </si>
  <si>
    <t>Diretora de Parcerias</t>
  </si>
  <si>
    <t>Alicerce Educação</t>
  </si>
  <si>
    <t>https://www.linkedin.com/in/cindycarbonari/</t>
  </si>
  <si>
    <t>https://universidade.pipelovers.net/m/lessons/comunicacao-nao-violenta-em-conversas-dificeis1769552019374?classId=3424</t>
  </si>
  <si>
    <t>16. PipeLovers💚Sales Leaders com Cléber Voelzke: “Gestão de Vendas nas Big Techs” (2022-12-08 18:04 GMT-3)</t>
  </si>
  <si>
    <t>Alexandre Apendino</t>
  </si>
  <si>
    <t>Executive VP</t>
  </si>
  <si>
    <t>TOTVS</t>
  </si>
  <si>
    <t>https://universidade.pipelovers.net/m/lessons/integrando-equipes-de-vendas-pos-ma1769552251793?classId=3494</t>
  </si>
  <si>
    <t>44. PipeLovers💚SDRs: "Comunicação não violenta em conversas difíceis" com Cindy Carbonari da Alicerce  (2023-05-24 08:05 GMT-3)</t>
  </si>
  <si>
    <t>Marcelo Baratella</t>
  </si>
  <si>
    <t>MB SOLUTION SELLING</t>
  </si>
  <si>
    <t>https://www.linkedin.com/in/marcelobaratella/</t>
  </si>
  <si>
    <t>Fusões, Aquisições e Falências</t>
  </si>
  <si>
    <t>17. PipeLovers💚Sales Leaders com Alexandre Apendino: "Integrando Equipes de Vendas pós M&amp;A" (2022-12-15 18:05 GMT-3)</t>
  </si>
  <si>
    <t>Tiago Tadeu</t>
  </si>
  <si>
    <t>Head of Business Development &amp; Sales</t>
  </si>
  <si>
    <t>Cora</t>
  </si>
  <si>
    <t>https://universidade.pipelovers.net/m/lessons/demissoes-e-layoffs1769552251847?classId=3493</t>
  </si>
  <si>
    <t>https://universidade.pipelovers.net/m/lessons/como-seu-lider-pode-te-ajudar-a-ter-sucesso1769552019399?classId=3427</t>
  </si>
  <si>
    <t>Livia Alves</t>
  </si>
  <si>
    <t>Mercafácil</t>
  </si>
  <si>
    <t>https://universidade.pipelovers.net/m/lessons/criando-uma-cultura-de-alta-performance1769552251931?classId=3122</t>
  </si>
  <si>
    <t>45. PipeLovers💚SDRs: "Como seu lider pode te ajudar a ter sucesso?" com Marcelo Baratella (2023-05-31 08:04 GMT-3)</t>
  </si>
  <si>
    <t>Thiago Lisboa</t>
  </si>
  <si>
    <t>Founder</t>
  </si>
  <si>
    <t>Supernov4</t>
  </si>
  <si>
    <t>https://www.linkedin.com/in/thiagoalisboa/</t>
  </si>
  <si>
    <t>https://www.linkedin.com/in/liviaalves-/</t>
  </si>
  <si>
    <t>Conhecimento do Negócio e seu Produto</t>
  </si>
  <si>
    <t>https://universidade.pipelovers.net/m/lessons/a-importancia-do-posicionamento-de-produto-na-prospeccao1769552019439?classId=3428</t>
  </si>
  <si>
    <t>19. PipeLovers 💙 Líderes de Vendas "Criando uma cultura de alta performance" com Lívia Alves (2023-01-05 08:04 GMT-3)</t>
  </si>
  <si>
    <t>Felipe Spina</t>
  </si>
  <si>
    <t>Co-Founder &amp; CEO</t>
  </si>
  <si>
    <t>MaestroABM</t>
  </si>
  <si>
    <t>https://universidade.pipelovers.net/m/lessons/account-based-marketing-o-papel-do-vendedor-nessa-estrategia1769552344814?classId=3611</t>
  </si>
  <si>
    <t>Posicionamento de Produto</t>
  </si>
  <si>
    <t>46. PipeLovers💚SDRs: "A importância do posicionamento de produto na prospecção" com Thiago Lisboa da S (2023-06-07 08:05 GMT-3)</t>
  </si>
  <si>
    <t>Laura Freitas</t>
  </si>
  <si>
    <t xml:space="preserve">Lead Generation Coordinator </t>
  </si>
  <si>
    <t xml:space="preserve">ília </t>
  </si>
  <si>
    <t>https://www.linkedin.com/in/laura-freitas1/</t>
  </si>
  <si>
    <t>https://www.linkedin.com/in/fspina/</t>
  </si>
  <si>
    <t>Gestão do Tempo e de Informação</t>
  </si>
  <si>
    <t>https://universidade.pipelovers.net/m/lessons/como-ser-mais-produtivo-em-pre-vendas1769552019505?classId=3429</t>
  </si>
  <si>
    <t>20. PipeLovers 💙 Líderes de Vendas "ABM - Account Based Marketing" com Felipe Spina (2023-01-12 08:04 GMT-3)</t>
  </si>
  <si>
    <t>Jose Martim Juacida</t>
  </si>
  <si>
    <t>Strategic Client Sales LATAM</t>
  </si>
  <si>
    <t>Meta</t>
  </si>
  <si>
    <t>https://universidade.pipelovers.net/m/lessons/whatsapp-para-acelerar-vendas1769552252013?classId=3125</t>
  </si>
  <si>
    <t>47. PipeLovers💚SDRs: "Como ser mais produtivo em pré vendas" com Laura Freitas da Ília Digital (2023-06-14 08:05 GMT-3)</t>
  </si>
  <si>
    <t>Angela Garbin</t>
  </si>
  <si>
    <t>ACGarbin</t>
  </si>
  <si>
    <t>https://www.linkedin.com/in/angelagarbin/</t>
  </si>
  <si>
    <t>21. PipeLovers 💙 Líderes de Vendas "WhatsApp para Acelerar Vendas" com Jose Martim Juacida (2023-01-17 08:04 GMT-3)</t>
  </si>
  <si>
    <t>Henrique Santos</t>
  </si>
  <si>
    <t>Diretor de Revenue Operations</t>
  </si>
  <si>
    <t>https://universidade.pipelovers.net/aulas/metas-e-rampagem-de-vendedores-1775499932119</t>
  </si>
  <si>
    <t>https://universidade.pipelovers.net/m/lessons/operacao-de-pre-vendas-como-motor-de-crescimento-de-startups1769552019468?classId=3435</t>
  </si>
  <si>
    <t>22. PipeLovers 💙 Líderes de Vendas "Metas e Rampagem de Vendedores" com Henrique Santos (2023-01-26 08:04 GMT-3)</t>
  </si>
  <si>
    <t>https://universidade.pipelovers.net/m/lessons/terceirizacao-de-equipes-de-vendas1769552262930?classId=3130</t>
  </si>
  <si>
    <t>48. PipeLovers💚SDRs: "Operação de Pré-Vendas como motor de crescimento de Startups" com Angela Garbin (2023-06-21 08:05 GMT-3)</t>
  </si>
  <si>
    <t>Lucas Gomes</t>
  </si>
  <si>
    <t xml:space="preserve">CEO </t>
  </si>
  <si>
    <t>OndaSkim</t>
  </si>
  <si>
    <t>https://www.linkedin.com/in/dronda/</t>
  </si>
  <si>
    <t>https://universidade.pipelovers.net/m/lessons/como-ser-um-influenciador-corporativo-nas-redes-sociais1769552019545?classId=3434</t>
  </si>
  <si>
    <t>23. PipeLovers 💙 Líderes de Vendas "Terceirização de Equipes de Vendas" com Oshry Vidal (2023-01-31 08:06 GMT-3)</t>
  </si>
  <si>
    <t>Rafael Mussato</t>
  </si>
  <si>
    <t>https://universidade.pipelovers.net/m/lessons/land-expand1769552263983?classId=3132</t>
  </si>
  <si>
    <t>49. PipeLovers💚SDRs: "Como ser um "influenciador corporativo" nas redes sociais" com Lucas Gomes  (2023-06-28 08:04 GMT-3)</t>
  </si>
  <si>
    <t>Gustavo Gomes</t>
  </si>
  <si>
    <t>Gerente de Vendas</t>
  </si>
  <si>
    <t>Agendor</t>
  </si>
  <si>
    <t>https://www.linkedin.com/in/gustavo-gomes-sales/</t>
  </si>
  <si>
    <t>https://universidade.pipelovers.net/m/lessons/aprendizados-da-semana-de-prospeccao-b2b1769552022786?classId=3436</t>
  </si>
  <si>
    <t>24. PipeLovers 💙 Líderes de Vendas - "Land &amp; Expand" com Rafael Mussato do Zendesk (2023-02-07 08:06 GMT-3)</t>
  </si>
  <si>
    <t>Gabriela Uekita</t>
  </si>
  <si>
    <t>Lider Revenue Ops</t>
  </si>
  <si>
    <t>Pipo Saúde</t>
  </si>
  <si>
    <t>https://universidade.pipelovers.net/m/lessons/crm-hubspot-melhores-praticas1769552264024?classId=3134</t>
  </si>
  <si>
    <t>50. PipeLovers💚Pré-Vendas: "Aprendizados da "Semana de Prospecção B2B" com Gustavo Gomes (2023-07-12 08:05 GMT-3)</t>
  </si>
  <si>
    <t>Melhores Práticas de CRM</t>
  </si>
  <si>
    <t>25. PipeLovers 💙 Líderes de Vendas "CRM Hubspot - Melhores Práticas" com Gabriela Uekita (2023-02-14 08:04 GMT-3)</t>
  </si>
  <si>
    <t>Matheus Gomes</t>
  </si>
  <si>
    <t>Enablement Specialist</t>
  </si>
  <si>
    <t>Nuvemshop</t>
  </si>
  <si>
    <t>https://www.linkedin.com/in/matheus-gomes-dasilva/</t>
  </si>
  <si>
    <t>Paulo Felix</t>
  </si>
  <si>
    <t>Diretor de Negócios</t>
  </si>
  <si>
    <t>Grupo FCâmara</t>
  </si>
  <si>
    <t>https://universidade.pipelovers.net/m/lessons/e-commerce-como-canal-de-vendas-b2b1769552264051?classId=3136</t>
  </si>
  <si>
    <t>https://universidade.pipelovers.net/m/lessons/framework-de-avaliacao-de-ligacoes1769552022715?classId=3442</t>
  </si>
  <si>
    <t>https://www.linkedin.com/in/paulofelix/</t>
  </si>
  <si>
    <t>51. PipeLovers💚Pré-Vendas: "Framework de avaliação de ligações" com Matheus Gomes da Nuvemshop (2023-07-19 08:05 GMT-3)</t>
  </si>
  <si>
    <t>Amanda Feitosa</t>
  </si>
  <si>
    <t>Especialista em ABM</t>
  </si>
  <si>
    <t>https://www.linkedin.com/in/amandafeitosa/</t>
  </si>
  <si>
    <t>26. PipeLovers 💙 Líderes de Vendas "E-commerce como canal de vendas B2B" com Paulo Felix (2023-02-24 08:09 GMT-3)</t>
  </si>
  <si>
    <t>Ana Carolina Deberaldini</t>
  </si>
  <si>
    <t>Head of Account and Customer Success Management</t>
  </si>
  <si>
    <t>https://universidade.pipelovers.net/m/lessons/cultura-de-feedback-para-lideres-de-vendas1769552264076?classId=3141</t>
  </si>
  <si>
    <t>https://universidade.pipelovers.net/m/lessons/o-papel-do-pre-vendedor-em-account-based-marketing1769552022846?classId=3443</t>
  </si>
  <si>
    <t>27. PipeLovers 💙 Líderes de Vendas - "Cultura de Feedback para Líderes de Vendas" com Carol Deberaldin (2023-02-28 08:04 GMT-3)</t>
  </si>
  <si>
    <t>Henrique Marques</t>
  </si>
  <si>
    <t>https://universidade.pipelovers.net/m/lessons/passagem-de-bastao-entre-hunters-farmers1769552264134?classId=3138</t>
  </si>
  <si>
    <t xml:space="preserve"> 52. PipeLovers💚SDRs: "O papel do pré-vendedor em Account Based Marketing" com Amanda Feitosa da Maestr (2023-07-26 08:05 GMT-3)</t>
  </si>
  <si>
    <t>Daniela Souza</t>
  </si>
  <si>
    <t>Consultora de Comunicação</t>
  </si>
  <si>
    <t>https://www.linkedin.com/in/-danielasouza/</t>
  </si>
  <si>
    <t>https://universidade.pipelovers.net/m/lessons/praticas-de-comunicacao-escrita-efetiva1769552022917?classId=3444</t>
  </si>
  <si>
    <t>Resolução de Conflitos</t>
  </si>
  <si>
    <t>28. PipeLovers 💙 Líderes de Vendas - "Passagem de bastão entre hunters e farmes" com Henrique Marques, (2023-03-07 08:06 GMT-3)</t>
  </si>
  <si>
    <t>Caio Montagner</t>
  </si>
  <si>
    <t>Head educacional</t>
  </si>
  <si>
    <t>Live University</t>
  </si>
  <si>
    <t>https://universidade.pipelovers.net/m/lessons/win-loss-analysis1769552264107?classId=3139</t>
  </si>
  <si>
    <t>Comunicação Virtual</t>
  </si>
  <si>
    <t>53. PipeLovers💚Pré-Vendas: "Práticas de comunicação escrita efetiva" com Daniela Souza (2023-08-02 08:04 GMT-3)</t>
  </si>
  <si>
    <t>Win Loss Analysis</t>
  </si>
  <si>
    <t>29. PipeLovers 💙 Líderes de Vendas - "Win-Loss Analysis" com Caio Montagner da Live University (2023-03-14 08:03 GMT-3)</t>
  </si>
  <si>
    <t>Evelyn Dias</t>
  </si>
  <si>
    <t>Sales Development Manager</t>
  </si>
  <si>
    <t>https://www.linkedin.com/in/evdias/</t>
  </si>
  <si>
    <t>Mauricio Schorsch</t>
  </si>
  <si>
    <t>Qualtrics</t>
  </si>
  <si>
    <t>https://universidade.pipelovers.net/m/lessons/o-papel-da-lideranca-no-work-life-balance1769552264162?classId=3143</t>
  </si>
  <si>
    <t>https://universidade.pipelovers.net/m/lessons/o-papel-de-um-mentor-no-desenvolvimento-em-vendas1769552022982?classId=3447</t>
  </si>
  <si>
    <t>https://www.linkedin.com/in/mauricioschorsch/</t>
  </si>
  <si>
    <t>30. PipeLovers 💙 Líderes de Vendas - "O papel da liderança no Work-Life Balance" com Mauricio Schorsch (2023-03-21 08:05 GMT-3)</t>
  </si>
  <si>
    <t>54. PipeLovers💚Pré-Vendas: "O papel de um mentor no desenvolvimento em vendas" com Evelyn Dias do Link (2023-08-09 08:04 GMT-3)</t>
  </si>
  <si>
    <t>Wanderley Cintra</t>
  </si>
  <si>
    <t>Diretor Executivo</t>
  </si>
  <si>
    <t>Custódio Soluções</t>
  </si>
  <si>
    <t>https://universidade.pipelovers.net/m/lessons/o-que-motiva-vendedores-de-alta-performance1769552264188?classId=3144</t>
  </si>
  <si>
    <t>Rodrigo Noll</t>
  </si>
  <si>
    <t>Base Viral</t>
  </si>
  <si>
    <t>https://www.linkedin.com/in/nollrodrigo/</t>
  </si>
  <si>
    <t>31. PipeLovers 💙 Líderes de Vendas - "O que motiva vendedores de alta performance?" com Wanderley Cint (2023-03-28 08:04 GMT-3)</t>
  </si>
  <si>
    <t>https://universidade.pipelovers.net/m/lessons/indicacao-como-canal-de-geracao-de-oportunidades1769552023043?classId=3448</t>
  </si>
  <si>
    <t>Rafael Alexandre</t>
  </si>
  <si>
    <t>Partner</t>
  </si>
  <si>
    <t>Inside</t>
  </si>
  <si>
    <t>https://universidade.pipelovers.net/m/lessons/extraindo-o-maximo-de-uma-sessao-de-benchmark1769552264244?classId=3145</t>
  </si>
  <si>
    <t>https://www.linkedin.com/in/rafaelalexandre/</t>
  </si>
  <si>
    <t>Ciclo de Vida de Produto</t>
  </si>
  <si>
    <t>55. PipeLovers💚Pré-Vendas: "Indicação como canal de geração de oportunidades" com Rodrigo Noll (2023-08-16 08:05 GMT-3)</t>
  </si>
  <si>
    <t>Giovanne Viana</t>
  </si>
  <si>
    <t>Vitacon</t>
  </si>
  <si>
    <t>https://www.linkedin.com/in/giovanneviana/</t>
  </si>
  <si>
    <t>32. PipeLovers 💙 Líderes de Vendas - "Extraindo o máximo de uma sessão de benchamark" com Rafael Alexa (2023-04-11 08:05 GMT-3)</t>
  </si>
  <si>
    <t>Viviane Oliveira</t>
  </si>
  <si>
    <t>Gerente Executiva</t>
  </si>
  <si>
    <t>https://universidade.pipelovers.net/m/lessons/como-conduzir-conversas-dificeis-com-vendedores1769552264271?classId=3146</t>
  </si>
  <si>
    <t>https://universidade.pipelovers.net/m/lessons/prospectando-a-base-de-concorrentes1769552023105?classId=3449</t>
  </si>
  <si>
    <t>33. PipeLovers 💙 Líderes de Vendas: "Como conduzir conversas difíceis com vendedores?" com Viviane Oli (2023-04-18 08:05 GMT-3)</t>
  </si>
  <si>
    <t>Jessica Bortolato</t>
  </si>
  <si>
    <t>Vice President of Sales</t>
  </si>
  <si>
    <t>https://universidade.pipelovers.net/m/lessons/o-impacto-de-comunicar-a-estrategia-da-empresa-para-vendedores1769552264297?classId=3200</t>
  </si>
  <si>
    <t>56. PipeLovers💚Pré-Vendas: "Prospectando a base de concorrentes" com Giovanne Viana da Vitacon (2023-08-23 08:04 GMT-3)</t>
  </si>
  <si>
    <t>Fabiane Kobayashi</t>
  </si>
  <si>
    <t>Sales Coordinator</t>
  </si>
  <si>
    <t>BHub</t>
  </si>
  <si>
    <t>https://www.linkedin.com/in/fabianekobayashi/</t>
  </si>
  <si>
    <t>https://universidade.pipelovers.net/m/lessons/como-montar-uma-rotina-de-sucesso-e-equilibrio1769552023178?classId=3450</t>
  </si>
  <si>
    <t>34. PipeLovers 💙 Líderes de Vendas: "O impacto de comunicar a estratégia da empresa para vendedores" c (2023-04-25 08:04 GMT-3)</t>
  </si>
  <si>
    <t>https://universidade.pipelovers.net/m/lessons/qual-perfil-de-vendedor-ideal-para-sua-empresa1769552264323?classId=3201</t>
  </si>
  <si>
    <t>57. PipeLovers💚Pré-Vendas: "Como montar uma rotina de sucesso e equilíbrio" com Fabiane Kobayashi  (2023-08-30 08:04 GMT-3)</t>
  </si>
  <si>
    <t>ICP (Perfil de Cliente Ideal)</t>
  </si>
  <si>
    <t>35. PipeLovers 💙 Líderes de Vendas: "Qual perfil de vendedor ideal para sua empresa?" com Gustavo Pago (2023-05-02 08:05 GMT-3)</t>
  </si>
  <si>
    <t>Pamela Gottschalk</t>
  </si>
  <si>
    <t>Urano Management</t>
  </si>
  <si>
    <t>https://www.linkedin.com/in/pamelamartins/</t>
  </si>
  <si>
    <t xml:space="preserve">Fernanda Brunsizian </t>
  </si>
  <si>
    <t>Brand and Communications, Latin America</t>
  </si>
  <si>
    <t>Atlas</t>
  </si>
  <si>
    <t>https://universidade.pipelovers.net/m/lessons/relacoes-publicas-como-estrategia-de-crescimento1769552264352?classId=3202</t>
  </si>
  <si>
    <t>https://universidade.pipelovers.net/m/lessons/como-a-sazonalidade-pode-impactar-seu-icp1769552026153?classId=3451</t>
  </si>
  <si>
    <t>Provas Sociais</t>
  </si>
  <si>
    <t>36. PipeLovers 💙 Líderes de Vendas: "Relações Publicas como estratégia de crescimento" com Fernanda Br (2023-05-09 08:33 GMT-3)</t>
  </si>
  <si>
    <t>Felipe de la Rosa</t>
  </si>
  <si>
    <t>Senior Marketing Manager</t>
  </si>
  <si>
    <t>Nubank</t>
  </si>
  <si>
    <t>https://universidade.pipelovers.net/m/lessons/alinhamento-entre-marketing-e-vendas1769552264387?classId=3203</t>
  </si>
  <si>
    <t>58. PipeLovers💚SDRs: "Como a sazonalidade pode impactar seu ICP?" com Pamela Gottschalk (2023-09-06 08:03 GMT-3)</t>
  </si>
  <si>
    <t>Dhionas Roell</t>
  </si>
  <si>
    <t>Head of SDR</t>
  </si>
  <si>
    <t>Questor Sistemas</t>
  </si>
  <si>
    <t>https://www.linkedin.com/in/dhionas-milo-roell/</t>
  </si>
  <si>
    <t>37. PipeLovers 💙 Líderes de Vendas: "Alinhamento entre Marketing e Vendas" com Felipe de la Rosa do Nu (2023-05-17 08:05 GMT-3)</t>
  </si>
  <si>
    <t>https://universidade.pipelovers.net/m/lessons/voce-esta-qualificando-ou-so-fazendo-agendamento1769552026277?classId=3452</t>
  </si>
  <si>
    <t>Lucas Matoso</t>
  </si>
  <si>
    <t>Product Manager</t>
  </si>
  <si>
    <t>https://universidade.pipelovers.net/m/lessons/pesquisa-de-nps-como-fonte-de-insights1769552264439?classId=3204</t>
  </si>
  <si>
    <r>
      <rPr>
        <rFont val="Poppins"/>
        <b/>
        <color rgb="FFFFFFFF"/>
        <sz val="12.0"/>
      </rPr>
      <t xml:space="preserve">CADASTRO DE SESSÕES AO VIVO &amp; EXPERTS DE VENDAS B2B
</t>
    </r>
    <r>
      <rPr>
        <rFont val="Poppins"/>
        <b/>
        <color rgb="FFFFFFFF"/>
        <sz val="21.0"/>
      </rPr>
      <t>BIBLIOTECA DE CONTEÚDOS</t>
    </r>
  </si>
  <si>
    <t>59. PipeLovers💚SDRs: "Você está qualificando ou só fazendo agendamento?" com Dhionas Roell (2023-09-13 08:04 GMT-3)</t>
  </si>
  <si>
    <t>Larissa Pereira</t>
  </si>
  <si>
    <t>VRental</t>
  </si>
  <si>
    <t>https://www.linkedin.com/in/larissahelenapereira/</t>
  </si>
  <si>
    <t>38. PipeLovers 💙 Líderes de Vendas: "Pesquisa de NPS como fonte de insights" com Lucas Matoso do G4 Ed (2023-05-23 08:05 GMT-3)</t>
  </si>
  <si>
    <t>Rodrigo Costa</t>
  </si>
  <si>
    <t>https://universidade.pipelovers.net/m/lessons/rituais-efetivos-para-gestao-de-vendas1769552264515?classId=3205</t>
  </si>
  <si>
    <t>https://universidade.pipelovers.net/aulas/como-lidar-com-a-rejeica0-dos-clientes-1775074436382</t>
  </si>
  <si>
    <t>39. PipeLovers 💙 Líderes de Vendas: "Rituais efetivos para Gestão de Vendas" com Rodrigo Costa (2023-05-30 08:04 GMT-3)</t>
  </si>
  <si>
    <t>60. PipeLovers💚SDRs: "Como lidar com a rejeição (dos clientes)?" com Larissa Pereira (2023-09-20 08:04 GMT-3)</t>
  </si>
  <si>
    <t>Marcio Martins</t>
  </si>
  <si>
    <t>Diretor Regional de Desenvolvimento de Negócios - América Latina</t>
  </si>
  <si>
    <t>Marsh McLennan</t>
  </si>
  <si>
    <t>https://universidade.pipelovers.net/m/lessons/planejamento-de-vendas-bottom-up1769552264540?classId=3206</t>
  </si>
  <si>
    <t>Bruna Verissimo</t>
  </si>
  <si>
    <t>Director, Sales &amp; Marketing</t>
  </si>
  <si>
    <t>Cvortex</t>
  </si>
  <si>
    <t>https://www.linkedin.com/in/bruna-verissimo/</t>
  </si>
  <si>
    <t>https://universidade.pipelovers.net/m/lessons/prospeccao-em-mercados-altamente-concorridos1769552026894?classId=3454</t>
  </si>
  <si>
    <t>40. PipeLovers 💙 Líderes de Vendas - "Planejamento de Vendas Bottom-Up" com Marcio Martins da Marsh Mc (2023-06-06 08:05 GMT-3)</t>
  </si>
  <si>
    <t>Luciano Santos</t>
  </si>
  <si>
    <t>Autor, Mentor e Palestrante</t>
  </si>
  <si>
    <t>https://universidade.pipelovers.net/m/lessons/saude-mental-para-lideres-de-vendas1769552264576?classId=3207</t>
  </si>
  <si>
    <t>61. PipeLovers💚SDRs: "Prospecção em mercados altamente concorridos" com Bruna Verissimo (2023-09-27 08:05 GMT-3)</t>
  </si>
  <si>
    <t>José de Sousa</t>
  </si>
  <si>
    <t>Business Development Representative Pleno</t>
  </si>
  <si>
    <t xml:space="preserve">Blip </t>
  </si>
  <si>
    <t>https://www.linkedin.com/in/jos%C3%A9-de-sousa-cunha-68093a200/</t>
  </si>
  <si>
    <t>41. PipeLovers 💙 Líderes de Vendas: " Saúde Mental para Lideres de Vendas " com Luciano Santos. (2023-06-13 08:34 GMT-3)</t>
  </si>
  <si>
    <t>João Pedro Roth</t>
  </si>
  <si>
    <t>Sr. Manager, New Business</t>
  </si>
  <si>
    <t>Lemon</t>
  </si>
  <si>
    <t>https://universidade.pipelovers.net/m/lessons/estrategias-de-internacionalizacao1769552264608?classId=3208</t>
  </si>
  <si>
    <t>https://universidade.pipelovers.net/m/lessons/tecnicas-para-reduzir-no-show-de-prospects1769552026948?classId=3455</t>
  </si>
  <si>
    <t>42. PipeLovers 💙 Líderes de Vendas: "Estratégias de Internacionalização" com João Roth (2023-06-20 08:05 GMT-3)</t>
  </si>
  <si>
    <t>Amanda Oliveira</t>
  </si>
  <si>
    <t>https://universidade.pipelovers.net/m/lessons/como-formar-um-vendedor-como-seu-sucessor1769552264640?classId=3209</t>
  </si>
  <si>
    <t>62. PipeLovers💚SDRs: Técnicas para reduzir no-show de prospects com José de Sousa</t>
  </si>
  <si>
    <t>Samara Anselmi</t>
  </si>
  <si>
    <t>RevisaPrev</t>
  </si>
  <si>
    <t>https://www.linkedin.com/in/samara-anselmi/</t>
  </si>
  <si>
    <t>https://universidade.pipelovers.net/aulas/como-organizar-o-dia-a-dia-de-uma-operaca0-volumosa-em-pre-vendas-1775818200864</t>
  </si>
  <si>
    <t xml:space="preserve"> 43. PipeLovers 💙 Líderes de Vendas: "Como formar um vendedor como seu sucessor?" com Amanda Oliveira d (2023-06-27 13:06 GMT-3)</t>
  </si>
  <si>
    <t>Martin Barquinero</t>
  </si>
  <si>
    <t>Diretor de Vendas B2B</t>
  </si>
  <si>
    <t>Open English</t>
  </si>
  <si>
    <t>https://universidade.pipelovers.net/aulas/a-importancia-de-idiomas-na-sua-carreira-1775811110807</t>
  </si>
  <si>
    <t>63. PipeLovers💚SDRs: " Como organizar o dia a dia de uma operação volumosa em pré vendas" com Samara A (2023-10-18 08:05 GMT-3)</t>
  </si>
  <si>
    <t>Gabriel Brasil</t>
  </si>
  <si>
    <t>https://www.linkedin.com/in/gabriel-sbrasil/</t>
  </si>
  <si>
    <t>44. PipeLovers 💙 Líderes de Vendas: "A importância de idiomas na sua carreira em vendas" com Martin Ba (2023-07-11 08:05 GMT-3)</t>
  </si>
  <si>
    <t>Fernanda Ferraz</t>
  </si>
  <si>
    <t>Diretora Geral</t>
  </si>
  <si>
    <t>Wiipo by Senior</t>
  </si>
  <si>
    <t>https://universidade.pipelovers.net/m/lessons/como-estruturar-uma-nova-unidade-de-negocios1769552264713?classId=3211</t>
  </si>
  <si>
    <t>https://universidade.pipelovers.net/m/lessons/como-criar-account-planning-para-prospectar-contas-enterprise1769552039068?classId=3457</t>
  </si>
  <si>
    <t>45. PipeLovers 💙 Líderes de Vendas: "Como estruturar uma nova unidade de negócios" com Fernanda Ferraz (2023-07-18 18:37 GMT-3)</t>
  </si>
  <si>
    <t xml:space="preserve">Ricardo Gonçalves </t>
  </si>
  <si>
    <t>SleekFlow</t>
  </si>
  <si>
    <t>https://universidade.pipelovers.net/m/lessons/vendas-omnichannel-aumentando-a-conversao-de-vendas-com-comunicacao-3601769552264744?classId=3212</t>
  </si>
  <si>
    <t>64. PipeLovers💚SDRs: " Como criar account planning para prospectar contas enterprise" com Gabriel Bras (2023-10-25 08:04 GMT-3)</t>
  </si>
  <si>
    <t>Rhulian Marcus</t>
  </si>
  <si>
    <t>Hawk Marketing</t>
  </si>
  <si>
    <t>https://www.linkedin.com/in/rhulian/</t>
  </si>
  <si>
    <t>Executivos de Vendas</t>
  </si>
  <si>
    <t>46. PipeLovers 💙 Líderes de Vendas: "Vendas Omnichannel: aumentando a conversão de vendas com comunica (2023-07-25 08:06 GMT-3)</t>
  </si>
  <si>
    <t>https://universidade.pipelovers.net/m/lessons/taticas-de-growth-mindset-para-pre-vendedores1769552039303?classId=3458</t>
  </si>
  <si>
    <t>Carreira e Crescimento em Vendas para Executivos de Vendas</t>
  </si>
  <si>
    <t>Alexandre Murat</t>
  </si>
  <si>
    <t>https://universidade.pipelovers.net/m/lessons/carreira-em-rede-rotacionando-dentro-da-organizacao1769552267627?classId=3214</t>
  </si>
  <si>
    <t>65. PipeLovers💚SDRs: "Táticas de Growth Mindset para Pré-Vendedores" com Rhulian Marcus (2023-11-01 08:04 GMT-3)</t>
  </si>
  <si>
    <t>https://universidade.pipelovers.net/m/lessons/carreira-e-crescimento-em-vendas-para-executivos-de-vendas1769552324735?classId=2703</t>
  </si>
  <si>
    <t>66.  PipeLovers : "Palestra RD Summit 2023" com Gustavo Pagotto (2023-11-07 08:09 GMT-3)</t>
  </si>
  <si>
    <t>Aura Khemani</t>
  </si>
  <si>
    <t>SDR Coordinator</t>
  </si>
  <si>
    <t>https://www.linkedin.com/in/aura-d-khemani/</t>
  </si>
  <si>
    <t>47. PipeLovers 💙 Líderes de Vendas: "Carreira em rede: rotacionando dentro da organização" com Alexand (2023-08-01 08:05 GMT-3)</t>
  </si>
  <si>
    <t>https://universidade.pipelovers.net/m/lessons/alem-da-meta-o-que-e-preciso-para-ser-promovido1769552039372?classId=3466</t>
  </si>
  <si>
    <t>Bruno Lotfi</t>
  </si>
  <si>
    <t>Vice President - Sales &amp; Marketing</t>
  </si>
  <si>
    <t>Buonny</t>
  </si>
  <si>
    <t>https://universidade.pipelovers.net/aulas/spin-selling-como-metodologia-em-todo-funil-de-vendas-1775811498821</t>
  </si>
  <si>
    <t>https://universidade.pipelovers.net/m/lessons/carreira-e-crescimento-em-vendas-para-executivos-de-vendas1769552324735?classId=2703 2</t>
  </si>
  <si>
    <t>4,36</t>
  </si>
  <si>
    <t>22/03/2023</t>
  </si>
  <si>
    <t>67. PipeLovers💚SDRs: "Além da meta: o que é preciso para ser promovido" com Aura Khemani (2023-11-16 09:06 GMT-3)</t>
  </si>
  <si>
    <t>00. PipeLovers 🧡 Executivos de Vendas com Thiago Reis "Carreira &amp; Crescimento para Executivos de Vendas B2B".mp4</t>
  </si>
  <si>
    <t>Vittor Amaral</t>
  </si>
  <si>
    <t>Líder de Pré-Vendas</t>
  </si>
  <si>
    <t>Ploomes</t>
  </si>
  <si>
    <t>https://www.linkedin.com/in/vittor-amaral/</t>
  </si>
  <si>
    <t>Metodologia de Vendas</t>
  </si>
  <si>
    <t>48. PipeLovers 💙 Líderes de Vendas: SPIN Selling como metodologia em todo funil de vendas  (2023-08-08 08:04 GMT-3)</t>
  </si>
  <si>
    <t>De Vendedor a VP de Vendas</t>
  </si>
  <si>
    <t>Henrique Pimentel</t>
  </si>
  <si>
    <t>Playbooks</t>
  </si>
  <si>
    <t>Marcell Rosa</t>
  </si>
  <si>
    <t>https://universidade.pipelovers.net/m/lessons/construcao-e-gestao-de-playbooks-de-vendas1769552267688?classId=3220</t>
  </si>
  <si>
    <t>https://universidade.pipelovers.net/m/lessons/estruturacao-e-avaliacao-de-testes-na-prospeccao1769552039490?classId=3467</t>
  </si>
  <si>
    <t>https://www.linkedin.com/in/marcellrosa/</t>
  </si>
  <si>
    <t>49. PipeLovers 💙 Líderes de Vendas: "Construção e gestão de playbooks de vendas" com Henrique Pimentel (2023-08-15 08:06 GMT-3)</t>
  </si>
  <si>
    <t>68. PipeLovers💚SDRs: "Estruturação e avaliação de testes na prospecção" com Vittor Amaral da Ploomes (2023-11-22 08:36 GMT-3)</t>
  </si>
  <si>
    <t>Marcelo Ferreira</t>
  </si>
  <si>
    <t>VP Vendas e Marketing</t>
  </si>
  <si>
    <t>Cassio Gifford</t>
  </si>
  <si>
    <t>Cortex</t>
  </si>
  <si>
    <t>Account Executive</t>
  </si>
  <si>
    <t>https://universidade.pipelovers.net/m/lessons/aumento-de-conversao-basedo-em-nichos-e-especializacao1769552267720?classId=3221</t>
  </si>
  <si>
    <t>https://www.linkedin.com/in/cassiogifford/</t>
  </si>
  <si>
    <t>https://universidade.pipelovers.net/m/lessons/de-vendedor-a-vp-de-vendas1769552324867?classId=3586</t>
  </si>
  <si>
    <t>https://universidade.pipelovers.net/m/lessons/autoestima-e-autoconfianca-a-favor-do-vendedor1769552039399?classId=3468</t>
  </si>
  <si>
    <t>50. PipeLovers 💙 Líderes de Vendas: "Aumento de conversão baseado em nichos e especialização" (2023-08-22 08:04 GMT-3)</t>
  </si>
  <si>
    <t>69. PipeLovers💚SDRs: "Autoestima e autoconfiança a favor do vendedor" com Cássio Gifford do G4 Educaçã (2023-11-29 08:05 GMT-3)</t>
  </si>
  <si>
    <t>4,07</t>
  </si>
  <si>
    <t>Otávio Ponciano</t>
  </si>
  <si>
    <t>29/03/2023</t>
  </si>
  <si>
    <t>Co-Founder</t>
  </si>
  <si>
    <t>Right Business</t>
  </si>
  <si>
    <t>https://www.linkedin.com/in/ot%C3%A1vio-ponciano-a5b04018b/</t>
  </si>
  <si>
    <t>01. PipeLovers 🧡 Executivos de Vendas com Marcell Rosa "De Vendedor a VP de Vendas".mp4</t>
  </si>
  <si>
    <t>Arthur Cunha</t>
  </si>
  <si>
    <t>Neofin</t>
  </si>
  <si>
    <t>https://universidade.pipelovers.net/m/lessons/o-cfo-como-um-aliado-do-time-de-vendas1769552267798?classId=3222</t>
  </si>
  <si>
    <t>Estratégias de Negociação</t>
  </si>
  <si>
    <t>Thaisa Fausto</t>
  </si>
  <si>
    <t>Head of Enterprise Sales</t>
  </si>
  <si>
    <t>PayPal</t>
  </si>
  <si>
    <t>https://www.linkedin.com/in/thaisa-cesar-fausto/</t>
  </si>
  <si>
    <t>https://universidade.pipelovers.net/m/lessons/ia-na-pratica-potencialize-sua-performance-como-pre-vendedor1769552039520?classId=3469</t>
  </si>
  <si>
    <t>51. PipeLovers 💙 Líderes de Vendas: "O CFO como um aliado do time de vendas" com Arthur Cunha (2023-08-29 08:04 GMT-3)</t>
  </si>
  <si>
    <t>Adilson Souza</t>
  </si>
  <si>
    <t xml:space="preserve">Diretor Comercial </t>
  </si>
  <si>
    <t xml:space="preserve"> InfoJobs</t>
  </si>
  <si>
    <t>https://universidade.pipelovers.net/m/lessons/aumento-de-portfolio-de-produtos-desafios-e-oportunidades1769552267829?classId=3223</t>
  </si>
  <si>
    <t>https://universidade.pipelovers.net/m/lessons/estrategias-de-negociacao1769552324893?classId=3587</t>
  </si>
  <si>
    <t>70. PipeLovers💚SDRs: "IA na Prática: Potencialize sua performance como pré-vendedor" com Otávio Poncia (2023-12-06 08:06 GMT-3)</t>
  </si>
  <si>
    <t>Otavio Fortunato</t>
  </si>
  <si>
    <t>Manager, SDR LATAM</t>
  </si>
  <si>
    <t>https://www.linkedin.com/in/otavioafortunato/</t>
  </si>
  <si>
    <t>https://universidade.pipelovers.net/m/lessons/tecnicas-de-aprendizado-lado-a-lado-com-pares1769552039424?classId=3470</t>
  </si>
  <si>
    <t>52. PipeLovers 💙 Líderes de Vendas - “Aumento de portfólio de produtos: desafios e oportunidades”com A (2023-09-05 08:03 GMT-3)</t>
  </si>
  <si>
    <t>Felipe dos Santos</t>
  </si>
  <si>
    <t>CEO &amp; Founder</t>
  </si>
  <si>
    <t>Play2Sell</t>
  </si>
  <si>
    <t>https://universidade.pipelovers.net/m/lessons/gamification-na-gestao-comercial1769552267860?classId=3224</t>
  </si>
  <si>
    <t>3</t>
  </si>
  <si>
    <t>05/04/2023</t>
  </si>
  <si>
    <t>https://drive.google.com/file/d/1nRY49bKvs483aFhX6_VfsBEQjwgy6CNA/view?usp=drive_link</t>
  </si>
  <si>
    <t>71. PipeLovers💚SDRs: "Técnicas de aprendizado "lado-a-lado" com pares" com Otavio Fortunato (2023-12-13 08:06 GMT-3)</t>
  </si>
  <si>
    <t>Carlos Henrique Campos</t>
  </si>
  <si>
    <t>Founder &amp; CEO</t>
  </si>
  <si>
    <t>Mkt4Sales</t>
  </si>
  <si>
    <t>https://www.linkedin.com/in/carloshacampos/</t>
  </si>
  <si>
    <t>https://www.linkedin.com/in/felipeplay2sell/</t>
  </si>
  <si>
    <t>53. PipeLovers 💙 Líderes de Vendas: "Gamification na gestão comercial" com Felipe dos Santos  (2023-09-12 08:03 GMT-3)</t>
  </si>
  <si>
    <t>https://universidade.pipelovers.net/m/lessons/segmentos-para-focar-sua-prospeccao-em-20241769552039464?classId=3471</t>
  </si>
  <si>
    <t>Geraldo Victorazzo</t>
  </si>
  <si>
    <t>AutoAvaliar</t>
  </si>
  <si>
    <t>https://universidade.pipelovers.net/m/lessons/sucessao-de-um-founder-na-diretoria-de-vendas1769552272009?classId=3225</t>
  </si>
  <si>
    <t>Vendendo Produtos Líderes de Mercado</t>
  </si>
  <si>
    <t>Ricardo Dellova</t>
  </si>
  <si>
    <t>Regional Vice President</t>
  </si>
  <si>
    <t>https://www.linkedin.com/in/ricardo-dellova-5085427/</t>
  </si>
  <si>
    <t>Perfil do Comprador B2B</t>
  </si>
  <si>
    <t>72. PipeLovers💚SDRs: "Segmentos para focar sua prospecção em 2024" com Carlos Campos (2023-12-20 08:05 GMT-3)</t>
  </si>
  <si>
    <t>54. PipeLovers 💙 Líderes de Vendas: "Sucessão de um founder na diretoria de vendas" com Geraldo Victor (2023-09-19 08:04 GMT-3)</t>
  </si>
  <si>
    <t>Régis Faccini</t>
  </si>
  <si>
    <t>CEO &amp; Co-founder</t>
  </si>
  <si>
    <t>Thiago Holtz</t>
  </si>
  <si>
    <t>Chief Revenue Officer</t>
  </si>
  <si>
    <t>Qualifiquei Leads</t>
  </si>
  <si>
    <t>https://www.linkedin.com/in/regisfaccini/</t>
  </si>
  <si>
    <t>https://universidade.pipelovers.net/m/lessons/o-futuro-de-big-data-na-prospeccao1769552272118?classId=3226</t>
  </si>
  <si>
    <t>https://universidade.pipelovers.net/m/lessons/vendendo-produtos-lideres-de-mercado1769552324928?classId=3588</t>
  </si>
  <si>
    <t>https://universidade.pipelovers.net/m/lessons/superando-a-barreira-das-secretarias-executivas1769552039558?classId=3473</t>
  </si>
  <si>
    <t>55. PipeLovers 💙 Líderes de Vendas: "O futuro de big data na prospecção" com Thiago Holtz da Speedio (2023-09-26 08:04 GMT-3)</t>
  </si>
  <si>
    <t>Gabriel Barboza
David Costa Lima</t>
  </si>
  <si>
    <t>Co-founders</t>
  </si>
  <si>
    <t>B2B Insiders</t>
  </si>
  <si>
    <t>https://universidade.pipelovers.net/m/lessons/como-aumentar-a-participacao-de-mercado1769552272169?classId=3227</t>
  </si>
  <si>
    <t>73. PipeLovers💚SDRs: "Superando a barreira das secretarias executivas" com Régis Faccini (2024-01-10 08:05 GMT-3)</t>
  </si>
  <si>
    <t>12/04/2023</t>
  </si>
  <si>
    <t>Léo Camargo</t>
  </si>
  <si>
    <t>Fundador e Mentor</t>
  </si>
  <si>
    <t>https://drive.google.com/file/d/1w0D3Z3JWdjKFTIcJmoWEG1v-v7yHJ8ix/view?usp=drive_link</t>
  </si>
  <si>
    <t>Insellrs</t>
  </si>
  <si>
    <t>https://www.linkedin.com/in/leoinsidesales/</t>
  </si>
  <si>
    <t>https://universidade.pipelovers.net/m/lessons/como-montar-seu-mapa-de-desenvolvimento1769552039584?classId=3474</t>
  </si>
  <si>
    <t>Cross-Selling e Up-Selling</t>
  </si>
  <si>
    <t>Talita Passos</t>
  </si>
  <si>
    <t>Caju</t>
  </si>
  <si>
    <t>https://www.linkedin.com/in/talitapassos/</t>
  </si>
  <si>
    <t>74. PipeLovers💚SDRs: "Como montar seu mapa de desenvolvimento?" com Léo Camargo  (2024-01-17 08:05 GMT-3)</t>
  </si>
  <si>
    <t>Felipe Matheus</t>
  </si>
  <si>
    <t>Treinador e Mentor</t>
  </si>
  <si>
    <t>FM Social Selling</t>
  </si>
  <si>
    <t>https://www.linkedin.com/in/felipematheus-social-selling/</t>
  </si>
  <si>
    <t>conhecimento de Produto e Negócio</t>
  </si>
  <si>
    <t>56. PipeLovers 💙 Líderes de Vendas: "Como aumentar sua participação no mercado" com Gabriel Barboza e  (2023-10-03 08:04 GMT-3)</t>
  </si>
  <si>
    <t>https://universidade.pipelovers.net/m/lessons/cross-selling-e-up-selling1769552324956?classId=3589</t>
  </si>
  <si>
    <t>https://universidade.pipelovers.net/m/lessons/funil-social-selling-para-sdrs-como-gerar-mais-leads-e-ligacoes-mornas-a-partir-do-linkedin1769552039621?classId=3485</t>
  </si>
  <si>
    <t xml:space="preserve">Natalia Quadros </t>
  </si>
  <si>
    <t>Head of Growth CX Latin America &amp; Caribbean na SAP</t>
  </si>
  <si>
    <t>SAP</t>
  </si>
  <si>
    <t>https://universidade.pipelovers.net/m/lessons/escolhendo-um-mentor-para-sua-carreira1769552272246?classId=3228</t>
  </si>
  <si>
    <t xml:space="preserve">57. PipeLovers 💙 Líderes de Vendas : "Escolhendo um mentor para sua carreira"com Natalia Quadros </t>
  </si>
  <si>
    <t>75. PipeLovers💚SDRs: "Funil Social Selling para SDRs: Como gerar mais leads e ligações mornas a partir (2024-01-24 08:05 GMT-3)</t>
  </si>
  <si>
    <t>Igor Paixão</t>
  </si>
  <si>
    <t>Raphael Godoy</t>
  </si>
  <si>
    <t>Partner &amp; Pre Sales Coordinator</t>
  </si>
  <si>
    <t>hief Sales &amp; Marketing Officer</t>
  </si>
  <si>
    <t>https://www.linkedin.com/in/igor-paixao?utm_source=share&amp;utm_campaign=share_via&amp;utm_content=profile&amp;utm_medium=ios_app</t>
  </si>
  <si>
    <t>3,71</t>
  </si>
  <si>
    <t>Kamino</t>
  </si>
  <si>
    <t>19/04/2023</t>
  </si>
  <si>
    <t>https://universidade.pipelovers.net/m/lessons/chief-revenue-officer-papeis-e-responsabilidades1769552272299?classId=3229</t>
  </si>
  <si>
    <t>https://drive.google.com/file/d/1ibZt276CeRw0AYS6zlAnUvGDKxO6xCgh/view?usp=drive_link</t>
  </si>
  <si>
    <t>https://universidade.pipelovers.net/m/lessons/gestao-de-marca-pessoal-para-pre-vendedores1769552039648?classId=3486</t>
  </si>
  <si>
    <t>58. PipeLovers 💙 Líderes de Vendas: "Chief Revenue Officer: papéis e responsabilidades" com Raphael Go (2023-10-24 08:04 GMT-3)</t>
  </si>
  <si>
    <t>Guilherme Luz</t>
  </si>
  <si>
    <t>Vendas para Grandes Contas</t>
  </si>
  <si>
    <t>Galena</t>
  </si>
  <si>
    <t>Alan Schulte</t>
  </si>
  <si>
    <t>https://universidade.pipelovers.net/m/lessons/como-estimular-o-autodesenvolvimento-do-seu-time-de-vendas1769552272391?classId=3230</t>
  </si>
  <si>
    <t>Diretor de Vendas</t>
  </si>
  <si>
    <t>https://www.linkedin.com/in/alanschultelinkedin/</t>
  </si>
  <si>
    <t>76. PipeLovers💚Pré-Vendas: "Gestão de marca pessoal para pré vendedores" com Igor Paixão (2024-01-31 08:05 GMT-3)</t>
  </si>
  <si>
    <t>Rafael Portella</t>
  </si>
  <si>
    <t>Hyper</t>
  </si>
  <si>
    <t>https://www.linkedin.com/in/portellarafael/</t>
  </si>
  <si>
    <t>https://universidade.pipelovers.net/m/lessons/vendas-para-grandes-contas1769552324984?classId=3590</t>
  </si>
  <si>
    <t>59. PipeLovers 💙 Líderes de Vendas : "Como estimular o autodesenvolvimento do seu time de vendas?" com (2023-10-31 08:04 GMT-3)</t>
  </si>
  <si>
    <t>60. PipeLovers : "Palestra RD Summit 2023" com Gustavo Pagotto (2023-11-07 08:09 GMT-3)</t>
  </si>
  <si>
    <t>Jonathan Souza</t>
  </si>
  <si>
    <t>https://universidade.pipelovers.net/m/lessons/resiliencia-e-adaptacao-as-mudancas-em-vendas1769552272446?classId=3231</t>
  </si>
  <si>
    <t>3,36</t>
  </si>
  <si>
    <t>26/04/2023</t>
  </si>
  <si>
    <t>https://drive.google.com/file/d/1vnfHe2Qc17gdbznuDxlH5jIdn-ZshXnK/view?usp=drive_link</t>
  </si>
  <si>
    <t>https://universidade.pipelovers.net/m/lessons/como-aproveitar-a-sobra-de-budget-na-prospeccao1769552039688?classId=3487</t>
  </si>
  <si>
    <t>61. PipeLovers 💙 Líderes de Vendas: "Resiliência e adaptação às mudanças em vendas" com Jonathan Souza (2023-11-14 08:05 GMT-3)</t>
  </si>
  <si>
    <t>Alessandra Trigo</t>
  </si>
  <si>
    <t>Consultora em Diversidade e Inclusão</t>
  </si>
  <si>
    <t>https://universidade.pipelovers.net/m/lessons/inclusao-de-pcds-em-equipes-de-vendas1769552272512?classId=3232</t>
  </si>
  <si>
    <t>O Papel do Vendedor Especialista</t>
  </si>
  <si>
    <t>Brunna Borghezan</t>
  </si>
  <si>
    <t>Business Application Specialist for Enterprise</t>
  </si>
  <si>
    <t>Microsoft</t>
  </si>
  <si>
    <t>https://www.linkedin.com/in/brunnaremorborghezan/</t>
  </si>
  <si>
    <t>62. PipeLovers 💙 Líderes de Vendas : "Inclusão de PCDs em equipes de vendas" com Alessandra Trigo (2023-11-21 08:06 GMT-3)</t>
  </si>
  <si>
    <t>Marcelo Pereira</t>
  </si>
  <si>
    <t>Beeviral</t>
  </si>
  <si>
    <t>https://universidade.pipelovers.net/m/lessons/criando-um-programa-de-indicacao-de-clientes1769552272579?classId=3233</t>
  </si>
  <si>
    <t>https://universidade.pipelovers.net/m/lessons/o-papel-do-vendedor-especialista1769552325022?classId=3591</t>
  </si>
  <si>
    <t>77. PipeLovers💚SDRs: "Como aproveitar a sobra de budget na prospecção?" com Rafael Portella (2024-02-07 08:05 GMT-3)</t>
  </si>
  <si>
    <t>https://www.linkedin.com/in/marcelopereira/</t>
  </si>
  <si>
    <t>63. PipeLovers 💙 Líderes de Vendas: "Criando um Programa de Indicação de Clientes" com Marcelo Pereira (2023-11-28 08:05 GMT-3)</t>
  </si>
  <si>
    <t>Clarissa Martins</t>
  </si>
  <si>
    <t>Superintendente de Novos Negócios</t>
  </si>
  <si>
    <t xml:space="preserve">Carol Manciola </t>
  </si>
  <si>
    <t xml:space="preserve">Autora </t>
  </si>
  <si>
    <t>"Bora Bater Meta"</t>
  </si>
  <si>
    <t>LG</t>
  </si>
  <si>
    <t>https://universidade.pipelovers.net/m/lessons/como-aprender-com-a-concorrencia1769552283257?classId=3234</t>
  </si>
  <si>
    <t>https://www.linkedin.com/in/clarissa-vilela-martins/</t>
  </si>
  <si>
    <t>03/05/2023</t>
  </si>
  <si>
    <t>https://drive.google.com/file/d/1cWYNV-r9bKl5wD32N96HQyiD-GuXQQZT/view?usp=drive_link</t>
  </si>
  <si>
    <t>64. PipeLovers 💙 Líderes de Vendas: "Como aprender com a concorrência?" com Carol Manciola (2023-12-05 08:05 GMT-3)</t>
  </si>
  <si>
    <t>Chris Cornehl</t>
  </si>
  <si>
    <t>Fundador e CEO</t>
  </si>
  <si>
    <t>MeetRox</t>
  </si>
  <si>
    <t>https://universidade.pipelovers.net/m/lessons/jolt-effect-como-superar-a-indecisao-de-clientes1769552283527?classId=3235</t>
  </si>
  <si>
    <t>https://universidade.pipelovers.net/m/lessons/preciso-ser-especialista-no-produto-para-saber-prospectar1769552039716?classId=3488</t>
  </si>
  <si>
    <t>Como provar valor ao cliente?</t>
  </si>
  <si>
    <t>Beatriz Padrão</t>
  </si>
  <si>
    <t>Sênior Director</t>
  </si>
  <si>
    <t>Gympass</t>
  </si>
  <si>
    <t>https://www.linkedin.com/in/beatrizpadrao/</t>
  </si>
  <si>
    <t>https://www.linkedin.com/in/chriscornehl/</t>
  </si>
  <si>
    <t>65. PipeLovers 💙 Líderes de Vendas: "Jolt Effect: como superar a indecisão de clientes" com Chris Corn (2023-12-12 08:06 GMT-3)</t>
  </si>
  <si>
    <t>https://universidade.pipelovers.net/m/lessons/como-provar-valor-ao-cliente1769552325063?classId=3592</t>
  </si>
  <si>
    <t>Renata Centurion</t>
  </si>
  <si>
    <t>Managing Partner Director</t>
  </si>
  <si>
    <t>Winning by Design</t>
  </si>
  <si>
    <t>https://universidade.pipelovers.net/m/lessons/como-calcular-o-roi-de-sales-enablement1769552283601?classId=3236</t>
  </si>
  <si>
    <t>78. PipeLovers💚SDRs: "Preciso ser especialista no produto para saber prospectar?" com Clarissa Martins (2024-02-21 08:05 GMT-3)</t>
  </si>
  <si>
    <t>Marcello Torres</t>
  </si>
  <si>
    <t>Head of Sales Development</t>
  </si>
  <si>
    <t>https://www.linkedin.com/in/renatacenturion/</t>
  </si>
  <si>
    <t>10/05/2023</t>
  </si>
  <si>
    <t>https://www.linkedin.com/in/marcellotorres/</t>
  </si>
  <si>
    <t>66. PipeLovers 💙 Líderes de Vendas: "Como calcular o ROI de Sales Enablement" com Renata Centurion da  (2023-12-19 08:08 GMT-3)</t>
  </si>
  <si>
    <t>https://drive.google.com/file/d/1XATeggYCDSDaFml5xQxZyQ7-sjpCqj4R/view?usp=drive_link</t>
  </si>
  <si>
    <t>Robinson Friede</t>
  </si>
  <si>
    <t>Director, Growth Marketing &amp; Demmand Generation</t>
  </si>
  <si>
    <t>https://universidade.pipelovers.net/m/lessons/validacao-e-escala-de-novos-canais-de-geracao-de-demanda1769552283674?classId=3237</t>
  </si>
  <si>
    <t>https://universidade.pipelovers.net/m/lessons/diferencas-de-pre-vendas-no-brasil-e-nos-eua1769552039741?classId=3492</t>
  </si>
  <si>
    <t>Gerenciando Vendas Complexas</t>
  </si>
  <si>
    <t>Fabiano Correia</t>
  </si>
  <si>
    <t>https://www.linkedin.com/in/fabianocorreia/</t>
  </si>
  <si>
    <t>67. PipeLovers 💙 Gestão Comercial: " Validação e escala de novos canais de geração de demanda" com Rob (2024-01-09 09:04 GMT-3)</t>
  </si>
  <si>
    <t>Diego Azevedo</t>
  </si>
  <si>
    <t>CS Academy</t>
  </si>
  <si>
    <t>https://universidade.pipelovers.net/m/lessons/estruturando-uma-area-de-customer-success1769552283732?classId=3238</t>
  </si>
  <si>
    <t>https://universidade.pipelovers.net/m/lessons/gerenciando-vendas-complexas1769552328060?classId=3593</t>
  </si>
  <si>
    <t>79. PipeLovers💚SDRs: "Diferenças de pré-vendas no Brasil e nos EUA" com Marcello Torres (2024-02-28 18:36 GMT-3)</t>
  </si>
  <si>
    <t>68. PipeLovers 💙 Gestão Comercial: "Estruturando uma área de Customer Success" com Diego Azevedo da CS (2024-01-16 08:06 GMT-3)</t>
  </si>
  <si>
    <t>Jordete Braga</t>
  </si>
  <si>
    <t>Juliano Dias</t>
  </si>
  <si>
    <t>Sócia</t>
  </si>
  <si>
    <t>Co-founder &amp; CEO</t>
  </si>
  <si>
    <t>Meetz</t>
  </si>
  <si>
    <t>Owner Of Sales</t>
  </si>
  <si>
    <t>https://universidade.pipelovers.net/m/lessons/criacao-de-bases-de-prospeccao-com-ldrs1769552283794?classId=3239</t>
  </si>
  <si>
    <t>https://www.linkedin.com/in/jordetebraga/</t>
  </si>
  <si>
    <t>https://universidade.pipelovers.net/m/lessons/contorno-de-objecoes-na-prospeccao-b2b1769552039804?classId=3489</t>
  </si>
  <si>
    <t>3,57</t>
  </si>
  <si>
    <t>17/05/2023</t>
  </si>
  <si>
    <t>https://drive.google.com/file/d/1XnKtbFflaK1Ltbko_YsV0TvPDy3-GPy3/view?usp=drive_link</t>
  </si>
  <si>
    <t>Funil de Vendas Porta a Porta</t>
  </si>
  <si>
    <t>https://www.linkedin.com/in/julianodias/</t>
  </si>
  <si>
    <t>Fernando Baldan</t>
  </si>
  <si>
    <t>Head of Sales &amp; Business Development</t>
  </si>
  <si>
    <t>Boltcard</t>
  </si>
  <si>
    <t>https://www.linkedin.com/in/fernando-baldan/</t>
  </si>
  <si>
    <t>69. PipeLovers 💙 Gestão Comercial: "Criação de bases de prospecção com LDRs" com Juliano Dias (2024-01-23 08:06 GMT-3)</t>
  </si>
  <si>
    <t>Emiliano Agazzoni</t>
  </si>
  <si>
    <t>80. PipeLovers💚SDRs: "Contorno de objeções na prospecção B2B" com Jordete Braga (2024-03-06 08:06 GMT-3)</t>
  </si>
  <si>
    <t>Community Manager School</t>
  </si>
  <si>
    <t>https://universidade.pipelovers.net/m/lessons/community-led-growth-como-avenida-de-crescimento-em-vendas1769552283857?classId=3240</t>
  </si>
  <si>
    <t>Thiago Jacomo</t>
  </si>
  <si>
    <t>70. PipeLovers 💙 Gestão Comercial: "Community-led Growth como avenida de crescimento em vendas" com Em (2024-01-30 08:07 GMT-3)</t>
  </si>
  <si>
    <t>TMJ Consultoria Comercial e Consultor Certificado na Receita Previsível</t>
  </si>
  <si>
    <t>Fernanda Pacheco</t>
  </si>
  <si>
    <t>https://www.linkedin.com/in/thiagojacomo/</t>
  </si>
  <si>
    <t>https://universidade.pipelovers.net/m/lessons/funil-de-vendas-porta-a-porta1769552328092?classId=3594</t>
  </si>
  <si>
    <t>https://universidade.pipelovers.net/m/lessons/estrategias-de-marketing-b2b-para-grandes-contas1769552283917?classId=3241</t>
  </si>
  <si>
    <t>https://universidade.pipelovers.net/m/lessons/tecnicas-de-cold-call-para-prospeccao-ativa1769552039776?classId=3497</t>
  </si>
  <si>
    <t>71. PipeLovers 💙 Gestão Comercial: "Estratégias de Marketing B2B para Grandes Contas" com Fernanda Pac (2024-02-06 08:05 GMT-3)</t>
  </si>
  <si>
    <t>Ricardo Okino</t>
  </si>
  <si>
    <t>Escola Exchange</t>
  </si>
  <si>
    <t>https://universidade.pipelovers.net/m/lessons/modelos-de-remuneracao-variavel-em-vendas-b2b1769552283989?classId=3242</t>
  </si>
  <si>
    <t>24/05/2023</t>
  </si>
  <si>
    <t>https://drive.google.com/file/d/1xekoux1poIpTVRYb5nGFSq0b_WQmHoNb/view?usp=drive_link</t>
  </si>
  <si>
    <t>https://www.linkedin.com/in/ricardookino/</t>
  </si>
  <si>
    <t>81. PipeLovers💚SDRs: "Técnicas de Cold Call para prospecção ativa" com Thiago Jacomo (2024-03-13 08:06 GMT-3)</t>
  </si>
  <si>
    <t>72. PipeLovers 💙 Gestão Comercial: "Modelos de Remuneração Variável em Vendas B2B" com Ricardo Okino (2024-02-20 17:35 GMT-3)</t>
  </si>
  <si>
    <t>Yago Martins</t>
  </si>
  <si>
    <t>Nalk</t>
  </si>
  <si>
    <t>https://universidade.pipelovers.net/aulas/inteligencia-artificial-ia-aplicada-a-gestao-comercial-1775500447050</t>
  </si>
  <si>
    <t>Rui Aviz</t>
  </si>
  <si>
    <t>https://www.linkedin.com/in/ruiaviz/</t>
  </si>
  <si>
    <t>O melhor vendedor do mundo (no LinkedIn)</t>
  </si>
  <si>
    <t>Borja Castelar</t>
  </si>
  <si>
    <t>73. PipeLovers 💙 Gestão Comercial: "Inteligência Artificial (IA) aplicada a gestão comercial " com Yag (2024-02-27 08:04 GMT-3)</t>
  </si>
  <si>
    <t>Diretor LATAM</t>
  </si>
  <si>
    <t>Eduardo Slivskin</t>
  </si>
  <si>
    <t>VP of Sales</t>
  </si>
  <si>
    <t>Coach Hub</t>
  </si>
  <si>
    <t xml:space="preserve">Betterfly </t>
  </si>
  <si>
    <t>https://universidade.pipelovers.net/m/lessons/administrando-a-pressao-de-resultados-em-vendas1769552284126?classId=3244</t>
  </si>
  <si>
    <t>https://www.linkedin.com/in/borjacastelar/</t>
  </si>
  <si>
    <t>https://universidade.pipelovers.net/m/lessons/o-impacto-de-solucoes-de-sales-engagement-na-produtividade1769552039831?classId=3498</t>
  </si>
  <si>
    <t>74.PipeLovers 💙 Gestão Comercial: "Administrando a pressão de resultados em vendas" com Eduardo Slivs (2024-03-05 08:03 GMT-3)</t>
  </si>
  <si>
    <t>Cristian Ahlert</t>
  </si>
  <si>
    <t>https://universidade.pipelovers.net/m/lessons/o-melhor-vendedor-do-mundo-no-linkedin1769552328127?classId=3679</t>
  </si>
  <si>
    <t>Diretor Comercial de Mercado Internacional</t>
  </si>
  <si>
    <t>Docile</t>
  </si>
  <si>
    <t>https://universidade.pipelovers.net/m/lessons/estrategias-para-expansao-internacional1769552284198?classId=3245</t>
  </si>
  <si>
    <t>75. PipeLovers 💙 Gestão Comercial: "Estratégias para expansão internacional" com Cristian Ahlert (2024-03-12 13:05 GMT-3)</t>
  </si>
  <si>
    <t>4,29</t>
  </si>
  <si>
    <t>31/05/2023</t>
  </si>
  <si>
    <t>https://drive.google.com/file/d/1YdXvfWqYlPaQpZNd4aKAlkgAOwbyGaVj/view?usp=drive_link</t>
  </si>
  <si>
    <t>Thiago Gonçalves</t>
  </si>
  <si>
    <t xml:space="preserve">Director of Business Unit </t>
  </si>
  <si>
    <t>Blip</t>
  </si>
  <si>
    <t>https://universidade.pipelovers.net/aulas/como-inteligencia-artificial-vai-transformar-o-marketing-b2b-1775501548850</t>
  </si>
  <si>
    <t>82. PipeLovers💚SDRs: "O impacto de soluções de sales engagement na produtividade" com Rui Aviz (2024-03-20 08:04 GMT-3)</t>
  </si>
  <si>
    <t>Inteligência Artificial para Vendedores</t>
  </si>
  <si>
    <t>Marcos do Canto</t>
  </si>
  <si>
    <t>Vitor Hugo Lourenço</t>
  </si>
  <si>
    <t>Magic Write</t>
  </si>
  <si>
    <t>https://www.linkedin.com/in/marcosdocanto/</t>
  </si>
  <si>
    <t>Bettha</t>
  </si>
  <si>
    <t>https://www.linkedin.com/in/vitorhlourenco/</t>
  </si>
  <si>
    <t>76. PipeLovers 💙 Gestão Comercial: "Como Inteligência Artificial vai transformar o marketing B2B?" com Thiago Gonçalves</t>
  </si>
  <si>
    <t>Livia Brandini</t>
  </si>
  <si>
    <t>Kultua</t>
  </si>
  <si>
    <t>https://universidade.pipelovers.net/aulas/como-mapear-a-cultura-de-seu-time-de-vendas-1775502888465</t>
  </si>
  <si>
    <t>https://universidade.pipelovers.net/m/lessons/inteligencia-artificial-para-vendedores1769552328155?classId=3595</t>
  </si>
  <si>
    <t>https://universidade.pipelovers.net/m/lessons/abordagens-de-prospeccao-para-o-rh1769552039856?classId=3500</t>
  </si>
  <si>
    <t>77. PipeLovers 💙 Gestão Comercial: "Como mapear a cultura do seu time de vendas?" com Livia Brandini (2024-04-02 08:05 GMT-3)</t>
  </si>
  <si>
    <t>VP de Vendas e Marketing</t>
  </si>
  <si>
    <t>https://universidade.pipelovers.net/m/lessons/rituais-para-gestao-de-gestores-o-papel-do-diretor-de-vendas1769552284440?classId=3248</t>
  </si>
  <si>
    <t>4,14</t>
  </si>
  <si>
    <t>07/06/2023</t>
  </si>
  <si>
    <t>https://drive.google.com/file/d/1rQR8mcKpmOxkIj4BVM2OdYgIrscah3IE/view?usp=drive_link</t>
  </si>
  <si>
    <t>78. PipeLovers 💙 Gestão Comercial: "Rituais para gestão de gestores: o papel do diretor de vendas" com (2024-04-09 08:06 GMT-3)</t>
  </si>
  <si>
    <t>83. PipeLovers💚SDRs: "Abordagens de prospecção para o RH" com Vitor Hugo Lourenço (2024-04-03 08:06 GMT-3)</t>
  </si>
  <si>
    <t>Jennifer Meunier</t>
  </si>
  <si>
    <t>Head de CX &amp; Produtos</t>
  </si>
  <si>
    <t xml:space="preserve">G4 Educação </t>
  </si>
  <si>
    <t>https://universidade.pipelovers.net/m/lessons/como-mapear-a-jornada-de-compra-do-seu-cliente1769552284500?classId=3249</t>
  </si>
  <si>
    <t>Samanta Lopes</t>
  </si>
  <si>
    <t>Construindo relacionamento de confiança com o cliente</t>
  </si>
  <si>
    <t>Vanessa Pagotto</t>
  </si>
  <si>
    <t>https://www.linkedin.com/in/samantalopesvieira/</t>
  </si>
  <si>
    <t>Head of Sales Solutions</t>
  </si>
  <si>
    <t>Salt Pay</t>
  </si>
  <si>
    <t>https://www.linkedin.com/in/v-pagotto/</t>
  </si>
  <si>
    <t>https://universidade.pipelovers.net/m/lessons/construindo-relacionamento-de-confianca-com-o-cliente1769552328181?classId=3596</t>
  </si>
  <si>
    <t>https://universidade.pipelovers.net/m/lessons/construcao-e-evolucao-de-cadencias-de-prospeccao-ativa1769552039882?classId=3502</t>
  </si>
  <si>
    <t>79. PipeLovers 💙 Gestão Comercial: "Como mapear a jornada de compra do seu cliente" com Jennifer Meuni (2024-04-16 08:04 GMT-3)</t>
  </si>
  <si>
    <t>Lucas França</t>
  </si>
  <si>
    <t>Eva People</t>
  </si>
  <si>
    <t>https://universidade.pipelovers.net/m/lessons/melhores-praticas-de-onboarding-de-vendedores1769552284569?classId=3250</t>
  </si>
  <si>
    <t>3,93</t>
  </si>
  <si>
    <t>14/06/2023</t>
  </si>
  <si>
    <t>https://drive.google.com/file/d/1jv5BjmU-pknBrAiDxp6Hih24NnzbRkFE/view?usp=drive_link</t>
  </si>
  <si>
    <t>80. PipeLovers 💙 Gestão Comercial: "Melhores práticas de onboarding de vendedores" com Lucas França  (2024-04-23 08:05 GMT-3)</t>
  </si>
  <si>
    <t>Eric Luciano</t>
  </si>
  <si>
    <t>Expert Integrado</t>
  </si>
  <si>
    <t>https://universidade.pipelovers.net/m/lessons/automacao-de-whatsapp-para-leads-inbound1769552284714?classId=3251</t>
  </si>
  <si>
    <t>84. PipeLovers💚SDRs: "Construção (e evolução) de cadências ativa" com Samanta Lopes (2024-04-10 08:04 GMT-3)</t>
  </si>
  <si>
    <t>Luiz Favoretto</t>
  </si>
  <si>
    <t>Sales Coordinator LATAM</t>
  </si>
  <si>
    <t>Priorização de Carteira de Clientes</t>
  </si>
  <si>
    <t>João da Matta</t>
  </si>
  <si>
    <t>https://www.linkedin.com/in/luiz-favoretto-28415397/overlay/photo/</t>
  </si>
  <si>
    <t>https://www.linkedin.com/in/joaodamatta/</t>
  </si>
  <si>
    <t>81. PipeLovers 💙 Gestão Comercial: "Automação de WhatsApp para Leads Inbound" com Eric Luciano (2024-04-30 08:05 GMT-3)</t>
  </si>
  <si>
    <t>Fabricio Toledo</t>
  </si>
  <si>
    <t>Leadster</t>
  </si>
  <si>
    <t>https://universidade.pipelovers.net/m/lessons/panorama-de-geracao-de-leads-no-brasil-by-leadster1769552284639?classId=3252</t>
  </si>
  <si>
    <t>https://universidade.pipelovers.net/m/lessons/priorizacao-de-carteira-de-clientes1769552328210?classId=3597</t>
  </si>
  <si>
    <t>https://universidade.pipelovers.net/m/lessons/mapeando-contas-enterprise-e-entendendo-o-processo-de-compra1769552039932?classId=3503</t>
  </si>
  <si>
    <t>82. PipeLovers 💙 Gestão Comercial: "Panorama de Geração de Leads no Brasil (by Leadster)" com Fabricio (2024-05-07 08:05 GMT-3)</t>
  </si>
  <si>
    <t>4,5</t>
  </si>
  <si>
    <t>21/06/2023</t>
  </si>
  <si>
    <t>Camila Baggio</t>
  </si>
  <si>
    <t>Commercial Manager</t>
  </si>
  <si>
    <t>Saks</t>
  </si>
  <si>
    <t>https://drive.google.com/file/d/11PTrhSjgp71nUssBTJWFOlHYw4i4YjF-/view?usp=drive_link</t>
  </si>
  <si>
    <t>https://universidade.pipelovers.net/m/lessons/melhores-praticas-na-gestao-de-crm1769552284784?classId=3253</t>
  </si>
  <si>
    <t>85. PipeLovers💚SDRs: "Mapeando Contas Enterprise e entendendo o processo de compra" com Luiz Favoretto (2024-04-17 08:05 GMT-3)</t>
  </si>
  <si>
    <t>83. PipeLovers 💙 Gestão Comercial: "Melhores práticas na gestão de CRM" com Camila Baggio (2024-05-14 08:04 GMT-3)</t>
  </si>
  <si>
    <t>Lucas Axel</t>
  </si>
  <si>
    <t>Coordenador de Pré-Vendas</t>
  </si>
  <si>
    <t>https://www.linkedin.com/in/lucas-axel-7b0321153/</t>
  </si>
  <si>
    <t>Matheus Weigand</t>
  </si>
  <si>
    <t>Getdemo</t>
  </si>
  <si>
    <t>https://universidade.pipelovers.net/m/lessons/demonstracoes-interativas-a-nova-forma-de-vender-saas1769552284845?classId=3254</t>
  </si>
  <si>
    <t>Engenharia de Valor para Provar ROI</t>
  </si>
  <si>
    <t>Marcos Mylius</t>
  </si>
  <si>
    <t>Sales Coaching B2B</t>
  </si>
  <si>
    <t>https://www.linkedin.com/in/marcosmylius/</t>
  </si>
  <si>
    <t>https://universidade.pipelovers.net/m/lessons/retomada-de-leads-perdidos1769552039907?classId=3504</t>
  </si>
  <si>
    <t>https://www.linkedin.com/in/matheus-weigand/</t>
  </si>
  <si>
    <t>https://universidade.pipelovers.net/m/lessons/engenharia-de-valor-para-provar-roi1769552328262?classId=3598</t>
  </si>
  <si>
    <t>Pitch Comercial</t>
  </si>
  <si>
    <t>84. PipeLovers 💙 Gestão Comercial: "Demonstrações Interativas: a nova forma de vender SaaS" com Matheu (2024-05-21 08:04 GMT-3)</t>
  </si>
  <si>
    <t>Lucas Freitas</t>
  </si>
  <si>
    <t>Blank School</t>
  </si>
  <si>
    <t>https://universidade.pipelovers.net/m/lessons/o-impacto-de-social-media-na-construcao-de-marca1769552284985?classId=3255</t>
  </si>
  <si>
    <t>85. PipeLovers 💙 Gestão Comercial: "O impacto de Social Media na construção de marca" com Lucas Freita (2024-05-28 08:04 GMT-3)</t>
  </si>
  <si>
    <t>86. PipeLovers💚SDRs: " Retomada de Leads Perdidos" com Lucas Axel (2024-04-24 08:05 GMT-3)</t>
  </si>
  <si>
    <t>Bruno Nascimento</t>
  </si>
  <si>
    <t>Head of Growth</t>
  </si>
  <si>
    <t>28/06/2023</t>
  </si>
  <si>
    <t>https://universidade.pipelovers.net/m/lessons/automacoes-de-marketing-para-apoiar-vendas1769552284907?classId=3256</t>
  </si>
  <si>
    <t>Fernanda Guidolin</t>
  </si>
  <si>
    <t>https://drive.google.com/file/d/1AiUiYE4XKGa-Nh7m8QDQh_vVED8sTvd-/view?usp=drive_link</t>
  </si>
  <si>
    <t>Coordenadora  de Pré-Vendas</t>
  </si>
  <si>
    <t>Serasa Experian</t>
  </si>
  <si>
    <t>https://www.linkedin.com/in/fernanda-guidolin-40a3b4156/</t>
  </si>
  <si>
    <t>https://universidade.pipelovers.net/m/lessons/como-prospectar-a-nova-geracao-de-decisores1769552039958?classId=3505</t>
  </si>
  <si>
    <t>86. PipeLovers 💙 Gestão Comercial: "Automações de marketing para apoiar vendas" com Bruno Nascimento (2024-06-04 08:04 GMT-3)</t>
  </si>
  <si>
    <t>João Eduardo Silva Neto</t>
  </si>
  <si>
    <t>Vice-Presidente Comercial</t>
  </si>
  <si>
    <t>MXM Sistemas</t>
  </si>
  <si>
    <t>https://universidade.pipelovers.net/m/lessons/estruturando-uma-operacao-de-vendas-para-o-setor-publico1769552285058?classId=3257</t>
  </si>
  <si>
    <t>Vendas Técnicas para Vendedores Generalistas</t>
  </si>
  <si>
    <t>Felipe Pervelli</t>
  </si>
  <si>
    <t>Director of Marketing and Sales</t>
  </si>
  <si>
    <t>MK Solutions</t>
  </si>
  <si>
    <t>https://www.linkedin.com/in/felipepervelli/</t>
  </si>
  <si>
    <t>87. PipeLovers💚SDRs: "Como prospectar a nova geração de decisores" com Fernanda Guidolin (2024-05-02 09:06 GMT-3)</t>
  </si>
  <si>
    <t>Sharon Santos</t>
  </si>
  <si>
    <t>87. PipeLovers 💙 Gestão Comercial: "Estruturando uma operação de vendas para o setor público" com João (2024-06-11 08:05 GMT-3)</t>
  </si>
  <si>
    <t>Converte Inteligencia de Vendas</t>
  </si>
  <si>
    <t>https://www.linkedin.com/in/sharon-santos-783944184/?utm_source=share&amp;utm_campaign=share_via&amp;utm_content=profile&amp;utm_medium=ios_app</t>
  </si>
  <si>
    <t>https://universidade.pipelovers.net/m/lessons/vendas-tecnicas-para-vendedores-generalistas1769552333569?classId=3599</t>
  </si>
  <si>
    <t>Thiago Muniz</t>
  </si>
  <si>
    <t>Receita Previsível</t>
  </si>
  <si>
    <t>https://universidade.pipelovers.net/m/lessons/aplicando-receita-previsivel-na-pratica1769552287788?classId=3258</t>
  </si>
  <si>
    <t>88. PipeLovers 💙 Gestão Comercial: "Aplicando "Receita Previsível" na prática" com Thiago Muniz (2024-06-19 08:04 GMT-3)</t>
  </si>
  <si>
    <t>Luiza Aduan</t>
  </si>
  <si>
    <t>Co-Founder &amp; Diretora de Customer Success</t>
  </si>
  <si>
    <t>https://universidade.pipelovers.net/m/lessons/reduzindo-no-show-na-prospeccao-outbound1769552040033?classId=3507</t>
  </si>
  <si>
    <t>ESCALA</t>
  </si>
  <si>
    <t>https://universidade.pipelovers.net/m/lessons/alinhamento-entre-vendas-e-customer-success1769552287824?classId=3259</t>
  </si>
  <si>
    <t>05/07/2023</t>
  </si>
  <si>
    <t>https://drive.google.com/file/d/1_1a-Qag8dRzcIQSU97O9A9aS6ZAXzOBN/view?usp=drive_link</t>
  </si>
  <si>
    <t>A rota de vendedor a gerente de vendas</t>
  </si>
  <si>
    <t>Ciro Falcão</t>
  </si>
  <si>
    <t>Sales Manager B2B</t>
  </si>
  <si>
    <t>https://www.linkedin.com/in/cirofalcao/</t>
  </si>
  <si>
    <t>89. PipeLovers 💙 Gestão Comercial: ""Alinhamento entre vendas e customer success"" com Luiza Aduan (2024-07-02 08:06 GMT-3)</t>
  </si>
  <si>
    <t>88. PipeLovers💚SDRs: "Reduzindo No-show na prospecção outbound" com Sharon Santos (2024-05-08 08:06 GMT-3)</t>
  </si>
  <si>
    <t>Aaron Ross</t>
  </si>
  <si>
    <t>Autor do livro “Receita Previsível”</t>
  </si>
  <si>
    <t>https://universidade.pipelovers.net/aulas/bestsellers-1775504294126</t>
  </si>
  <si>
    <t>Felipe Traina</t>
  </si>
  <si>
    <t>https://universidade.pipelovers.net/aulas/motivacao-em-pre-vendas-como-descobrir-o-que-sustenta-sua-alta-performance-1775685383496</t>
  </si>
  <si>
    <t>Salestime</t>
  </si>
  <si>
    <t>https://www.linkedin.com/in/felipe-traina/</t>
  </si>
  <si>
    <t>https://www.linkedin.com/in/aaronross/</t>
  </si>
  <si>
    <t>https://universidade.pipelovers.net/m/lessons/estrategias-para-aumentar-a-produtividade-na-prospeccao1769552040074?classId=3506</t>
  </si>
  <si>
    <t>Arthur Viana</t>
  </si>
  <si>
    <t>Business Unit Director</t>
  </si>
  <si>
    <t>https://universidade.pipelovers.net/m/lessons/lidando-com-uma-nova-geracao-de-vendedores1769552288051?classId=3261</t>
  </si>
  <si>
    <t>1</t>
  </si>
  <si>
    <t>12/07/2023</t>
  </si>
  <si>
    <t>https://drive.google.com/file/d/19BSbEUi5ANmguOp5jP4-mXn1ZVBBfa14/view?usp=drive_link</t>
  </si>
  <si>
    <t>89. PipeLovers💚SDRs: "Estratégias para aumentar a produtividade na prospecção" com Felipe Traina (2024-05-15 08:05 GMT-3)</t>
  </si>
  <si>
    <t>Lilian Lopes</t>
  </si>
  <si>
    <t>SalesBud</t>
  </si>
  <si>
    <t>https://www.linkedin.com/in/lilian-lopes-642a49144/</t>
  </si>
  <si>
    <t>91. PipeLovers 💙 Gestão Comercial: "Lidando com uma nova geração de vendedores" com Arthur Viana (2024-07-16 08:05 GMT-3)</t>
  </si>
  <si>
    <t>João Acioli</t>
  </si>
  <si>
    <t>White Spaces e priorização de portfólio</t>
  </si>
  <si>
    <t>Montre</t>
  </si>
  <si>
    <t>Vinícius Vilela</t>
  </si>
  <si>
    <t>https://universidade.pipelovers.net/m/lessons/como-avaliar-uma-agencia-de-marketing1769552288095?classId=3262</t>
  </si>
  <si>
    <t>https://universidade.pipelovers.net/m/lessons/como-um-assistente-de-ai-pode-ajudar-o-pre-vendedor1769552042841?classId=3508</t>
  </si>
  <si>
    <t>https://www.linkedin.com/in/vinicius-vilela-vieira/</t>
  </si>
  <si>
    <t>https://universidade.pipelovers.net/m/lessons/white-spaces-e-priorizacao-de-portfolio1769552333856?classId=3601</t>
  </si>
  <si>
    <t>92. PipeLovers 💙 Gestão Comercial: "Como avaliar uma agência de marketing?" com João Acioli (2024-07-23 08:05 GMT-3)</t>
  </si>
  <si>
    <t>90. PipeLovers💚SDRs: "Como um assistente de AI pode ajudar o pré-vendedor" com Lilian Lopes (2024-05-22 08:04 GMT-3)</t>
  </si>
  <si>
    <t>Daniela Pio</t>
  </si>
  <si>
    <t>Myrian Mourão</t>
  </si>
  <si>
    <t>Diretora</t>
  </si>
  <si>
    <t>Ayo Inclusão e Equidade</t>
  </si>
  <si>
    <t>https://universidade.pipelovers.net/m/lessons/diversidade-aumenta-as-vendas-como1769552288126?classId=3263</t>
  </si>
  <si>
    <t>Myrian Consultoria e Treinamentos</t>
  </si>
  <si>
    <t>https://www.linkedin.com/in/myrianmourao/</t>
  </si>
  <si>
    <t>19/07/2023</t>
  </si>
  <si>
    <t>https://drive.google.com/file/d/1L6gZb8U7prUDzu3eUH0qS_FuyGwf5uQ7/view?usp=drive_link</t>
  </si>
  <si>
    <t>https://universidade.pipelovers.net/m/lessons/otimizando-o-fluxo-de-contato-com-leads1769552042897?classId=3509</t>
  </si>
  <si>
    <t>Qualificação de Oportunidades</t>
  </si>
  <si>
    <t>Gustavo Souza</t>
  </si>
  <si>
    <t>Convertise</t>
  </si>
  <si>
    <t>https://www.linkedin.com/in/eugusouza/</t>
  </si>
  <si>
    <t>93. PipeLovers 💙 Gestão Comercial: "Diversidade aumenta as vendas, como?" com Daniela Pio (2024-07-31 08:05 GMT-3)</t>
  </si>
  <si>
    <t>Rodrigo Ricco</t>
  </si>
  <si>
    <t>Octadesk by Locaweb</t>
  </si>
  <si>
    <t>https://universidade.pipelovers.net/m/lessons/impacto-de-cx-no-crescimento-de-receita1769552288154?classId=3264</t>
  </si>
  <si>
    <t>91. PipeLovers💚SDRs: "Otimizando o Fluxo de Contato com Leads" com Myrian Mourão  (2024-05-29 08:05 GMT-3)</t>
  </si>
  <si>
    <t>https://universidade.pipelovers.net/m/lessons/qualificacao-de-oportunidades1769552333940?classId=3602</t>
  </si>
  <si>
    <t>Winnicius Cunha</t>
  </si>
  <si>
    <t>Prospecção Academy</t>
  </si>
  <si>
    <t>https://www.linkedin.com/in/winnicius-cunha/</t>
  </si>
  <si>
    <t>94. PipeLovers 💙 Gestão Comercial: "Impacto de CX no crescimento de receita" com Rodrigo Ricco (2024-08-06 08:11 GMT-3)</t>
  </si>
  <si>
    <t>Nathalia Conde</t>
  </si>
  <si>
    <t>Especialista de Revenue Ops</t>
  </si>
  <si>
    <t>https://universidade.pipelovers.net/m/lessons/como-estruturar-um-time-de-revenue-ops1769552292216?classId=3265</t>
  </si>
  <si>
    <t>https://universidade.pipelovers.net/m/lessons/transformar-objecoes-em-oportunidades1769552042964?classId=3510</t>
  </si>
  <si>
    <t>95. PipeLovers 💙 Gestão Comercial: "Como estruturar um time de Revenue Ops" com Nathalia Conde (2024-08-13 08:05 GMT-3)</t>
  </si>
  <si>
    <t>Daniela Bruzzi</t>
  </si>
  <si>
    <t>Ellas, People Academy</t>
  </si>
  <si>
    <t>https://universidade.pipelovers.net/m/lessons/rituais-de-avaliacao-de-performance1769552292282?classId=3266</t>
  </si>
  <si>
    <t>4,21</t>
  </si>
  <si>
    <t>26/07/2023</t>
  </si>
  <si>
    <t>https://drive.google.com/file/d/11wMV1qBwK_d_LpO8OGN0HRElAYktCWaB/view?usp=drive_link</t>
  </si>
  <si>
    <t>92. PipeLovers💚SDRs: "Transformar objeções em oportunidades" com Winnicius Cunha (2024-06-03 13:05 GMT-3)</t>
  </si>
  <si>
    <t>Renata Mayer</t>
  </si>
  <si>
    <t>Coordenadora de Pré-Vendas</t>
  </si>
  <si>
    <t>Octadesk</t>
  </si>
  <si>
    <t>https://www.linkedin.com/in/renatamayer/</t>
  </si>
  <si>
    <t>96. PipeLovers 💙 Gestão Comercial: "Rituais de Avaliação de Performance" com Daniela Bruzzi (2024-08-20 08:04 GMT-3)</t>
  </si>
  <si>
    <t>Go to Market: Planejamento para Resultados</t>
  </si>
  <si>
    <t>Pedro Escarabelin</t>
  </si>
  <si>
    <t>Offer Lead - Sales Intelligence</t>
  </si>
  <si>
    <t>https://universidade.pipelovers.net/m/lessons/go-to-market-planejamento-para-resultados1769552292345?classId=3267</t>
  </si>
  <si>
    <t>https://universidade.pipelovers.net/m/lessons/melhores-praticas-de-role-play-para-pre-vendedores1769552043115?classId=3511</t>
  </si>
  <si>
    <t>Top performers: habitos , rotinas e atitudes de vendedores que batem meta</t>
  </si>
  <si>
    <t>Felipe Coelho</t>
  </si>
  <si>
    <t>ABSEED</t>
  </si>
  <si>
    <t>https://www.linkedin.com/in/coelhofarc/</t>
  </si>
  <si>
    <t>97. PipeLovers 💙 Gestão Comercial: "Go to Market: Planejamento para Resultados" com Pedro Escarabelin – 2024/08/27 12:53 BRT – Recording</t>
  </si>
  <si>
    <t>https://universidade.pipelovers.net/m/lessons/top-performers-habitos-rotinas-e-atitudes-de-vendedores-que-batem-meta1769552334011?classId=3572</t>
  </si>
  <si>
    <t>93. PipeLovers💚SDRs: "Melhores práticas de "Role Play" para pré-vendedores" com Renata Mayer (2024-06-13 14:04 GMT-3)</t>
  </si>
  <si>
    <t>Como melhorar a performance profissional com a gestão do aprendizado</t>
  </si>
  <si>
    <t>André Floriano</t>
  </si>
  <si>
    <t>Mettle</t>
  </si>
  <si>
    <t>https://universidade.pipelovers.net/m/lessons/como-melhorar-a-performance-profissional-com-a-gestao-do-aprendizado1769552292428?classId=3268</t>
  </si>
  <si>
    <t>Jessica Bosco</t>
  </si>
  <si>
    <t>https://www.linkedin.com/in/jessicabosco/</t>
  </si>
  <si>
    <t>4</t>
  </si>
  <si>
    <t>https://universidade.pipelovers.net/m/lessons/como-encantar-engajar-e-converter-atraves-do-whatsapp1769552043024?classId=3512</t>
  </si>
  <si>
    <t>02/08/2023</t>
  </si>
  <si>
    <t>https://drive.google.com/file/d/1Cu02dvWdb_BNjckBoNxbj9bbXrk8mHzY/view?usp=drive_link</t>
  </si>
  <si>
    <t>98. PipeLovers 💙 Gestão Comercial: "Como melhorar a performance profissional com a gestão do aprendiza – 2024/09/03 07:52 BRT – Recording</t>
  </si>
  <si>
    <t>Construção de metas comerciais</t>
  </si>
  <si>
    <t>Chief Revenue Officer (CRO)</t>
  </si>
  <si>
    <t>https://universidade.pipelovers.net/m/lessons/construcao-de-metas-comerciais1769552292479?classId=3269</t>
  </si>
  <si>
    <t>Autogestão com metas de execução</t>
  </si>
  <si>
    <t>Rodrigo Oliveira</t>
  </si>
  <si>
    <t>https://www.linkedin.com/in/rodrigomdeoliveira/</t>
  </si>
  <si>
    <t>94. PipeLovers💚SDRs: "Como encantar, engajar e converter através do WhatsApp" com Jessica Bosco (2024-06-17 13:05 GMT-3)</t>
  </si>
  <si>
    <t>https://universidade.pipelovers.net/m/lessons/autogestao-com-metas-de-execucao1769552334079?classId=3603</t>
  </si>
  <si>
    <t>Thaynara Brito                          Manuel Pereira</t>
  </si>
  <si>
    <t>Sales Development Representative 
Account Executive</t>
  </si>
  <si>
    <t>99. PipeLovers 💙 Gestão Comercial: "Construção de metas comerciais" com Matheus Quirino – 2024/09/10 07:54 BRT – Recording</t>
  </si>
  <si>
    <r>
      <rPr>
        <rFont val="Nunito"/>
        <color rgb="FF1155CC"/>
        <sz val="10.0"/>
        <u/>
      </rPr>
      <t>https://www.linkedin.com/in/thaynara-campos-brito14182310/.</t>
    </r>
    <r>
      <rPr>
        <rFont val="Nunito"/>
        <sz val="10.0"/>
      </rPr>
      <t xml:space="preserve">  </t>
    </r>
    <r>
      <rPr>
        <rFont val="Nunito"/>
        <color rgb="FF1155CC"/>
        <sz val="10.0"/>
        <u/>
      </rPr>
      <t>https://www.linkedin.com/in/manuelpereira-mfp/</t>
    </r>
  </si>
  <si>
    <t>Como diminuir a rotatividade da sua equipe</t>
  </si>
  <si>
    <t xml:space="preserve">Rafaela Cechinel </t>
  </si>
  <si>
    <t>Chief Sales Officer &amp; Partner</t>
  </si>
  <si>
    <t>Feedz</t>
  </si>
  <si>
    <t>https://universidade.pipelovers.net/m/lessons/como-diminuir-a-rotatividade-da-sua-equipe1769552292529?classId=3270</t>
  </si>
  <si>
    <t>09/08/2023</t>
  </si>
  <si>
    <t>https://drive.google.com/file/d/1ui47Iu0PTs5KiYIKNiaN8vAudQDof9ma/view?usp=drive_link</t>
  </si>
  <si>
    <t>https://universidade.pipelovers.net/m/lessons/colaboracao-entre-pre-vendas-e-vendas-para-conquistar-grandes-contas1769552043185?classId=3513</t>
  </si>
  <si>
    <t>Retenção e Recompensas</t>
  </si>
  <si>
    <t>100. PipeLovers 💙 Gestão Comercial: "Como diminuir a rotatividade da sua equipe" com Rafaela Cechinel  – 2024/09/17 07:51 BRT – Recording</t>
  </si>
  <si>
    <t>O que Growth tem a ver com Vendas B2B?</t>
  </si>
  <si>
    <t>Ronei Vinagre</t>
  </si>
  <si>
    <t>Growth Conference</t>
  </si>
  <si>
    <t>https://universidade.pipelovers.net/m/lessons/o-que-growth-tem-a-ver-com-vendas-b2b1769552292579?classId=3271</t>
  </si>
  <si>
    <t>O impacto do Ecommerce B2B para vendedores</t>
  </si>
  <si>
    <t>Caio Araujo</t>
  </si>
  <si>
    <t>OLIST</t>
  </si>
  <si>
    <t>https://www.linkedin.com/in/caraujo-ecomm/</t>
  </si>
  <si>
    <t>95. PipeLovers💚SDRs: "Colaboração entre pré-vendas e vendas para conquistar grandes contas" com Thay e (2024-07-01 13:04 GMT-3)</t>
  </si>
  <si>
    <t>101. PipeLovers 💙 Gestão Comercial: "O que Growth tem a ver com Vendas B2B?" com Ronei Vinagre – 2024/10/01 07:51 BRT – Recording</t>
  </si>
  <si>
    <t>Insights práticos do Saastr 2024</t>
  </si>
  <si>
    <t>ABSeed Venture</t>
  </si>
  <si>
    <t>https://universidade.pipelovers.net/m/lessons/insights-praticos-do-saastr-20241769552292632?classId=3272</t>
  </si>
  <si>
    <t>https://universidade.pipelovers.net/m/lessons/o-impacto-do-ecommerce-b2b-para-vendedores1769552334177?classId=3604</t>
  </si>
  <si>
    <t>https://universidade.pipelovers.net/m/lessons/o-impacto-do-ecommerce-b2b-para-vendedores1769552334177?moduleId=1014&amp;classId=3604</t>
  </si>
  <si>
    <t>102. PipeLovers 💙 Gestão Comercial: "Insights práticos do Sastr 2024" com Felipe Coelho – 2024/10/08 07:55 BRT – Recording</t>
  </si>
  <si>
    <t>Como Employer Branding ajuda a recrutar um time de vendas?</t>
  </si>
  <si>
    <t>Suzie Clavery</t>
  </si>
  <si>
    <t>CHRO Latam</t>
  </si>
  <si>
    <t>TotalPass</t>
  </si>
  <si>
    <t>https://universidade.pipelovers.net/m/lessons/como-employer-branding-ajuda-a-recrutar-um-time-de-vendas1769552292714?classId=3273</t>
  </si>
  <si>
    <t>16/08/2023</t>
  </si>
  <si>
    <t>96. BEST SELLERS - RECEITA PREVISÍVEL .mp4</t>
  </si>
  <si>
    <t>https://drive.google.com/file/d/1Dv3NHPFXj0f3qEAo9RkSlx9DNuLB6onE/view?usp=drive_link</t>
  </si>
  <si>
    <t>Otavio Borba</t>
  </si>
  <si>
    <t>Diretor de Planejamento Estratégico</t>
  </si>
  <si>
    <t>CV CRM (Grupo Softplan)</t>
  </si>
  <si>
    <t>https://www.linkedin.com/in/otavioborba/</t>
  </si>
  <si>
    <t>103. PipeLovers 💙 Gestão Comercial: "Como Employer Branding ajuda a recrutar um time de vendas?" com Su – 2024/10/15 07:47 BRT – Recording</t>
  </si>
  <si>
    <t>Riscos na integração de sistemas de vendas</t>
  </si>
  <si>
    <t>Romualdo da Silva</t>
  </si>
  <si>
    <t>Diretor</t>
  </si>
  <si>
    <t>https://universidade.pipelovers.net/aulas/como-realizar-testes-ab-para-maximizar-resultados-1775074847289</t>
  </si>
  <si>
    <t>Connect Think</t>
  </si>
  <si>
    <t>https://universidade.pipelovers.net/m/lessons/riscos-na-integracao-de-sistemas-de-vendas1769552303799?classId=3274</t>
  </si>
  <si>
    <t>Escolhendo sua metodologia de vendas</t>
  </si>
  <si>
    <t>Hélio Azevedo</t>
  </si>
  <si>
    <t>Chief Growth Officer</t>
  </si>
  <si>
    <t>Futurum TGP</t>
  </si>
  <si>
    <t>https://www.linkedin.com/in/helioazevedo/</t>
  </si>
  <si>
    <t>https://universidade.pipelovers.net/m/lessons/escolhendo-sua-metodologia-de-vendas1769552334242?classId=3624</t>
  </si>
  <si>
    <t>https://www.linkedin.com/in/romucasp/</t>
  </si>
  <si>
    <t>97. PipeLovers💚SDRs: "Como realizar testes A/B  para maximizar resultados" com Otavio Borba (2024-07-15 13:06 GMT-3)</t>
  </si>
  <si>
    <t>Brunna Lima</t>
  </si>
  <si>
    <t>Coordenadora de Outbound</t>
  </si>
  <si>
    <t>Conta simples</t>
  </si>
  <si>
    <t>https://www.linkedin.com/in/brunnatheobaldo/</t>
  </si>
  <si>
    <t>104. PipeLovers 💙 Gestão Comercial: "Riscos na integração de sistemas de vendas" com Romualdo da Silva – 2024/10/22 07:55 BRT – Recording</t>
  </si>
  <si>
    <t>23/08/2023</t>
  </si>
  <si>
    <t>https://universidade.pipelovers.net/m/lessons/planejamento-de-atividades-diarias-para-maximizar-a-qualificacao-de-leads1769552046272?classId=3516</t>
  </si>
  <si>
    <t>https://drive.google.com/file/d/12xH2_jtwi2pj0DBcUdyk2TvBaBrAvtuo/view?usp=drive_link</t>
  </si>
  <si>
    <t>Como refinar o pitch da discovery call e demo usando AI</t>
  </si>
  <si>
    <t>https://universidade.pipelovers.net/m/lessons/como-refinar-o-pitch-da-discovery-call-e-demo-usando-ai1769552304010?classId=3275</t>
  </si>
  <si>
    <t>Usando o CRM para gestão de tempo</t>
  </si>
  <si>
    <t>Thiago Schioppa</t>
  </si>
  <si>
    <t>ZOHO CRM</t>
  </si>
  <si>
    <t>https://www.linkedin.com/in/thiagoschioppa/</t>
  </si>
  <si>
    <t>98. PipeLovers💚SDRs: "Planejamento de atividades diárias para maximizar a qualificação de leads" com B (2024-07-22 13:05 GMT-3)</t>
  </si>
  <si>
    <t xml:space="preserve">105. PipeLovers 💙 Gestão Comercial: "Como refinar o pitch da discovery call e demo usando AI" com Chris – 2024/10/29 07:55 BRT </t>
  </si>
  <si>
    <t>https://universidade.pipelovers.net/m/lessons/usando-o-crm-para-gestao-de-tempo1769552334326?classId=3605</t>
  </si>
  <si>
    <t>Paulo Krieser</t>
  </si>
  <si>
    <t>Econodata</t>
  </si>
  <si>
    <t>https://universidade.pipelovers.net/m/lessons/rd-summit-2024-niveis-de-maturidade-em-vendas-b2b1769552060152?classId=3026</t>
  </si>
  <si>
    <t>https://www.linkedin.com/in/pauloaakrieser/</t>
  </si>
  <si>
    <t>https://universidade.pipelovers.net/m/lessons/aumentando-a-qualidade-dos-dados-em-bases-de-prospeccao1769552046304?classId=3517</t>
  </si>
  <si>
    <t>30/08/2023</t>
  </si>
  <si>
    <t>https://drive.google.com/file/d/1vYQcR3lIQ4uqQktV29gFYETbNrPrQ-aK/view?usp=drive_link</t>
  </si>
  <si>
    <t>106. PipeLovers 🤍: "Palestra RD Summit 2024 " com Gustavo Pagotto – 2024/11/05 07:46 BRT – Recording</t>
  </si>
  <si>
    <t>Gestão de equipes de vendas externas</t>
  </si>
  <si>
    <t>André Zacarias</t>
  </si>
  <si>
    <t>Director of Sales &amp; CS</t>
  </si>
  <si>
    <t>A nova era das vendas sociais</t>
  </si>
  <si>
    <t>Checkmob</t>
  </si>
  <si>
    <t>Fernanda Nascimento</t>
  </si>
  <si>
    <t>https://universidade.pipelovers.net/m/lessons/gestao-de-equipes-de-vendas-externas1769552304307?classId=3276</t>
  </si>
  <si>
    <t>Stratlab</t>
  </si>
  <si>
    <t>https://www.linkedin.com/in/fernandanascimentow/</t>
  </si>
  <si>
    <t>99. PipeLovers💚SDRs: "Aumentando a qualidade dos dados em bases de prospecção" com Paulo Krieser (2024-07-29 13:04 GMT-3)</t>
  </si>
  <si>
    <t>https://www.linkedin.com/in/andrezacarias/</t>
  </si>
  <si>
    <t>https://universidade.pipelovers.net/m/lessons/a-nova-era-das-vendas-sociais1769552334377?classId=3625</t>
  </si>
  <si>
    <t>Head of Revenue</t>
  </si>
  <si>
    <t xml:space="preserve">107. PipeLovers 💙 Gestão Comercial: "Gestão de equipes de vendas externas" com André Zacarias - 2024/11/12 07:40 GMT-03:00 </t>
  </si>
  <si>
    <t>Geomarketing: Vendas baseadas em localização</t>
  </si>
  <si>
    <t>Valeria Duarte</t>
  </si>
  <si>
    <t>Geofusion</t>
  </si>
  <si>
    <t>https://universidade.pipelovers.net/m/lessons/geomarketing-vendas-baseadas-em-localizacao1769552304370?classId=3277</t>
  </si>
  <si>
    <t>https://universidade.pipelovers.net/m/lessons/convertendo-indicacoes-em-oportunidades1769552046336?classId=3518</t>
  </si>
  <si>
    <t>3,5</t>
  </si>
  <si>
    <t>06/09/2023</t>
  </si>
  <si>
    <t>https://drive.google.com/file/d/1-JWKAYy5L9i8g8Echp_AVzNWAcvhwlBq/view?usp=drive_link</t>
  </si>
  <si>
    <t>108. PipeLovers 💙 Gestão Comercial: "Geomarketing: Vendas baseadas em localização" com Valeria Duarte - 2024/11/19 07:55 GMT-03:00 - Recording</t>
  </si>
  <si>
    <t>Controlando a ansiedade em vendas</t>
  </si>
  <si>
    <t xml:space="preserve">Fabiano Brito </t>
  </si>
  <si>
    <t>Inteligência emocional e motivação de equipes de vendas</t>
  </si>
  <si>
    <t>Luís Galdino</t>
  </si>
  <si>
    <t>Diretor Geral e CEO</t>
  </si>
  <si>
    <t>isaac</t>
  </si>
  <si>
    <t>Inspira Capital</t>
  </si>
  <si>
    <t>https://universidade.pipelovers.net/m/lessons/inteligencia-emocional-e-motivacao-de-equipes-de-vendas1769552304432?classId=3278</t>
  </si>
  <si>
    <t>https://www.linkedin.com/in/fabiano-br</t>
  </si>
  <si>
    <t>100.PipeLovers💚SDRs: "Convertendo indicações em oportunidades" com Gabriel Brasil (2024-08-05 13:04 GMT-3)</t>
  </si>
  <si>
    <t>Denise Ozaki</t>
  </si>
  <si>
    <t xml:space="preserve">Head de Marketing e Branding </t>
  </si>
  <si>
    <t>Picsel</t>
  </si>
  <si>
    <t>https://www.linkedin.com/in/denise-ozaki/</t>
  </si>
  <si>
    <t>https://universidade.pipelovers.net/m/lessons/controlando-a-ansiedade-em-vendas1769552334427?classId=3606</t>
  </si>
  <si>
    <t>https://universidade.pipelovers.net/m/lessons/maximizando-o-potencial-do-e-mail1769552046385?classId=3519</t>
  </si>
  <si>
    <t>109. PipeLovers 💙 Gestão Comercial: "Inteligência emocional e motivação de equipes de vendas" com Luís  - 2024/11/26 07:47 GMT-03:00 - Recording</t>
  </si>
  <si>
    <t>Como alinhar equipes de vendas usando OKRs</t>
  </si>
  <si>
    <t>Luany Cardoso</t>
  </si>
  <si>
    <t>Senior Business Manager</t>
  </si>
  <si>
    <t>Laqus</t>
  </si>
  <si>
    <t>https://universidade.pipelovers.net/m/lessons/como-alinhar-equipes-de-vendas-usando-okrs1769552304494?classId=3279</t>
  </si>
  <si>
    <t>13/09/2023</t>
  </si>
  <si>
    <t>https://drive.google.com/file/d/1xXLQ-m2IYwLrxSp14ac0COFriiFiKf2G/view?usp=drive_link</t>
  </si>
  <si>
    <t>101. PipeLovers💚SDRs: "Maximizando o potencial do e-mail" com Denise Ozaki (2024-08-12 13:05 GMT-3)</t>
  </si>
  <si>
    <t>Danndhara Anacleto</t>
  </si>
  <si>
    <t>Head of Sales and Business Development</t>
  </si>
  <si>
    <t>Syngoo</t>
  </si>
  <si>
    <t>https://www.linkedin.com/in/danndhara/</t>
  </si>
  <si>
    <t xml:space="preserve">Técnicas de Negociação </t>
  </si>
  <si>
    <t>Edney Quaresma</t>
  </si>
  <si>
    <t>Rocket</t>
  </si>
  <si>
    <t>110. PipeLovers 💙 Gestão Comercial: "Como alinhar equipes de vendas usando OKRs" com Luany Cardoso - 2024/12/03 07:50 GMT-03:00 - Recording</t>
  </si>
  <si>
    <t>https://www.linkedin.com/in/edney-quaresma-7a327564/</t>
  </si>
  <si>
    <t>Como projetar metas nas carteiras de clientes</t>
  </si>
  <si>
    <t>Rafael Weigand</t>
  </si>
  <si>
    <t>Vp of Customer Success</t>
  </si>
  <si>
    <t>https://universidade.pipelovers.net/m/lessons/rotinas-de-autoavaliacao-de-performance-de-pre-vendedores1769552046415?classId=3520</t>
  </si>
  <si>
    <t>Pipefy</t>
  </si>
  <si>
    <t>https://universidade.pipelovers.net/m/lessons/como-projetar-metas-nas-carteiras-de-clientes1769552304555?classId=3280</t>
  </si>
  <si>
    <t>https://universidade.pipelovers.net/aulas/tecnicas-de-negociacao-1775076476292</t>
  </si>
  <si>
    <t>111. PipeLovers 💙 Gestão Comercial: "Como projetar metas nas carteiras de clientes" com Rafael Weigand  - 2024/12/17 07:48 GMT-03:00 - Recording</t>
  </si>
  <si>
    <t>Planejamento Anual de Vendas</t>
  </si>
  <si>
    <t>https://universidade.pipelovers.net/m/lessons/planejamento-anual-de-vendas1769552304646?classId=3281</t>
  </si>
  <si>
    <t>20/09/2023</t>
  </si>
  <si>
    <t>https://drive.google.com/file/d/1rTzVntgxDJmwBNtHBZPdN6VRyckKo9IJ/view?usp=drive_link</t>
  </si>
  <si>
    <t>102. PipeLovers💚SDRs: "Rotinas de autoavaliação de performance de pre-vendedores" com Danndhara Anaclet (2024-08-19 13:04 GMT-3)</t>
  </si>
  <si>
    <t>Paula Olaf</t>
  </si>
  <si>
    <t>Fábrica de SDR</t>
  </si>
  <si>
    <t>Administrando a rejeição em vendas</t>
  </si>
  <si>
    <t>Renato Lamardo</t>
  </si>
  <si>
    <t>https://www.linkedin.com/in/paulaolaf/</t>
  </si>
  <si>
    <t>Sales Executive</t>
  </si>
  <si>
    <t>Udemy</t>
  </si>
  <si>
    <t>https://www.linkedin.com/in/renatolamardo/</t>
  </si>
  <si>
    <t>112. PipeLovers 💙 Gestão Comercial: "Planejamento Anual de Vendas" com Gustavo Pagotto - 2025/01/07 16:52 GMT-03:00 - Recording</t>
  </si>
  <si>
    <t>Estratégias de Expansão de Receita: Alinhando Produto, Marketing e Vendas</t>
  </si>
  <si>
    <t>Walner Santos</t>
  </si>
  <si>
    <t>Sólides Tecnologia</t>
  </si>
  <si>
    <t>https://universidade.pipelovers.net/m/lessons/como-usar-os-gatilhos-mentais-a-seu-favor1769552046459?classId=3521</t>
  </si>
  <si>
    <t>https://universidade.pipelovers.net/m/lessons/administrando-a-rejeicao-em-vendas1769552344637?classId=3608</t>
  </si>
  <si>
    <t>https://universidade.pipelovers.net/m/lessons/estrategias-de-expansao-de-receita-alinhando-produto-marketing-e-vendas1769552304724?classId=3282</t>
  </si>
  <si>
    <t>27/09/2023</t>
  </si>
  <si>
    <t>https://drive.google.com/file/d/1JBWXIbQzovQVCt7EDJ16glJi4ENfC8jv/view?usp=drive_link</t>
  </si>
  <si>
    <t>103. PipeLovers💚SDRs: "Como usar os gatilhos mentais a seu favor" com Paula Olaf – 2024/08/26 12:52 BRT – Recording</t>
  </si>
  <si>
    <t>Elen Lima</t>
  </si>
  <si>
    <t>Head Customer Success &amp; CRM</t>
  </si>
  <si>
    <t>Loft</t>
  </si>
  <si>
    <t>113. PipeLovers 💙 Gestão Comercial: "Estratégias de Expansão de Receita: Alinhando Produto, Marketing e - 2025/01/14 10:47 GMT-03:00 - Recording</t>
  </si>
  <si>
    <t>https://www.linkedin.com/in/elen-lima/</t>
  </si>
  <si>
    <t>Comunicação Persuasiva para Líderes Comerciais</t>
  </si>
  <si>
    <t>Ricardo Voz</t>
  </si>
  <si>
    <t>Houdini Group</t>
  </si>
  <si>
    <t>https://universidade.pipelovers.net/m/lessons/comunicacao-persuasiva-para-lideres-comerciais1769552304784?classId=3283</t>
  </si>
  <si>
    <t>Aprendendo com Oportunidades Perdidas</t>
  </si>
  <si>
    <t>Barbara Martins</t>
  </si>
  <si>
    <t>Coordenadora de Vendas B2B</t>
  </si>
  <si>
    <t>https://www.linkedin.com/in/b%C3%A1rbara-ribeiro-martins-460aa764/</t>
  </si>
  <si>
    <t>https://universidade.pipelovers.net/m/lessons/ascensao-de-sdr-a-gestor1769552059566?classId=3522</t>
  </si>
  <si>
    <t>114. PipeLovers 💙 Gestão Comercial: "Comunicação Persuasiva para Líderes Comerciais" com Ricardo Voz - 2025/01/21 16:52 GMT-03:00 - Recording</t>
  </si>
  <si>
    <t>Como Motivar uma Equipe de Vendas Desmotivada</t>
  </si>
  <si>
    <t>https://universidade.pipelovers.net/m/lessons/aprendendo-com-oportunidades-perdidas1769552344431?classId=2775</t>
  </si>
  <si>
    <t>Raul Candeloro</t>
  </si>
  <si>
    <t>VendaMais</t>
  </si>
  <si>
    <t>https://universidade.pipelovers.net/aulas/como-motivar-uma-equpe-de-vendas-desmotivada-1775503692564</t>
  </si>
  <si>
    <t>104. PipeLovers💚SDRs: "Ascensão de SDR a gestor" com Elen Lima – 2024/09/02 12:52 BRT – Recording</t>
  </si>
  <si>
    <t>Personalizando pitches para diferentes segmentos</t>
  </si>
  <si>
    <t>Camely Rabelo</t>
  </si>
  <si>
    <t>https://www.linkedin.com/in/camelyrabelo/</t>
  </si>
  <si>
    <t>04/10/2023</t>
  </si>
  <si>
    <t>https://drive.google.com/file/d/1G0Ithdnd1KqxW3NgqSzOScjb60S3U0Kw/view?usp=drive_link</t>
  </si>
  <si>
    <t>115. PipeLovers 💙 Gestão Comercial: "Como motivar uma equipe de vendas desmotivada" com Raul Candeloro - 2025/01/28 10:52 GMT-03:00 - Recording</t>
  </si>
  <si>
    <t>Erros comuns na definição do ICP e como corrigi-los</t>
  </si>
  <si>
    <t>Patrick Francisco</t>
  </si>
  <si>
    <t>Driva</t>
  </si>
  <si>
    <t>https://universidade.pipelovers.net/m/lessons/erros-comuns-na-definicao-do-icp-e-como-corrigi-los1769552304916?classId=3285</t>
  </si>
  <si>
    <t>Feiras e Eventos: hacks para valer a pena para o vendedor</t>
  </si>
  <si>
    <t>Marcelo Sinhorini</t>
  </si>
  <si>
    <t>https://universidade.pipelovers.net/m/lessons/personalizando-pitches-para-diferentes-segmentos1769552059893?classId=3523</t>
  </si>
  <si>
    <t>Portal ERP &amp; ERP Summit</t>
  </si>
  <si>
    <t>https://www.linkedin.com/in/marcelosinhorini/</t>
  </si>
  <si>
    <t>https://universidade.pipelovers.net/m/lessons/feiras-e-eventos-hacks-para-valer-a-pena-para-o-vendedor1769552344753?classId=3609</t>
  </si>
  <si>
    <t>116. PipeLovers 💙 Gestão Comercial: "Erros comuns na definição do ICP e como corrigi-los" com Patrick F - 2025/02/04 10:42 GMT-03:00 - Recording</t>
  </si>
  <si>
    <t>Estratégias para garantir margens saudáveis em negociações</t>
  </si>
  <si>
    <t>Bruno Lima</t>
  </si>
  <si>
    <t>Regional Director, Enterprise Sales</t>
  </si>
  <si>
    <t>MongoDB</t>
  </si>
  <si>
    <t>https://universidade.pipelovers.net/m/lessons/estrategias-para-garantir-margens-saudaveis-em-negociacoes1769552305007?classId=3286</t>
  </si>
  <si>
    <t>105. PipeLovers💚SDRs: "Personaliozando pitches para diferentes segmentos " com Camely Rabelo – 2024/09/09 12:53 BRT – Recording</t>
  </si>
  <si>
    <t>Karyn Souza</t>
  </si>
  <si>
    <t>2DOTS</t>
  </si>
  <si>
    <t>https://www.linkedin.com/in/karyndesouza/</t>
  </si>
  <si>
    <t>11/10/2023</t>
  </si>
  <si>
    <t>https://drive.google.com/file/d/1Ytv1PpZFEX8k4L2f92IYcFp4Vg18JUrI/view?usp=drive_link</t>
  </si>
  <si>
    <t>117. PipeLovers 💙 Gestão Comercial: "Estratégias para garantir margens saudáveis em negociações " com B - 2025/02/11 16:53 GMT-03:00 - Recording</t>
  </si>
  <si>
    <t>Qual o papel de um gestor comercial numa estrutura de Revops</t>
  </si>
  <si>
    <t>https://universidade.pipelovers.net/m/lessons/principais-indicadores-na-area-de-pre-vendas1769552059975?classId=3524</t>
  </si>
  <si>
    <t>Fabio Duran</t>
  </si>
  <si>
    <t>Co-founder e CEO</t>
  </si>
  <si>
    <t>8D Hubify</t>
  </si>
  <si>
    <t>https://universidade.pipelovers.net/m/lessons/qual-o-papel-de-um-gestor-comercial-numa-estrutura-de-revops1769552305071?classId=3287</t>
  </si>
  <si>
    <t>Vendendo para cliente bilionários</t>
  </si>
  <si>
    <t>Daniel Prado</t>
  </si>
  <si>
    <t>Nau Capital</t>
  </si>
  <si>
    <t>https://www.linkedin.com/in/daniel-prado-3815b93b/</t>
  </si>
  <si>
    <t>https://universidade.pipelovers.net/m/lessons/vendendo-para-cliente-bilionarios1769552344699?classId=3610</t>
  </si>
  <si>
    <t>https://www.linkedin.com/in/fabiomeloduran</t>
  </si>
  <si>
    <t>106. PipeLovers💚SDRs: "Principais indicadores na área de pre-vendas" com Karyn Souza – 2024/09/16 12:55 BRT – Recording</t>
  </si>
  <si>
    <t>Oliver Fernandes</t>
  </si>
  <si>
    <t>Mid Market Sales Manager &amp; Head of BDR</t>
  </si>
  <si>
    <t>Uber</t>
  </si>
  <si>
    <t>https://www.linkedin.com/in/fernandesoliver/</t>
  </si>
  <si>
    <t>118. PipeLovers 💙 Gestão Comercial: "Qual o papel de um gestor comercial numa estrutura de Revops" com  - 2025/02/18 10:57 GMT-03:00 - Recording</t>
  </si>
  <si>
    <t>18/10/2023</t>
  </si>
  <si>
    <t>https://drive.google.com/file/d/1cmYTjs_gFn_EsCAVeRaEXqMiYrv91Wmp/view?usp=drive_link</t>
  </si>
  <si>
    <t>Rituais de gestão de tempo para líderes de vendas</t>
  </si>
  <si>
    <t>Caio Vidal</t>
  </si>
  <si>
    <t>https://universidade.pipelovers.net/m/lessons/rituais-de-gestao-de-tempo-para-lideres-de-vendas1769552305130?classId=3288</t>
  </si>
  <si>
    <t>https://universidade.pipelovers.net/m/lessons/abertura-de-oportunidades-atraves-de-contatos-operacionais1769552059926?classId=3525</t>
  </si>
  <si>
    <t>Account Based Marketing: o papel do vendedor nessa estratégia</t>
  </si>
  <si>
    <t>Cofounder &amp; CEO</t>
  </si>
  <si>
    <t>Maestro ABM</t>
  </si>
  <si>
    <t>https://www.linkedin.com/in/caiovidalsoares/</t>
  </si>
  <si>
    <t>107. PipeLovers💚SDRs: "Abertura de oportunidades através de contatos operacionais" com Oliver Fernandes – 2024/09/30 12:47 BRT – Recording</t>
  </si>
  <si>
    <t>Augusto Canabrava</t>
  </si>
  <si>
    <t>Head de Desenvolvimento de Negócios</t>
  </si>
  <si>
    <t>Sales Box</t>
  </si>
  <si>
    <t>https://www.linkedin.com/in/acanabrava/</t>
  </si>
  <si>
    <t>119. PipeLovers 💙 Gestão Comercial: "Rituais de gestão de tempo para líderes de vendas" com Caio Vidal  - 2025/02/25 10:52 GMT-03:00 - Recording</t>
  </si>
  <si>
    <t>Geração Z no B2B: Preparando sua equipe para lidar com novos decisores</t>
  </si>
  <si>
    <t>Thiago Cherem</t>
  </si>
  <si>
    <t>Linqo</t>
  </si>
  <si>
    <t>https://universidade.pipelovers.net/m/lessons/geracao-z-no-b2b-preparando-sua-equipe-para-lidar-com-novos-decisores1769552305189?classId=3027</t>
  </si>
  <si>
    <t>25/10/2023</t>
  </si>
  <si>
    <t>https://drive.google.com/file/d/1SuLkDAXT_t0wbdyULxNodXlzUZQ9IrD6/view?usp=drive_link</t>
  </si>
  <si>
    <t>https://universidade.pipelovers.net/m/lessons/mapeando-o-comportamento-de-diferentes-consumidores1769552060000?classId=3526</t>
  </si>
  <si>
    <t>Entendendo as raízes das objeções</t>
  </si>
  <si>
    <t xml:space="preserve">Marina Rachewsky </t>
  </si>
  <si>
    <t>Head de vendas</t>
  </si>
  <si>
    <t>Grupo Farani</t>
  </si>
  <si>
    <t>https://www.linkedin.com/in/marinarlemos/</t>
  </si>
  <si>
    <t>https://www.linkedin.com/in/thiagocherem/</t>
  </si>
  <si>
    <t>108. PipeLovers💚SDRs: "Mapeando o comportamento de diferentes consumidores" com Augusto Canabrava – 2024/10/07 12:54 BRT – Recording</t>
  </si>
  <si>
    <t>Paula Coscarelli</t>
  </si>
  <si>
    <t>WeLeaders</t>
  </si>
  <si>
    <t>https://www.linkedin.com/in/paula-coscarelli/</t>
  </si>
  <si>
    <t>120. PipeLovers 💙 Gestão Comercial: "Geração Z no B2B: Preparando sua equipe para lidar com novos decis - 2025/03/11 10:55 GMT-03:00 - Recording</t>
  </si>
  <si>
    <t>https://universidade.pipelovers.net/m/lessons/entendendo-as-raizes-das-objecoes1769552344891?classId=3612</t>
  </si>
  <si>
    <t>Expansão comercial: Estratégias para prospecção internacional</t>
  </si>
  <si>
    <t>Nayara D'Alama</t>
  </si>
  <si>
    <t>Sales Director (Direct &amp; Channel Sales)</t>
  </si>
  <si>
    <t>Involves</t>
  </si>
  <si>
    <t>https://universidade.pipelovers.net/m/lessons/expansao-comercial-estrategias-para-prospeccao-internacional1769552305275?classId=3289</t>
  </si>
  <si>
    <t>https://universidade.pipelovers.net/m/lessons/como-receber-e-responder-ao-feedback-dos-lideres1769552060036?classId=3527</t>
  </si>
  <si>
    <t>01/11/2023</t>
  </si>
  <si>
    <t>https://drive.google.com/file/d/1n8RRekHtI4suDuAKjCUyADxhcSHqKtrA/view?usp=drive_link</t>
  </si>
  <si>
    <t>121. PipeLovers 💙 Gestão Comercial: "Expansão comercial Enterprise: Estratégias para prospecção interna - 2025/03/18 10:50 GMT-03:00 - Recording</t>
  </si>
  <si>
    <t>Carol Deberaldini</t>
  </si>
  <si>
    <t>Head de Produtos</t>
  </si>
  <si>
    <t>109. PipeLovers💚SDRs: "Como receber e responder ao feedback dos líderes" com Paula Coscarelli – 2024/10/14 12:50 BRT – Recording</t>
  </si>
  <si>
    <t>https://universidade.pipelovers.net/m/lessons/dar-e-receber-feedback-com-clareza1769552060864?classId=3028</t>
  </si>
  <si>
    <t>100% atualizado antes do seu cliente</t>
  </si>
  <si>
    <t>Kayuá Freitas</t>
  </si>
  <si>
    <t>Sócio</t>
  </si>
  <si>
    <t>Caroline Andreola</t>
  </si>
  <si>
    <t>https://www.linkedin.com/in/kayua/</t>
  </si>
  <si>
    <t>Carol Andreola | Customer Expert</t>
  </si>
  <si>
    <t>https://www.linkedin.com/in/caroline-andreola/</t>
  </si>
  <si>
    <t>https://universidade.pipelovers.net/m/lessons/ciencia-para-validacao-de-mensagens-de-prospeccao1769552060064?classId=3528</t>
  </si>
  <si>
    <t>https://www.linkedin.com/in/carol-deberaldini-21793442/</t>
  </si>
  <si>
    <t>https://universidade.pipelovers.net/m/lessons/100-atualizado-antes-do-seu-cliente1769552345017?classId=3613</t>
  </si>
  <si>
    <t>122. PipeLovers 🖤: "Dar e receber feedback com clareza" com Carol Deberaldini - 2025/03/26 12:50 GMT-03:00 - Recording</t>
  </si>
  <si>
    <t>110. PipeLovers💚SDRs: "Ciência para validação de mensagens de prospecção" com Kayuá Freitas – 2024/10/21 13:20 BRT – Recording</t>
  </si>
  <si>
    <t>Geração de funil orgânico no Linkedin</t>
  </si>
  <si>
    <t>Paula Yunes</t>
  </si>
  <si>
    <t>https://universidade.pipelovers.net/m/lessons/geracao-de-funil-organico-no-linkedin1769552305340?classId=3029</t>
  </si>
  <si>
    <t>Grupo Polipack</t>
  </si>
  <si>
    <t>https://www.linkedin.com/in/paula-yunes-629b5ba2/</t>
  </si>
  <si>
    <t>08/11/2023</t>
  </si>
  <si>
    <t>https://drive.google.com/file/d/1hg-0LSTErHjYGZXyqTLVP_trskxkS3ev/view?usp=drive_link</t>
  </si>
  <si>
    <t>https://universidade.pipelovers.net/m/lessons/prospectando-o-segmento-de-manufatura1769552060103?classId=3542</t>
  </si>
  <si>
    <t>Contabilidade para Vendedores</t>
  </si>
  <si>
    <t>123. PipeLovers 💙 Gestão Comercial: "Geração de funil orgânico no Linkedin" com Matheus Weigand - 2025/04/01 10:52 GMT-03:00 - Recording</t>
  </si>
  <si>
    <t>Pipeline de Liderança: a primeira grande transição para liderar pessoas</t>
  </si>
  <si>
    <t>Diretor de operações de tecnologia</t>
  </si>
  <si>
    <t>https://universidade.pipelovers.net/m/lessons/pipeline-de-lideranca-a-primeira-grande-transicao-para-liderar-pessoas1769552305446?classId=3290</t>
  </si>
  <si>
    <t>111. PipeLovers💚SDRs: "Prospectando o segmento de manufatura" com Paula Yunes – 2024/10/28 12:50 BRT – Recording</t>
  </si>
  <si>
    <t>https://universidade.pipelovers.net/m/lessons/contabilidade-para-vendedores1769552344959?classId=3614</t>
  </si>
  <si>
    <t>15/11/2023</t>
  </si>
  <si>
    <t>Unit Economics</t>
  </si>
  <si>
    <t>https://drive.google.com/file/d/1hlD9v5u_cLUkR7rixp9glWZ_VnESqxp_/view?usp=drive_link</t>
  </si>
  <si>
    <t>124. PipeLovers 💙 Gestão Comercial: "Pipeline de Liderança: a primeira grande transição para liderar pe - 2025/04/08 10:47 GMT-03:00 - Recording</t>
  </si>
  <si>
    <t>Funil de vendas eficiente: passo a passo para estruturação</t>
  </si>
  <si>
    <t>Cassio Lopes</t>
  </si>
  <si>
    <t>https://universidade.pipelovers.net/m/lessons/funil-de-vendas-eficiente-passo-a-passo-para-estruturacao1769552305506?classId=3291</t>
  </si>
  <si>
    <t>Propostas Comerciais Efetivas</t>
  </si>
  <si>
    <t>Mauricio Kigiela</t>
  </si>
  <si>
    <t>DocSales</t>
  </si>
  <si>
    <t>112.PipeLovers 🤍: "Palestra RD Summit 2024 " com Gustavo Pagotto – 2024/11/05 07:46 BRT – Recording</t>
  </si>
  <si>
    <t>https://www.linkedin.com/in/mauriciokigiela/</t>
  </si>
  <si>
    <t>Hugo Nascimento</t>
  </si>
  <si>
    <t>Eva Copilot</t>
  </si>
  <si>
    <t>https://www.linkedin.com/in/hugosoaresnascimento/</t>
  </si>
  <si>
    <t>https://universidade.pipelovers.net/m/lessons/propostas-comerciais-efetivas1769552345090?classId=3615</t>
  </si>
  <si>
    <t>https://www.linkedin.com/in/leandrohirose</t>
  </si>
  <si>
    <t>https://universidade.pipelovers.net/m/lessons/mapeando-e-contornando-objecoes-com-ia1769552060177?classId=3543</t>
  </si>
  <si>
    <t>22/11/2023</t>
  </si>
  <si>
    <t>Vendas para o Setor Público</t>
  </si>
  <si>
    <t>125. PipeLovers 💙 Gestão Comercial: "Funil de vendas eficiente: passo a passo para estruturação" com Ca - 2025/04/15 10:47 GMT-03:00 - Recording</t>
  </si>
  <si>
    <t>https://drive.google.com/file/d/1rCZkMQlrFS_WsNbEnveuNGwBTm_UzOau/view?usp=drive_link</t>
  </si>
  <si>
    <t>Como fazer 1:1: Reuniões individuais de acompanhamento com seu time</t>
  </si>
  <si>
    <t>https://universidade.pipelovers.net/m/lessons/como-fazer-11-reunioes-individuais-de-acompanhamento-com-seu-time1769552305573?classId=3292</t>
  </si>
  <si>
    <t>Raphael Fassoni</t>
  </si>
  <si>
    <t>Estônia Hub</t>
  </si>
  <si>
    <t>https://www.linkedin.com/in/rfassoni/</t>
  </si>
  <si>
    <t xml:space="preserve">113. PipeLovers💚SDRs: "Mapeando e contornando objeções com IA" com Hugo Nascimento – 2024/11/11 12:46 </t>
  </si>
  <si>
    <t>https://universidade.pipelovers.net/m/lessons/vendas-para-o-setor-publico1769552345148?classId=3616</t>
  </si>
  <si>
    <t>126. PipeLovers 💙 Gestão Comercial: "Como fazer 1:1: Reuniões individuais de acompanhamento com seu tim - 2025/04/22 10:53 GMT-03:00 - Recording</t>
  </si>
  <si>
    <t>Como a IA pode facilitar a vida de um gerente de vendas?</t>
  </si>
  <si>
    <t>Kesley Barros</t>
  </si>
  <si>
    <t>Fausto Mello</t>
  </si>
  <si>
    <t>Ramper</t>
  </si>
  <si>
    <t>https://www.linkedin.com/in/kesleybarros/</t>
  </si>
  <si>
    <t>Predi</t>
  </si>
  <si>
    <t>https://universidade.pipelovers.net/m/lessons/como-a-ia-pode-facilitar-a-vida-de-um-gerente-de-vendas1769552305633?classId=3293</t>
  </si>
  <si>
    <t>29/11/2023</t>
  </si>
  <si>
    <t>https://drive.google.com/file/d/1YA1kQxC0BstDWu1F2b9Y1KwIecgJ-qfe/view?usp=drive_link</t>
  </si>
  <si>
    <t>https://universidade.pipelovers.net/m/lessons/como-big-data-pode-ser-um-aliado-em-pre-vendas1769552060261?classId=3544</t>
  </si>
  <si>
    <t>Gestão de crises com clientes</t>
  </si>
  <si>
    <t xml:space="preserve">Maíra Bevilaqua  </t>
  </si>
  <si>
    <t>https://www.linkedin.com/in/mairabevilaqua/</t>
  </si>
  <si>
    <t>https://universidade.pipelovers.net/m/lessons/gestao-de-crises-com-clientes1769552345297?classId=3617</t>
  </si>
  <si>
    <t>127. PipeLovers 💙 Gestão Comercial: "Como a IA pode facilitar a vida de um gerente de vendas?" com Faus - 2025/04/30 10:45 GMT-03:00 - Recording</t>
  </si>
  <si>
    <t>114. PipeLovers💚SDRs: "Como Big Data pode ser um aliado de pré-vendas" com Kesley Barros - 2024/11/18 12:45 GMT-03:00 - Recording</t>
  </si>
  <si>
    <t>Outbound que funciona: o que fazer e o que evitar</t>
  </si>
  <si>
    <t>Gabriela Mafra</t>
  </si>
  <si>
    <t>2</t>
  </si>
  <si>
    <t>06/12/2023</t>
  </si>
  <si>
    <t>Consultora de Imagem e Stylist</t>
  </si>
  <si>
    <t>https://drive.google.com/file/d/11DCKt4vBozB2LeGCbd2i7hyhWLos0dqz/view?usp=drive_link</t>
  </si>
  <si>
    <t xml:space="preserve">- </t>
  </si>
  <si>
    <t>https://universidade.pipelovers.net/m/lessons/primeira-impressao-na-prospeccao-o-impacto-da-imagem-profissional1769552060299?classId=3546</t>
  </si>
  <si>
    <t>CRO</t>
  </si>
  <si>
    <t>https://universidade.pipelovers.net/m/lessons/outbound-que-funciona-o-que-fazer-e-o-que-evitar1769552307972?classId=3294</t>
  </si>
  <si>
    <t>A jornada do onboarding à promoção</t>
  </si>
  <si>
    <t xml:space="preserve">Gabriela Paganotto </t>
  </si>
  <si>
    <t>Engagement and Growth Sênior Analyst</t>
  </si>
  <si>
    <t>Mercado Livre</t>
  </si>
  <si>
    <t>https://www.linkedin.com/in/gabrielapaganotto/</t>
  </si>
  <si>
    <t>https://universidade.pipelovers.net/m/lessons/a-jornada-do-onboarding-a-promocao1769552345215?classId=3618</t>
  </si>
  <si>
    <t>115. PipeLovers💚SDRs: "Primeira impressão na prospecção: O impacto da imagem profissional" com Gabriela - 2024/11/25 12:51 GMT-03:00 - Recording</t>
  </si>
  <si>
    <t>13/12/2023</t>
  </si>
  <si>
    <t>https://drive.google.com/file/d/1Fc-ZDmK6McqogN_tTJJoUlKtRCWJRkc_/view?usp=drive_link</t>
  </si>
  <si>
    <t>Sarah Fernoliver</t>
  </si>
  <si>
    <t>Desenvolvimento de Negócios</t>
  </si>
  <si>
    <t xml:space="preserve">Galpão3 </t>
  </si>
  <si>
    <t>https://www.linkedin.com/in/sarah-f-oliveira/</t>
  </si>
  <si>
    <t>128. PipeLovers 💙 Gestão Comercial: "Outbound que funciona: o que fazer e o que evitar" com Rafael Alex - 2025/05/06 10:43 GMT-03:00 - Recording</t>
  </si>
  <si>
    <t>https://universidade.pipelovers.net/m/lessons/grave-envie-e-converta-como-os-videos-podem-ajudar-na-prospeccao1769552060338?classId=3545</t>
  </si>
  <si>
    <t>WhatsApp como ferramenta de vendas B2B</t>
  </si>
  <si>
    <t>Malbio Mendes</t>
  </si>
  <si>
    <t>Head of Sales and Marketing</t>
  </si>
  <si>
    <t>ChatGuru</t>
  </si>
  <si>
    <t>https://www.linkedin.com/in/malbio/</t>
  </si>
  <si>
    <t>Enablement Benchmark Brasil 2025</t>
  </si>
  <si>
    <t xml:space="preserve">Reinaldo Heck </t>
  </si>
  <si>
    <t>Coordenador de Revenue Enablement</t>
  </si>
  <si>
    <t xml:space="preserve">Paraná Banco </t>
  </si>
  <si>
    <t>https://universidade.pipelovers.net/m/lessons/enablement-benchmark-brasil-20251769552308005?classId=3295</t>
  </si>
  <si>
    <t>https://universidade.pipelovers.net/m/lessons/whatsapp-como-ferramenta-de-vendas-b2b1769552345360?classId=3619</t>
  </si>
  <si>
    <t>116. PipeLovers💚SDRs: "Grave, envie e converta: Como os vídeos podem ajudar na prospecção" com Sarah Fe - 2024/12/02 12:45 GMT-03:00 - Recording</t>
  </si>
  <si>
    <t>Thiago Avelino</t>
  </si>
  <si>
    <t>Co-fundador &amp; CRO</t>
  </si>
  <si>
    <t>The Revenue Architects</t>
  </si>
  <si>
    <t>https://www.linkedin.com/in/thiagoavelinoq/</t>
  </si>
  <si>
    <t>20/12/2023</t>
  </si>
  <si>
    <t>https://drive.google.com/file/d/1F3AHsDk_tq0HPgKboccDdb2RoQHO_dd6/view?usp=drive_link</t>
  </si>
  <si>
    <t>129. PipeLovers 💙 Gestão Comercial: "Enablement Benchmark Brasil 2025" com Reinaldo Heck   - 2025/05/13 10:51 GMT-03:00 - Recording</t>
  </si>
  <si>
    <t>https://universidade.pipelovers.net/m/lessons/nutricao-de-leads-para-maximizar-conversoes1769552060365?classId=3547</t>
  </si>
  <si>
    <t>Os princípios de Dale Carnegie</t>
  </si>
  <si>
    <t>André Candido</t>
  </si>
  <si>
    <t>Indicadores das empresas que ajudam os gestores comerciais</t>
  </si>
  <si>
    <t>ClickMassa</t>
  </si>
  <si>
    <t>https://www.linkedin.com/in/candidoandre/</t>
  </si>
  <si>
    <t>Fausto Reichert</t>
  </si>
  <si>
    <t xml:space="preserve">PipeRun </t>
  </si>
  <si>
    <t>https://universidade.pipelovers.net/m/lessons/indicadores-das-empresas-que-ajudam-os-gestores-comerciais1769552308033?classId=3296</t>
  </si>
  <si>
    <t>https://universidade.pipelovers.net/m/lessons/os-principios-de-dale-carnegie1769552345425?classId=3620</t>
  </si>
  <si>
    <t>117. PipeLovers💚SDRs: "Nutrição de leads para maximizar conversões" com Thiago Avelino - 2024/12/09 12:51 GMT-03:00 - Recording</t>
  </si>
  <si>
    <t>Mari Genovez</t>
  </si>
  <si>
    <t>MATCHEZ</t>
  </si>
  <si>
    <t>https://www.linkedin.com/in/mari-genovez/</t>
  </si>
  <si>
    <t>130. PipeLovers 💙 Gestão Comercial: "Indicadores das empresas que ajudem os gestores comerciais" com Fa - 2025/05/20 10:46 GMT-03:00 - Recording</t>
  </si>
  <si>
    <t>27/12/2023</t>
  </si>
  <si>
    <t>Principios de Dale Canergie</t>
  </si>
  <si>
    <t>Como CS influencia a geração de demanda do comercial</t>
  </si>
  <si>
    <t>Thiago Henrique Fagundes</t>
  </si>
  <si>
    <t>https://drive.google.com/file/d/1VgpWh5W7kLilpwzI9cYna0PKfLRHvof9/view?usp=drive_link</t>
  </si>
  <si>
    <t>Gerente de Operações</t>
  </si>
  <si>
    <t>https://universidade.pipelovers.net/m/lessons/por-que-o-telefone-ainda-supera-e-mails-e-mensagens-na-primeira-conexao1769552060394?classId=3038</t>
  </si>
  <si>
    <t>Superlógica Tecnologias</t>
  </si>
  <si>
    <t>https://universidade.pipelovers.net/m/lessons/como-cs-influencia-a-geracao-de-demanda-do-comercial1769552308098?classId=3297</t>
  </si>
  <si>
    <t>Como potencializar o seu pré-vendedor?</t>
  </si>
  <si>
    <t>Orlando Rodriguez</t>
  </si>
  <si>
    <t>118. PipeLovers💚SDRs: "Por que o telefone ainda supera e-mails e mensagens na primeira conexão?" com Ma - 2024/12/16 12:56 GMT-03:00 - Recording</t>
  </si>
  <si>
    <t>Ex-LinkedIn, SAP e Prezi</t>
  </si>
  <si>
    <t>https://www.linkedin.com/in/orlandolatam</t>
  </si>
  <si>
    <t>Günther Weissböck</t>
  </si>
  <si>
    <t>Manager of Customer Success</t>
  </si>
  <si>
    <t>https://www.linkedin.com/in/guntherweissbock/</t>
  </si>
  <si>
    <t>Gestão de vendas</t>
  </si>
  <si>
    <t>131. PipeLovers 💙 Gestão Comercial: "Como CS influencia a geração de demanda do comercial" com Thiago H - 2025/05/27 10:51 GMT-03:00 - Recording</t>
  </si>
  <si>
    <t>https://universidade.pipelovers.net/m/lessons/como-potencializar-o-seu-pre-vendedor1769552345486?classId=3621</t>
  </si>
  <si>
    <t>10 dicas que eu aprendi entrevistando 200 empresários</t>
  </si>
  <si>
    <t>Danilo Magri</t>
  </si>
  <si>
    <t>Logmed Soluções Logísticas</t>
  </si>
  <si>
    <t>https://universidade.pipelovers.net/m/lessons/10-dicas-que-eu-aprendi-entrevistando-200-empresarios1769552308149?classId=3298</t>
  </si>
  <si>
    <t>https://universidade.pipelovers.net/m/lessons/prospeccao-na-base-de-clientes1769552060458?classId=3548</t>
  </si>
  <si>
    <t>03/01/2024</t>
  </si>
  <si>
    <t>https://drive.google.com/file/d/1wODl6Y9-NdVusgBxTy1jQya0c43eo6gl/view?usp=drive_link</t>
  </si>
  <si>
    <t>132. PipeLovers 💙 Gestão Comercial: "10 dicas que eu aprendi entrevistando 200 empresários" com Danilo  - 2025/06/03 10:41 GMT-03:00 - Recording</t>
  </si>
  <si>
    <t>Como participar do planejamento estratégico do cliente?</t>
  </si>
  <si>
    <t>Marcelo Lourençon</t>
  </si>
  <si>
    <t>Manual antichefe na prática: o que fazer (e o que evitar) pra construir um time saudável</t>
  </si>
  <si>
    <t xml:space="preserve">Eberson Terra </t>
  </si>
  <si>
    <t>https://www.linkedin.com/in/marcelo-lourencon/</t>
  </si>
  <si>
    <t>CIO</t>
  </si>
  <si>
    <t>Abrapa</t>
  </si>
  <si>
    <t>https://universidade.pipelovers.net/m/lessons/manual-antichefe-na-pratica-o-que-fazer-e-o-que-evitar-pra-construir-um-time-saudavel1769552308197?classId=3299</t>
  </si>
  <si>
    <t>119. PipeLovers💚SDRs: "Prospecção na base de clientes" com Günther Weissböck - 2025/01/06 12:56 GMT-03:00 - Recording</t>
  </si>
  <si>
    <t>Ricardo Alvarinho</t>
  </si>
  <si>
    <t>https://universidade.pipelovers.net/m/lessons/como-participar-do-planejamento-estrategico-do-cliente1769552345544?classId=3622</t>
  </si>
  <si>
    <t>Resultado Memorável</t>
  </si>
  <si>
    <t>https://www.linkedin.com/in/ricardoalvarinho/</t>
  </si>
  <si>
    <t>https://www.linkedin.com/in/ebersonterra/</t>
  </si>
  <si>
    <t>https://universidade.pipelovers.net/m/lessons/tecnicas-para-transformar-agora-nao-em-vamos-marcar1769552060514?classId=3549</t>
  </si>
  <si>
    <t>133. PipeLovers 💙 Gestão Comercial: "Manual antichefe na prática: o que fazer (e o que evitar) pra cons - 2025/06/10 10:50 GMT-03:00 - Recording</t>
  </si>
  <si>
    <t>10/01/2024</t>
  </si>
  <si>
    <t>https://drive.google.com/file/d/1wsSw2uW6RdalAQhCPYthLTOlzsPQZyES/view?usp=drive_link</t>
  </si>
  <si>
    <t>Remuneração de longo prazo para retenção de vendedores</t>
  </si>
  <si>
    <t>Pedro Iglesias</t>
  </si>
  <si>
    <t>Stay</t>
  </si>
  <si>
    <t>https://universidade.pipelovers.net/m/lessons/remuneracao-de-longo-prazo-para-retencao-de-vendedores1769552308228?classId=3300</t>
  </si>
  <si>
    <t>Teaching and Learning: aprendendo com seu cliente</t>
  </si>
  <si>
    <t>Luciene Souza</t>
  </si>
  <si>
    <t>Twilio</t>
  </si>
  <si>
    <t>https://www.linkedin.com/in/luciene-souza/</t>
  </si>
  <si>
    <t>120. PipeLovers💚SDRs: "Técnicas para transformar "agora não" em "vamos marcar" " com Ricardo Alvarinho - 2025/01/13 12:51 GMT-03:00 - Recording</t>
  </si>
  <si>
    <t>https://www.linkedin.com/in/pedro-paulo-iglesias/</t>
  </si>
  <si>
    <t>https://universidade.pipelovers.net/m/lessons/teaching-and-learning-aprendendo-com-seu-cliente1769552345612?classId=3623</t>
  </si>
  <si>
    <t>134. PipeLovers 💙 Gestão Comercial: "Remuneração de longo prazo para retenção de vendedores" com Pedro  - 2025/06/17 10:51 GMT-03:00 - Recording</t>
  </si>
  <si>
    <t>https://universidade.pipelovers.net/m/lessons/como-falar-do-produto-sem-sobrecarregar-o-lead1769552060487?classId=3550</t>
  </si>
  <si>
    <t>Gestão de produtividade: o impacto da desorganização na performance comercial</t>
  </si>
  <si>
    <t>Marcos Welter</t>
  </si>
  <si>
    <t xml:space="preserve">Sales Advisor </t>
  </si>
  <si>
    <t>WZ Soluções</t>
  </si>
  <si>
    <t>https://universidade.pipelovers.net/m/lessons/gestao-de-produtividade-o-impacto-da-desorganizacao-na-performance-comercial1769552312473?classId=3303</t>
  </si>
  <si>
    <t>17/01/2024</t>
  </si>
  <si>
    <t>https://drive.google.com/file/d/1YsdBol8Hu0-c_I_gy-ZjCRVk5f_IfSOs/view?usp=drive_link</t>
  </si>
  <si>
    <t>135. PipeLovers 💙 Gestão Comercial: "Gestão de produtividade: o impacto da desorganização na performanc - 2025/06/24 10:52 GMT-03:00 - Recording</t>
  </si>
  <si>
    <t>Forecast: Como estruturar processo e rotina</t>
  </si>
  <si>
    <t>Bruno Siedschlag</t>
  </si>
  <si>
    <t>Mentor</t>
  </si>
  <si>
    <t>BS Consultoria</t>
  </si>
  <si>
    <t>https://universidade.pipelovers.net/m/lessons/forecast-como-estruturar-processo-e-rotina1769552312542?classId=3305</t>
  </si>
  <si>
    <t>Aprendendo com a concorrência</t>
  </si>
  <si>
    <t>Guilherme Figueiredo</t>
  </si>
  <si>
    <t>Targit Brasil</t>
  </si>
  <si>
    <t>121. PipeLovers💚SDRs: "Como falar do produto sem sobrecarregar o lead" com Thiago Cherem - 2025/01/20 12:52 GMT-03:00 - Recording</t>
  </si>
  <si>
    <t>https://www.linkedin.com/in/fernandesfigueiredo/</t>
  </si>
  <si>
    <t>Rafaela Schultz</t>
  </si>
  <si>
    <t>Sales Enablement Specialist</t>
  </si>
  <si>
    <t>Winnin</t>
  </si>
  <si>
    <t>https://www.linkedin.com/in/rafaela-schultz/</t>
  </si>
  <si>
    <t>136. PipeLovers 💙 Gestão Comercial: "Forecast: Como estruturar processo e rotina" com Bruno Siedschlag - 2025/07/08 12:37 GMT-03:00 - Recording</t>
  </si>
  <si>
    <t>https://universidade.pipelovers.net/m/lessons/aprendendo-com-a-concorrencia1769552345692?classId=3706</t>
  </si>
  <si>
    <t>Como identificar e escalar os padrões dos melhores vendedores</t>
  </si>
  <si>
    <t>Thais Sterenberg</t>
  </si>
  <si>
    <t>Elephan.ai</t>
  </si>
  <si>
    <t>https://universidade.pipelovers.net/m/lessons/como-identificar-e-escalar-os-padroes-dos-melhores-vendedores1769552312590?classId=3490</t>
  </si>
  <si>
    <t>https://universidade.pipelovers.net/m/lessons/o-pitch-perfeito-gancho-valor-e-call-to-action1769552060577?classId=3551</t>
  </si>
  <si>
    <t>24/01/2024</t>
  </si>
  <si>
    <t>https://drive.google.com/file/d/1bMFZnMkLsFp150NQzceBtWew92fqXNVi/view?usp=drive_link</t>
  </si>
  <si>
    <t>https://www.linkedin.com/in/thais-sterenberg-de-oliveira/</t>
  </si>
  <si>
    <t>122. PipeLovers💚SDRs: "O pitch perfeito: Gancho, valor e call to action" com Rafaela Schultz - 2025/01/27 12:50 GMT-03:00 - Recording</t>
  </si>
  <si>
    <t>137. PipeLovers 💙 Gestão Comercial: "Como identificar e escalar os padrões dos melhores vendedores" com - 2025/07/15 12:46 GMT-03:00 - Recording</t>
  </si>
  <si>
    <t>Head de Produto</t>
  </si>
  <si>
    <t>Rituais, regras e processos: Como criar uma cultura de vendas forte</t>
  </si>
  <si>
    <t>Ivan Castro</t>
  </si>
  <si>
    <t>CEO &amp; Co-Founder</t>
  </si>
  <si>
    <t>Winning Sales</t>
  </si>
  <si>
    <t>https://universidade.pipelovers.net/m/lessons/rituais-regras-e-processos-como-criar-uma-cultura-de-vendas-forte1769552312672?classId=3306</t>
  </si>
  <si>
    <t>https://universidade.pipelovers.net/m/lessons/6-formas-diferentes-de-aprender-todos-os-dias1769552060624?classId=3552</t>
  </si>
  <si>
    <t>5</t>
  </si>
  <si>
    <t>31/01/2024</t>
  </si>
  <si>
    <t>https://drive.google.com/file/d/1bxT0RxHSIQJdvGcLnoavzbnLBsGq1ybp/view?usp=drive_link</t>
  </si>
  <si>
    <t>138. PipeLovers 💙 Gestão Comercial: "Rituais, regras e processos: Como criar uma cultura de vendas fort - 2025/07/22 12:51 GMT-03:00 - Recording</t>
  </si>
  <si>
    <t>Alexandre Perotti</t>
  </si>
  <si>
    <t>RevMinds</t>
  </si>
  <si>
    <t>Como chegar ao "Presidents Club"</t>
  </si>
  <si>
    <t>Eduardo Lima</t>
  </si>
  <si>
    <t>https://universidade.pipelovers.net/m/lessons/inbound-na-pratica-estruturando-sua-maquina-de-vendas1769552312732?classId=3307</t>
  </si>
  <si>
    <t>Account Director</t>
  </si>
  <si>
    <t>https://www.linkedin.com/in/eduedulima/</t>
  </si>
  <si>
    <t>123. PipeLovers💚SDRs: "6 formas diferentes de aprender todos os dias" com Carol Deberaldini - 2025/02/03 12:49 GMT-03:00 - Recording</t>
  </si>
  <si>
    <t>Pedro Assis</t>
  </si>
  <si>
    <t>https://www.linkedin.com/in/pedrohdeassis/</t>
  </si>
  <si>
    <t>https://universidade.pipelovers.net/m/lessons/como-chegar-ao-presidents-club1769552345813?classId=3006</t>
  </si>
  <si>
    <t>https://universidade.pipelovers.net/m/lessons/cac-e-ltv-o-que-esses-numeros-significam-para-a-prospeccao1769552060674?classId=3553</t>
  </si>
  <si>
    <t>139. PipeLovers 💙 Gestão Comercial_ _Inbound na Prática_ Estruturando sua Máquina de Vendas_ com Alexan - 2025_07_29 12_37 GMT-03_00 - Descript.mp4</t>
  </si>
  <si>
    <t>Ingo Stein</t>
  </si>
  <si>
    <t>Select Data</t>
  </si>
  <si>
    <t>https://universidade.pipelovers.net/m/lessons/indicadores-financeiros-que-todo-gestor-de-vendas-precisa-saber1769552312810?classId=3031</t>
  </si>
  <si>
    <t>07/02/2024</t>
  </si>
  <si>
    <t>https://drive.google.com/file/d/16k-LoD9YvrM7YikBOmD-TyNmtu7BXIX9/view?usp=drive_link</t>
  </si>
  <si>
    <t>Crescimento de carreira dentro da mesma organização</t>
  </si>
  <si>
    <t>124. PipeLovers💚SDRs: "CAC e LTV: O que esses números significam para a prospecção?" com Pedro Assis  - 2025/02/10 12:51 GMT-03:00 - Recording</t>
  </si>
  <si>
    <t>Vinicius Tirapelle Silva</t>
  </si>
  <si>
    <t>Head of Inside Sales</t>
  </si>
  <si>
    <t xml:space="preserve">Hiper </t>
  </si>
  <si>
    <t>https://www.linkedin.com/in/vinicius-tirapelle-da-silva-51451349/</t>
  </si>
  <si>
    <t>Esther Nam</t>
  </si>
  <si>
    <t>Strategic Customer Success Account Manager</t>
  </si>
  <si>
    <t>https://www.linkedin.com/in/esthernam2020/</t>
  </si>
  <si>
    <t>140. PipeLovers 💙 Gestão Comercial_ _Indicadores financeiros que todo gestor de vendas precisa saber_ c - 2025_08_05 12_32 GMT-03_00 - Descript.mp4</t>
  </si>
  <si>
    <t>https://universidade.pipelovers.net/m/lessons/crescimento-de-carreira-dentro-da-mesma-organizacao1769552345927?classId=3005</t>
  </si>
  <si>
    <t>Alan Bueno</t>
  </si>
  <si>
    <t>Nerus</t>
  </si>
  <si>
    <t>https://universidade.pipelovers.net/m/lessons/email-como-canal-de-geracao-de-demanda1769552312874?classId=3032</t>
  </si>
  <si>
    <t>https://universidade.pipelovers.net/m/lessons/como-identificar-e-explorar-oportunidades-de-upsell-1769552060700?classId=3554</t>
  </si>
  <si>
    <t>14/02/2024</t>
  </si>
  <si>
    <t>https://drive.google.com/file/d/1ubln9iH4G4aZLhR7iJLS6nNu_9FDZ5Cs/view?usp=drive_link</t>
  </si>
  <si>
    <t>141. PipeLovers 💙 Gestão Comercial_ _Email como canal de geração de demanda_ com Alan Bueno - 2025_08_12 12_36 GMT-03_00 - descript.mp4</t>
  </si>
  <si>
    <t>Samar Ghattas</t>
  </si>
  <si>
    <t>Hubee</t>
  </si>
  <si>
    <t>https://universidade.pipelovers.net/m/lessons/escala-internacional-estrategia-comercial-e-da-marca1769552312939?classId=3033</t>
  </si>
  <si>
    <t>125. PipeLovers💚SDRs: "Como identificar e explorar oportunidades de Upsell ?" com Esther Nam - 2025/02/17 12:55 GMT-03:00 - Recording</t>
  </si>
  <si>
    <t>Michel Kurc</t>
  </si>
  <si>
    <t>Consulting Partner</t>
  </si>
  <si>
    <t>Aprendendo com benchmarking</t>
  </si>
  <si>
    <t>https://www.linkedin.com/in/michelkurc/</t>
  </si>
  <si>
    <t>Manuela Lenzi</t>
  </si>
  <si>
    <t>Enterprise Account Manager</t>
  </si>
  <si>
    <t>Monday</t>
  </si>
  <si>
    <t>https://www.linkedin.com/in/manuelalenzi/</t>
  </si>
  <si>
    <t>142. PipeLovers 💙 Gestão Comercial_ _Escala internacional_ estratégia comercial e da marca_ com Samar G - 2025_08_19 12_47 GMT-03_00 - descript.mp4</t>
  </si>
  <si>
    <t>https://universidade.pipelovers.net/m/lessons/aprendendo-com-benchmarking1769552348296?classId=3004</t>
  </si>
  <si>
    <t>https://universidade.pipelovers.net/m/lessons/gatilhos-certeiros-como-deixar-seu-pitch-impossivel-de-ignorar1769552060763?classId=3555</t>
  </si>
  <si>
    <t>Bruna Infurna</t>
  </si>
  <si>
    <t>Head of Global Strategic Accounts</t>
  </si>
  <si>
    <t>https://universidade.pipelovers.net/m/lessons/como-construir-autoridade-e-confianca-com-contas-estrategicas1769552313019?classId=3034</t>
  </si>
  <si>
    <t>21/02/2024</t>
  </si>
  <si>
    <t>https://drive.google.com/file/d/1DCLBW5xrlWHHi4F9TyoFr_zPD8uiJhTk/view?usp=drive_link</t>
  </si>
  <si>
    <t>126. PipeLovers💚SDRs: "Gatilhos certeiros: como deixar seu pitch impossível de ignorar" com Michel Kurc - 2025/02/24 12:45 GMT-03:00 - Recording</t>
  </si>
  <si>
    <t>143. PipeLovers 💙 Gestão Comercial_ _Como construir autoridade e confiança com contas estratégicas_ com - 2025_08_26 12_48 GMT-03_00 - descript.mp4</t>
  </si>
  <si>
    <t>Gabriela Ehlert</t>
  </si>
  <si>
    <t>Líder de Vendas</t>
  </si>
  <si>
    <t>Transformação Digital</t>
  </si>
  <si>
    <t>Carolina Nucci</t>
  </si>
  <si>
    <t>https://www.linkedin.com/in/gabiehlert/</t>
  </si>
  <si>
    <t>Cofundadora e CMO</t>
  </si>
  <si>
    <t>CONECTAS</t>
  </si>
  <si>
    <t>https://universidade.pipelovers.net/m/lessons/crescimento-orientado-pela-experiencia-do-cliente1769552324183?classId=3030</t>
  </si>
  <si>
    <t>Como se preparar para uma reunião de forecast?</t>
  </si>
  <si>
    <t>Carlos Bortolotto</t>
  </si>
  <si>
    <t>Head de Vendas</t>
  </si>
  <si>
    <t>CRM PipeRun</t>
  </si>
  <si>
    <t>https://www.linkedin.com/in/carlos-gustavo-bortolotto/</t>
  </si>
  <si>
    <t>https://universidade.pipelovers.net/m/lessons/como-expandir-sua-rede-em-eventos1769552060789?classId=3556</t>
  </si>
  <si>
    <t>https://universidade.pipelovers.net/aulas/como-se-preparar-para-uma-reunia0-de-forecast-1775076746828</t>
  </si>
  <si>
    <t>Gestão de Canais</t>
  </si>
  <si>
    <t>Paola Behs</t>
  </si>
  <si>
    <t>PZB Mentoria e Consultoria</t>
  </si>
  <si>
    <t>https://universidade.pipelovers.net/m/lessons/lideranca-sob-pressao-como-manter-foco-e-equilibrio1769552324340?classId=3035</t>
  </si>
  <si>
    <t>28/02/2024</t>
  </si>
  <si>
    <t>https://drive.google.com/file/d/1lJo0feJ2mjElWy_-ZvDtSaCuflNu_wh6/view?usp=drive_link</t>
  </si>
  <si>
    <t>127. PipeLovers💚SDRs: "Como expandir sua rede em eventos" com Gabriela Ehlert - 2025/03/10 12:55 GMT-03:00 - Recording</t>
  </si>
  <si>
    <t>Leandro Bulhões</t>
  </si>
  <si>
    <t>Neoway</t>
  </si>
  <si>
    <t>https://www.linkedin.com/in/leandro-bulhoes/</t>
  </si>
  <si>
    <t>https://www.linkedin.com/in/paola-behs/</t>
  </si>
  <si>
    <t>Planejamento e Estratégia de Territórios</t>
  </si>
  <si>
    <t>Diogo Marra</t>
  </si>
  <si>
    <t>Head de CSX</t>
  </si>
  <si>
    <t>Cobli</t>
  </si>
  <si>
    <t>https://www.linkedin.com/in/diogomarra/</t>
  </si>
  <si>
    <t>146. PipeLovers 💙 Gestão Comercial_ _Gestão de expectativas com pares e liderança_ com Renata Feltrin - 2025_09_16 16_52 GMT-03_00 - descript.mp4</t>
  </si>
  <si>
    <t>https://universidade.pipelovers.net/m/lessons/planejamento-e-estrategia-de-territorios1769552348416?classId=3002</t>
  </si>
  <si>
    <t>Renata Feltrin</t>
  </si>
  <si>
    <t>FORWD.co</t>
  </si>
  <si>
    <t>https://universidade.pipelovers.net/m/lessons/roi-na-pratica-como-engajar-leads-que-nao-enxergam-valor1769552060817?classId=3557</t>
  </si>
  <si>
    <t>https://universidade.pipelovers.net/m/lessons/gestao-de-expectativas-com-pares-e-lideranca1769552324424?classId=3036</t>
  </si>
  <si>
    <t>06/03/2024</t>
  </si>
  <si>
    <t>https://drive.google.com/file/d/14ws5nOWe3Qc79hrVupDdvR-BWyo0rvcd/view?usp=drive_link</t>
  </si>
  <si>
    <t>128. PipeLovers💚SDRs: "ROI na prática: como engajar leads que não enxergam valor" com Leandro Bulhões - 2025/03/17 12:51 GMT-03:00 - Recording</t>
  </si>
  <si>
    <t>147. PipeLovers 💙 Gestão Comercial Ritual de Pipeline Review individual estrutura e implantação com Rafael Rosa- descript.mp4</t>
  </si>
  <si>
    <t xml:space="preserve">Negociação de Contratos com Jurídico                       </t>
  </si>
  <si>
    <t>Raquel Trindade 
Paula abreu</t>
  </si>
  <si>
    <t>Rafael Rosa</t>
  </si>
  <si>
    <t>Líder Comercial</t>
  </si>
  <si>
    <t>Chief Business Officer  
Diretora Jurídica e de Compliance</t>
  </si>
  <si>
    <t>https://universidade.pipelovers.net/m/lessons/ritual-de-pipeline-review-individual-estrutura-e-implantacao1769552324452?classId=3308</t>
  </si>
  <si>
    <t>ClickSign</t>
  </si>
  <si>
    <r>
      <rPr>
        <rFont val="Nunito"/>
        <color rgb="FF1155CC"/>
        <u/>
      </rPr>
      <t>https://www.linkedin.com/in/raquel-trindade.</t>
    </r>
    <r>
      <rPr>
        <rFont val="Nunito"/>
      </rPr>
      <t xml:space="preserve">             
</t>
    </r>
    <r>
      <rPr>
        <rFont val="Nunito"/>
        <color rgb="FF1155CC"/>
        <u/>
      </rPr>
      <t>https://www.linkedin.com/in/paulasabreu/</t>
    </r>
  </si>
  <si>
    <t>129. PipeLovers 🖤: "Dar e receber feedback com clareza" com Carol Deberaldini - 2025/03/26 12:50 GMT-03:00 - Recording</t>
  </si>
  <si>
    <t>https://universidade.pipelovers.net/aulas/negociacao-de-contratos-com-juridico-1775077264298</t>
  </si>
  <si>
    <t>Clarissa Hohmuth</t>
  </si>
  <si>
    <t>Performa</t>
  </si>
  <si>
    <t>https://www.linkedin.com/in/clarissarissi/</t>
  </si>
  <si>
    <t>148. PipeLovers 💙 Gestão Comercial O papel do gestor comercial na geração de demanda com Gustavo Gadotti-DESCRIPT.mp4</t>
  </si>
  <si>
    <t>Gustavo Gadotti</t>
  </si>
  <si>
    <t>Sócio e Diretor</t>
  </si>
  <si>
    <t>CRMBonus</t>
  </si>
  <si>
    <t>https://universidade.pipelovers.net/m/lessons/o-papel-do-gestor-comercial-na-geracao-de-demanda1769552324479?classId=3309</t>
  </si>
  <si>
    <t>13/03/2024</t>
  </si>
  <si>
    <t>https://drive.google.com/file/d/1-5a6_zyHc698MR0nkTqI_4wzES0OkunW/view?usp=drive_link</t>
  </si>
  <si>
    <t>https://universidade.pipelovers.net/m/lessons/pre-vendas-brasil-um-estudo-sobre-como-o-papel-do-pre-vendedor-esta-evoluindo1769552060890?classId=3558</t>
  </si>
  <si>
    <t>https://www.linkedin.com/in/gustavogadotti/</t>
  </si>
  <si>
    <t>Erros e acertos de 2023</t>
  </si>
  <si>
    <t>Ezio Jemma</t>
  </si>
  <si>
    <t>Senior Growth Manager, Mobile Apps Sales</t>
  </si>
  <si>
    <t>149. PipeLovers 💙 Gestão Comercial Teoria da evolução da natureza aplicada à vendas com Guilherme Gennari-descript.mp4</t>
  </si>
  <si>
    <t>Guilherme Gennari</t>
  </si>
  <si>
    <t>https://www.linkedin.com/in/eziojemma/</t>
  </si>
  <si>
    <t>Iandé</t>
  </si>
  <si>
    <t>https://universidade.pipelovers.net/m/lessons/teoria-da-evolucao-da-natureza-aplicada-a-vendas1769552324507?classId=3310</t>
  </si>
  <si>
    <t>130. PipeLovers💚SDRs: "Pré Vendas Brasil: Um estudo sobre como o papel do pré-vendedor está evoluindo"  - 2025/03/31 12:57 GMT-03:00 - Recording</t>
  </si>
  <si>
    <t>Daniel Mestre</t>
  </si>
  <si>
    <t>Sócio e Head de Treinamentos</t>
  </si>
  <si>
    <t>SuperVendedores</t>
  </si>
  <si>
    <t>https://universidade.pipelovers.net/m/lessons/erros-e-acertos-de-20231769552348476?classId=3000</t>
  </si>
  <si>
    <t>https://www.linkedin.com/in/danielmestre/</t>
  </si>
  <si>
    <t>150. PipeLovers 💙 Gestão Comercial Otimização de processos manuais com IA com Tainah Escocard-descript.mp4</t>
  </si>
  <si>
    <t>Otimização de processos manuais com IA</t>
  </si>
  <si>
    <t>Tainah Escocard</t>
  </si>
  <si>
    <t>CBDO</t>
  </si>
  <si>
    <t>https://universidade.pipelovers.net/m/lessons/otimizacao-de-processos-manuais-com-ia1769552324535?classId=3312</t>
  </si>
  <si>
    <t>3,14</t>
  </si>
  <si>
    <t>https://universidade.pipelovers.net/m/lessons/lidando-com-o-nao-o-que-separa-sdrs-comuns-dos-que-sempre-batem-meta1769552062981?classId=3559</t>
  </si>
  <si>
    <t>20/03/2024</t>
  </si>
  <si>
    <t>https://drive.google.com/file/d/1DVz6n00lnW9RQajX-BB5mQAywo_3eA2Y/view?usp=drive_link</t>
  </si>
  <si>
    <t>151. PipeLovers 💙 Gestão Comercial Desaprender para vender como aplicar a metodologia Sandler no dia a dia com Carlo Hauschild-descript.mp4</t>
  </si>
  <si>
    <t>Desaprender para vender: como aplicar a metodologia Sandler no dia a dia</t>
  </si>
  <si>
    <t>Planejamento de Métricas de Execução</t>
  </si>
  <si>
    <t>Carlo Hauschild</t>
  </si>
  <si>
    <t>Sandler Brasil</t>
  </si>
  <si>
    <t>Diretor de Marketing e Vendas</t>
  </si>
  <si>
    <t>https://universidade.pipelovers.net/m/lessons/desaprender-para-vender-como-aplicar-a-metodologia-sandler-no-dia-a-dia1769552324562?classId=3313</t>
  </si>
  <si>
    <t>Nibo</t>
  </si>
  <si>
    <t>131. PipeLovers💚SDRs: "Lidando com o não: o que separa SDRs comuns dos que sempre batem meta" com Danie - 2025/04/07 12:44 GMT-03:00 - Recording</t>
  </si>
  <si>
    <t>Leticia  Becker</t>
  </si>
  <si>
    <t>Coordenadora de pré vendas</t>
  </si>
  <si>
    <t>https://www.linkedin.com/in/let%C3%ADcia-alves-8b9633206/</t>
  </si>
  <si>
    <t>https://universidade.pipelovers.net/m/lessons/planejamento-de-metricas-de-execucao1769552348507?classId=2999</t>
  </si>
  <si>
    <t>152. PipeLovers 💙 Gestão Comercial Como a experiência do cliente é potencializada pela tecnologia com Denise Freire e Newton Medeiros-descript.mp4</t>
  </si>
  <si>
    <t>Como a experiência do cliente é potencializada pela tecnologia</t>
  </si>
  <si>
    <t>Denise Freire e Newton Medeiros</t>
  </si>
  <si>
    <t>Sr. Regional Partner Manager</t>
  </si>
  <si>
    <t>GoTo</t>
  </si>
  <si>
    <t>https://universidade.pipelovers.net/m/lessons/como-a-experiencia-do-cliente-e-potencializada-pela-tecnologia1769552324589?classId=3315</t>
  </si>
  <si>
    <t>https://universidade.pipelovers.net/m/lessons/de-sdr-a-lider-o-poder-da-auto-responsabilidade-para-crescer-na-carreira1769552063070?classId=3560</t>
  </si>
  <si>
    <t>27/03/2024</t>
  </si>
  <si>
    <t>https://drive.google.com/file/d/1fR4jA-IIq_xIZKUUqdKCEQJy3NaCUkox/view?usp=drive_link</t>
  </si>
  <si>
    <t>153. PipeLovers 💙 Gestão Comercial Prova de Conceito (POC) quando usar, como alinhar e gerar conversão com Rafael Gontijo-descript.mp4</t>
  </si>
  <si>
    <t>Prova de Conceito (POC): quando usar, como alinhar e gerar conversão</t>
  </si>
  <si>
    <t>Rafael Gontijo</t>
  </si>
  <si>
    <t>General Sales Manager</t>
  </si>
  <si>
    <t>https://universidade.pipelovers.net/m/lessons/prova-de-conceito-poc-quando-usar-como-alinhar-e-gerar-conversao1769552324626?classId=3316</t>
  </si>
  <si>
    <t>132. PipeLovers💚SDRs: "De SDR a líder: o poder da auto responsabilidade para crescer na carreira" com L - 2025/04/14 12:52 GMT-03:00 - Recording</t>
  </si>
  <si>
    <t>Yudi Makibara</t>
  </si>
  <si>
    <t>https://www.linkedin.com/in/yudimakibara/</t>
  </si>
  <si>
    <t>https://www.linkedin.com/in/rafaelgonttijo/</t>
  </si>
  <si>
    <t>Metodologia SPICED da Winning by Design</t>
  </si>
  <si>
    <t>154.  PipeLovers 💙 Gestão Comercial O impacto da geração Z no ecossistema de Vendas B2B com Gustavo Pagotto -descript.mp4</t>
  </si>
  <si>
    <t>https://universidade.pipelovers.net/m/lessons/como-medir-e-analisar-a-qualidade-do-lead1769552063251?classId=3561</t>
  </si>
  <si>
    <t>O impacto da geração Z no ecossistema de Vendas B2B</t>
  </si>
  <si>
    <t>https://universidade.pipelovers.net/m/lessons/o-impacto-da-geracao-z-no-ecossistema-de-vendas-b2b1769552324656?classId=3317</t>
  </si>
  <si>
    <t>https://universidade.pipelovers.net/m/lessons/metodologia-spiced-da-winning-by-design1769552348535?classId=2998</t>
  </si>
  <si>
    <t>155. PipeLovers 💙 Gestão Comercial Thought Leadership Ads estratégia de mídia paga com conteúdo executivo com Danilo Almeida-descript.mp4</t>
  </si>
  <si>
    <t>Thought Leadership Ads: estratégia de mídia paga com conteúdo executivo</t>
  </si>
  <si>
    <t>Danilo Almeida</t>
  </si>
  <si>
    <t>Director of Growth Marketing, LATAM</t>
  </si>
  <si>
    <t>https://universidade.pipelovers.net/m/lessons/thought-leadership-ads-estrategia-de-midia-paga-com-conteudo-executivo1769552324683?classId=3318</t>
  </si>
  <si>
    <t>4,71</t>
  </si>
  <si>
    <t>03/04/2024</t>
  </si>
  <si>
    <t>https://drive.google.com/file/d/1ipKJs3ZZWUAIG5frpQGENxyWM72LUb9Y/view?usp=drive_link</t>
  </si>
  <si>
    <t>133. PipeLovers💚SDRs: "Como medir e analisar a qualidade do lead" com Yudi Makibara - Recording</t>
  </si>
  <si>
    <t>Leticia dos Santos</t>
  </si>
  <si>
    <t>Buzzmonitor</t>
  </si>
  <si>
    <t>https://www.linkedin.com/in/leticiasantosrcc/</t>
  </si>
  <si>
    <t>156. PipeLovers 💙 Gestão Comercial Aprendizados do livro 'Antes de vender, desenhe' como usar o visual para vender melhor com Eduardo Correia-descript.mp4</t>
  </si>
  <si>
    <t>Aprendizados do livro 'Antes de vender, desenhe': como usar o visual para vender melhor</t>
  </si>
  <si>
    <t xml:space="preserve">Desafios de vender novas ofertas (lançamentos de produto) </t>
  </si>
  <si>
    <t>Eduardo Correia</t>
  </si>
  <si>
    <t>Autor do livro Antes de Vender, Desenhe!</t>
  </si>
  <si>
    <t>Karina Lima</t>
  </si>
  <si>
    <t>Head of Startups</t>
  </si>
  <si>
    <t>https://universidade.pipelovers.net/m/lessons/aprendizados-do-livro-antes-de-vender-desenhe-como-usar-o-visual-para-vender-melhor1769552324708?classId=3319</t>
  </si>
  <si>
    <t>https://www.linkedin.com/in/karinagflima/</t>
  </si>
  <si>
    <t>https://universidade.pipelovers.net/m/lessons/saude-mental-na-linha-de-frente-praticas-simples-pra-lidar-com-a-rotina-de-sdr1769552063188?classId=3562</t>
  </si>
  <si>
    <t>https://universidade.pipelovers.net/aulas/desafios-de-vender-novas-ofertas-lancamentos-de-produto-1775077697142</t>
  </si>
  <si>
    <t>157. PipeLovers 💙 Gestão Comercial Como construir autoridade na sua empresa como gestor comercial com Eduardo Lara - descript.mp4</t>
  </si>
  <si>
    <t>Como construir autoridade na sua empresa como gestor comercial</t>
  </si>
  <si>
    <t>Eduardo Lara</t>
  </si>
  <si>
    <t>Forma</t>
  </si>
  <si>
    <t>https://universidade.pipelovers.net/m/lessons/como-construir-autoridade-na-sua-empresa-como-gestor-comercial1769552324761?classId=3320</t>
  </si>
  <si>
    <t>https://www.linkedin.com/in/eduardo-lara-weigert-789a3a143/</t>
  </si>
  <si>
    <t>134. PipeLovers💚SDRs: "Saúde mental na linha de frente: práticas simples pra lidar com a rotina de SDR" com Leticia dos Santos</t>
  </si>
  <si>
    <t>10/04/2024</t>
  </si>
  <si>
    <t>https://drive.google.com/file/d/1xHgQPFNm89a7a6KjClFER_Qo3zleCUaq/view?usp=drive_link</t>
  </si>
  <si>
    <t>Lucas Veríssimo</t>
  </si>
  <si>
    <t>Agência RAP</t>
  </si>
  <si>
    <t>https://www.linkedin.com/in/lucasverissimo-artistaempreendedor/</t>
  </si>
  <si>
    <t>158.  PipeLovers 💙 Gestão Comercial Como estruturar um time de pré-vendas com Caio Alves- descript.mp4</t>
  </si>
  <si>
    <t>Como estruturar um time de pré-vendas</t>
  </si>
  <si>
    <t>Caio Alves</t>
  </si>
  <si>
    <t>https://universidade.pipelovers.net/m/lessons/como-estruturar-um-time-de-pre-vendas1769552324811?classId=3321</t>
  </si>
  <si>
    <t>Como vender para o CTO?</t>
  </si>
  <si>
    <t>Vanessa Tiba</t>
  </si>
  <si>
    <t>Chief Sales Officer</t>
  </si>
  <si>
    <t>https://universidade.pipelovers.net/m/lessons/os-8-imas-da-atencao-capturando-o-interesse-do-lead-desde-o-primeiro-contato1769552063132?classId=3563</t>
  </si>
  <si>
    <t>Plusoft</t>
  </si>
  <si>
    <t>https://www.linkedin.com/in/vanessatiba/</t>
  </si>
  <si>
    <t>159.  PipeLovers 💙 Gestão Comercial A nova mentalidade do comprador como lideranças comerciais devem se adaptar com Letícia D’Angelo - descript.mp4</t>
  </si>
  <si>
    <t>A nova mentalidade do comprador: como lideranças comerciais devem se adaptar</t>
  </si>
  <si>
    <t>Letícia D’Angelo</t>
  </si>
  <si>
    <t>Diretora de Enterprise</t>
  </si>
  <si>
    <t>ZENVIA</t>
  </si>
  <si>
    <t>https://universidade.pipelovers.net/m/lessons/como-vender-para-o-cto1769552355238?classId=2996</t>
  </si>
  <si>
    <t>https://universidade.pipelovers.net/m/lessons/a-nova-mentalidade-do-comprador-como-liderancas-comerciais-devem-se-adaptar1769552324840?classId=3069</t>
  </si>
  <si>
    <t>135. PipeLovers💚SDRs: "Os 8 Ímãs da atenção: Capturando o interesse do lead desde o primeiro contato" c - 2025/05/12 12:51 GMT-03:00 - Recording</t>
  </si>
  <si>
    <t>Giovana Felix</t>
  </si>
  <si>
    <t xml:space="preserve">CEO &amp; Founder </t>
  </si>
  <si>
    <t>PreSales B2B</t>
  </si>
  <si>
    <t>https://www.linkedin.com/in/giovana-felix/</t>
  </si>
  <si>
    <t>17/04/2024</t>
  </si>
  <si>
    <t>https://drive.google.com/file/d/1yhB0j4pWeHglwXGm-M0dG1q8fAIPkhS3/view?usp=drive_link</t>
  </si>
  <si>
    <t>https://universidade.pipelovers.net/m/lessons/copy-com-persuasao1769552063314?classId=3564</t>
  </si>
  <si>
    <t>PDI - Plano de Desenvolvimento Individual</t>
  </si>
  <si>
    <t>Consultor e Professor de Vendas</t>
  </si>
  <si>
    <t>https://universidade.pipelovers.net/m/lessons/pdi-plano-de-desenvolvimento-individual1769552355308?classId=2995</t>
  </si>
  <si>
    <t>136. PipeLovers💚SDRs: "Copy com persuasão" com Giovana Felix - 2025/05/19 12:50 GMT-03:00 - Recording</t>
  </si>
  <si>
    <t>Luciano Tomazi</t>
  </si>
  <si>
    <t>https://www.linkedin.com/in/lucianotomazi/</t>
  </si>
  <si>
    <t>160. PipeLovers 💙 Gestão Comercial Planejamento Anual de Vendas com Gustavo Pagotto - descript.mp4</t>
  </si>
  <si>
    <t>https://universidade.pipelovers.net/m/lessons/planejamento-e-organizacao-para-bater-a-meta1769552066254?classId=3567</t>
  </si>
  <si>
    <t>137. PipeLovers💚SDRs: "Planejamento e organização para bater a meta" com Luciano Tomazi - 2025/05/26 12:51 GMT-03:00 - Recording</t>
  </si>
  <si>
    <t>24/04/2024</t>
  </si>
  <si>
    <t>https://drive.google.com/file/d/1xGOiPM5v1oPLw8y7jxt2hzM7Rxnal34X/view?usp=drive_link</t>
  </si>
  <si>
    <t>Fernanda Garcia</t>
  </si>
  <si>
    <t xml:space="preserve">Head da ABSeed e Co-founder da Rapport </t>
  </si>
  <si>
    <t>161.  PipeLovers 💙 Gestão Comercial Conteúdo como geração de demanda com Bruno Okamoto - descript.mp4</t>
  </si>
  <si>
    <t>https://www.linkedin.com/in/fernanda3garcia/</t>
  </si>
  <si>
    <t>Conteúdo como geração de demanda</t>
  </si>
  <si>
    <t>Bruno Okamoto</t>
  </si>
  <si>
    <t>Micro-SaaS</t>
  </si>
  <si>
    <t>https://universidade.pipelovers.net/m/lessons/conteudo-como-geracao-de-demanda1772542642394?classId=3755</t>
  </si>
  <si>
    <t>Desvendando a Cadeia de Valor do Cliente</t>
  </si>
  <si>
    <t>Vitor Ramos</t>
  </si>
  <si>
    <t>https://universidade.pipelovers.net/m/lessons/cold-calling-sucks-dicas-do-livro-para-perder-o-medo-e-fazer-ligacoes1769552066326?classId=3566</t>
  </si>
  <si>
    <t>https://www.linkedin.com/in/-vitor-ramos/</t>
  </si>
  <si>
    <t>https://universidade.pipelovers.net/m/lessons/desvendando-a-cadeia-de-valor-do-cliente1769552355447?classId=3008</t>
  </si>
  <si>
    <t>138. PipeLovers💚SDRs: "Cold Calling Sucks: dicas do livro para perder o medo e fazer ligações" com Fern - 2025/06/02 12:51 GMT-03:00 - Recording</t>
  </si>
  <si>
    <t xml:space="preserve">Pmes X Enterprise: Qual Estratégia Mais Funciona Para Cada Um?
</t>
  </si>
  <si>
    <t>Kalil el Kadri</t>
  </si>
  <si>
    <t>01/05/2024</t>
  </si>
  <si>
    <t>https://drive.google.com/file/d/1S7bqTRTF3_9TBgX7xLvYXb4eIhtvfu6n/view?usp=drive_link</t>
  </si>
  <si>
    <t>https://www.linkedin.com/in/brunomicrosaas/</t>
  </si>
  <si>
    <t>https://www.linkedin.com/in/kalilekm/</t>
  </si>
  <si>
    <t>CRM Analytics para vendedores B2B</t>
  </si>
  <si>
    <t>Lucas Scridelli</t>
  </si>
  <si>
    <t>Senior Consultant</t>
  </si>
  <si>
    <t>Curamando</t>
  </si>
  <si>
    <t>https://www.linkedin.com/in/lucasscridelli/</t>
  </si>
  <si>
    <t>https://universidade.pipelovers.net/m/lessons/pmes-x-enterprise-qual-estrategia-mais-funciona-para-cada-um1772542661808?classId=3767</t>
  </si>
  <si>
    <t>162.  PipeLovers 💙 Gestão Comercial Rituais para engajar, acompanhar e desenvolver talentos com Jéssica Bosco - descript.mp4</t>
  </si>
  <si>
    <t>https://universidade.pipelovers.net/m/lessons/crm-analytics-para-vendedores-b2b1769552355610?classId=3007</t>
  </si>
  <si>
    <t>Rituais para engajar, acompanhar e desenvolver talentos</t>
  </si>
  <si>
    <t>Jéssica Bosco</t>
  </si>
  <si>
    <t>Head de produto</t>
  </si>
  <si>
    <t>https://universidade.pipelovers.net/m/lessons/rituais-para-engajar-acompanhar-e-desenvolver-talentos1772542661869?classId=3768</t>
  </si>
  <si>
    <t>139. PipeLovers💚SDRs: "PMEs x Enterprise: Qual estratégia mais funciona para cada um?" com Kalil El Kad - 2025/06/09 12:47 GMT-03:00 - Recording</t>
  </si>
  <si>
    <t>08/05/2024</t>
  </si>
  <si>
    <t>Tales Morigi</t>
  </si>
  <si>
    <t>https://drive.google.com/file/d/1DtrmHR0o90S3KZuKA1k9LiGbLIw28MLt/view?usp=drive_link</t>
  </si>
  <si>
    <t>Diretor e Sócio as a Service</t>
  </si>
  <si>
    <t>https://www.linkedin.com/in/talesmorigi/</t>
  </si>
  <si>
    <t>Construção de relacionamentos em grandes contas</t>
  </si>
  <si>
    <t>Bernardo Agosti</t>
  </si>
  <si>
    <t>MindMiners</t>
  </si>
  <si>
    <t>https://www.linkedin.com/in/bernardo-agosti-a5032423/</t>
  </si>
  <si>
    <t>https://universidade.pipelovers.net/m/lessons/a-passagem-que-faz-vender-o-que-nao-pode-faltar-quando-o-sdr-entrega-pro-closer1769552066478?classId=3565</t>
  </si>
  <si>
    <t>https://universidade.pipelovers.net/m/lessons/construcao-de-relacionamentos-em-grandes-contas1769552355679?classId=3009</t>
  </si>
  <si>
    <t>Liderança e influência</t>
  </si>
  <si>
    <t>163. PipeLovers 💙 Gestão Comercial Melhores práticas de dashboards de gestão de vendas com Ricardo Corrêa - descript.mp4</t>
  </si>
  <si>
    <t>Melhores práticas de dashboards de gestão de vendas</t>
  </si>
  <si>
    <t>Ricardo Corrêa</t>
  </si>
  <si>
    <t>15/05/2024</t>
  </si>
  <si>
    <t>https://drive.google.com/file/d/1msn4fFIWt9nr2ouGohxWUg_WAAKac8vr/view?usp=drive_link</t>
  </si>
  <si>
    <t>https://universidade.pipelovers.net/m/lessons/melhores-praticas-de-dashboards-de-gestao-de-vendas1772542642663?classId=3761</t>
  </si>
  <si>
    <t>"Challenger Sales": a venda desafiadora</t>
  </si>
  <si>
    <t>General Manager LATAM</t>
  </si>
  <si>
    <t>Clever Tap</t>
  </si>
  <si>
    <t>140. PipeLovers💚SDRs: "A passagem que faz vender: o que não pode faltar quando o SDR entrega pro closer - 2025/06/16 12:50 GMT-03:00 - Recording</t>
  </si>
  <si>
    <t>https://universidade.pipelovers.net/m/lessons/challenger-sales-a-venda-desafiadora1769552355728?classId=3010</t>
  </si>
  <si>
    <t>Duélen Feijó</t>
  </si>
  <si>
    <t>Especialista de Negócios</t>
  </si>
  <si>
    <t>Isaac</t>
  </si>
  <si>
    <t>https://www.linkedin.com/in/duelenfeijo/</t>
  </si>
  <si>
    <t>https://www.linkedin.com/in/rlcorrea/</t>
  </si>
  <si>
    <t>https://universidade.pipelovers.net/m/lessons/como-fazer-o-diagnostico-do-seu-funil1769552066545?classId=3569</t>
  </si>
  <si>
    <t>22/05/2024</t>
  </si>
  <si>
    <t>https://drive.google.com/file/d/1CalXqTBxl_nA4xOXfuWhgHX2FhkvIUZr/view?usp=drive_link</t>
  </si>
  <si>
    <t>164. PipeLovers 💙 Gestão Comercial Como manter consistência do time em meio a metas agressivas e alta pressão com Liana Chiaradia - descript.mp4</t>
  </si>
  <si>
    <t>141. PipeLovers💚SDRs: "Como fazer o diagnóstico do seu funil" com Duélen Feijó - 2025/06/23 12:48 GMT-03:00 - Recording</t>
  </si>
  <si>
    <t>Diferenças de papéis entre Account Manager e CSM</t>
  </si>
  <si>
    <t>Beatriz Pontes</t>
  </si>
  <si>
    <t>Enterprise Customer Success Manager</t>
  </si>
  <si>
    <t>Eduarda Vescovi</t>
  </si>
  <si>
    <t xml:space="preserve">Gerente de Vendas </t>
  </si>
  <si>
    <t>https://www.linkedin.com/in/beatrizpontes/</t>
  </si>
  <si>
    <t>https://www.linkedin.com/in/vescovi-edu/</t>
  </si>
  <si>
    <t>Como manter consistência do time em meio a metas agressivas e alta pressão</t>
  </si>
  <si>
    <t>Liana Chiaradia</t>
  </si>
  <si>
    <t>Founder e CSO</t>
  </si>
  <si>
    <t>Guia da Alma</t>
  </si>
  <si>
    <t>https://universidade.pipelovers.net/m/lessons/como-manter-consistencia-do-time-em-meio-a-metas-agressivas-e-alta-pressao1772542642221?classId=3751</t>
  </si>
  <si>
    <t>https://universidade.pipelovers.net/m/lessons/diferencas-de-papeis-entre-account-manager-e-csm1769552355906?classId=3011</t>
  </si>
  <si>
    <t>https://universidade.pipelovers.net/m/lessons/transicao-para-lideranca-o-que-muda-quando-voce-vira-lider1769552066617?classId=3570</t>
  </si>
  <si>
    <t>29/05/2024</t>
  </si>
  <si>
    <t>https://drive.google.com/file/d/1BMxor0b1UOHZB7HVB1A7csZttmwkeO_5/view?usp=drive_link</t>
  </si>
  <si>
    <t>142. PipeLovers💚SDRs: "Transição para liderança: O que muda quando você vira líder" com Eduarda Vescovi - 2025/07/07 12:50 GMT-03:00 - Recording</t>
  </si>
  <si>
    <t>Caroline Veloso</t>
  </si>
  <si>
    <t>Pre-Sales Supervisor</t>
  </si>
  <si>
    <t>Comunitive</t>
  </si>
  <si>
    <t>Varejo: dores e oportunidades do setor</t>
  </si>
  <si>
    <t>https://www.linkedin.com/in/caroline-veloso-de-lima/</t>
  </si>
  <si>
    <t>Ronan Maia</t>
  </si>
  <si>
    <t>IPOG</t>
  </si>
  <si>
    <t>https://www.linkedin.com/in/ronanmaia/</t>
  </si>
  <si>
    <t>https://www.linkedin.com/in/liana-chiaradia/</t>
  </si>
  <si>
    <t>https://universidade.pipelovers.net/m/lessons/varejo-dores-e-oportunidades-do-setor1769552355983?classId=3012</t>
  </si>
  <si>
    <t>https://universidade.pipelovers.net/m/lessons/criacao-e-aplicacao-de-agentes-de-ia-para-pre-vendas1769552080347?classId=3433</t>
  </si>
  <si>
    <t>05/06/2024</t>
  </si>
  <si>
    <t>https://drive.google.com/file/d/1jHV9oZLFY_o6g1B2fetonL54B-S8h8yX/view?usp=drive_link</t>
  </si>
  <si>
    <t>165.  PipeLovers 💙 Gestão Comercial Decisões de gestão orientadas por dados do funil às metas com Fabio El Beck.mp4</t>
  </si>
  <si>
    <t>143. PipeLovers💚SDRs: "Criação e aplicação de agentes de IA para pré vendas" com Caroline Veloso - 2025/07/14 12:48 GMT-03:00 - Recording</t>
  </si>
  <si>
    <t>Vitor Filardo</t>
  </si>
  <si>
    <t>Como virar a chave de uma venda transacional para uma relacional</t>
  </si>
  <si>
    <t>UOL EdTech</t>
  </si>
  <si>
    <t>Felipe Ceitlin</t>
  </si>
  <si>
    <t>Head Comercial B2B</t>
  </si>
  <si>
    <t>https://www.linkedin.com/in/vitor-filardo-vianna-a0151a128/</t>
  </si>
  <si>
    <t>StartSe</t>
  </si>
  <si>
    <t>https://universidade.pipelovers.net/m/lessons/como-virar-a-chave-de-uma-venda-transacional-para-uma-relacional1769552356033?classId=3013</t>
  </si>
  <si>
    <t>Decisões de gestão orientadas por dados: do funil às metas</t>
  </si>
  <si>
    <t>Fabio El Beck</t>
  </si>
  <si>
    <t>Performancy</t>
  </si>
  <si>
    <t>https://universidade.pipelovers.net/m/lessons/decisoes-de-gestao-orientadas-por-dados-do-funil-as-metas1772542642479?classId=3757</t>
  </si>
  <si>
    <t>https://universidade.pipelovers.net/aulas/prospectando-contas-grandes-com-estrategia-1775075454914</t>
  </si>
  <si>
    <t>12/06/2024</t>
  </si>
  <si>
    <t>https://drive.google.com/file/d/1RjjP9B88bbLkEC57JF4u2jumRMey9ExQ/view?usp=drive_link</t>
  </si>
  <si>
    <t>144. PipeLovers💚SDRs: "Prospectando contas grandes com estratégia" com  Vitor Filardo - 2025/07/21 12:45 GMT-03:00 - Recording</t>
  </si>
  <si>
    <t>Rafael Bethiol Maçãs</t>
  </si>
  <si>
    <t>Sócio-fundador</t>
  </si>
  <si>
    <t>Facto Consultoria</t>
  </si>
  <si>
    <t>https://www.linkedin.com/in/rafaelbethiol/</t>
  </si>
  <si>
    <t>Como vender para o CHRO?</t>
  </si>
  <si>
    <t>Manoela Mitchell</t>
  </si>
  <si>
    <t>https://www.linkedin.com/in/felipe-f-ceitlin-122653124/</t>
  </si>
  <si>
    <t>https://www.linkedin.com/in/fabioelbeck/</t>
  </si>
  <si>
    <t>https://universidade.pipelovers.net/aulas/plano-de-carreira-em-pre-vendas1769552080693</t>
  </si>
  <si>
    <t>https://universidade.pipelovers.net/m/lessons/como-vender-para-o-chro1769552356129?classId=3014</t>
  </si>
  <si>
    <t>145. PipeLovers💚SDRs_ _Plano de carreira em pré-vendas_ com  Rafael Bethiol Maçãs - 2025_07_28 12_47 GMT-03_00 - Descript.mp4</t>
  </si>
  <si>
    <t>19/06/2024</t>
  </si>
  <si>
    <t>Ana Beatriz Cesa</t>
  </si>
  <si>
    <t>Head de Marketing e Geração de Demanda</t>
  </si>
  <si>
    <t>https://drive.google.com/file/d/1jXPmcCbMvmkkzlymGaD5el7JGcriBzbH/view?usp=drive_link</t>
  </si>
  <si>
    <t>166.  PipeLovers 💙 Gestão Comercial Como identificar gargalos no funil e corrigir rápido com Nathan Mota - descript.mp4</t>
  </si>
  <si>
    <t>Grupo Toccato</t>
  </si>
  <si>
    <t>https://www.linkedin.com/in/ana-beatriz-cesa/</t>
  </si>
  <si>
    <t>Como identificar gargalos no funil e corrigir rápido</t>
  </si>
  <si>
    <t>Nathan Mota</t>
  </si>
  <si>
    <t>Byecar</t>
  </si>
  <si>
    <t>https://universidade.pipelovers.net/m/lessons/como-identificar-gargalos-no-funil-e-corrigir-rapido-1773686250749?classId=3807</t>
  </si>
  <si>
    <t>Roadmap to Close para gestão de forecast</t>
  </si>
  <si>
    <t>Leandro Hirose</t>
  </si>
  <si>
    <t>https://www.linkedin.com/in/manoelamitchell/</t>
  </si>
  <si>
    <t>https://universidade.pipelovers.net/m/lessons/o-que-o-marketing-pode-te-ensinar-pra-chamar-atencao-de-leads1769552080719?classId=3438</t>
  </si>
  <si>
    <t>https://universidade.pipelovers.net/m/lessons/roadmap-to-close-para-gestao-de-forecast1769552356215?classId=3709</t>
  </si>
  <si>
    <t>26/06/2024</t>
  </si>
  <si>
    <t>https://drive.google.com/file/d/1x79t1umMzg0-igMVXLBm-5aZymaQnNYH/view?usp=drive_link</t>
  </si>
  <si>
    <t>146. PipeLovers💚SDRs_ _O que o marketing pode te ensinar pra chamar atenção de leads_ com Ana Beatriz C - 2025_08_04 12_49 GMT-03_00 - Descript.mp4</t>
  </si>
  <si>
    <t>https://www.linkedin.com/in/nathan-mota-moraes-1a20071ab/</t>
  </si>
  <si>
    <t>Julianne Campelo</t>
  </si>
  <si>
    <t>Modelos de Autogestão para Vendedores</t>
  </si>
  <si>
    <t>Vinci Society</t>
  </si>
  <si>
    <t>https://www.linkedin.com/in/julianne-campelo-6399b61b2/</t>
  </si>
  <si>
    <t>https://universidade.pipelovers.net/m/lessons/modelos-de-autogestao-para-vendedores1769552356266?classId=3710</t>
  </si>
  <si>
    <t>https://universidade.pipelovers.net/m/lessons/challenger-sales-na-prospeccao-como-provocar-o-lead-do-jeito-certo1769552080744?classId=3439</t>
  </si>
  <si>
    <t>167. PipeLovers 💙 Gestão Comercial Modelos de remuneração para equipes de vendas B2B com Gustavo Mota - descript.mp4</t>
  </si>
  <si>
    <t>Modelos de remuneração para equipes de vendas B2B</t>
  </si>
  <si>
    <t>Gustavo Mota</t>
  </si>
  <si>
    <t>Jornal LANCE!</t>
  </si>
  <si>
    <t>https://universidade.pipelovers.net/m/lessons/modelos-de-remuneracao-para-equipes-de-vendas-b2b-1771879806544?classId=3811</t>
  </si>
  <si>
    <t>03/07/2024</t>
  </si>
  <si>
    <t>https://drive.google.com/file/d/1xr1zNDth15mYRh9CsRuijxmujQzxBKuF/view?usp=drive_link</t>
  </si>
  <si>
    <t>147. PipeLovers💚SDRs_ _Challenger Sales na prospecção_ como provocar o lead do jeito certo_ com Juliann - 2025_08_11 12_52 GMT-03_00 - descript.mp4</t>
  </si>
  <si>
    <t>Demonstrações de Produto: como escalar e acelerar suas vendas?</t>
  </si>
  <si>
    <t>Vitor Oliveira</t>
  </si>
  <si>
    <t>COO &amp; Co-founder</t>
  </si>
  <si>
    <t>https://www.linkedin.com/in/cassio-lopes/</t>
  </si>
  <si>
    <t>https://www.linkedin.com/in/gustavodemesquitamota/</t>
  </si>
  <si>
    <t>https://universidade.pipelovers.net/m/lessons/demonstracoes-de-produto-como-escalar-e-acelerar-suas-vendas1769552356376?classId=3711</t>
  </si>
  <si>
    <t>Comunicação e relacionamento</t>
  </si>
  <si>
    <t>https://universidade.pipelovers.net/m/lessons/como-criar-conexao-na-comunicacao-escrita1769552080783?classId=3440</t>
  </si>
  <si>
    <t>10/07/2024</t>
  </si>
  <si>
    <t>168. PipeLovers 💙 Gestão Comercial Decisões comerciais baseadas no ciclo de vida do produto com Rodrigo Santos - descript.mp4</t>
  </si>
  <si>
    <t>https://drive.google.com/file/d/1Fqs2FUWUiNLg-FnN-rbovLQwZHFMKpVv/view?usp=drive_link</t>
  </si>
  <si>
    <t>Decisões comerciais baseadas no ciclo de vida do produto</t>
  </si>
  <si>
    <t>Rodrigo Santos</t>
  </si>
  <si>
    <t>Vencefy</t>
  </si>
  <si>
    <t>https://universidade.pipelovers.net/m/lessons/decisoes-comerciais-baseadas-no-ciclo-de-vida-do-produto-1771879842617?classId=3814</t>
  </si>
  <si>
    <t>Como fugir da guerra de preços com concorrentes?</t>
  </si>
  <si>
    <t>Marcelo Zeferino</t>
  </si>
  <si>
    <t>Prestex</t>
  </si>
  <si>
    <t>https://www.linkedin.com/in/vitor-ramos-pereira-oliveira/</t>
  </si>
  <si>
    <t>https://universidade.pipelovers.net/m/lessons/como-fugir-da-guerra-de-precos-com-concorrentes1769552365255?classId=3712</t>
  </si>
  <si>
    <t>4,57</t>
  </si>
  <si>
    <t>17/07/2024</t>
  </si>
  <si>
    <t>https://drive.google.com/file/d/1T9RUzBn9OsdPBI4rWcX7ytuqeha4J05G/view?usp=drive_link</t>
  </si>
  <si>
    <t>https://www.linkedin.com/in/rodrigovencefy/</t>
  </si>
  <si>
    <t>As 4 disciplinas da execução (4DX)</t>
  </si>
  <si>
    <t>Bill Moraes</t>
  </si>
  <si>
    <t>Executive VP &amp; General Manager</t>
  </si>
  <si>
    <t>FranklinCovey</t>
  </si>
  <si>
    <t>https://www.linkedin.com/in/marcelo-zeferino-a9422837/</t>
  </si>
  <si>
    <t>Conhecimento do negócio e produto</t>
  </si>
  <si>
    <t>148. PipeLovers💚SDRs_ _Como criar conexão na comunicação escrita_ com  Paola Behs - 2025_08_18 12_50 GMT-03_00 - descript.mp4</t>
  </si>
  <si>
    <t>169. PipeLovers 💙 Gestão Comercial Liderança do futuro menos controle, mais autonomia (e resultado) com Bruno Gonçalves.mp4</t>
  </si>
  <si>
    <t>Jailson Mira</t>
  </si>
  <si>
    <t>Liderança do futuro: menos controle, mais autonomia (e resultado)</t>
  </si>
  <si>
    <t>https://universidade.pipelovers.net/m/lessons/as-4-disciplinas-da-execucao-4dx1769552364686?classId=3713</t>
  </si>
  <si>
    <t>Gerente geral de vendas</t>
  </si>
  <si>
    <t>Bruno Gonçalves</t>
  </si>
  <si>
    <t>Cofundador e Palestrante</t>
  </si>
  <si>
    <t>https://www.linkedin.com/in/jailson-alex-mira/</t>
  </si>
  <si>
    <t>Uau! Business Institute</t>
  </si>
  <si>
    <t>https://universidade.pipelovers.net/m/lessons/lideranca-do-futuro-menos-controle-mais-autonomia-e-resultado-1773685130767?classId=3805</t>
  </si>
  <si>
    <t>Gestão de tempo e da informação</t>
  </si>
  <si>
    <t>https://universidade.pipelovers.net/m/lessons/organizacao-de-rotina-para-entregar-mais-com-menos-estresse1769552080889?classId=3441</t>
  </si>
  <si>
    <t>24/07/2024</t>
  </si>
  <si>
    <t>https://drive.google.com/file/d/1q8i1EFZ-dj4-FjpGIb4Vs_0aFqN0SFtI/view?usp=drive_link</t>
  </si>
  <si>
    <t>https://www.linkedin.com/in/brgoncalves/</t>
  </si>
  <si>
    <t>149. PipeLovers💚SDRs_ _Organização de rotina para entregar mais com menos estresse_ com Jailson Mira - 2025_08_25 12_49 GMT-03_00 - descript..mp4</t>
  </si>
  <si>
    <t>Aprendendo na prática em eventos presenciais</t>
  </si>
  <si>
    <t>Diego Cordovez</t>
  </si>
  <si>
    <t>Chief Marketing Officer</t>
  </si>
  <si>
    <t>https://universidade.pipelovers.net/m/lessons/geracao-de-demanda-em-uma-era-100-digital1769552080813?classId=3445</t>
  </si>
  <si>
    <t>https://www.linkedin.com/in/billmoraes/</t>
  </si>
  <si>
    <t>170. PipeLovers 💙 Gestão Comercial Usando IA para não ser gargalo na operação comercial com Rodrigo Pinto - descript.mp4</t>
  </si>
  <si>
    <t>Usando IA para não ser gargalo na operação comercial</t>
  </si>
  <si>
    <t>Rodrigo Pinto</t>
  </si>
  <si>
    <t>https://universidade.pipelovers.net/m/lessons/aprendendo-na-pratica-em-eventos-presenciais1769552365337?classId=3714</t>
  </si>
  <si>
    <t>SocialPrompts.ai</t>
  </si>
  <si>
    <t>150. PipeLovers💚SDRs_ _Geração de demanda em uma era 100_ digital_ com Gabriel Brasil - 2025_09_01 12_53 GMT-03_00 - descript.mp4</t>
  </si>
  <si>
    <t>31/07/2024</t>
  </si>
  <si>
    <t>https://drive.google.com/file/d/1r70MAVICPsEeAWM4wGGMC4ocf3R9DBCR/view?usp=drive_link</t>
  </si>
  <si>
    <t>Isabella Birolli</t>
  </si>
  <si>
    <t>https://universidade.pipelovers.net/m/lessons/usando-ia-para-nao-ser-gargalo-na-operacao-comercial-1773338964304?classId=3799</t>
  </si>
  <si>
    <t>https://www.linkedin.com/in/isabella-birolli-74412827/</t>
  </si>
  <si>
    <t>Como vender para o CFO?</t>
  </si>
  <si>
    <t>Alexandre Mafra</t>
  </si>
  <si>
    <t>CFO</t>
  </si>
  <si>
    <t>Clearsale</t>
  </si>
  <si>
    <t>https://www.linkedin.com/in/mafra/</t>
  </si>
  <si>
    <t>https://universidade.pipelovers.net/m/lessons/como-vender-para-o-cfo1769552365068?classId=3708</t>
  </si>
  <si>
    <t>https://universidade.pipelovers.net/m/lessons/como-usar-indicadores-financeiros-para-qualificar-leads1769552080838?classId=3446</t>
  </si>
  <si>
    <t>07/08/2024</t>
  </si>
  <si>
    <t>https://www.linkedin.com/in/rodrigopinto100/</t>
  </si>
  <si>
    <t>https://drive.google.com/file/d/18Kzwl00KhII0emWkHAJjVV4Xg9GSI6LO/view?usp=drive_link</t>
  </si>
  <si>
    <t>Agronegócio: dores e oportunidades do setor</t>
  </si>
  <si>
    <t>Mauricio Pagotto</t>
  </si>
  <si>
    <t>Chief Transformation Officer</t>
  </si>
  <si>
    <t>Lavoro</t>
  </si>
  <si>
    <t>https://www.linkedin.com/in/maur%C3%ADcio-pagotto-278b1959/</t>
  </si>
  <si>
    <t>171. PipeLovers 💙 Gestão Comercial Como usar autoconhecimento para ajustar seu estilo de gestão com Milena Brentan - descript.mp4</t>
  </si>
  <si>
    <t>151. PipeLovers💚SDRs_ _Como usar indicadores financeiros para qualificar leads_ com Isabella Birolli - 2025_09_08 12_40 GMT-03_00 - descript.mp4</t>
  </si>
  <si>
    <t>https://universidade.pipelovers.net/m/lessons/agronegocio-dores-e-oportunidades-do-setor1769552365094?classId=3715</t>
  </si>
  <si>
    <t>Gabriel Pimentel</t>
  </si>
  <si>
    <t>Como usar autoconhecimento para ajustar seu estilo de gestão</t>
  </si>
  <si>
    <t>Toku</t>
  </si>
  <si>
    <t>https://www.linkedin.com/in/gabrielfracalanzapimentel/</t>
  </si>
  <si>
    <t>Milena Brentan</t>
  </si>
  <si>
    <t>Autora do livro : “Guia para Novos Lideres (e quem quer ir além).</t>
  </si>
  <si>
    <t>14/08/2024</t>
  </si>
  <si>
    <t>https://universidade.pipelovers.net/m/lessons/como-usar-autoconhecimento-para-ajustar-seu-estilo-de-gestao-1773686456054?classId=3808</t>
  </si>
  <si>
    <t>https://drive.google.com/file/d/1u6ScdhaDUxApUxQPlfjLe-l23JC-4-kS/view?usp=drive_link</t>
  </si>
  <si>
    <t>https://universidade.pipelovers.net/m/lessons/prospeccao-de-c-levels-tecnicas-para-abordar-esse-publico-com-assertividade1769552080865?classId=3574</t>
  </si>
  <si>
    <t>Customer Health Score: indicadores para prevenir o churn</t>
  </si>
  <si>
    <t>Leonardo Superti</t>
  </si>
  <si>
    <t>CustomerX</t>
  </si>
  <si>
    <t>https://www.linkedin.com/in/superti/</t>
  </si>
  <si>
    <t>https://universidade.pipelovers.net/m/lessons/customer-health-score-indicadores-para-prevenir-o-churn1769552365136?classId=3716</t>
  </si>
  <si>
    <t>152. PipeLovers💚SDRs_ _Prospecção de C-levels_ técnicas para abordar esse público com assertividade_ co - 2025_09_15 12_46 GMT-03_00 - descript.mp4</t>
  </si>
  <si>
    <t>21/08/2024</t>
  </si>
  <si>
    <t>https://drive.google.com/file/d/1O0Vppbmd4hD4bVpleAt8qvtvHzhYYXfq/view?usp=drive_link</t>
  </si>
  <si>
    <t>Lucas Hassuike</t>
  </si>
  <si>
    <t>GTM Strategist</t>
  </si>
  <si>
    <t>Nuvia</t>
  </si>
  <si>
    <t>https://www.linkedin.com/in/lucas-hassuike-dolibaina/</t>
  </si>
  <si>
    <t>https://www.linkedin.com/in/milena-brentan/</t>
  </si>
  <si>
    <t>https://universidade.pipelovers.net/m/lessons/copy-para-sdrs-o-que-nao-pode-faltar-na-sua-mensagem1769552080914?classId=3575</t>
  </si>
  <si>
    <t>172. PipeLovers 💙 Gestão Comercial Vendas enterprise e ABM como identificar contas estratégicas e escalar receita com Kelmer Teixeira - descript.mp4</t>
  </si>
  <si>
    <t>153. PipeLovers💚SDRs Copy para SDRs O que não pode faltar na sua mensagem- descript.mp4</t>
  </si>
  <si>
    <t>Igor Batista</t>
  </si>
  <si>
    <t>IBusiness Consultoria</t>
  </si>
  <si>
    <t>Vendas Enterprise e ABM: como identificar contas estratégicas e escalar receita</t>
  </si>
  <si>
    <t>Kelmer Teixeira</t>
  </si>
  <si>
    <t>https://universidade.pipelovers.net/m/lessons/perfil-disc-autoconhecimento-para-potencializar-resultados1769552080962?classId=3576</t>
  </si>
  <si>
    <t>28/08/2024</t>
  </si>
  <si>
    <t>Bowe &amp; Harpoon</t>
  </si>
  <si>
    <t>https://universidade.pipelovers.net/m/lessons/vendas-enterprise-e-abm-como-identificar-contas-estrategicas-e-escalar-receita-1773687243812?classId=3809</t>
  </si>
  <si>
    <t>Como vender para o CMO?</t>
  </si>
  <si>
    <t>David Costa Lima</t>
  </si>
  <si>
    <t>Co-fundador</t>
  </si>
  <si>
    <t>https://www.linkedin.com/in/dacarjb/</t>
  </si>
  <si>
    <t>https://universidade.pipelovers.net/m/lessons/como-vender-para-o-cmo1769552365162?classId=3717</t>
  </si>
  <si>
    <t>154. PipeLovers💚SDRs Perfil DISC Autoconhecimento para potencializar resultados com Igor Batista-descript.mp4</t>
  </si>
  <si>
    <t>Thais Brunatto</t>
  </si>
  <si>
    <t>Head de Pré Vendas</t>
  </si>
  <si>
    <t>https://www.linkedin.com/in/thais-brunatto/</t>
  </si>
  <si>
    <t>04/09/2024</t>
  </si>
  <si>
    <t>https://universidade.pipelovers.net/m/lessons/spiced-na-prospeccao-revelando-necessidades-ocultas-do-lead1769552080988?classId=3577</t>
  </si>
  <si>
    <t>https://drive.google.com/file/d/1nfaWQ83vOzGHWPFPS646mUeuLHCa5-tm/view?usp=drive_link</t>
  </si>
  <si>
    <t>https://www.linkedin.com/in/kelmerteixeira/</t>
  </si>
  <si>
    <t>Qualificação de oportunidades com SPIN Selling</t>
  </si>
  <si>
    <t>Lincon Beraldo</t>
  </si>
  <si>
    <t>LB Company</t>
  </si>
  <si>
    <t>https://www.linkedin.com/in/lincon-beraldo/</t>
  </si>
  <si>
    <t>155. PipeLovers💚SDRs SPICED na prospecção revelando necessidades ocultas do lead com Thais Brunatto.mp4</t>
  </si>
  <si>
    <t>Boas práticas de mensagens no Linkedin e WhatsApp</t>
  </si>
  <si>
    <t>Senior Consulting Partner</t>
  </si>
  <si>
    <t>https://universidade.pipelovers.net/m/lessons/qualificacao-de-oportunidades-com-spin-selling1769552365187?classId=3718</t>
  </si>
  <si>
    <t>https://universidade.pipelovers.net/m/lessons/boas-praticas-de-mensagens-no-linkedin-e-whatsapp1769552081013?classId=3037</t>
  </si>
  <si>
    <t>A importância de conectar vendas externas com Revops</t>
  </si>
  <si>
    <t>Diretor de Vendas e CS</t>
  </si>
  <si>
    <t>11/09/2024</t>
  </si>
  <si>
    <t>https://drive.google.com/file/d/1aPBZ9Cxxtz0KBqqSpzdycDGpuVdSRRwu/view?usp=drive_link</t>
  </si>
  <si>
    <t>https://universidade.pipelovers.net/m/lessons/a-importancia-de-conectar-vendas-externas-com-revops-1774988845409?classId=3877</t>
  </si>
  <si>
    <t>Segmentação de Mercado e Priorização de Clientes</t>
  </si>
  <si>
    <t>Pedro Lage</t>
  </si>
  <si>
    <t>https://www.linkedin.com/in/pedro-lage/</t>
  </si>
  <si>
    <t>156. PipeLovers💚SDRs Boas práticas de mensagens no Linkedin e WhatsApp com Gabriel Baeta-descript.mp4</t>
  </si>
  <si>
    <t>Como usar provas sociais na prospecção</t>
  </si>
  <si>
    <t>Thayse Miranda</t>
  </si>
  <si>
    <t>https://www.linkedin.com/in/thaysemiranda/</t>
  </si>
  <si>
    <t>https://universidade.pipelovers.net/m/lessons/segmentacao-de-mercado-e-priorizacao-de-clientes1769552365215?classId=3722</t>
  </si>
  <si>
    <t>https://universidade.pipelovers.net/m/lessons/como-usar-provas-sociais-na-prospeccao1769552081075?classId=3578</t>
  </si>
  <si>
    <t>173. PipeLovers 💙 Gestão Comercial A importância de conectar vendas externas com revops com André Zacarias.mp4</t>
  </si>
  <si>
    <t>18/09/2024</t>
  </si>
  <si>
    <t>https://drive.google.com/file/d/1bx8sprQ434DbTeoZT6M8TakrAGLpfdWL/view?usp=drive_link</t>
  </si>
  <si>
    <t>Como revisar e melhorar seu processo comercial</t>
  </si>
  <si>
    <t>Thiago Pirinelli</t>
  </si>
  <si>
    <t>Funil de Vendas™</t>
  </si>
  <si>
    <t>https://universidade.pipelovers.net/m/lessons/como-revisar-e-melhorar-seu-processo-comercial-1773687658454?classId=3810</t>
  </si>
  <si>
    <t>157. PipeLovers💚SDRs Como usar provas sociais na prospecção com Thayse Miranda-descript.mp4</t>
  </si>
  <si>
    <t>Melhores práticas de CRM para pré vendedores</t>
  </si>
  <si>
    <t>Dayane Mara</t>
  </si>
  <si>
    <t>Técnicas de organização de funil para previsibilidade</t>
  </si>
  <si>
    <t>V360</t>
  </si>
  <si>
    <t>Rodrigo Becker Cabral</t>
  </si>
  <si>
    <t>https://www.linkedin.com/in/dayane-mara-/</t>
  </si>
  <si>
    <t>Diretor de vendas e marketing</t>
  </si>
  <si>
    <t>Progic</t>
  </si>
  <si>
    <t>https://www.linkedin.com/in/rodrigobeckecabral/</t>
  </si>
  <si>
    <t>https://universidade.pipelovers.net/m/lessons/melhores-praticas-de-crm-para-pre-vendedores1769552081110?classId=3579</t>
  </si>
  <si>
    <t>https://universidade.pipelovers.net/m/lessons/tecnicas-de-organizacao-de-funil-para-previsibilidade1769552365452?classId=3721</t>
  </si>
  <si>
    <t>https://www.linkedin.com/in/pirinelli/</t>
  </si>
  <si>
    <t>158.  PipeLovers💚SDRs Melhores práticas de CRM para pré vendedores com Dayane Mara-descript.mp4</t>
  </si>
  <si>
    <t>25/09/2024</t>
  </si>
  <si>
    <t>Preparação para rituais de time: como SDRs podem se comunicar com mais clareza e impacto</t>
  </si>
  <si>
    <t>Marcela Mauá</t>
  </si>
  <si>
    <t>https://drive.google.com/file/d/1HSLHJBczT4nYRImGdvdScHl_2NzuZ0wp/view?usp=drive_link</t>
  </si>
  <si>
    <t>SMB Manager</t>
  </si>
  <si>
    <t>https://www.linkedin.com/in/marcelamaua/</t>
  </si>
  <si>
    <t>174.  PipeLovers 💙 Gestão Comercial Como revisar e melhorar seu processo comercial com Thiago Pirinelli - descript.mp4</t>
  </si>
  <si>
    <t>Estrutura de uma operação de gestão de carteira (CS)</t>
  </si>
  <si>
    <t>Cesar Augusto</t>
  </si>
  <si>
    <t>Co-Founder &amp; COO</t>
  </si>
  <si>
    <t>Dose</t>
  </si>
  <si>
    <t>Autodidata: vendedores aprendendo por conta própria</t>
  </si>
  <si>
    <t>https://universidade.pipelovers.net/m/lessons/preparacao-para-rituais-de-time-como-sdrs-podem-se-comunicar-com-mais-clareza-e-impacto1769552081141?classId=3580</t>
  </si>
  <si>
    <t>Izabela Guarino</t>
  </si>
  <si>
    <t>Head of Product &amp; Content</t>
  </si>
  <si>
    <t>https://universidade.pipelovers.net/m/lessons/estrutura-de-uma-operacao-de-gestao-de-carteira-cs-1773688863277?moduleId=1237&amp;classId=3812</t>
  </si>
  <si>
    <t>Triple Session</t>
  </si>
  <si>
    <t>https://www.linkedin.com/in/izabelaguarino/</t>
  </si>
  <si>
    <t>https://universidade.pipelovers.net/m/lessons/autodidata-vendedores-aprendendo-por-conta-propria1769552365413?classId=3720</t>
  </si>
  <si>
    <t>159. PipeLovers💚SDRs Preparação para rituais de time como SDRs podem se comunicar com mais clareza e impacto com Marcela Mauá - DESCRIPT.mp4</t>
  </si>
  <si>
    <t>Multicanalidade na prospecção para aumento de taxa de conversão</t>
  </si>
  <si>
    <t>Yago Pereira</t>
  </si>
  <si>
    <t>Gerente de operações comerciais</t>
  </si>
  <si>
    <t>BLU Sales Group</t>
  </si>
  <si>
    <t>https://www.linkedin.com/in/yagopereiraoficial/</t>
  </si>
  <si>
    <t>https://universidade.pipelovers.net/m/lessons/multicanalidade-na-prospeccao-para-aumento-de-taxa-de-conversao1769552081166?classId=3581</t>
  </si>
  <si>
    <t>02/10/2024</t>
  </si>
  <si>
    <t>https://drive.google.com/file/d/14UE-U2BLeek_Z6fJMvZUyz7L9sILQCO7/view?usp=drive_link</t>
  </si>
  <si>
    <t>Gestão de canais: como estruturar, ativar e acompanhar parceiros</t>
  </si>
  <si>
    <t>Nathália Koga</t>
  </si>
  <si>
    <t>160.  PipeLovers💚SDRs Multicanalidade na prospecção para aumento de taxa de conversão com Yago Pereira-descript.mp4</t>
  </si>
  <si>
    <t>Founder e CEO</t>
  </si>
  <si>
    <t>Explorando notícias de mercado na prospecção ativa</t>
  </si>
  <si>
    <t>João Rezende</t>
  </si>
  <si>
    <t>Partner Pro Brasil</t>
  </si>
  <si>
    <t>Mapeamento e influência no comitê de compras</t>
  </si>
  <si>
    <t>André Ribeiro</t>
  </si>
  <si>
    <t>Outbound Sales Leader</t>
  </si>
  <si>
    <t>https://www.linkedin.com/in/andrepribeiro/</t>
  </si>
  <si>
    <t>https://universidade.pipelovers.net/m/lessons/gestao-de-canais-como-estruturar-ativar-e-acompanhar-parceiros-1775675970943?classId=3916</t>
  </si>
  <si>
    <t>Coordenador de Growth Marketing</t>
  </si>
  <si>
    <t>https://www.linkedin.com/in/rezendejoao/</t>
  </si>
  <si>
    <t>https://universidade.pipelovers.net/m/lessons/mapeamento-e-influencia-no-comite-de-compras1769552365486?classId=3719</t>
  </si>
  <si>
    <t>https://universidade.pipelovers.net/m/lessons/explorando-noticias-de-mercado-na-prospeccao-ativa1769552081204?classId=3582</t>
  </si>
  <si>
    <t>09/10/2024</t>
  </si>
  <si>
    <t>https://drive.google.com/file/d/1naf6-9vUHA4frZJ62_C3XWtNogooW9la/view?usp=drive_link</t>
  </si>
  <si>
    <t>https://www.linkedin.com/in/nathalia-koga-0072261b9/</t>
  </si>
  <si>
    <t>161.  PipeLovers💚SDRs Explorando notícias de mercado na prospecção ativa com João Rezende - descript.mp4</t>
  </si>
  <si>
    <t>Recuperando a confiança em momentos de baixo desempenho</t>
  </si>
  <si>
    <t>Filipe Bento</t>
  </si>
  <si>
    <t>Metodologia GPCT para qualificação de oportunidades</t>
  </si>
  <si>
    <t>Jony Nardes</t>
  </si>
  <si>
    <t>Br24</t>
  </si>
  <si>
    <t>https://www.linkedin.com/in/filipegbento/</t>
  </si>
  <si>
    <t>https://www.linkedin.com/in/jonynardes/</t>
  </si>
  <si>
    <t>Técnicas de vendas</t>
  </si>
  <si>
    <t>175.  PipeLovers 💙 Gestão Comercial Estrutura de uma operação de gestão de carteira (CS) com Cesar Augusto- descript.mp4</t>
  </si>
  <si>
    <t>https://universidade.pipelovers.net/aulas/metodologia-gpct-para-qualificacao-de-oportunidades-1775683832311</t>
  </si>
  <si>
    <t>https://universidade.pipelovers.net/m/lessons/recuperando-a-confianca-em-momentos-de-baixo-desempenho1769552365512?classId=3661</t>
  </si>
  <si>
    <t>Como tomar decisões difíceis na liderança comercial</t>
  </si>
  <si>
    <t>Cadu Merlin</t>
  </si>
  <si>
    <t>Certta</t>
  </si>
  <si>
    <t>https://universidade.pipelovers.net/m/lessons/como-tomar-decisoes-dificeis-na-lideranca-comercial-1775044173022?classId=3879</t>
  </si>
  <si>
    <t>162. PipeLovers💚SDRs Metodologia GPCT para qualificação de oportunidades com Jony Nardes - descript.mp4</t>
  </si>
  <si>
    <t>Motivação em pré-vendas: como descobrir o que sustenta sua alta performance</t>
  </si>
  <si>
    <t>Caroline Corrêa</t>
  </si>
  <si>
    <t>Gerente de operações</t>
  </si>
  <si>
    <t>Tripelab</t>
  </si>
  <si>
    <t>https://www.linkedin.com/in/carolinecorr%C3%AAa2/</t>
  </si>
  <si>
    <t>16/10/2024</t>
  </si>
  <si>
    <t>https://drive.google.com/file/d/17j1KtaBDNlNYWRtnl4p0JplJeAFfp391/view?usp=drive_link</t>
  </si>
  <si>
    <t>https://universidade.pipelovers.net/aulas/motivacao-em-pre-vendas-como-descobrir-o-que-sustenta-sua-alta-performance-1775684561999</t>
  </si>
  <si>
    <t>https://www.linkedin.com/in/carloseduardomerlin/</t>
  </si>
  <si>
    <t>Segmento de Serviços: dores e oportunidades do setor</t>
  </si>
  <si>
    <t>Alberto Lopes</t>
  </si>
  <si>
    <t>Solides</t>
  </si>
  <si>
    <t>https://www.linkedin.com/in/albertolopes/</t>
  </si>
  <si>
    <t>163. PipeLovers💚SDRs Motivação em pré-vendas como descobrir o que sustenta sua alta performance com Caroline Corrêa - descript.mp4</t>
  </si>
  <si>
    <t>Conexão em abordagens frias: como fugir do óbvio e conquistar atenção</t>
  </si>
  <si>
    <t>Thais Cestari</t>
  </si>
  <si>
    <t>Senior Account Manager - Partnerships</t>
  </si>
  <si>
    <t>Talent.com</t>
  </si>
  <si>
    <t>https://www.linkedin.com/in/thaiscmiranda/</t>
  </si>
  <si>
    <t>https://universidade.pipelovers.net/m/lessons/segmento-de-servicos-dores-e-oportunidades-do-setor1769552365538?classId=3660</t>
  </si>
  <si>
    <t>Atuação com segmentos específicos: como personalizar abordagens e estrutura</t>
  </si>
  <si>
    <t>Rodrigo Lóssio e Diego Morsoletto</t>
  </si>
  <si>
    <t>Fundador e Gestor de Negócios e Marketing</t>
  </si>
  <si>
    <t>Dialetto</t>
  </si>
  <si>
    <t>https://universidade.pipelovers.net/m/lessons/atuacao-com-segmentos-especificos-como-personalizar-abordagens-e-estrutura-1778682804297?classId=4001</t>
  </si>
  <si>
    <t>https://universidade.pipelovers.net/m/lessons/conexao-em-abordagens-frias-como-fugir-do-obvio-e-conquistar-atencao1769552081303?classId=3583</t>
  </si>
  <si>
    <t>23/10/2024</t>
  </si>
  <si>
    <t>https://drive.google.com/file/d/1htQxQ45GBFqdSPZrHBYEq_Q87g8-xLYO/view?usp=drive_link</t>
  </si>
  <si>
    <t>164.  PipeLovers💚SDRs Conexão em abordagens frias como fugir do óbvio e conquistar atenção com Thais Cestari - descript.mp4</t>
  </si>
  <si>
    <t>Melhores práticas de role plays e simulações de venda</t>
  </si>
  <si>
    <t>Raquel Avelar</t>
  </si>
  <si>
    <t>Analista de Sales Enablement Sr</t>
  </si>
  <si>
    <t>Como ajustar seu discurso para diferentes perfis de clientes</t>
  </si>
  <si>
    <t>Victor Lasman</t>
  </si>
  <si>
    <t>https://www.linkedin.com/in/raquelavelar/</t>
  </si>
  <si>
    <t>National Talent Solutions Manager</t>
  </si>
  <si>
    <t>Randstad Brasil</t>
  </si>
  <si>
    <t>https://www.linkedin.com/in/victorlasman/</t>
  </si>
  <si>
    <t>https://universidade.pipelovers.net/m/lessons/melhores-praticas-de-role-plays-e-simulacoes-de-venda1769552365588?classId=3659</t>
  </si>
  <si>
    <t>https://www.linkedin.com/in/lossio/ | https://www.linkedin.com/in/diego-morsoletto-cardoso/?skipRedirect=true</t>
  </si>
  <si>
    <t>https://universidade.pipelovers.net/m/lessons/como-ajustar-seu-discurso-para-diferentes-perfis-de-clientes1769552081350?classId=3584</t>
  </si>
  <si>
    <t>Estrutura de uma operação de aquisição de novos clientes</t>
  </si>
  <si>
    <t>30/10/2024</t>
  </si>
  <si>
    <t>Zoho</t>
  </si>
  <si>
    <t>165.  PipeLovers💚SDRs Como ajustar seu discurso para diferentes perfis de clientes com Victor Lasman - dexcript.mp4</t>
  </si>
  <si>
    <t>https://drive.google.com/file/d/12U2jDjxVdC5iK0DAH-Yp-QNI8knMz4J1/view?usp=drive_link</t>
  </si>
  <si>
    <t>https://universidade.pipelovers.net/m/lessons/estrutura-de-uma-operacao-de-aquisicao-de-novos-clientes-1779132718608?moduleId=1420&amp;classId=4006</t>
  </si>
  <si>
    <t>Storytelling para SDR: como abrir conversas sem soar genérico</t>
  </si>
  <si>
    <t>Rodrigo Maia</t>
  </si>
  <si>
    <t>Empresário e Comunicador</t>
  </si>
  <si>
    <t>Blockchain e Crypto: como isso irá transformar vendas B2B?</t>
  </si>
  <si>
    <t>Fabiano Miranda</t>
  </si>
  <si>
    <t>https://www.linkedin.com/in/rodrigo-maia-theodoro-dos-santos-59357532/?utm_source=share&amp;utm_campaign=share_via&amp;utm_content=profile&amp;utm_medium=ios_app</t>
  </si>
  <si>
    <t>Soul Prime</t>
  </si>
  <si>
    <t>https://www.linkedin.com/in/fmsoul/</t>
  </si>
  <si>
    <t>https://universidade.pipelovers.net/m/lessons/blockchain-e-crypto-como-isso-ira-transformar-vendas-b2b1769552365640?classId=3658</t>
  </si>
  <si>
    <t>https://universidade.pipelovers.net/m/lessons/storytelling-para-sdr-como-abrir-conversas-sem-soar-generico1772542661991?classId=3770</t>
  </si>
  <si>
    <t>06/11/2024</t>
  </si>
  <si>
    <t>https://drive.google.com/file/d/1ngaAA3ZYnx5cIs59KP67yJzSiVNcqIrP/view?usp=drive_link</t>
  </si>
  <si>
    <t>5 praticas para alavancar vendas externas</t>
  </si>
  <si>
    <t>https://universidade.pipelovers.net/m/lessons/5-praticas-para-alavancar-vendas-externas-1780516324791?moduleId=1432&amp;classId=4020</t>
  </si>
  <si>
    <t>Criação de um Territory Plan</t>
  </si>
  <si>
    <t>Eduardo Mattos</t>
  </si>
  <si>
    <t>Intexfy</t>
  </si>
  <si>
    <t>https://www.linkedin.com/in/edusmattos/</t>
  </si>
  <si>
    <t>166. PipeLovers💚SDRs Storytelling para SDR como abrir conversas sem soar genérico com Rodrigo Maia - descript.mp4</t>
  </si>
  <si>
    <t>Técnicas de Rapport para prospecção</t>
  </si>
  <si>
    <t>Igor Macedo</t>
  </si>
  <si>
    <t>Gestor de vendas, pré vendas e arquitetura</t>
  </si>
  <si>
    <t>https://universidade.pipelovers.net/m/lessons/criacao-de-um-territory-plan1769552365670?classId=3657</t>
  </si>
  <si>
    <t>https://www.linkedin.com/in/igormacedobarbosa/</t>
  </si>
  <si>
    <t>https://universidade.pipelovers.net/m/lessons/tecnicas-de-rapport-para-prospeccao1772542662129?classId=3772</t>
  </si>
  <si>
    <t>13/11/2024</t>
  </si>
  <si>
    <t>https://drive.google.com/file/d/1FSEOeHMUlATTm4_h7wzo1ltXe3QWrMMv/view?usp=drive_link</t>
  </si>
  <si>
    <t>Características em comum dos melhores vendedores</t>
  </si>
  <si>
    <t>Octavio Garbi</t>
  </si>
  <si>
    <t>Diretor comercial</t>
  </si>
  <si>
    <t>https://www.linkedin.com/in/octavio-garbi/</t>
  </si>
  <si>
    <t>Organização de rotina e agenda para líderes de vendas</t>
  </si>
  <si>
    <t>Rodrigo Formento</t>
  </si>
  <si>
    <t>Diretor de Receitas</t>
  </si>
  <si>
    <t>Técnicas de Rapport</t>
  </si>
  <si>
    <t>Odisseia AI</t>
  </si>
  <si>
    <t>167. PipeLovers💚SDRs Técnicas de Rapport para prospecção com Igor Macedo - descript.mp4</t>
  </si>
  <si>
    <t>https://universidade.pipelovers.net/m/lessons/organizacao-de-rotina-e-agenda-para-lideres-de-vendas-1775679204466?moduleId=1335&amp;classId=3917</t>
  </si>
  <si>
    <t>https://www.linkedin.com/in/rodrigoformento/</t>
  </si>
  <si>
    <t>Modelos de incentivo e recompensa para vendedores</t>
  </si>
  <si>
    <t>Eduardo Faccio</t>
  </si>
  <si>
    <t>Enterprise Sales &amp; GTM Director</t>
  </si>
  <si>
    <t>Contato Seguro</t>
  </si>
  <si>
    <t>https://universidade.pipelovers.net/m/lessons/modelos-de-incentivo-e-recompensa-para-vendedores-1778011143206?moduleId=1404&amp;classId=3989</t>
  </si>
  <si>
    <t>Abordagens de prospecção que funcionam no começo do ano</t>
  </si>
  <si>
    <t>https://universidade.pipelovers.net/m/lessons/caracteristicas-em-comum-dos-melhores-vendedores1769552365701?classId=3656</t>
  </si>
  <si>
    <t>Lahire Cavalléro</t>
  </si>
  <si>
    <t>Cavalléro Consultoria e RH</t>
  </si>
  <si>
    <t>https://www.linkedin.com/in/lahire-cavallero/</t>
  </si>
  <si>
    <t>https://www.linkedin.com/in/eduardofaccio/</t>
  </si>
  <si>
    <t>https://universidade.pipelovers.net/m/lessons/abordagens-e-prospeccao-que-funcionam-no-comeco-do-ano1772542641973?classId=3746</t>
  </si>
  <si>
    <t>Gestão de território de vendas externas: como equilibrar sua equipe</t>
  </si>
  <si>
    <t>Lucas Ferreira</t>
  </si>
  <si>
    <t>Senior Closer</t>
  </si>
  <si>
    <t>https://universidade.pipelovers.net/m/lessons/gestao-de-territorio-de-vendas-externas-como-equilibrar-sua-equipe-1782225749478?moduleId=1457&amp;classId=4041</t>
  </si>
  <si>
    <t>20/11/2024</t>
  </si>
  <si>
    <t>https://drive.google.com/file/d/15XmPJbmuovX3qhEvuMAp-KfRvkN6S7c1/view?usp=drive_link</t>
  </si>
  <si>
    <t>168. PipeLovers💚SDRs Abordagens de prospecção que funcionam no começo do ano com Lahire Cavalléro - descript.mp4</t>
  </si>
  <si>
    <t>Métricas que todo pré-vendedor deve saber (e acompanhar)</t>
  </si>
  <si>
    <t>Gerente de vendas</t>
  </si>
  <si>
    <t>QuestionPro</t>
  </si>
  <si>
    <t>https://universidade.pipelovers.net/m/lessons/metricas-que-todo-pre-vendedor-deve-saber-e-acompanhar1772542642743?classId=3763</t>
  </si>
  <si>
    <t>Value Based Selling: entregando valor ao seu cliente</t>
  </si>
  <si>
    <t>André Santos</t>
  </si>
  <si>
    <t>https://www.linkedin.com/in/lucasferreira123/?skipRedirect=true</t>
  </si>
  <si>
    <t>Global Account Manager</t>
  </si>
  <si>
    <t>https://www.linkedin.com/in/santosandre/</t>
  </si>
  <si>
    <t>169. PipeLovers💚SDRs Métricas que todo pré-vendedor deve saber (e acompanhar) com Thaise Bolzan - descript.mp4</t>
  </si>
  <si>
    <t>Gerando conexão com o lead no primeiro contato</t>
  </si>
  <si>
    <t>Tierre Fonseca</t>
  </si>
  <si>
    <t>Especialista em pré vendas</t>
  </si>
  <si>
    <t>DGenny</t>
  </si>
  <si>
    <t>https://www.linkedin.com/in/tierrefonseca/</t>
  </si>
  <si>
    <t>https://universidade.pipelovers.net/m/lessons/value-based-selling-entregando-valor-ao-seu-cliente1769552368468?classId=3655</t>
  </si>
  <si>
    <t>Cultura de valorização: como engajar times de vendas no dia a dia</t>
  </si>
  <si>
    <t>Alexander Cabral</t>
  </si>
  <si>
    <t>Professor</t>
  </si>
  <si>
    <t>https://universidade.pipelovers.net/m/lessons/gerando-conexao-com-o-lead-no-primeiro-contato1772542642630?classId=3760</t>
  </si>
  <si>
    <t>https://universidade.pipelovers.net/m/lessons/cultura-de-valorizacao-como-engajar-times-de-vendas-no-dia-a-dia-1778615587418?moduleId=1414&amp;classId=4000</t>
  </si>
  <si>
    <t>170. PipeLovers💚SDRs Gerando conexão com o lead no primeiro contato com Tierre Fonseca - descript.mp4</t>
  </si>
  <si>
    <t>Como passar pela secretária</t>
  </si>
  <si>
    <t>27/11/2024</t>
  </si>
  <si>
    <t>https://drive.google.com/file/d/1uAH_Ni8q7A_TjwBt00BSDTOBIrF1G1Ln/view?usp=drive_link</t>
  </si>
  <si>
    <t>https://universidade.pipelovers.net/m/lessons/como-passar-pela-secretaria1772542642357?classId=3754</t>
  </si>
  <si>
    <t>https://www.linkedin.com/in/alexandercabral/</t>
  </si>
  <si>
    <t>171. PipeLovers💚SDRs Como passar pela secretária com Jéssica Bosco - descript.mp4</t>
  </si>
  <si>
    <t>Como usar IA para acelerar sua prospecção</t>
  </si>
  <si>
    <t>Manoel Victor</t>
  </si>
  <si>
    <t>Marvee</t>
  </si>
  <si>
    <t>https://www.linkedin.com/in/manoel-victor-tomaz/</t>
  </si>
  <si>
    <t>Motivação e Engajamento de Times</t>
  </si>
  <si>
    <t>Mapeando Objeções: Como antecipar e reduzir resistências</t>
  </si>
  <si>
    <t>Raphael Portugal</t>
  </si>
  <si>
    <t>Growth Manager</t>
  </si>
  <si>
    <t>Portugal Imóveis na Riviera</t>
  </si>
  <si>
    <t>Preparação para promoção: como se tornar líder de líderes</t>
  </si>
  <si>
    <t>https://www.linkedin.com/in/raphael-gonzalez-portugal-b723a7115/</t>
  </si>
  <si>
    <t>Julia Drummond</t>
  </si>
  <si>
    <t>Head of Customer Success &amp; Community</t>
  </si>
  <si>
    <t>ImLog</t>
  </si>
  <si>
    <t>https://universidade.pipelovers.net/m/lessons/preparacao-para-promocao-como-se-tornar-lider-de-lideres-1781809613628</t>
  </si>
  <si>
    <t>Tendências de mercado</t>
  </si>
  <si>
    <t>https://universidade.pipelovers.net/m/lessons/como-usar-ia-para-acelerar-sua-prospeccao-1771878431926?classId=3835</t>
  </si>
  <si>
    <t>https://universidade.pipelovers.net/m/lessons/mapeando-objecoes-como-antecipar-e-reduzir-resistencias1769552368499?classId=3654</t>
  </si>
  <si>
    <t>https://www.linkedin.com/in/julia-drumond/</t>
  </si>
  <si>
    <t>172. PipeLovers💚SDRs Como usar IA para acelerar sua prospecção com Manoel Victor - descript.mp4</t>
  </si>
  <si>
    <t>WhatsApp que converte: como conduzir a conversa até a reunião</t>
  </si>
  <si>
    <t>Daniel Reginatto</t>
  </si>
  <si>
    <t>04/12/2024</t>
  </si>
  <si>
    <t>Redrive</t>
  </si>
  <si>
    <t>https://drive.google.com/file/d/1HqVD6UyUuo7MVuJ_VX2964spNFyHPwhD/view?usp=drive_link</t>
  </si>
  <si>
    <t>https://www.linkedin.com/in/danielreginatto/</t>
  </si>
  <si>
    <t>Ações práticas para desenvolver e reter os talentos do seu time</t>
  </si>
  <si>
    <t>https://universidade.pipelovers.net/m/lessons/whatsapp-que-converte-como-conduzir-a-conversa-ate-a-reuniao-1771879433094?classId=3836</t>
  </si>
  <si>
    <t>Felipe Roque</t>
  </si>
  <si>
    <t>Alto QI</t>
  </si>
  <si>
    <t>https://universidade.pipelovers.net/m/lessons/acoes-praticas-para-desenvolver-e-reter-os-talentos-do-seu-time-1782224168574?moduleId=1563&amp;classId=4415</t>
  </si>
  <si>
    <t>Como se preparar para suas reuniões comerciais usando IA</t>
  </si>
  <si>
    <t>Marcelo Hamu</t>
  </si>
  <si>
    <t>173. PipeLovers💚SDRs WhatsApp que converte como conduzir a conversa até a reunião com Daniel Reginatto - descript.mp4</t>
  </si>
  <si>
    <t>https://www.linkedin.com/in/marcelohamu/</t>
  </si>
  <si>
    <t>Diagnóstico de oportunidade: como identificar o cliente certo na pré-venda</t>
  </si>
  <si>
    <t>Júlia Drumond</t>
  </si>
  <si>
    <t>https://universidade.pipelovers.net/m/lessons/diagnostico-de-oportunidade-como-identificar-o-cliente-certo-na-pre-venda-1771879498749?classId=3838</t>
  </si>
  <si>
    <t>https://universidade.pipelovers.net/m/lessons/como-se-preparar-para-suas-reunioes-comerciais-usando-ia1769552368528?classId=3653</t>
  </si>
  <si>
    <t>https://www.linkedin.com/in/felipebkroque/</t>
  </si>
  <si>
    <t>174. PipeLovers💚SDRs Diagnóstico de oportunidade como identificar o cliente certo na pré-venda com Júlia Drumond - descript.mp4</t>
  </si>
  <si>
    <t>Entendendo a dor do cliente desde a primeira conversa</t>
  </si>
  <si>
    <t>Bianca Gimenez</t>
  </si>
  <si>
    <t>Águia Leão</t>
  </si>
  <si>
    <t>https://www.linkedin.com/in/biancagimenezvalente/</t>
  </si>
  <si>
    <t>11/12/2024</t>
  </si>
  <si>
    <t>Aumento de taxa de conversão através de Coaching de vendedores</t>
  </si>
  <si>
    <t>Vinicius da Silva</t>
  </si>
  <si>
    <t>https://drive.google.com/file/d/1XK-iKq5Plh3j8SEPqoRSYVhkUuWfx0Hw/view?usp=drive_link</t>
  </si>
  <si>
    <t>You RH</t>
  </si>
  <si>
    <t>https://universidade.pipelovers.net/m/lessons/aumento-de-taxa-de-conversao-atraves-de-coaching-de-vendedores-1783099432674</t>
  </si>
  <si>
    <t>https://universidade.pipelovers.net/m/lessons/entendendo-a-dor-do-cliente-desde-a-primeira-conversa-1773684269941?classId=3803</t>
  </si>
  <si>
    <t>175. PipeLovers💚SDRs Entendendo a dor do cliente desde a primeira conversa com Bianca Gimenez.mp4</t>
  </si>
  <si>
    <t>Metodologia BANT para qualificação de oportunidades</t>
  </si>
  <si>
    <t>Janine Bosco</t>
  </si>
  <si>
    <t>Aquila Aceleradora</t>
  </si>
  <si>
    <t>https://www.linkedin.com/in/janine-gabriela-bosco-1525b0bb/</t>
  </si>
  <si>
    <t>https://universidade.pipelovers.net/m/lessons/metodologia-bant-para-qualificacao-de-oportunidades-1774546900949?classId=3848</t>
  </si>
  <si>
    <t>18/12/2024</t>
  </si>
  <si>
    <t>https://drive.google.com/file/d/1pWIC9wAgARv5cMHcraPbzw7_0EsKI8Jx/view?usp=drive_link</t>
  </si>
  <si>
    <t>Gestão de vendas internacionais a partir do Brasil</t>
  </si>
  <si>
    <t>David Mattos</t>
  </si>
  <si>
    <t>4,86</t>
  </si>
  <si>
    <t>Don Consultoria</t>
  </si>
  <si>
    <t>176. PipeLovers💚SDRs Metodologia BANT para qualificação de oportunidades com Janine Bosco - descript.mp4</t>
  </si>
  <si>
    <t>Reativação de contas inativas</t>
  </si>
  <si>
    <t>https://universidade.pipelovers.net/m/lessons/gestao-de-vendas-internacionais-a-partir-do-brasil-1783099942622?moduleId=1470&amp;classId=4052</t>
  </si>
  <si>
    <t>Tainah Subtil</t>
  </si>
  <si>
    <t>SDR Manager</t>
  </si>
  <si>
    <t>Desafios comerciais do Interior</t>
  </si>
  <si>
    <t>Jandrey Nogueira</t>
  </si>
  <si>
    <t>Chili Piper</t>
  </si>
  <si>
    <t>Sócio e Diretor Comercial</t>
  </si>
  <si>
    <t>ISOPOWER Indústria</t>
  </si>
  <si>
    <t>https://www.linkedin.com/in/jandreynogueira/</t>
  </si>
  <si>
    <t>https://www.linkedin.com/in/tainahsubtil/</t>
  </si>
  <si>
    <t>https://universidade.pipelovers.net/m/lessons/reativacao-de-contas-inativas-1773683936663?classId=3802</t>
  </si>
  <si>
    <t>https://universidade.pipelovers.net/m/lessons/desafios-comerciais-do-interior1769552368611?classId=3652</t>
  </si>
  <si>
    <t>https://www.linkedin.com/in/david-mattos/</t>
  </si>
  <si>
    <t>177. PipeLovers💚SDRs Reativação de contas inativas com Tainah Subtil - descript.mp4</t>
  </si>
  <si>
    <t>Como priorizar tarefas no dia a dia de pré‑venda</t>
  </si>
  <si>
    <t>Gabriel Heringer</t>
  </si>
  <si>
    <t>https://www.linkedin.com/in/gabriel-heringer-b64498143/</t>
  </si>
  <si>
    <t>25/12/2024</t>
  </si>
  <si>
    <t>https://drive.google.com/file/d/1kg6PpAmSi-6HAobs-ksYqT0wnisV4E4R/view?usp=drive_link</t>
  </si>
  <si>
    <t>A indicação como canal de vendas</t>
  </si>
  <si>
    <t>https://universidade.pipelovers.net/m/lessons/a-indicacao-como-canal-de-vendas-1784050890632?moduleId=1507&amp;classId=4206</t>
  </si>
  <si>
    <t>https://universidade.pipelovers.net/aulas/como-priorizar-tarefas-no-dia-a-dia-de-prevenda-1773684689179</t>
  </si>
  <si>
    <t>Consistência em resultados: como ter previsibilidade para bater metas</t>
  </si>
  <si>
    <t>Henrique Carrer</t>
  </si>
  <si>
    <t>Account Executive - High touch</t>
  </si>
  <si>
    <t>https://www.linkedin.com/in/henrique-carrer/</t>
  </si>
  <si>
    <t>178. PipeLovers💚SDRs Como priorizar tarefas no dia a dia de pré‑venda com Gabriel Heringer - descript.mp4</t>
  </si>
  <si>
    <t>Como pensar como um pré vendas estratégico</t>
  </si>
  <si>
    <t>Pedro Holz</t>
  </si>
  <si>
    <t>Aquila Aceleradora Comercial</t>
  </si>
  <si>
    <t>https://universidade.pipelovers.net/m/lessons/consistencia-em-resultados-como-ter-previsibilidade-para-bater-metas1769552368647?classId=3651</t>
  </si>
  <si>
    <t>https://www.linkedin.com/in/pedroholz/</t>
  </si>
  <si>
    <t xml:space="preserve"> A persona do indicador e a definição do modelo de recompensa</t>
  </si>
  <si>
    <t>https://universidade.pipelovers.net/aulas/como-pensar-como-um-pre-vendas-estrategico-1774880946682</t>
  </si>
  <si>
    <t>https://universidade.pipelovers.net/m/lessons/a-persona-do-indicador-e-a-definicao-do-modelo-de-recompensa-1784051189434?moduleId=1508&amp;classId=4207</t>
  </si>
  <si>
    <t>01/01/2025</t>
  </si>
  <si>
    <t>https://drive.google.com/file/d/1LjI-lGaBxKjqh7pMNrGtyR2ZqBIVy__e/view?usp=drive_link</t>
  </si>
  <si>
    <t>Como influenciar a percepção de valor do cliente</t>
  </si>
  <si>
    <t>Elder Jascolka</t>
  </si>
  <si>
    <t>https://www.linkedin.com/in/elderjascolka/</t>
  </si>
  <si>
    <t>179. PipeLovers💚SDRs Como pensar como um pré vendas estratégico com Pedro Holz - descript.mp4</t>
  </si>
  <si>
    <t>Hacks essenciais para converter mais</t>
  </si>
  <si>
    <t>https://universidade.pipelovers.net/m/lessons/como-influenciar-a-percepcao-de-valor-do-cliente1769552368711?classId=3650</t>
  </si>
  <si>
    <t>O formato da indicação e divulgação do programa</t>
  </si>
  <si>
    <t>https://universidade.pipelovers.net/m/lessons/hacks-essenciais-para-converter-mais-1776455292753?classId=3957</t>
  </si>
  <si>
    <t>https://universidade.pipelovers.net/m/lessons/o-formato-da-indicacao-e-divulgacao-do-programa-1784051352689?moduleId=1509&amp;classId=4208</t>
  </si>
  <si>
    <t>08/01/2025</t>
  </si>
  <si>
    <t>https://drive.google.com/file/d/1hhbK64FGtdKVG-aVvU-_9G4ulFknA0yC/view?usp=drive_link</t>
  </si>
  <si>
    <t>180. PipeLovers💚SDRs Hacks essenciais para converter mais com Jessica Bosco - descript.mp4</t>
  </si>
  <si>
    <t>LinkedIn para pré-vendedores: o básico que funciona</t>
  </si>
  <si>
    <t>Camila Hort</t>
  </si>
  <si>
    <t>Co-founder &amp; CMO</t>
  </si>
  <si>
    <t>ads2in</t>
  </si>
  <si>
    <t>https://www.linkedin.com/in/camilahort/</t>
  </si>
  <si>
    <t>Como fortalecer sua marca pessoal no LinkedIn</t>
  </si>
  <si>
    <t>Head de Operações e RH</t>
  </si>
  <si>
    <t>Métricas e rituais de gestão de programas de indicação</t>
  </si>
  <si>
    <t>https://universidade.pipelovers.net/m/lessons/consistencia-do-programa-1784051514542?moduleId=1510&amp;classId=4209</t>
  </si>
  <si>
    <t>https://universidade.pipelovers.net/m/lessons/como-fortalecer-sua-marca-pessoal-no-linkedin1769552375801?classId=3649</t>
  </si>
  <si>
    <t>https://universidade.pipelovers.net/m/lessons/linkedin-para-pre-vendedores-o-basico-que-funciona-1775150928028?classId=3900</t>
  </si>
  <si>
    <t>15/01/2025</t>
  </si>
  <si>
    <t>https://drive.google.com/file/d/1P_2i1kDJogXG_DxhY8gvkuDNjkazeBuJ/view?usp=drive_link</t>
  </si>
  <si>
    <t>181. PipeLovers💚SDRs LinkedIn para pré-vendedores o básico que funciona com Camila Hort - descript.mp4</t>
  </si>
  <si>
    <t>Técnicas de oratória para executivos de vendas</t>
  </si>
  <si>
    <t>Beatriz Kobal</t>
  </si>
  <si>
    <t>Mentora especialista em treinamentos de oratória</t>
  </si>
  <si>
    <t>Networking para SDRs: como trocar, aprender e abrir portas</t>
  </si>
  <si>
    <t>Lais Nask</t>
  </si>
  <si>
    <t>Embaixadora</t>
  </si>
  <si>
    <t>Eventos como máquina de geração de demanda e ROI</t>
  </si>
  <si>
    <t>https://www.linkedin.com/in/biakobal/</t>
  </si>
  <si>
    <t>Canva Brasil</t>
  </si>
  <si>
    <t>https://www.linkedin.com/in/laisnask/</t>
  </si>
  <si>
    <t>Roberta Timboni Kuzolitz</t>
  </si>
  <si>
    <t>https://universidade.pipelovers.net/m/lessons/tecnicas-de-oratoria-para-executivos-de-vendas1769552376065?classId=3571</t>
  </si>
  <si>
    <t>RTK - Mentoria &amp; Consultoria Estratégica</t>
  </si>
  <si>
    <t>https://universidade.pipelovers.net/m/lessons/eventos-como-maquina-de-geracao-de-demanda-e-roi-1786644544313?moduleId=1654&amp;classId=4560</t>
  </si>
  <si>
    <t>https://universidade.pipelovers.net/m/lessons/networking-para-sdrs-como-trocar-aprender-e-abrir-portas-1775656530408?classId=3915</t>
  </si>
  <si>
    <t>22/01/2025</t>
  </si>
  <si>
    <t>https://drive.google.com/file/d/1aXmSTzQ0IE4MxT1fDb7gutqAtsf4h4GO/view?usp=drive_link</t>
  </si>
  <si>
    <t>Estratégias para aplicação de descontos comerciais</t>
  </si>
  <si>
    <t>Pedro Henrique</t>
  </si>
  <si>
    <t>Networking</t>
  </si>
  <si>
    <t>OUT</t>
  </si>
  <si>
    <t>https://www.linkedin.com/in/pedro-henrique-alves-872b0245/</t>
  </si>
  <si>
    <t>Estruturando um processo Anti No-show</t>
  </si>
  <si>
    <t>https://universidade.pipelovers.net/m/lessons/estrategias-para-aplicacao-de-descontos-comerciais1769552376115?classId=3648</t>
  </si>
  <si>
    <t>https://www.linkedin.com/in/robertakuzolitz/</t>
  </si>
  <si>
    <t>https://universidade.pipelovers.net/m/lessons/como-organizar-sua-lista-de-leads-para-prospectar-melhor-1774529210887?classId=3847</t>
  </si>
  <si>
    <t>29/01/2025</t>
  </si>
  <si>
    <t>https://drive.google.com/file/d/1agWjKDKkvDpw4-6MDkyjQ9nzl63yovja/view?usp=drive_link</t>
  </si>
  <si>
    <t>Prontos pro confronto: a ferramenta que seu time usa contra a concorrência</t>
  </si>
  <si>
    <t>Lorena von Hroch</t>
  </si>
  <si>
    <t>Analista de Marketing de Produtos</t>
  </si>
  <si>
    <t>Plannera</t>
  </si>
  <si>
    <t>https://universidade.pipelovers.net/m/lessons/prontos-pro-confronto-a-ferramenta-que-seu-time-usa-contra-a-concorrencia-1786643367432?moduleId=1589&amp;classId=4480</t>
  </si>
  <si>
    <t>Acelerando fechamentos no inicio do ano</t>
  </si>
  <si>
    <t>Como conduzir conversas difíceis com os leads</t>
  </si>
  <si>
    <t>Thayane Andrade</t>
  </si>
  <si>
    <t>Customer Experience Education</t>
  </si>
  <si>
    <t>https://www.linkedin.com/in/thayaneandradex/</t>
  </si>
  <si>
    <t>https://universidade.pipelovers.net/m/lessons/acelerando-fechamentos-no-inicio-do-ano1769552376164?classId=3647</t>
  </si>
  <si>
    <t>05/02/2025</t>
  </si>
  <si>
    <t>https://www.linkedin.com/in/lorenavonhroch/</t>
  </si>
  <si>
    <t>https://drive.google.com/file/d/1ECIf7wPJ7gfZZ_CKF97AEg1ZC0VAVxRz/view?usp=drive_link</t>
  </si>
  <si>
    <t>https://universidade.pipelovers.net/m/lessons/como-conduzir-conversas-dificeis-com-os-leads-1775655519075?classId=3914</t>
  </si>
  <si>
    <t>Gatilhos para upsell e cross-sell na jornada do cliente</t>
  </si>
  <si>
    <t>Mariana assis</t>
  </si>
  <si>
    <t>Global Head of CX &amp; International Expansion</t>
  </si>
  <si>
    <t>Humand</t>
  </si>
  <si>
    <t>https://www.linkedin.com/in/marianaassis/</t>
  </si>
  <si>
    <t>IA aplicada na Gestão de CRM</t>
  </si>
  <si>
    <t>Thais Sterenberg
Raphael Moraes</t>
  </si>
  <si>
    <t>Co-founder &amp; CEO
Revenue Operations Manager</t>
  </si>
  <si>
    <t>Gestão de Conflitos e Resolução de problemas</t>
  </si>
  <si>
    <t>Transformando a rejeição em aprendizado</t>
  </si>
  <si>
    <t>Julia Castro</t>
  </si>
  <si>
    <t>Coordenadora de Sales Enablement</t>
  </si>
  <si>
    <t>https://universidade.pipelovers.net/m/lessons/gatilhos-para-upsell-e-cross-sell-na-jornada-do-cliente1769552376252?classId=3645</t>
  </si>
  <si>
    <t>https://www.linkedin.com/in/j%C3%BAlia-castro/</t>
  </si>
  <si>
    <t>https://universidade.pipelovers.net/m/lessons/ia-aplicada-na-gestao-de-crm-1789503124269?moduleId=1676&amp;classId=4611</t>
  </si>
  <si>
    <t>https://universidade.pipelovers.net/m/lessons/transformando-a-rejeicao-em-aprendizado-1778517929015?classId=3995</t>
  </si>
  <si>
    <t>12/02/2025</t>
  </si>
  <si>
    <t>https://drive.google.com/file/d/1vH3Lrl2olMfOII1kWmL7rdDYlejYr8av/view?usp=drive_link</t>
  </si>
  <si>
    <t>SPIN Selling em negociações complexas</t>
  </si>
  <si>
    <t>https://www.linkedin.com/in/pamelagottschalk/</t>
  </si>
  <si>
    <t>https://www.linkedin.com/in/thais-sterenberg-de-oliveira/
https://www.linkedin.com/in/moraesraphael/</t>
  </si>
  <si>
    <t>Estrutura de mensagens de abertura que despertam interesse</t>
  </si>
  <si>
    <t>https://universidade.pipelovers.net/m/lessons/spin-selling-em-negociacoes-complexas1769552376302?classId=3573</t>
  </si>
  <si>
    <t>Ana Carolina Costa</t>
  </si>
  <si>
    <t>Sinais de Intenção de Compra: como usar dado pra saber a hora certa de abordar</t>
  </si>
  <si>
    <t>https://www.linkedin.com/in/ana-carolina-costa-440246ba/</t>
  </si>
  <si>
    <t>https://universidade.pipelovers.net/m/lessons/sinais-de-intencao-de-compra-como-usar-dado-pra-saber-a-hora-certa-de-abordar-1788461986742?moduleId=1639&amp;classId=4546</t>
  </si>
  <si>
    <t>19/02/2025</t>
  </si>
  <si>
    <t>https://drive.google.com/file/d/1yr6t1HdcjoSzcj94tFcFkLZIPD4Hd_3n/view?usp=drive_link</t>
  </si>
  <si>
    <t>https://universidade.pipelovers.net/m/lessons/estrutura-de-mensagens-de-abertura-que-despertam-interesse-1778009452256?moduleId=1403&amp;classId=3988</t>
  </si>
  <si>
    <t>Acelerando Negociações: Técnicas práticas para fechamento</t>
  </si>
  <si>
    <t>Arnold Frota</t>
  </si>
  <si>
    <t>https://www.linkedin.com/in/arnold-frota-13974a182/</t>
  </si>
  <si>
    <t>Como aplicar ABM em pré-vendas</t>
  </si>
  <si>
    <t>https://universidade.pipelovers.net/aulas/acelerando-negociacoes-hacks-praticos-para-fechamento-1775686254317</t>
  </si>
  <si>
    <t>Ariany Araújo</t>
  </si>
  <si>
    <t>Account Based Marketing Specialist</t>
  </si>
  <si>
    <t>Neogrid</t>
  </si>
  <si>
    <t>https://www.linkedin.com/in/arianyaraujo/</t>
  </si>
  <si>
    <t>Resenha do Livro:  Pipelines da Liderança de Ram Charan</t>
  </si>
  <si>
    <t>https://universidade.pipelovers.net/m/lessons/como-aplicar-abm-em-pre-vendas-1780510420277?moduleId=1431&amp;classId=4019</t>
  </si>
  <si>
    <t>26/02/2025</t>
  </si>
  <si>
    <t>https://drive.google.com/file/d/1YPEVYeSYNdC3irr733EJbsHJRNINNdK3/view?usp=drive_link</t>
  </si>
  <si>
    <t>https://universidade.pipelovers.net/m/lessons/resenha-do-livro-pipelines-da-lideranca-de-ram-charan-1789157418378?moduleId=1662&amp;classId=4598</t>
  </si>
  <si>
    <t>Vendas Enterprise: Estratégias para fechar grandes contas</t>
  </si>
  <si>
    <t>Julio Vigna</t>
  </si>
  <si>
    <t>https://www.linkedin.com/in/julio--vigna/</t>
  </si>
  <si>
    <t>Como SDRs podem reduzir objeções de custo nas primeiras conversas</t>
  </si>
  <si>
    <t>Lucas Sena</t>
  </si>
  <si>
    <t>Sócio proprietário</t>
  </si>
  <si>
    <t>Menver</t>
  </si>
  <si>
    <t>https://www.linkedin.com/in/lucasdiassena/</t>
  </si>
  <si>
    <t>https://universidade.pipelovers.net/m/lessons/vendas-enterprise-estrategias-para-fechar-grandes-contas1769552376494?classId=3640</t>
  </si>
  <si>
    <t>https://universidade.pipelovers.net/m/lessons/como-sdrs-podem-reduzir-objecoes-de-custo-nas-primeiras-conversas-1779221321743?moduleId=1424&amp;classId=4010</t>
  </si>
  <si>
    <t>Plano de Desenvolvimento Individual</t>
  </si>
  <si>
    <t>O impacto da IA na jornada de compra B2B</t>
  </si>
  <si>
    <t>05/03/2025</t>
  </si>
  <si>
    <t>Gerente de Comunidade e Conteúdo</t>
  </si>
  <si>
    <t>https://drive.google.com/file/d/1hDGFdPHp4_6jXKc80ra8RHVyoYxgIWLu/view?usp=drive_link</t>
  </si>
  <si>
    <t>PipeLovers🖤</t>
  </si>
  <si>
    <t>https://universidade.pipelovers.net/m/lessons/o-impacto-da-ia-na-jornada-de-compra-b2b-1789157620083?moduleId=1663&amp;classId=4599</t>
  </si>
  <si>
    <t>Mapeando o Perfil Comportamental do seu Lead (Metodologia DISC)</t>
  </si>
  <si>
    <t>Abseed e Rapport</t>
  </si>
  <si>
    <t>Estratégias de cadência no WhatsApp para leads inbound</t>
  </si>
  <si>
    <t>Leandro Munhoz</t>
  </si>
  <si>
    <t>Fundador &amp; CEO</t>
  </si>
  <si>
    <t>https://universidade.pipelovers.net/m/lessons/mapeando-o-perfil-comportamental-do-seu-lead-metodologia-disc-1781810835834?moduleId=1447&amp;classId=4034</t>
  </si>
  <si>
    <t>https://www.linkedin.com/in/leandromunhozmoreira/</t>
  </si>
  <si>
    <t>https://universidade.pipelovers.net/m/lessons/estrategias-de-cadencia-no-whatsapp-para-leads-inbound1769552376588?classId=3639</t>
  </si>
  <si>
    <t>12/03/2025</t>
  </si>
  <si>
    <t>Como prender atenção do lead na Cold Call</t>
  </si>
  <si>
    <t>Como estruturar um roadmap to close alinhado ao ciclo de compra</t>
  </si>
  <si>
    <t>https://universidade.pipelovers.net/m/lessons/como-prender-atencao-do-lead-na-cold-call-1782219281852?moduleId=1453&amp;classId=4037</t>
  </si>
  <si>
    <t>https://universidade.pipelovers.net/m/lessons/como-estruturar-um-roadmap-to-close-alinhado-ao-ciclo-de-compra1769552376649?classId=3638</t>
  </si>
  <si>
    <t>Como justificar mais investimentos em vendas para a diretoria</t>
  </si>
  <si>
    <t>AltoQi</t>
  </si>
  <si>
    <t>https://universidade.pipelovers.net/m/lessons/como-justificar-mais-investimentos-em-vendas-para-a-diretoria-1789157896633?moduleId=1664&amp;classId=4600</t>
  </si>
  <si>
    <t>19/03/2025</t>
  </si>
  <si>
    <t>https://drive.google.com/file/d/1UkBd0eki_AU3Z-bFuCS7KDJbPPHdtyHU/view?usp=drive_link</t>
  </si>
  <si>
    <t>Técnicas de automotivação para manter o foco no resultado final</t>
  </si>
  <si>
    <t>Felipe Alves</t>
  </si>
  <si>
    <t>Dattos</t>
  </si>
  <si>
    <t>https://www.linkedin.com/in/felipealves00/</t>
  </si>
  <si>
    <t>Descomplicando a venda de Serviços: Dicas para fechar mais negócios</t>
  </si>
  <si>
    <t>Gustavo Torrente</t>
  </si>
  <si>
    <t>Head of B2B</t>
  </si>
  <si>
    <t>FIAP &amp; Alura</t>
  </si>
  <si>
    <t>https://www.linkedin.com/in/gustavotorrente/</t>
  </si>
  <si>
    <t>https://universidade.pipelovers.net/m/lessons/tecnicas-de-automotivacao-para-manter-o-foco-no-resultado-final-1782220286771?moduleId=1454&amp;classId=4038</t>
  </si>
  <si>
    <t>https://universidade.pipelovers.net/m/lessons/descomplicando-a-venda-de-servicos-dicas-para-fechar-mais-negocios1769552376715?classId=3637</t>
  </si>
  <si>
    <t>Práticas para o SDR chegar à alta performance</t>
  </si>
  <si>
    <t>Gabriel Fontes</t>
  </si>
  <si>
    <t>Novos Negócios</t>
  </si>
  <si>
    <t>https://www.linkedin.com/in/gabrielfontesoficial/</t>
  </si>
  <si>
    <t>26/03/2025</t>
  </si>
  <si>
    <t>https://drive.google.com/file/d/1r2hRc9bXKNIvPnyv22DqZJi-4u88xHUY/view?usp=drive_link</t>
  </si>
  <si>
    <t>https://universidade.pipelovers.net/c/praticas-para-o-sdr-chegar-a-alta-performance-1782222089528</t>
  </si>
  <si>
    <t>Jolt Effect: Como vencer a indecisão do cliente</t>
  </si>
  <si>
    <t>Metodologia "Win-Loss Analysis" aplicada a prospecção</t>
  </si>
  <si>
    <t>Tárik Medeiros</t>
  </si>
  <si>
    <t>Coordenador de PV</t>
  </si>
  <si>
    <t>https://universidade.pipelovers.net/m/lessons/jolt-effect-como-vencer-a-indecisao-do-cliente1769552376803?classId=3636</t>
  </si>
  <si>
    <t>Pixeon</t>
  </si>
  <si>
    <t>https://www.linkedin.com/in/t%C3%A1rik-medeiros-83486b102/</t>
  </si>
  <si>
    <t>https://universidade.pipelovers.net/m/lessons/metodologia-win-loss-analysis-aplicada-a-prospeccao-1781547790902</t>
  </si>
  <si>
    <t>02/04/2025</t>
  </si>
  <si>
    <t>https://drive.google.com/file/d/1VflqUYOve91nXNr8lq2B7YMwg0ABu8ky/view?usp=drive_link</t>
  </si>
  <si>
    <t>SDR + copiloto de IA: papéis e responsabilidades</t>
  </si>
  <si>
    <t>Andreia Lima</t>
  </si>
  <si>
    <t>Reuniões com C-level: abordagem consultiva para ganhar credibilidade</t>
  </si>
  <si>
    <t>Insight Sales</t>
  </si>
  <si>
    <t>Luiz Felipe Rosa</t>
  </si>
  <si>
    <t>https://www.linkedin.com/in/andreialimaa/</t>
  </si>
  <si>
    <t>Insider</t>
  </si>
  <si>
    <t>https://www.linkedin.com/in/luizfelipecrosa/</t>
  </si>
  <si>
    <t>https://universidade.pipelovers.net/m/lessons/reunioes-com-c-level-abordagem-consultiva-para-ganhar-credibilidade1769552376876?classId=3774</t>
  </si>
  <si>
    <t>https://universidade.pipelovers.net/m/lessons/sdr-copiloto-de-ia-papeis-e-responsabilidades-1783098572036</t>
  </si>
  <si>
    <t>09/04/2025</t>
  </si>
  <si>
    <t>https://drive.google.com/file/d/1RYIMQf5ti5Rz72EUHTq413XxUn-MW3N4/view?usp=drive_link</t>
  </si>
  <si>
    <t>10 passos para uma cold call eficiente</t>
  </si>
  <si>
    <t>Daiana Soares</t>
  </si>
  <si>
    <t>Sales Enablement</t>
  </si>
  <si>
    <t>Evidencie Consultoria</t>
  </si>
  <si>
    <t>https://www.linkedin.com/in/daiana-soares-970702142/</t>
  </si>
  <si>
    <t>https://universidade.pipelovers.net/m/lessons/10-passos-para-uma-cold-call-eficiente-1784052575247?moduleId=1512&amp;classId=4211</t>
  </si>
  <si>
    <t>Como SDRs negociam atenção, informação e próximos passos antes da oportunidade.</t>
  </si>
  <si>
    <t>Especilista de conteúdo</t>
  </si>
  <si>
    <t>https://universidade.pipelovers.net/m/lessons/como-sdrs-negociam-atencao-informacao-e-proximos-passos-antes-da-oportunidade-1785352612441?moduleId=1575&amp;classId=4450</t>
  </si>
  <si>
    <t>16/04/2025</t>
  </si>
  <si>
    <t>https://drive.google.com/file/d/1j0crhYJwWfmMrhXvUI4m1RHrmE1Bnzxn/view?usp=drive_link</t>
  </si>
  <si>
    <t>Técnicas para redução do ciclo de venda: Ativando senso de urgência</t>
  </si>
  <si>
    <t>Flaubi Farias</t>
  </si>
  <si>
    <t>The Update</t>
  </si>
  <si>
    <t>https://www.linkedin.com/in/flaubifarias/</t>
  </si>
  <si>
    <t>https://universidade.pipelovers.net/m/lessons/tecnicas-para-reducao-do-ciclo-de-venda-ativando-senso-de-urgencia1769552376960?classId=3635</t>
  </si>
  <si>
    <t>Quantificando a dor do cliente durante a prospecção</t>
  </si>
  <si>
    <t>Antonio Marcos</t>
  </si>
  <si>
    <t>Route Sales</t>
  </si>
  <si>
    <t>https://www.linkedin.com/in/antoniomarcosj/</t>
  </si>
  <si>
    <t>23/04/2025</t>
  </si>
  <si>
    <t>https://drive.google.com/file/d/1LidZuuIg6m0TkGgGJQNcT1R4MdMGumBn/view?usp=drive_link</t>
  </si>
  <si>
    <t>https://universidade.pipelovers.net/m/lessons/quantificando-a-dor-do-cliente-durante-a-prospeccao-1784053402102?moduleId=1513&amp;classId=4212</t>
  </si>
  <si>
    <t>Venda com autoridade: como dominar o negócio e segmento do cliente</t>
  </si>
  <si>
    <t>Gabriel Lopes</t>
  </si>
  <si>
    <t>https://www.linkedin.com/in/gabriellpss/</t>
  </si>
  <si>
    <t>https://universidade.pipelovers.net/m/lessons/venda-com-autoridade-como-dominar-o-negocio-e-segmento-do-cliente1769552385007?classId=3634</t>
  </si>
  <si>
    <t>Ciclo de feedback de leads entre pré-vendas e marketing</t>
  </si>
  <si>
    <t>Leandro Amarante</t>
  </si>
  <si>
    <t>Vetor</t>
  </si>
  <si>
    <t>https://www.linkedin.com/in/leandroamarante/</t>
  </si>
  <si>
    <t>30/04/2025</t>
  </si>
  <si>
    <t>https://universidade.pipelovers.net/m/lessons/ciclo-de-feedback-de-leads-entre-pre-vendas-e-marketing-1785353653280?moduleId=1576&amp;classId=4451</t>
  </si>
  <si>
    <t>https://drive.google.com/file/d/11_QV1H2RA66sBmjdnBFPGPUf4YGsu3d4/view?usp=drive_link</t>
  </si>
  <si>
    <t>Social selling para dominar nichos</t>
  </si>
  <si>
    <t>Criando discursos de prospecção para novas ofertas</t>
  </si>
  <si>
    <t>Mariana Correa</t>
  </si>
  <si>
    <t>DM CO</t>
  </si>
  <si>
    <t>https://www.linkedin.com/in/correamari/</t>
  </si>
  <si>
    <t>https://universidade.pipelovers.net/m/lessons/social-selling-para-dominar-nichos1769552385374?classId=3633</t>
  </si>
  <si>
    <t>https://universidade.pipelovers.net/m/lessons/criando-discursos-de-prospeccao-para-novas-ofertas-1786047063655?moduleId=1584&amp;classId=4473</t>
  </si>
  <si>
    <t>07/05/2025</t>
  </si>
  <si>
    <t>https://drive.google.com/file/d/1zAz95B8UHldfaJWvaADyJU02ZKMkfwdf/view?usp=drive_link</t>
  </si>
  <si>
    <t>Prática de negociação com metodologia de Harvard</t>
  </si>
  <si>
    <t>Mariana Schaffer</t>
  </si>
  <si>
    <t>https://www.linkedin.com/in/marianaschaffer/</t>
  </si>
  <si>
    <t>Reativação de leads com base histórica do CRM</t>
  </si>
  <si>
    <t>Juliana Eloi</t>
  </si>
  <si>
    <t>Sales Enablement Manager</t>
  </si>
  <si>
    <t>A+ Educação</t>
  </si>
  <si>
    <t>https://www.linkedin.com/in/juliana-eloi/</t>
  </si>
  <si>
    <t>https://universidade.pipelovers.net/m/lessons/pratica-de-negociacao-com-metodologia-de-harvard1769552385506?classId=3632</t>
  </si>
  <si>
    <t>https://universidade.pipelovers.net/m/lessons/reativacao-de-leads-com-base-historica-do-crm-1787066536167?moduleId=1591&amp;classId=4482</t>
  </si>
  <si>
    <t>Criando credibilidade em poucos segundos em ligações</t>
  </si>
  <si>
    <t>Ane Borba</t>
  </si>
  <si>
    <t>3AS</t>
  </si>
  <si>
    <t>https://www.linkedin.com/in/anecarolineborba888/</t>
  </si>
  <si>
    <t>14/05/2025</t>
  </si>
  <si>
    <t>https://drive.google.com/file/d/1iFj83M3674iSTEgAJzMQrwLw2ZzJDfOM/view?usp=drive_link</t>
  </si>
  <si>
    <t>https://universidade.pipelovers.net/m/lessons/criando-credibilidade-em-poucos-segundos-em-ligacoes-1786046756616?moduleId=1583&amp;classId=4472</t>
  </si>
  <si>
    <t>Como criar um senso de urgência sem ser agressivo</t>
  </si>
  <si>
    <t>Rafael Faria</t>
  </si>
  <si>
    <t>Chief Sales &amp; Co-founder</t>
  </si>
  <si>
    <t>https://www.linkedin.com/in/rafael-morais-faria/</t>
  </si>
  <si>
    <t>O impacto da saúde física na resiliência de prospecção</t>
  </si>
  <si>
    <t>Debora Menezes</t>
  </si>
  <si>
    <t>Abm Acount</t>
  </si>
  <si>
    <t>https://www.linkedin.com/in/d%C3%A9bora-menezes-06241094/</t>
  </si>
  <si>
    <t>https://universidade.pipelovers.net/m/lessons/como-criar-um-senso-de-urgencia-sem-ser-agressivo1769552385445?classId=3631</t>
  </si>
  <si>
    <t>21/05/2025</t>
  </si>
  <si>
    <t>https://drive.google.com/file/d/1htGDNL1tYO_NUGvEp2xg8P6bP59lDp-j/view?usp=drive_link</t>
  </si>
  <si>
    <t>https://universidade.pipelovers.net/m/lessons/a-impacto-da-saude-fisica-na-resiliencia-de-prospeccao-1789502318244?moduleId=1673&amp;classId=4608</t>
  </si>
  <si>
    <t>Como lidar com conversas difíceis</t>
  </si>
  <si>
    <t>Rafaela Frankenthal</t>
  </si>
  <si>
    <t>SafeSpace</t>
  </si>
  <si>
    <t>https://www.linkedin.com/in/rafaela-frankenthal/</t>
  </si>
  <si>
    <t>https://universidade.pipelovers.net/m/lessons/como-lidar-com-conversas-dificeis1769552385567?classId=3630</t>
  </si>
  <si>
    <t>28/05/2025</t>
  </si>
  <si>
    <t>https://drive.google.com/file/d/1sWfgEz8E2Gs4mi-LwY5hU31WUlOsYEEQ/view?usp=drive_link</t>
  </si>
  <si>
    <t>Estratégias para evitar o burnout no ambiente comercial</t>
  </si>
  <si>
    <t>Carolina Januzzi</t>
  </si>
  <si>
    <t>Head de Gente e Gestão</t>
  </si>
  <si>
    <t>Transformando Faces</t>
  </si>
  <si>
    <t>https://www.linkedin.com/in/carolina-januzzi/</t>
  </si>
  <si>
    <t>Técnicas de qualificação por WhatsApp</t>
  </si>
  <si>
    <t>Especialista em Conteúdo</t>
  </si>
  <si>
    <t>Pipelovers</t>
  </si>
  <si>
    <t>https://universidade.pipelovers.net/m/lessons/estrategias-para-evitar-o-burnout-no-ambiente-comercial1769552385638?classId=3629</t>
  </si>
  <si>
    <t>https://universidade.pipelovers.net/m/lessons/tecnicas-de-qualificacao-por-whatsapp-e-e-mail-1789502329420?moduleId=1674&amp;classId=4609</t>
  </si>
  <si>
    <t>04/06/2025</t>
  </si>
  <si>
    <t>https://drive.google.com/file/d/15j5QkKCqDjnPivaUJPQaqG9JliRSNfdc/view?usp=drive_link</t>
  </si>
  <si>
    <t>Definição do "Perfil Ideal de Contato" na prospecção</t>
  </si>
  <si>
    <t>Processo, forecast e previsibilidade na prática</t>
  </si>
  <si>
    <t>Ferrucio Junior</t>
  </si>
  <si>
    <t>https://www.linkedin.com/in/ferruciojunior/</t>
  </si>
  <si>
    <t>https://universidade.pipelovers.net/m/lessons/definicao-do-perfil-ideal-de-contato-na-prospeccao-1789157237371?moduleId=1661&amp;classId=4597</t>
  </si>
  <si>
    <t>https://universidade.pipelovers.net/m/lessons/processo-forecast-e-previsibilidade-na-pratica1769552385773?classId=3707</t>
  </si>
  <si>
    <t>11/06/2025</t>
  </si>
  <si>
    <t>https://drive.google.com/file/d/17JvKhaE2FIbROzRaNk2MUu0b8JME7ecR/view?usp=drive_link</t>
  </si>
  <si>
    <t>https://universidade.pipelovers.net/m/lessons/tecnicas-de-cold-call-para-prospeccao-ativa-1791468975221?moduleId=1730&amp;classId=4815</t>
  </si>
  <si>
    <t>CRM na prática: O que importa registrar</t>
  </si>
  <si>
    <t>Thiago Friedrich</t>
  </si>
  <si>
    <t>Sócio e Consultor</t>
  </si>
  <si>
    <t>https://www.linkedin.com/in/thiagofriedrich/</t>
  </si>
  <si>
    <t>https://universidade.pipelovers.net/m/lessons/crm-na-pratica-o-que-importa-registrar1769552385716?classId=3627</t>
  </si>
  <si>
    <t>Elaborando um PDI para melhorar métricas de produtividade</t>
  </si>
  <si>
    <t>Gabriela Oliveira</t>
  </si>
  <si>
    <t>Woba</t>
  </si>
  <si>
    <t>https://www.linkedin.com/in/gabriela5oliveira/</t>
  </si>
  <si>
    <t>18/06/2025</t>
  </si>
  <si>
    <t>https://drive.google.com/file/d/1P8FBQurkZF9_AZ1h3j1Nw4Rxy0zT1wMm/view?usp=drive_link</t>
  </si>
  <si>
    <t>https://universidade.pipelovers.net/m/lessons/elaborando-um-pdi-para-melhorar-metricas-de-produtividade-1789502336839?moduleId=1675&amp;classId=4610</t>
  </si>
  <si>
    <t>Como aumentar a conversão melhorando sua proposta comercial</t>
  </si>
  <si>
    <t>Felipe Costa</t>
  </si>
  <si>
    <t xml:space="preserve">Fundador </t>
  </si>
  <si>
    <t>Pitch de sucesso</t>
  </si>
  <si>
    <t>https://www.linkedin.com/in/falafelipecosta/</t>
  </si>
  <si>
    <t>https://universidade.pipelovers.net/m/lessons/como-aumentar-a-conversao-melhorando-sua-proposta-comercial1769552385869?classId=3626</t>
  </si>
  <si>
    <t>4,43</t>
  </si>
  <si>
    <t>25/06/2025</t>
  </si>
  <si>
    <t>https://drive.google.com/file/d/1iNkQ0ZvsaMqTG6GMfnNMkEmh4hynR6e_/view?usp=drive_link</t>
  </si>
  <si>
    <t>Gatilhos que aceleram a jornada de compra</t>
  </si>
  <si>
    <t>Fiamma Cardoso</t>
  </si>
  <si>
    <t>https://www.linkedin.com/in/fiamma-cardoso-897934157/</t>
  </si>
  <si>
    <t>https://universidade.pipelovers.net/m/lessons/gatilhos-que-aceleram-a-jornada-de-compra1769552385930</t>
  </si>
  <si>
    <t>02/07/2025</t>
  </si>
  <si>
    <t>https://drive.google.com/file/d/1vA3iOk-kRjROKLpaHa1ZXmcfzhwgQn9p/view?usp=drive_link</t>
  </si>
  <si>
    <t xml:space="preserve"> Escuta estratégica: como fechar mais negócios só ouvindo melhor</t>
  </si>
  <si>
    <t>https://universidade.pipelovers.net/aulas/escuta-estrategica-como-fechar-mais-negocios-so-ouvindo-melhor-1775086091746</t>
  </si>
  <si>
    <t>4,64</t>
  </si>
  <si>
    <t>09/07/2025</t>
  </si>
  <si>
    <t>https://drive.google.com/file/d/1NXtvj4rfvOuSZ5OmSmafVlnMJWnxkyo6/view?usp=drive_link</t>
  </si>
  <si>
    <t>Dá pra se desenvolver mesmo com um chefe ruim?</t>
  </si>
  <si>
    <t>https://universidade.pipelovers.net/m/lessons/da-pra-se-desenvolver-mesmo-com-um-chefe-ruim1769552386064?classId=3040</t>
  </si>
  <si>
    <t>16/07/2025</t>
  </si>
  <si>
    <t>https://drive.google.com/file/d/1Z8eWnlgxhja2OuEADoyIyu4BaVXhG0Rq/view?usp=drive_link</t>
  </si>
  <si>
    <t>Mapeando influenciadores e decisores na venda B2B</t>
  </si>
  <si>
    <t>Arthur Frota</t>
  </si>
  <si>
    <t>Tallos</t>
  </si>
  <si>
    <t>https://www.linkedin.com/in/arthurfrota/</t>
  </si>
  <si>
    <t>https://universidade.pipelovers.net/m/lessons/mapeando-influenciadores-e-decisores-na-venda-b2b1769552386126?classId=3041</t>
  </si>
  <si>
    <t>23/07/2025</t>
  </si>
  <si>
    <t>https://drive.google.com/file/d/1I4CyIAbVhGj_n89kIJcnjN6-52N3sZBV/view?usp=drive_link</t>
  </si>
  <si>
    <t>O que realmente funciona em contas estratégicas</t>
  </si>
  <si>
    <t>Frederico Martendal</t>
  </si>
  <si>
    <t>Sr Commercial Manager |Strategic Accounts</t>
  </si>
  <si>
    <t>https://www.linkedin.com/in/frederico-martendal-621b8648/</t>
  </si>
  <si>
    <t>https://universidade.pipelovers.net/m/lessons/o-que-realmente-funciona-em-contas-estrategicas1769552386212?classId=3042</t>
  </si>
  <si>
    <t>30/07/2025</t>
  </si>
  <si>
    <t>https://drive.google.com/file/d/1yPg9eX_RqgMF8IZZ9ye7VhXTvn2BUm8Z/view?usp=drive_link</t>
  </si>
  <si>
    <t>Resiliência em vendas: Como superar rejeições constantes</t>
  </si>
  <si>
    <t>Matheus Raulino</t>
  </si>
  <si>
    <t>https://www.linkedin.com/in/matheus-raulino/</t>
  </si>
  <si>
    <t>https://universidade.pipelovers.net/m/lessons/resiliencia-em-vendas-como-superar-rejeicoes-constantes1769552386411?classId=3043</t>
  </si>
  <si>
    <t>06/08/2025</t>
  </si>
  <si>
    <t>https://drive.google.com/file/d/1LyHPjzA5wI6xnC8r3J6iF7XaINxOkHj4/view?usp=drive_link</t>
  </si>
  <si>
    <t>Discovery e causa raiz: como investigar o problema certo antes de vender</t>
  </si>
  <si>
    <t>Daniel Forin</t>
  </si>
  <si>
    <t>Channel Account Manager</t>
  </si>
  <si>
    <t>https://www.linkedin.com/in/daniel-maldonado-forin/</t>
  </si>
  <si>
    <t>https://universidade.pipelovers.net/m/lessons/discovery-e-causa-raiz-como-investigar-o-problema-certo-antes-de-vender1769552386471?classId=3044</t>
  </si>
  <si>
    <t>13/08/2025</t>
  </si>
  <si>
    <t>https://drive.google.com/file/d/1ZaWC6mPkN0BkpR6ftOD6He7yWsZDAmxE/view?usp=drive_link</t>
  </si>
  <si>
    <t>Neurovendas: como adaptar seu processo comercial à lógica de decisão do cérebro humano</t>
  </si>
  <si>
    <t>Marcieli Pachecco</t>
  </si>
  <si>
    <t>Mentora de Vendas e Gestão</t>
  </si>
  <si>
    <t>MP Sales Academy</t>
  </si>
  <si>
    <t>https://www.linkedin.com/in/marcieli-pachecco-b9a7871bb/</t>
  </si>
  <si>
    <t>https://universidade.pipelovers.net/m/lessons/neurovendas-como-adaptar-seu-processo-comercial-a-logica-de-decisao-do-cerebro-humano1769552386512?classId=3045</t>
  </si>
  <si>
    <t>20/08/2025</t>
  </si>
  <si>
    <t>https://drive.google.com/file/d/1O4QVFzqXTVtOgyNaQjxYGI7D6AAKKTb1/view?usp=drive_link</t>
  </si>
  <si>
    <t>Construção de networking e conexões de valor</t>
  </si>
  <si>
    <t>Paulo Guidugli</t>
  </si>
  <si>
    <t>https://www.linkedin.com/in/pauloguidugli/</t>
  </si>
  <si>
    <t>https://universidade.pipelovers.net/m/lessons/construcao-de-networking-e-conexoes-de-valor1769552386580?classId=3046</t>
  </si>
  <si>
    <t>27/08/2025</t>
  </si>
  <si>
    <t>https://drive.google.com/file/d/1D-SKO2L90qrJmnbKCbq7ghdkYpXonj1q/view?usp=drive_link</t>
  </si>
  <si>
    <t>Identificação e validação do Perfil de Cliente Ideal</t>
  </si>
  <si>
    <t>Ana Gabriela Marin</t>
  </si>
  <si>
    <t>Performa_IT</t>
  </si>
  <si>
    <t>https://www.linkedin.com/in/agmarin/</t>
  </si>
  <si>
    <t>https://universidade.pipelovers.net/m/lessons/identificacao-e-validacao-do-perfil-de-cliente-ideal1769552388727?classId=3047</t>
  </si>
  <si>
    <t>03/09/2025</t>
  </si>
  <si>
    <t>https://drive.google.com/file/d/1b_s2-3f-aYV7bs9z1ggvCvTzCs8CiNth/view?usp=drive_link</t>
  </si>
  <si>
    <t>Como gerar engajamento em reuniões online</t>
  </si>
  <si>
    <t>João Victor Andrade</t>
  </si>
  <si>
    <t>Head Of Sales</t>
  </si>
  <si>
    <t>The News</t>
  </si>
  <si>
    <t>https://www.linkedin.com/in/jo%C3%A3ovictoraandrade/</t>
  </si>
  <si>
    <t>https://universidade.pipelovers.net/m/lessons/como-gerar-engajamento-em-reunioes-online1769552388759?classId=3072</t>
  </si>
  <si>
    <t>10/09/2025</t>
  </si>
  <si>
    <t>https://drive.google.com/file/d/1gkhaHh2IYPTjTBIrvGJoHfToMW-2zeVr/view?usp=drive_link</t>
  </si>
  <si>
    <t>Segmentação e definição do seu mercado-alvo</t>
  </si>
  <si>
    <t>https://universidade.pipelovers.net/m/lessons/segmentacao-e-definicao-do-seu-mercado-alvo1769552388883?classId=3048</t>
  </si>
  <si>
    <t>17/09/2025</t>
  </si>
  <si>
    <t>https://drive.google.com/file/d/1BPwseD8ZDl683T5fPE4YMj69Yr3-_myG/view?usp=drive_link</t>
  </si>
  <si>
    <t>Como usar cases de sucesso para acelerar vendas</t>
  </si>
  <si>
    <t>Denis Tassitano</t>
  </si>
  <si>
    <t>https://www.linkedin.com/in/denistassitano/</t>
  </si>
  <si>
    <t>https://universidade.pipelovers.net/m/lessons/como-usar-cases-de-sucesso-para-acelerar-vendas1769552388920?classId=3079</t>
  </si>
  <si>
    <t>24/09/2025</t>
  </si>
  <si>
    <t>https://drive.google.com/file/d/1OW8TLO96k2ZdHxOh6ADhvvlnsiqdlh8Z/view?usp=drive_link</t>
  </si>
  <si>
    <t>Técnicas para redução do ciclo de vendas com PMEs</t>
  </si>
  <si>
    <t>Felipe Caezar</t>
  </si>
  <si>
    <t>HubLocal</t>
  </si>
  <si>
    <t>https://www.linkedin.com/in/felipecaezar/</t>
  </si>
  <si>
    <t>https://universidade.pipelovers.net/m/lessons/tecnicas-para-reducao-do-ciclo-de-vendas-com-pmes1769552389024?classId=3049</t>
  </si>
  <si>
    <t>01/10/2025</t>
  </si>
  <si>
    <t>https://drive.google.com/file/d/1iI7KIspuGRVRAk4G5HgKe-lXtbPAus6C/view?usp=drive_link</t>
  </si>
  <si>
    <t>Antes do pitch: como usar o contexto do lead pra abrir portas</t>
  </si>
  <si>
    <t>Felipe Machado</t>
  </si>
  <si>
    <t>Zapper</t>
  </si>
  <si>
    <t>https://www.linkedin.com/in/felipe-santos-machado/</t>
  </si>
  <si>
    <t>https://universidade.pipelovers.net/m/lessons/antes-do-pitch-como-usar-o-contexto-do-lead-pra-abrir-portas1769552389083?classId=3050</t>
  </si>
  <si>
    <t>08/10/2025</t>
  </si>
  <si>
    <t>https://drive.google.com/file/d/1iVl9br9WpO8_6TVmmzQQvkI9IMbcQ36E/view?usp=drive_link</t>
  </si>
  <si>
    <t>Como automatizar tarefas do dia a dia sem depender de ninguém</t>
  </si>
  <si>
    <t>Caroline Pinna</t>
  </si>
  <si>
    <t>Head de Aquisição</t>
  </si>
  <si>
    <t>Paytime</t>
  </si>
  <si>
    <t>https://www.linkedin.com/in/carolinepinna/</t>
  </si>
  <si>
    <t>Gestão de tempo e da Informação</t>
  </si>
  <si>
    <t>https://universidade.pipelovers.net/m/lessons/como-automatizar-tarefas-do-dia-a-dia-sem-depender-de-ninguem1769552389113?classId=3051</t>
  </si>
  <si>
    <t>p</t>
  </si>
  <si>
    <r>
      <rPr>
        <rFont val="Poppins"/>
        <b/>
        <color rgb="FFFFFFFF"/>
        <sz val="12.0"/>
      </rPr>
      <t xml:space="preserve">CADASTRO DE SESSÕES AO VIVO &amp; EXPERTS DE VENDAS B2B
</t>
    </r>
    <r>
      <rPr>
        <rFont val="Poppins"/>
        <b/>
        <color rgb="FFFFFFFF"/>
        <sz val="21.0"/>
      </rPr>
      <t>BIBLIOTECA DE CONTEÚDOS</t>
    </r>
  </si>
  <si>
    <t>15/10/2025</t>
  </si>
  <si>
    <t>Criação de novos discursos de vendas</t>
  </si>
  <si>
    <t>https://drive.google.com/file/d/1rqb1Y2oSkQEswAn0Q-uMSsidevbMJaC1/view?usp=drive_link</t>
  </si>
  <si>
    <t>Moa Vianna</t>
  </si>
  <si>
    <t>Orya</t>
  </si>
  <si>
    <t>https://www.linkedin.com/in/moavianna/</t>
  </si>
  <si>
    <t>https://universidade.pipelovers.net/m/lessons/criacao-de-novos-discursos-de-vendas1769552396435?classId=3052</t>
  </si>
  <si>
    <t>22/10/2025</t>
  </si>
  <si>
    <t>https://drive.google.com/file/d/1LYxm9iuDEXfE44QSmiHMXpiNlUXOhdLu/view?usp=drive_link</t>
  </si>
  <si>
    <t>O papel da mentalidade no sucesso em vendas</t>
  </si>
  <si>
    <t>Gabriel Weigert</t>
  </si>
  <si>
    <t>Weigerts</t>
  </si>
  <si>
    <t>https://www.linkedin.com/in/gabriellaraweigert/</t>
  </si>
  <si>
    <t>https://universidade.pipelovers.net/m/lessons/o-papel-da-mentalidade-no-sucesso-em-vendas1769552396581?classId=3053</t>
  </si>
  <si>
    <t>29/10/2025</t>
  </si>
  <si>
    <t>https://drive.google.com/file/d/1G_M_NyEhuIpuxc1lDG-2WkA2IcZr2eja/view?usp=drive_link</t>
  </si>
  <si>
    <t>Programa de Canais: Ter ou não ter?</t>
  </si>
  <si>
    <t>Gustavo Pagotto
Rafael Milare</t>
  </si>
  <si>
    <t>Fundador
Head of Customer Journey</t>
  </si>
  <si>
    <t>PipeLovers
Barte</t>
  </si>
  <si>
    <t>https://www.linkedin.com/in/rafael-milare/</t>
  </si>
  <si>
    <t>Definição de ICP para atuação em novos mercados</t>
  </si>
  <si>
    <t>https://universidade.pipelovers.net/m/lessons/programa-de-canais-ter-ou-nao-ter1769552397371?classId=2854</t>
  </si>
  <si>
    <t>https://universidade.pipelovers.net/m/lessons/definicao-de-icp-para-atuacao-em-novos-mercados1769552396631?classId=3054</t>
  </si>
  <si>
    <t>https://universidade.pipelovers.net/m/lessons/programa-de-canais-ter-ou-nao-ter1769552397371?classId=2854 2</t>
  </si>
  <si>
    <t>05/11/2025</t>
  </si>
  <si>
    <t>27/04/2023</t>
  </si>
  <si>
    <t>https://drive.google.com/file/d/1iCgKo8pNFtOSTKRTlD0OQeH2NRwQkMW7/view?usp=drive_link</t>
  </si>
  <si>
    <t>https://drive.google.com/file/d/1oEbDazy7jyGwS3S1H-rwTzwPEos7ocdS/view?usp=drive_link</t>
  </si>
  <si>
    <t>Estoicismo aplicado à venda: disciplina, paciência e resultado</t>
  </si>
  <si>
    <t>Rafael Mendes</t>
  </si>
  <si>
    <t>RP Trader</t>
  </si>
  <si>
    <t>https://www.linkedin.com/in/rafarptrader/</t>
  </si>
  <si>
    <t>Modelos de Programas de Canais</t>
  </si>
  <si>
    <t>Nara Guimarães</t>
  </si>
  <si>
    <t>Plural Sales</t>
  </si>
  <si>
    <t>https://www.linkedin.com/in/naravazguimaraes/</t>
  </si>
  <si>
    <t>https://universidade.pipelovers.net/m/lessons/estoicismo-aplicado-a-venda-disciplina-paciencia-e-resultado1769552396737?classId=3055</t>
  </si>
  <si>
    <t>https://universidade.pipelovers.net/m/lessons/modelos-de-programas-de-canais1769552397431?classId=3070</t>
  </si>
  <si>
    <t>12/11/2025</t>
  </si>
  <si>
    <t>https://drive.google.com/file/d/1GobDb1UPFwZCRgQ2HxL3TlBtCniLI0Yh/view?usp=drive_link</t>
  </si>
  <si>
    <t>04/05/2023</t>
  </si>
  <si>
    <t>https://drive.google.com/file/d/12nFgcrvx4hzQnpkfltYCJUtWh9uD8732/view?usp=drive_link</t>
  </si>
  <si>
    <t xml:space="preserve">Os 4 pilares de uma oratória de impacto </t>
  </si>
  <si>
    <t>Yago Baia</t>
  </si>
  <si>
    <t>Vox2you</t>
  </si>
  <si>
    <t>https://www.linkedin.com/in/oyagobaia/</t>
  </si>
  <si>
    <t>Case Stone</t>
  </si>
  <si>
    <t>João Barcellos</t>
  </si>
  <si>
    <t>Sales Director and Partner</t>
  </si>
  <si>
    <t>Stone</t>
  </si>
  <si>
    <t>https://www.linkedin.com/in/joaobarcellos/</t>
  </si>
  <si>
    <t>https://universidade.pipelovers.net/aulas/os-4-pilares-de-uma-oratoria-de-impacto-1775687356455</t>
  </si>
  <si>
    <t>https://universidade.pipelovers.net/aulas/case-stone-1775081594547</t>
  </si>
  <si>
    <t>19/11/2025</t>
  </si>
  <si>
    <t>https://drive.google.com/file/d/1LV-YAG22vou-yPDf_PFQN5ABXIF6bLV4/view?usp=drive_link</t>
  </si>
  <si>
    <t>11/05/2023</t>
  </si>
  <si>
    <t>https://drive.google.com/file/d/1zHd5bPR6Uvfc-6Ei-ElhlqyhQQPiYbSI/view?usp=drive_link</t>
  </si>
  <si>
    <t>Metodologia "Solution Selling"</t>
  </si>
  <si>
    <t>Wagner Martins</t>
  </si>
  <si>
    <t>Biz</t>
  </si>
  <si>
    <t>https://www.linkedin.com/in/wagner-martins/</t>
  </si>
  <si>
    <t>Case: XP INC</t>
  </si>
  <si>
    <t>https://universidade.pipelovers.net/m/lessons/metodologia-solution-selling1769552396844?classId=3057</t>
  </si>
  <si>
    <t>Caio Peres</t>
  </si>
  <si>
    <t>Sócio e Head de Expansão e Estratégia de Distribuição</t>
  </si>
  <si>
    <t>XP Inc</t>
  </si>
  <si>
    <t>https://www.linkedin.com/in/caio-peres-cfa-57253693/</t>
  </si>
  <si>
    <t>https://universidade.pipelovers.net/m/lessons/case-xp-inc1769552397542?classId=3324</t>
  </si>
  <si>
    <t>26/11/2025</t>
  </si>
  <si>
    <t>https://drive.google.com/file/d/1H5l3uNQxix_hXMJ6sFzj9OQBg1Lr2r4w/view?usp=drive_link</t>
  </si>
  <si>
    <t>18/05/2023</t>
  </si>
  <si>
    <t>https://drive.google.com/file/d/1rNmJQwxdo63nw_IjCAMbpGrcwbOL8JQl/view?usp=drive_link</t>
  </si>
  <si>
    <t>Identificando seus pontos fortes e fracos em vendas</t>
  </si>
  <si>
    <t>Head de Mkt e Vendas</t>
  </si>
  <si>
    <t>https://www.linkedin.com/in/felipedecarvalho1982/</t>
  </si>
  <si>
    <t>Case: Mercado Pago</t>
  </si>
  <si>
    <t>Samir Carlton</t>
  </si>
  <si>
    <t>Partnerships &amp; Enablement Leader</t>
  </si>
  <si>
    <t>Mercadopago</t>
  </si>
  <si>
    <t>https://www.linkedin.com/in/samircarlton/</t>
  </si>
  <si>
    <t>https://universidade.pipelovers.net/m/lessons/identificando-seus-pontos-fortes-e-fracos-em-vendas1769552396894?classId=3058</t>
  </si>
  <si>
    <t>https://universidade.pipelovers.net/m/lessons/case-mercado-pago1769552405200?classId=3325</t>
  </si>
  <si>
    <t>03/12/2025</t>
  </si>
  <si>
    <t>25/05/2023</t>
  </si>
  <si>
    <t>https://drive.google.com/file/d/1fWXjNiJz7POGbjrDoR-aILxj9hDtyLVX/view?usp=drive_link</t>
  </si>
  <si>
    <t>https://drive.google.com/file/d/1OQhj281BDkd8AQ1w32dTIdQDhf7vPiB8/view?usp=drive_link</t>
  </si>
  <si>
    <t>Inteligência de mercado: aprendendo com a concorrência</t>
  </si>
  <si>
    <t>Leonard Castro</t>
  </si>
  <si>
    <t>Case: Amazon AWS</t>
  </si>
  <si>
    <t>Conversion Lab Co</t>
  </si>
  <si>
    <t>Yasmim Dib</t>
  </si>
  <si>
    <t>https://www.linkedin.com/in/leonardcastro/</t>
  </si>
  <si>
    <t>Partner Program Manager</t>
  </si>
  <si>
    <t>https://www.linkedin.com/in/yasmim-dib-loureiro/</t>
  </si>
  <si>
    <t>https://universidade.pipelovers.net/m/lessons/inteligencia-de-mercado-aprendendo-com-a-concorrencia1769552396981?classId=3059</t>
  </si>
  <si>
    <t>https://universidade.pipelovers.net/m/lessons/case-amazon-aws1769552405299?classId=3329</t>
  </si>
  <si>
    <t>10/12/2025</t>
  </si>
  <si>
    <t>https://drive.google.com/file/d/1aRPgM9lQXhGTGnQX6KEEdBd_DhweEW-d/view?usp=drive_link</t>
  </si>
  <si>
    <t>01/06/2023</t>
  </si>
  <si>
    <t>https://drive.google.com/file/d/1tlZMm7HVNBAJYRQMTJnXSkynDwr9oJs0/view?usp=drive_link</t>
  </si>
  <si>
    <t>Case: Loja Integrada</t>
  </si>
  <si>
    <t>Metodologia MEDDPICC para vendas enterprise</t>
  </si>
  <si>
    <t xml:space="preserve">Ana Duccini </t>
  </si>
  <si>
    <t>Head of Sales &amp; Partner Program Leader</t>
  </si>
  <si>
    <t>Lucas Venturini</t>
  </si>
  <si>
    <t>Sales Director - Latin America</t>
  </si>
  <si>
    <t>Infraspeak</t>
  </si>
  <si>
    <t>https://www.linkedin.com/in/venturinilucas/</t>
  </si>
  <si>
    <t>https://universidade.pipelovers.net/m/lessons/case-loja-integrada1769552405489?classId=3326</t>
  </si>
  <si>
    <t>https://universidade.pipelovers.net/m/lessons/metodologia-meddpicc-para-vendas-enterprise1769552397053?classId=3060</t>
  </si>
  <si>
    <t>08/06/2023</t>
  </si>
  <si>
    <t>https://drive.google.com/file/d/1sgVDl9fiu3yVKf-VNKsvR9XcktbfOUhe/view?usp=drive_link</t>
  </si>
  <si>
    <t>17/12/2025</t>
  </si>
  <si>
    <t>143.  PipeLovers 🧡 Executivos de Vendas Metodologia MEDDPICC para vendas enterprise com Lucas Venturini - descript.mp4</t>
  </si>
  <si>
    <t>Como calcular e demonstrar o ROI para o cliente</t>
  </si>
  <si>
    <t>Felipe Engelhardt</t>
  </si>
  <si>
    <t>Case: Alelo</t>
  </si>
  <si>
    <t>Co-founder and CRO</t>
  </si>
  <si>
    <t>Barbara Luchese</t>
  </si>
  <si>
    <t>Camu</t>
  </si>
  <si>
    <t>https://www.linkedin.com/in/felipe-engelhardt-de-carvalho/</t>
  </si>
  <si>
    <t>Superintendente de Parcerias &amp; Vendas Diretas</t>
  </si>
  <si>
    <t>Alelo</t>
  </si>
  <si>
    <t>https://www.linkedin.com/in/barbara-luchese/overlay/photo/</t>
  </si>
  <si>
    <t>https://universidade.pipelovers.net/m/lessons/como-calcular-e-demonstrar-o-roi-para-o-cliente1769552397183?classId=3061</t>
  </si>
  <si>
    <t>https://universidade.pipelovers.net/m/lessons/case-alelo1769552405429?classId=3327</t>
  </si>
  <si>
    <t>15/06/2023</t>
  </si>
  <si>
    <t>https://drive.google.com/file/d/1eSIV5fkLxGHvGGbSZ2J6-aUk7LI9MNBd/view?usp=drive_link</t>
  </si>
  <si>
    <t>24/12/2025</t>
  </si>
  <si>
    <t>144. PipeLovers 🧡 Executivos de Vendas Como calcular e demonstrar o ROI para o cliente com Felipe Engelhardt - descript.mp4</t>
  </si>
  <si>
    <t>Vendas para cliente que já deram churn</t>
  </si>
  <si>
    <t>Bruna Nabais</t>
  </si>
  <si>
    <t>https://www.linkedin.com/in/bruna-nabais/</t>
  </si>
  <si>
    <t>Case: Gympass</t>
  </si>
  <si>
    <t>Raphael Gouvea</t>
  </si>
  <si>
    <t>Diretor de Canais e Parcerias Estratégicas</t>
  </si>
  <si>
    <t>https://www.linkedin.com/in/raphael-gouvea-b9788624/</t>
  </si>
  <si>
    <t>https://universidade.pipelovers.net/m/lessons/vendas-para-cliente-que-ja-deram-churn1769552397267?classId=3740</t>
  </si>
  <si>
    <t>31/12/2025</t>
  </si>
  <si>
    <t>145. PipeLovers 🧡 Executivos de Vendas Vendas para cliente que já deram churn com Bruna Nabais - descript.mp4</t>
  </si>
  <si>
    <t>Fluxo de cadência e follow up</t>
  </si>
  <si>
    <t>Gustavo Malavota</t>
  </si>
  <si>
    <t>Mola Educação</t>
  </si>
  <si>
    <t>https://www.linkedin.com/in/malavota/</t>
  </si>
  <si>
    <t>https://universidade.pipelovers.net/m/lessons/case-gympass1769552405373?classId=3328</t>
  </si>
  <si>
    <t>https://universidade.pipelovers.net/m/lessons/fluxo-de-cadencia-e-follow-up1772542642554?classId=3759</t>
  </si>
  <si>
    <t>22/06/2023</t>
  </si>
  <si>
    <t>https://drive.google.com/file/d/1rH_qvpxRSPbKHPPtqleCsVYyNaxJ8hJ5/view?usp=drive_link</t>
  </si>
  <si>
    <t>07/01/2026</t>
  </si>
  <si>
    <t>146.  PipeLovers 🧡 Executivos de Vendas Fluxo de cadência e follow up com Gustavo Malavota - descript.mp4</t>
  </si>
  <si>
    <t>Vendedores felizes vendem mais</t>
  </si>
  <si>
    <t>Juliana Milton</t>
  </si>
  <si>
    <t>Head Comercial</t>
  </si>
  <si>
    <t>Vinning</t>
  </si>
  <si>
    <t>https://www.linkedin.com/in/julianamilton/</t>
  </si>
  <si>
    <t>Engajamento de Parceiros</t>
  </si>
  <si>
    <t>Vitor Nascimento</t>
  </si>
  <si>
    <t>Head of Channel &amp; Sales</t>
  </si>
  <si>
    <t>Adaptive</t>
  </si>
  <si>
    <t>https://www.linkedin.com/in/vitorcesar/</t>
  </si>
  <si>
    <t>Inteligência emocional</t>
  </si>
  <si>
    <t>https://universidade.pipelovers.net/m/lessons/vendedores-felizes-vendem-mais1772542662184?classId=3773</t>
  </si>
  <si>
    <t>https://universidade.pipelovers.net/m/lessons/engajamento-de-parceiros1769552405642?classId=3331</t>
  </si>
  <si>
    <t>14/01/2026</t>
  </si>
  <si>
    <t>147.  PipeLovers 🧡 Executivos de Vendas Vendedores felizes vendem mais com Juliana Milton - descript.mp4</t>
  </si>
  <si>
    <t>Venda com clareza: Storytelling e Argumentação para Executivos de Vendas</t>
  </si>
  <si>
    <t>29/06/2023</t>
  </si>
  <si>
    <t>https://drive.google.com/file/d/1rSG6mI38aeptXw3dRu2zDfyhmZU0bYkP/view?usp=drive_link</t>
  </si>
  <si>
    <t>https://universidade.pipelovers.net/m/lessons/venda-com-clareza-storytelling-e-argumentacao-para-executivos-de-vendas1772542662067?classId=3771</t>
  </si>
  <si>
    <t>Internacionalização via Canais</t>
  </si>
  <si>
    <t>Daniela Spinardi</t>
  </si>
  <si>
    <t>LatAm Director of Channels</t>
  </si>
  <si>
    <t>https://www.linkedin.com/in/danielaspinardi/</t>
  </si>
  <si>
    <t>21/01/2026</t>
  </si>
  <si>
    <t>148.  PipeLovers 🧡 Executivos de Vendas Venda com clareza Storytelling e Argumentação para Executivos de Vendas com Rodrigo Maia.mp4</t>
  </si>
  <si>
    <t>Como pedir e receber feedbacks para acelerar seu crescimento</t>
  </si>
  <si>
    <t>Aline Gomes</t>
  </si>
  <si>
    <t>Limonada</t>
  </si>
  <si>
    <t>https://www.linkedin.com/in/alinecgomes/</t>
  </si>
  <si>
    <t>https://universidade.pipelovers.net/m/lessons/internacionalizacao-via-canais1769552405580?classId=3333</t>
  </si>
  <si>
    <t>https://universidade.pipelovers.net/m/lessons/como-pedir-e-receber-feedbacks-para-acelerar-seu-crescimento1772542642277?classId=3752</t>
  </si>
  <si>
    <t>28/01/2026</t>
  </si>
  <si>
    <t>Mentorias</t>
  </si>
  <si>
    <t>06/07/2023</t>
  </si>
  <si>
    <t>149. PipeLovers 🧡 Executivos de Vendas Como pedir e receber feedbacks para acelerar seu crescimento com Aline Gomes- descript.mp4</t>
  </si>
  <si>
    <t>https://drive.google.com/file/d/1iM15kaKIkKUaQ2NYqqNMtP7RZb5Tituq/view?usp=drive_link</t>
  </si>
  <si>
    <t>Como a presença digital impulsiona a performance dos vendedores</t>
  </si>
  <si>
    <t>Marcus Tonin</t>
  </si>
  <si>
    <t>Especialista em Comunicação Digital</t>
  </si>
  <si>
    <t>Marketeiro Confesso</t>
  </si>
  <si>
    <t>https://www.linkedin.com/in/marketeiroconfesso/</t>
  </si>
  <si>
    <t>https://universidade.pipelovers.net/m/lessons/como-a-presenca-digital-impulsiona-a-performance-dos-vendedores1772542642086?classId=3748</t>
  </si>
  <si>
    <t>Métricas de Gestão de Canais</t>
  </si>
  <si>
    <t>Luis Lourenço</t>
  </si>
  <si>
    <t>Director of Channel, Partners and International Expansion</t>
  </si>
  <si>
    <t>https://www.linkedin.com/in/lourencoluis/</t>
  </si>
  <si>
    <t>04/02/2026</t>
  </si>
  <si>
    <t>150. PipeLovers 🧡 Executivos de Vendas Como a presença digital impulsiona a performance dos vendedores com Marcus Tonin - descript.mp4</t>
  </si>
  <si>
    <t>Como conduzir vendas de soluções complexas</t>
  </si>
  <si>
    <t>Victor Sperli</t>
  </si>
  <si>
    <t>ICOMM</t>
  </si>
  <si>
    <t>https://www.linkedin.com/in/victor-sperli/</t>
  </si>
  <si>
    <t>https://universidade.pipelovers.net/m/lessons/metricas-de-gestao-de-canais1769552405737?classId=3334</t>
  </si>
  <si>
    <t>https://universidade.pipelovers.net/m/lessons/como-conduzir-vendas-de-solucoes-complexas1772542642158?classId=3750</t>
  </si>
  <si>
    <t>13/07/2023</t>
  </si>
  <si>
    <t>11/02/2026</t>
  </si>
  <si>
    <t>https://drive.google.com/file/d/1xJsiRo_ElABaaS9HjSC97wLbDoYFYvGa/view?usp=drive_link</t>
  </si>
  <si>
    <t>151. PipeLovers 🧡 Executivos de Vendas Como conduzir vendas de soluções complexas com Victor Sperli- DESCRIPT.mp4</t>
  </si>
  <si>
    <t>Linguagem corporal na prática: técnica, intenção e confiança</t>
  </si>
  <si>
    <t>Head de estratégia de negócios</t>
  </si>
  <si>
    <t>Catalisa Assessoria</t>
  </si>
  <si>
    <t>https://universidade.pipelovers.net/m/lessons/linguagem-corporal-na-pratica-tecnica-intencao-e-confianca-1771879667022?classId=3816</t>
  </si>
  <si>
    <t>Ferramentas e Engajamento de Parceiros</t>
  </si>
  <si>
    <t>Felipe Cambraia</t>
  </si>
  <si>
    <t>Coordenador de novos negócios</t>
  </si>
  <si>
    <t>Tangerino by Sólides</t>
  </si>
  <si>
    <t>https://www.linkedin.com/in/fcambraia/</t>
  </si>
  <si>
    <t>https://universidade.pipelovers.net/m/lessons/ferramentas-e-engajamento-de-parceiros1769552405791?classId=3335</t>
  </si>
  <si>
    <t>12/02/2026</t>
  </si>
  <si>
    <t>152. PipeLovers 🧡 Executivos de Vendas Linguagem corporal na prática técnica, intenção e confiança com Marcieli Pachecco - descript.mp4</t>
  </si>
  <si>
    <t>Como vender tecnologia e inovação para o setor público</t>
  </si>
  <si>
    <t>Matheus Costa/ Leonardo Wajsfeld</t>
  </si>
  <si>
    <t>CEO e Executivo de Vendas</t>
  </si>
  <si>
    <t>Innovc</t>
  </si>
  <si>
    <t>https://www.linkedin.com/in/matheusalencarcosta/</t>
  </si>
  <si>
    <t>https://universidade.pipelovers.net/m/lessons/como-vender-tecnologia-e-inovacao-para-o-setor-publico-1773692216685?classId=3821</t>
  </si>
  <si>
    <t>https://drive.google.com/file/d/1-iF4VSjkhmzKEZZBA8g40HTrNfj-nIpu/view?usp=drive_link</t>
  </si>
  <si>
    <t>13/02/2026</t>
  </si>
  <si>
    <t>Tendências do Setor</t>
  </si>
  <si>
    <t>153. PipeLovers 🧡 Executivos de Vendas Como vender tecnologia e inovação para o setor público com Matheus Costa e Leonardo Wajsfeld - descript.mp4</t>
  </si>
  <si>
    <t>Processos de Canais B2B2C</t>
  </si>
  <si>
    <t>Mathias Costa</t>
  </si>
  <si>
    <t>Gerente executivo de vendas</t>
  </si>
  <si>
    <t>Pague Menos</t>
  </si>
  <si>
    <t>Boas práticas para ciclos de vendas longos</t>
  </si>
  <si>
    <t>Roberto Prik</t>
  </si>
  <si>
    <t>https://www.linkedin.com/in/mathiascosta/</t>
  </si>
  <si>
    <t>Consultor e treinador</t>
  </si>
  <si>
    <t>MasterYou</t>
  </si>
  <si>
    <t>https://www.linkedin.com/in/roberto-prik/</t>
  </si>
  <si>
    <t>https://universidade.pipelovers.net/m/lessons/boas-praticas-para-ciclos-de-vendas-longos-1773689974457?classId=3813</t>
  </si>
  <si>
    <t>https://universidade.pipelovers.net/m/lessons/processos-de-canais-b2b2c1769552405853?classId=3336</t>
  </si>
  <si>
    <t>14/02/2026</t>
  </si>
  <si>
    <t>154.  PipeLovers 🧡 Executivos de Vendas Boas práticas para ciclos de vendas longos com Roberto Prik.mp4</t>
  </si>
  <si>
    <t>https://drive.google.com/file/d/18y-pHiGn99dxXo4ZL78H9o0WPffv35jc/view?usp=drive_link</t>
  </si>
  <si>
    <t>Case: Creditas</t>
  </si>
  <si>
    <t>Luccas Speranzini</t>
  </si>
  <si>
    <t>Diretor de vendas</t>
  </si>
  <si>
    <t>Produtividade em vendas: como priorizar o que gera resultado</t>
  </si>
  <si>
    <t>https://www.linkedin.com/in/luccas-speranzini-56a39a78/</t>
  </si>
  <si>
    <t>João Ruffo</t>
  </si>
  <si>
    <t>Gerente de Mentor Experience</t>
  </si>
  <si>
    <t>https://www.linkedin.com/in/joaoruffo/</t>
  </si>
  <si>
    <t>https://universidade.pipelovers.net/m/lessons/case-creditas1769552405918?classId=3343</t>
  </si>
  <si>
    <t>https://universidade.pipelovers.net/m/lessons/produtividade-em-vendas-como-priorizar-o-que-gera-resultado-1773690571961?classId=3846</t>
  </si>
  <si>
    <t>03/08/2023</t>
  </si>
  <si>
    <t>16. PipeLovers 💚 Canais &amp; Parcerias com Luccas Speranzini "Case: Creditas" (2023-03-09 08:04 GMT-3)</t>
  </si>
  <si>
    <t>O outro lado: como é ser um parceiro?</t>
  </si>
  <si>
    <t>Giovanni Batista</t>
  </si>
  <si>
    <t xml:space="preserve">Parceiro do Canal de Vendas Diretas </t>
  </si>
  <si>
    <t>Livelo</t>
  </si>
  <si>
    <t>15/02/2026</t>
  </si>
  <si>
    <t>https://www.linkedin.com/in/giovanni-batista-4091032/</t>
  </si>
  <si>
    <t>155. PipeLovers 🧡 Executivos de Vendas Produtividade em vendas como priorizar o que gera resultado - descript.mp4</t>
  </si>
  <si>
    <t>Vendendo para CFO: como estruturar proposta, discurso e números</t>
  </si>
  <si>
    <t>Oswaldo Garcia</t>
  </si>
  <si>
    <t>CEO &amp; Board Member</t>
  </si>
  <si>
    <t>Neoassist</t>
  </si>
  <si>
    <t>ƒ</t>
  </si>
  <si>
    <t>https://www.linkedin.com/in/oswaldogarcianeto/</t>
  </si>
  <si>
    <t>https://universidade.pipelovers.net/m/lessons/o-outro-lado-como-e-ser-um-parceiro1769552405979?classId=3342</t>
  </si>
  <si>
    <t>https://universidade.pipelovers.net/m/lessons/vendendo-para-cfo-como-estruturar-proposta-discurso-e-numeros-1773691169853</t>
  </si>
  <si>
    <r>
      <rPr>
        <rFont val="Poppins"/>
        <b/>
        <color rgb="FFFFFFFF"/>
        <sz val="12.0"/>
      </rPr>
      <t xml:space="preserve">CADASTRO DE SESSÕES AO VIVO &amp; EXPERTS DE VENDAS B2B
</t>
    </r>
    <r>
      <rPr>
        <rFont val="Poppins"/>
        <b/>
        <color rgb="FFFFFFFF"/>
        <sz val="21.0"/>
      </rPr>
      <t>BIBLIOTECA DE CONTEÚDOS</t>
    </r>
  </si>
  <si>
    <t>10/08/2023</t>
  </si>
  <si>
    <t>https://drive.google.com/file/d/1yzxGyIvhq0BSZj1Noi7mobJG1lc75-FU/view?usp=drive_link</t>
  </si>
  <si>
    <t>16/02/2026</t>
  </si>
  <si>
    <t>156. PipeLovers 🧡 Executivos de Vendas Vendendo para CFO como estruturar proposta, discurso e números com Oswaldo Garcia - descript.mp4</t>
  </si>
  <si>
    <t>Técnicas de negociação de preço e desconto</t>
  </si>
  <si>
    <t>Sandro Ivo</t>
  </si>
  <si>
    <t>Case: Microsoft</t>
  </si>
  <si>
    <t>Guilherme Tsuchida</t>
  </si>
  <si>
    <t>inVista Real Estate</t>
  </si>
  <si>
    <t>Partner Development Manager</t>
  </si>
  <si>
    <t>https://www.linkedin.com/in/sandroivo/</t>
  </si>
  <si>
    <t>https://www.linkedin.com/in/gtsuchida/</t>
  </si>
  <si>
    <t>https://universidade.pipelovers.net/aulas/tecnicas-de-negociacao-de-preco-e-desconto-1773691593549</t>
  </si>
  <si>
    <t>https://universidade.pipelovers.net/m/lessons/case-microsoft1769552406083?classId=3341</t>
  </si>
  <si>
    <t>17/08/2023</t>
  </si>
  <si>
    <t>17/02/2026</t>
  </si>
  <si>
    <t>https://drive.google.com/file/d/18aN0VjQMeDKQMjaAO_UsI5HSuHeB_2I9/view?usp=drive_link</t>
  </si>
  <si>
    <t>157. PipeLovers 🧡 Executivos de Vendas Técnicas de negociação de preço e desconto com Sandro Ivo - descript.mp4</t>
  </si>
  <si>
    <t>Apresentações comerciais que convertem</t>
  </si>
  <si>
    <t>Lucas Alves</t>
  </si>
  <si>
    <t>Academia de Vendas</t>
  </si>
  <si>
    <t>https://www.linkedin.com/in/profile-lucasalves/</t>
  </si>
  <si>
    <t>Fusão de Programas de Canais Pós-M&amp;A</t>
  </si>
  <si>
    <t>Cristiano Gregorius</t>
  </si>
  <si>
    <t>Softplan</t>
  </si>
  <si>
    <t>https://www.linkedin.com/in/cristiano-gregorius-b73bb7/</t>
  </si>
  <si>
    <t>https://universidade.pipelovers.net/aulas/apresentacoes-comerciais-que-convertem-1773692006975</t>
  </si>
  <si>
    <t>https://universidade.pipelovers.net/m/lessons/fusao-de-programas-de-canais-pos-ma1769552406157?classId=3340</t>
  </si>
  <si>
    <t>24/08/2023</t>
  </si>
  <si>
    <t>https://drive.google.com/file/d/1Hx_sKoh5HHbnjoIFYZTu3Q3-4PWNBya4/view?usp=drive_link</t>
  </si>
  <si>
    <t>18/02/2026</t>
  </si>
  <si>
    <t>158. PipeLovers 🧡 Executivos de Vendas Apresentações comerciais que convertem com Lucas Alves - descript.mp4</t>
  </si>
  <si>
    <t>Métricas que todo vendedor deve saber (e acompanhar)</t>
  </si>
  <si>
    <t>Iago Braz</t>
  </si>
  <si>
    <t>Kalidash</t>
  </si>
  <si>
    <t>https://www.linkedin.com/in/iagobraz/</t>
  </si>
  <si>
    <t>Case: Google Cloud</t>
  </si>
  <si>
    <t>Henrique Saraiva</t>
  </si>
  <si>
    <t>Head of Google Cloud Partners</t>
  </si>
  <si>
    <t>https://www.linkedin.com/in/henriquesaraiva/</t>
  </si>
  <si>
    <t>https://universidade.pipelovers.net/m/lessons/metricas-que-todo-vendedor-deve-saber-e-acompanhar-1773692316042?classId=3820</t>
  </si>
  <si>
    <t>https://universidade.pipelovers.net/m/lessons/case-google-cloud1769552406256?classId=3338</t>
  </si>
  <si>
    <t>159. PipeLovers 🧡 Executivos de Vendas Métricas que todo vendedor deve saber (e acompanhar) com Iago Braz - descript.mp4</t>
  </si>
  <si>
    <t>CRM como aliado e não como inimigo</t>
  </si>
  <si>
    <t>Marcelo Guimarães</t>
  </si>
  <si>
    <t>Condução de reuniões presenciais com grandes contas</t>
  </si>
  <si>
    <t>Marcelo Park</t>
  </si>
  <si>
    <t>Diretor de Go-To-Market</t>
  </si>
  <si>
    <t>Bucks Solutions</t>
  </si>
  <si>
    <t>https://www.linkedin.com/in/marcelo-guimar%C3%A3es-037b70160/</t>
  </si>
  <si>
    <t>https://www.linkedin.com/in/marcelopark/</t>
  </si>
  <si>
    <t>31/08/2023</t>
  </si>
  <si>
    <t>https://drive.google.com/file/d/1axhjSOdIiQiuyM3-560ZEUegCXLzUy2Q/view?usp=drive_link</t>
  </si>
  <si>
    <t>https://universidade.pipelovers.net/m/lessons/conducao-de-reunioes-presenciais-com-grandes-contas-1773693102701?classId=3822</t>
  </si>
  <si>
    <t>https://universidade.pipelovers.net/m/lessons/crm-como-aliado-e-nao-como-inimigo1769550039731?classId=3301</t>
  </si>
  <si>
    <t>Rotinas de Gestão de Canais Indiretos</t>
  </si>
  <si>
    <t>Glaucio Gonçalves</t>
  </si>
  <si>
    <t>Softdata</t>
  </si>
  <si>
    <t>https://www.linkedin.com/in/glaucio-goncalves/</t>
  </si>
  <si>
    <t>160.  PipeLovers 🧡 Executivos de Vendas Condução de reuniões presenciais com grandes contas com Marcelo Park - descript.mp4</t>
  </si>
  <si>
    <t>O papel do rapport na venda</t>
  </si>
  <si>
    <t>https://universidade.pipelovers.net/m/lessons/rotinas-de-gestao-de-canais-indiretos1769552406333?classId=3350</t>
  </si>
  <si>
    <t>https://universidade.pipelovers.net/m/lessons/tecnicas-de-rapport-para-prospecao-1777489239231?classId=3965</t>
  </si>
  <si>
    <t>07/09/2023</t>
  </si>
  <si>
    <t>1. PipeLovers Class 🤍: "CRM como aliado e não como inimigo" com Marcelo Guimarães (2024-07-19 11:05 GMT-3)</t>
  </si>
  <si>
    <t>https://drive.google.com/file/d/1D85FGxY-R4u1oTqWdwljMFBBN0Oo2Z0c/view?usp=drive_link</t>
  </si>
  <si>
    <t>Como vender para diferentes perfis comportamentais (DISC)</t>
  </si>
  <si>
    <t>Modelo de Franquias - Case ALGAR Telecom</t>
  </si>
  <si>
    <t>Ana Flávia Martins</t>
  </si>
  <si>
    <t>Diretora da Algar Franquias</t>
  </si>
  <si>
    <t>Algar Telecom</t>
  </si>
  <si>
    <t>161.  PipeLovers 🧡 Executivos de Vendas Condução de reuniões presenciais com grandes contas com Marcelo Park - descript.mp4</t>
  </si>
  <si>
    <t>https://www.linkedin.com/in/anaflaviamartins/</t>
  </si>
  <si>
    <t>Como aprofundar o diagnóstico na primeira conversa</t>
  </si>
  <si>
    <t>Fred Junco</t>
  </si>
  <si>
    <t>Treinador e palestrante</t>
  </si>
  <si>
    <t>https://www.linkedin.com/in/fredjunco/</t>
  </si>
  <si>
    <t>https://universidade.pipelovers.net/m/lessons/modelo-de-franquias-case-algar-telecom1769552406396?classId=3349</t>
  </si>
  <si>
    <t>https://universidade.pipelovers.net/m/lessons/como-vender-para-diferentes-perfis-comportamentais-disc1769550039702?classId=3723</t>
  </si>
  <si>
    <t>https://universidade.pipelovers.net/m/lessons/como-aprofundar-o-diagnostico-na-primeira-conversa-1777320853661?classId=3961</t>
  </si>
  <si>
    <t>14/09/2023</t>
  </si>
  <si>
    <t>https://drive.google.com/file/d/1_TgBTU-utZ0QFU5aZFPAwt-dMoQEeOD4/view?usp=drive_link</t>
  </si>
  <si>
    <t>Networking para se tornar referência no seu mercado</t>
  </si>
  <si>
    <t>Sidimar Sagaz</t>
  </si>
  <si>
    <t>Sagaz Growth &amp; Sales</t>
  </si>
  <si>
    <t>https://www.linkedin.com/in/sidimar-sagaz/</t>
  </si>
  <si>
    <t>2. PipeLovers Class 🤍: "Como vender para diferentes perfis comportamentais (DISC)" com Igor Batista (2024-07-26 11:07 GMT-3)</t>
  </si>
  <si>
    <t>Tráfego pago sem bláh bláh bláh</t>
  </si>
  <si>
    <t>Como estruturar comissionamento para canais indiretos</t>
  </si>
  <si>
    <t>Willian Neves</t>
  </si>
  <si>
    <t>Coordenador Financeiro</t>
  </si>
  <si>
    <t>Noblah</t>
  </si>
  <si>
    <t>https://universidade.pipelovers.net/m/lessons/networking-para-se-tornar-referencia-no-seu-mercado-1773947210529?classId=3841</t>
  </si>
  <si>
    <t>https://www.linkedin.com/in/williantrovo/</t>
  </si>
  <si>
    <t>https://universidade.pipelovers.net/m/lessons/como-estruturar-comissionamento-para-canais-indiretos1769552409063?classId=3348</t>
  </si>
  <si>
    <t>https://universidade.pipelovers.net/aulas/trafego-pago-com-vendas-sem-blah-blah-blah-1775814611965</t>
  </si>
  <si>
    <t>Metodologia avançada de vendas consultivas</t>
  </si>
  <si>
    <t>ABSeed</t>
  </si>
  <si>
    <t>https://universidade.pipelovers.net/m/lessons/metodologia-avancada-de-vendas-consultivas-1779479481188?classId=4013</t>
  </si>
  <si>
    <t>21/09/2023</t>
  </si>
  <si>
    <t>https://drive.google.com/file/d/1IwHryiHGYttfYX5JwwJcZB-tbUmHzqn3/view?usp=drive_link</t>
  </si>
  <si>
    <t>3.PipeLovers Class 🤍: "Tráfego Pago com Vendas sem Blah Blah Blah" com Maucir Nascimento (2024-08-02 11:06 GMT-3)</t>
  </si>
  <si>
    <t>Negociação faixa preta: técnicas e habilidades para vender mais e superar os desafios atuais</t>
  </si>
  <si>
    <t>Ronaldo Nunes</t>
  </si>
  <si>
    <t>Erros comuns em pitch de vendas</t>
  </si>
  <si>
    <t>Vector Soluções</t>
  </si>
  <si>
    <t>https://linkedin.com/in/RonaldoNunes</t>
  </si>
  <si>
    <t>Partner Business Plan: como construir com o canal um plano de crescimento</t>
  </si>
  <si>
    <t>Gabriel Ceccatto</t>
  </si>
  <si>
    <t>Douglas Medeiros</t>
  </si>
  <si>
    <t>https://www.linkedin.com/in/douglas-a-medeiros/</t>
  </si>
  <si>
    <t>Olist</t>
  </si>
  <si>
    <t>https://www.linkedin.com/in/gabrielceccatto/</t>
  </si>
  <si>
    <t>https://universidade.pipelovers.net/m/lessons/erros-comuns-em-pitch-de-vendas-1777407944522?moduleId=1385&amp;classId=3964</t>
  </si>
  <si>
    <t>https://universidade.pipelovers.net/m/lessons/negociacao-faixa-preta-tecnicas-e-habilidades-para-vender-mais-e-superar-os-desafios-atuais1769550039490?classId=3725</t>
  </si>
  <si>
    <t>https://universidade.pipelovers.net/m/lessons/partner-business-plan-como-construir-com-o-canal-um-plano-de-crescimento1769552409118?classId=3346</t>
  </si>
  <si>
    <t>Como identificar oportunidades de expansão em clientes da carteira</t>
  </si>
  <si>
    <t>Hervandil Prestes</t>
  </si>
  <si>
    <t>28/09/2023</t>
  </si>
  <si>
    <t>Diretor de CS</t>
  </si>
  <si>
    <t>https://drive.google.com/file/d/14a2faNNwnC_g185HRBXVIMsaxQie6a1b/view?usp=drive_link</t>
  </si>
  <si>
    <t>4. PipeLovers Class 🤍: "Negociação faixa preta: técnicas e habilidades para vender mais e superar os  (2024-08-09 11:07 GMT-3)</t>
  </si>
  <si>
    <t>A tríade da competência em vendas (TCV) - Conhecimento, Habilidade e Atitude</t>
  </si>
  <si>
    <t>https://www.linkedin.com/in/hervandil/</t>
  </si>
  <si>
    <t>Partner Enablement: O que funciona para capacitar canais?</t>
  </si>
  <si>
    <t>Amanda Duarte</t>
  </si>
  <si>
    <t>Condoconta</t>
  </si>
  <si>
    <t>https://universidade.pipelovers.net/m/lessons/como-identificar-oportunidades-de-expansao-em-clientes-da-carteira-1779133546181?moduleId=1421&amp;classId=4007</t>
  </si>
  <si>
    <t>https://www.linkedin.com/in/amanda-zeferino-duarte/</t>
  </si>
  <si>
    <t>iderança e Influência</t>
  </si>
  <si>
    <t>https://universidade.pipelovers.net/m/lessons/a-triade-da-competencia-em-vendas-tcv-conhecimento-habilidade-e-atitude1769550039661?classId=3726</t>
  </si>
  <si>
    <t>https://universidade.pipelovers.net/m/lessons/partner-enablement-o-que-funciona-para-capacitar-canais1769552409191?classId=3345</t>
  </si>
  <si>
    <t>05/10/2023</t>
  </si>
  <si>
    <t>5. PipeLovers Class 🤍: "A tríade da competência em vendas (TCV)" com Marcelo Mafra (2024-08-16 11:06 GMT-3)</t>
  </si>
  <si>
    <t>https://drive.google.com/file/d/1G1ehcDZtvchdM2tE9CmnpeatbFrA4rk1/view?usp=drive_link</t>
  </si>
  <si>
    <t>Como gerar mais oportunidades de vendas utilizando um fluxo de cadências na prospecção</t>
  </si>
  <si>
    <t>Estratégias para cultivar relacionamentos com clientes e gerar novas oportunidades</t>
  </si>
  <si>
    <t>Eduarda Dionísio</t>
  </si>
  <si>
    <t>Supervisor de Inside Sales</t>
  </si>
  <si>
    <t>PM3</t>
  </si>
  <si>
    <t>https://www.linkedin.com/in/eduarda-dionisio/</t>
  </si>
  <si>
    <t>Estratégia PLG como canal de aquisição</t>
  </si>
  <si>
    <t>Gabriel Costa</t>
  </si>
  <si>
    <t>Growth Leaders Academy &amp; Merlin</t>
  </si>
  <si>
    <t>https://www.linkedin.com/in/gabriel-mineiro/</t>
  </si>
  <si>
    <t>https://universidade.pipelovers.net/aulas/como-gerar-mais-oportunidades-utilizando-um-fluxo-de-cadencias-na-prospeccao-1775815685794</t>
  </si>
  <si>
    <t>https://universidade.pipelovers.net/m/lessons/estrategia-plg-como-canal-de-aquisicao1769552409221?classId=3017</t>
  </si>
  <si>
    <t>https://universidade.pipelovers.net/m/lessons/estrategias-para-cultivar-relacionamentos-com-clientes-e-gerar-novas-oportunidades-1778509762753?moduleId=1408&amp;classId=3994</t>
  </si>
  <si>
    <t>12/10/2023</t>
  </si>
  <si>
    <t>6. PipeLovers Class 🤍: "Como gerar mais oportunidades utilizando um fluxo de cadências na prospecção" – 2024/08/23 10:45 BRT – Recording</t>
  </si>
  <si>
    <t>Gestão de Relacionamento com Clientes</t>
  </si>
  <si>
    <t>https://drive.google.com/file/d/1NcOtet6Qqar0S_mTeCV5EUkCEM_Pfxyj/view?usp=drive_link</t>
  </si>
  <si>
    <t>Vendedorismo: como potencializar a auto performance das suas vendas</t>
  </si>
  <si>
    <t>Matriz de Kraljic: como comprador compra o seu produto</t>
  </si>
  <si>
    <t>MB Solution</t>
  </si>
  <si>
    <t>Luciana Bicas</t>
  </si>
  <si>
    <t>Palestrante e treinadora corporativa</t>
  </si>
  <si>
    <t>https://www.linkedin.com/in/lucianabicas/</t>
  </si>
  <si>
    <t>https://universidade.pipelovers.net/m/lessons/matriz-de-kraljic-matrix-como-comprador-compra-o-seu-produto-1779215203356?moduleId=1422&amp;classId=4008</t>
  </si>
  <si>
    <t>https://universidade.pipelovers.net/m/lessons/vendedorismo-como-potencializar-a-auto-performance-das-suas-vendas1769550039791?classId=3728</t>
  </si>
  <si>
    <t xml:space="preserve">Product Marketing para canais </t>
  </si>
  <si>
    <t>Caue Pedroza</t>
  </si>
  <si>
    <t xml:space="preserve">Marketing Manager </t>
  </si>
  <si>
    <t xml:space="preserve">HubSpot </t>
  </si>
  <si>
    <t>https://www.linkedin.com/in/carloseduardopedroza/</t>
  </si>
  <si>
    <t>https://universidade.pipelovers.net/m/lessons/product-marketing-para-canais1769552409251?classId=3356</t>
  </si>
  <si>
    <t>7. PipeLovers Class 🤍: "Vendedorismo: como potencializar a auto performance das suas vendas" com Marc – 2024/08/30 10:45 BRT – Recording</t>
  </si>
  <si>
    <t>Estratégias Diferenciadas em Vendas Complexas</t>
  </si>
  <si>
    <t>Gisele Tacchi</t>
  </si>
  <si>
    <t>Sales 3S</t>
  </si>
  <si>
    <t>Como usar o whatsapp para vender mais</t>
  </si>
  <si>
    <t>https://www.linkedin.com/in/giseletacchi/</t>
  </si>
  <si>
    <t>Vinicius Soares</t>
  </si>
  <si>
    <t>Business Development Specialist</t>
  </si>
  <si>
    <t>19/10/2023</t>
  </si>
  <si>
    <t>WATI</t>
  </si>
  <si>
    <t>https://drive.google.com/file/d/1czEICHqlxgSK848Ua-phhzYTlaQY-uuI/view?usp=drive_link</t>
  </si>
  <si>
    <t>https://www.linkedin.com/in/viniciussoarees/</t>
  </si>
  <si>
    <t>https://universidade.pipelovers.net/m/lessons/estrategias-diferenciadas-em-vendas-complexas1769550039875?classId=3729</t>
  </si>
  <si>
    <t>https://universidade.pipelovers.net/m/lessons/aprendendo-com-seu-proprio-crm-insights-para-evoluir-sua-abordagem-1773693851517?moduleId=1248&amp;classId=3823</t>
  </si>
  <si>
    <t>Como avaliar seu programa de canais?</t>
  </si>
  <si>
    <t>Nara Vaz Guimarães</t>
  </si>
  <si>
    <t>https://universidade.pipelovers.net/m/lessons/como-avaliar-seu-programa-de-canais1769552409278?classId=3355</t>
  </si>
  <si>
    <t>8.PipeLovers Class 🤍: "Estratégias Diferenciadas em Vendas Complexas" com Gisele Tacchi – 2024/09/06 10:46 BRT – Recording</t>
  </si>
  <si>
    <t>Rotinas de Gestão para Líderes de Vendas</t>
  </si>
  <si>
    <t>Co-Fundador</t>
  </si>
  <si>
    <t>Estrutura de condução e apresentações de vendas</t>
  </si>
  <si>
    <t>https://drive.google.com/file/d/1SAOgX83iBKz6Ng4yIZNVm3SLt0BBkUKf/view?usp=drive_link</t>
  </si>
  <si>
    <t>https://universidade.pipelovers.net/m/lessons/como-usar-o-whatsapp-para-vender-mais-1782496646812?moduleId=1500&amp;classId=4198</t>
  </si>
  <si>
    <t>https://universidade.pipelovers.net/m/lessons/rotinas-de-gestao-para-lideres-de-vendas1769550039834?classId=3730</t>
  </si>
  <si>
    <t>Como criar vantagem competitiva e escalar negócios com ecossistema de parceria</t>
  </si>
  <si>
    <t>Edson Rigonatti</t>
  </si>
  <si>
    <t>Astella</t>
  </si>
  <si>
    <t>https://www.linkedin.com/in/edsonrigonatti/</t>
  </si>
  <si>
    <t>4,50</t>
  </si>
  <si>
    <t>9. PipeLovers Class 🤍: "Rotinas de Gestão para Líderes de Vendas" com Ricardo Okino</t>
  </si>
  <si>
    <t>https://universidade.pipelovers.net/m/lessons/como-criar-vantagem-competitiva-e-escalar-negocios-com-ecossistema-de-parceria1769552409306?classId=3354</t>
  </si>
  <si>
    <t>Técnicas de Storytelling em Vendas</t>
  </si>
  <si>
    <t>Como montar um ecossistema de canais orgânicos e vender mais via indicação</t>
  </si>
  <si>
    <t>You Closer</t>
  </si>
  <si>
    <t>https://universidade.pipelovers.net/m/lessons/tecnicas-de-storytelling-em-vendas-1783082834091</t>
  </si>
  <si>
    <t>02/11/2023</t>
  </si>
  <si>
    <t>https://universidade.pipelovers.net/m/lessons/como-montar-um-ecossistema-de-canais-organicos-e-vender-mais-via-indicacao1769550039904?classId=3731</t>
  </si>
  <si>
    <t>https://drive.google.com/file/d/1-TtAXBt-rRp6QWY3UQzxIuLT7i5Bz3Fl/view?usp=drive_link</t>
  </si>
  <si>
    <t>Modelo de atendimento high touch como ferramenta de go to market</t>
  </si>
  <si>
    <t>Gustavo de Martini</t>
  </si>
  <si>
    <t>VP de Canais</t>
  </si>
  <si>
    <t>4,00</t>
  </si>
  <si>
    <t>https://www.linkedin.com/in/gust-d/</t>
  </si>
  <si>
    <t>Linguagem persuasiva na comunicação verbal e não-verbal</t>
  </si>
  <si>
    <t>10. PipeLovers Class 🤍: "Como montar um ecossistema de canais orgânicos e vender mais via indicação, p – 2024/09/20 10:53 BRT – Recording</t>
  </si>
  <si>
    <t>https://universidade.pipelovers.net/m/lessons/linguagem-persuasiva-na-comunicacao-verbal-e-nao-verbal-1783082989459?moduleId=1463&amp;classId=4046</t>
  </si>
  <si>
    <t>Como construir percepção de valor a partir de conhecimento do negócio</t>
  </si>
  <si>
    <t>Consultor de Vendas</t>
  </si>
  <si>
    <t>https://universidade.pipelovers.net/m/lessons/modelo-de-atendimento-high-touch-como-ferramenta-de-go-to-market1769552417300?classId=3353</t>
  </si>
  <si>
    <t>https://universidade.pipelovers.net/aulas/como-construir-percepcao-de-valor-a-partir-do-conhecimento-de-negocio-1775816812445</t>
  </si>
  <si>
    <t>Oratória em reuniões e apresentações comerciais</t>
  </si>
  <si>
    <t>09/11/2023</t>
  </si>
  <si>
    <t>https://drive.google.com/file/d/1nSutgHJV6RuzRDeVOXHHgZKCsFZ6CxlS/view?usp=drive_link</t>
  </si>
  <si>
    <t>https://universidade.pipelovers.net/m/lessons/oratoria-em-reunioes-e-apresentacoes-comerciais-1783083122826?moduleId=1465&amp;classId=4047</t>
  </si>
  <si>
    <t>11. PipeLovers Class 🤍: "Como construir percepção de valor a partir de conhecimento do negócio" com Ma – 2024/09/27 10:51 BRT – Recording</t>
  </si>
  <si>
    <t>Fidelização de Clientes: A chave para alavancar suas vendas</t>
  </si>
  <si>
    <t>Job Descrition dos executivos de Canais e Parcerias</t>
  </si>
  <si>
    <t>Carol Pitarelli</t>
  </si>
  <si>
    <t>Ana Rezende</t>
  </si>
  <si>
    <t>Mentora e Palestrante de Empreendedorismo</t>
  </si>
  <si>
    <t>Talent Strategist</t>
  </si>
  <si>
    <t>https://www.linkedin.com/in/anacarolinavrezende/</t>
  </si>
  <si>
    <t>https://www.linkedin.com/in/carolpitarelli/</t>
  </si>
  <si>
    <t>Gatilhos Mentais para contorno de objeções e fechamento</t>
  </si>
  <si>
    <t>https://universidade.pipelovers.net/m/lessons/gatilhos-mentais-para-contorno-de-objecoes-e-fechamento-1783083248519?moduleId=1466&amp;classId=4048</t>
  </si>
  <si>
    <t>https://universidade.pipelovers.net/m/lessons/fidelizacao-de-clientes-a-chave-para-alavancar-suas-vendas1769550039988?classId=3733</t>
  </si>
  <si>
    <t>https://universidade.pipelovers.net/m/lessons/job-descrition-dos-executivos-de-canais-e-parcerias1769552417458?classId=3362</t>
  </si>
  <si>
    <t>Carreira em Y para Vendedores</t>
  </si>
  <si>
    <t>Glória Gruber</t>
  </si>
  <si>
    <t>Mentora e Consultora de CS</t>
  </si>
  <si>
    <t>Café com CS</t>
  </si>
  <si>
    <t>https://www.linkedin.com/in/gloriagruberr/</t>
  </si>
  <si>
    <t>16/11/2023</t>
  </si>
  <si>
    <t>https://drive.google.com/file/d/1zAmATEq_qwzch0bEEg638HOwlLn9KRst/view?usp=drive_link</t>
  </si>
  <si>
    <t>12. PipeLovers Class 🤍: "Fidelização de Clientes - A chave para alavancar suas vendas" com Carol Pitar – 2024/10/04 10:52 BRT – Recording</t>
  </si>
  <si>
    <t>https://universidade.pipelovers.net/m/lessons/carreira-em-y-para-vendedores-1784051791931?moduleId=1511&amp;classId=4210</t>
  </si>
  <si>
    <t>Arquitetura de Vendas de Alta Performance</t>
  </si>
  <si>
    <t>Insider Training</t>
  </si>
  <si>
    <t>Recrutamento e Seleção na Prática</t>
  </si>
  <si>
    <t>https://universidade.pipelovers.net/m/lessons/arquitetura-de-vendas-de-alta-performance1769550040047?classId=3734</t>
  </si>
  <si>
    <t>3,21</t>
  </si>
  <si>
    <t>https://universidade.pipelovers.net/m/lessons/recrutamento-e-selecao-na-pratica1769552417523?classId=3361</t>
  </si>
  <si>
    <t>Work-life Balance: técnicas para um equilibrio saudável</t>
  </si>
  <si>
    <t>Juliana Candido</t>
  </si>
  <si>
    <t>Headhunter</t>
  </si>
  <si>
    <t>https://www.linkedin.com/in/juliana-c%C3%A2ndido-consultora/</t>
  </si>
  <si>
    <t>https://universidade.pipelovers.net/m/lessons/work-life-balance-tecnicas-para-um-equilibrio-saudavel-1786642905274?moduleId=1588&amp;classId=4479</t>
  </si>
  <si>
    <t>13. PipeLovers Class 🤍: "Arquitetura de Vendas de Alta Performance" com Hélio Azevedo – 2024/10/11 10:53 BRT – Recording</t>
  </si>
  <si>
    <t>23/11/2023</t>
  </si>
  <si>
    <t>https://drive.google.com/file/d/14iwI46uQTjUsWkOOrxf_2rZ4KQXTBQNm/view?usp=drive_link</t>
  </si>
  <si>
    <t>CRM na venda consultiva: Dicas práticas para gerenciar processos longos e complexos</t>
  </si>
  <si>
    <t>Icaro Iasbeck</t>
  </si>
  <si>
    <t>Iasbeck&amp;Co</t>
  </si>
  <si>
    <t>https://www.linkedin.com/in/icaroiasbeck/</t>
  </si>
  <si>
    <t>Gestão de conflito de contas entre canais</t>
  </si>
  <si>
    <t>Breno Riether</t>
  </si>
  <si>
    <t>3,07</t>
  </si>
  <si>
    <t>Sankhya</t>
  </si>
  <si>
    <t>https://universidade.pipelovers.net/m/lessons/crm-na-venda-consultiva-dicas-praticas-para-gerenciar-processos-longos-e-complexos1769550040018?classId=3735</t>
  </si>
  <si>
    <t>https://www.linkedin.com/in/brenoriether/</t>
  </si>
  <si>
    <t>Como funciona uma área de compras profissional</t>
  </si>
  <si>
    <t>Arthur Cesmegi</t>
  </si>
  <si>
    <t>Coordenador de Compras Serviços Logísticos &amp; Fretes</t>
  </si>
  <si>
    <t>Viveo</t>
  </si>
  <si>
    <t>https://www.linkedin.com/in/arthurcesmegi/</t>
  </si>
  <si>
    <t>https://universidade.pipelovers.net/m/lessons/gestao-de-conflito-de-contas-entre-canais1769552418182?classId=3024</t>
  </si>
  <si>
    <t>https://universidade.pipelovers.net/m/lessons/como-funciona-uma-area-de-compras-profissional-1785516437812?moduleId=1579&amp;classId=4454</t>
  </si>
  <si>
    <t>14. PipeLovers Class 🤍: "CRM na venda consultiva: Dicas Práticas para gerenciar processos longos e com – 2024/10/18 10:50 BRT – Recording</t>
  </si>
  <si>
    <t>Talento técnico, sucesso comercial: A Nova Era de Vendas</t>
  </si>
  <si>
    <t>João Eduardo</t>
  </si>
  <si>
    <t>Quarter Negócios &amp; Serviços</t>
  </si>
  <si>
    <t>https://www.linkedin.com/in/joao-eduardo-silva-neto-22202225/</t>
  </si>
  <si>
    <t>30/11/2023</t>
  </si>
  <si>
    <t>https://drive.google.com/file/d/1kc-eF0SIiVRL58wcCA2JYncaeEdMNWKh/view?usp=drive_link</t>
  </si>
  <si>
    <t>Técnica de "Carrapato": aprenda observando os top performers</t>
  </si>
  <si>
    <t>Enrico Mazon</t>
  </si>
  <si>
    <t>Founder &amp; COO</t>
  </si>
  <si>
    <t>Sales Rocket</t>
  </si>
  <si>
    <t>https://www.linkedin.com/in/enrico-bianchi-mazon-ba80171a4/</t>
  </si>
  <si>
    <t>https://universidade.pipelovers.net/m/lessons/talento-tecnico-sucesso-comercial-a-nova-era-de-vendas1769550040078?classId=3736</t>
  </si>
  <si>
    <t>Como implementar uma política de MDF (Marketing Development Fund)</t>
  </si>
  <si>
    <t xml:space="preserve">Diretor de Desenvolvimento de Negócios </t>
  </si>
  <si>
    <t>FCamara</t>
  </si>
  <si>
    <t>https://universidade.pipelovers.net/m/lessons/tecnica-de-carrapato-aprenda-observando-os-top-performers-1785436105991?moduleId=1578&amp;classId=4453</t>
  </si>
  <si>
    <t>https://universidade.pipelovers.net/m/lessons/como-implementar-uma-politica-de-mdf-marketing-development-fund1769552418260?classId=3360</t>
  </si>
  <si>
    <t xml:space="preserve">15. PipeLovers Class 🤍: "Talento técnico, sucesso comercial: A Nova Era de Vendas" com João Eduardo </t>
  </si>
  <si>
    <t>Líderes que se conectam rendem mais</t>
  </si>
  <si>
    <t>Adriano Jeremias</t>
  </si>
  <si>
    <t>Code Sell</t>
  </si>
  <si>
    <t>https://www.linkedin.com/in/adrianojeremias/</t>
  </si>
  <si>
    <t>Fundamentos e preparação da negociação B2B</t>
  </si>
  <si>
    <t>Fundador | Treinador | Palestrante</t>
  </si>
  <si>
    <t>https://www.linkedin.com/in/ronaldonunes/</t>
  </si>
  <si>
    <t>07/12/2023</t>
  </si>
  <si>
    <t>https://drive.google.com/file/d/1p_NLstZiNDSHJhL1q9YNJ_3vwOnoB11d/view?usp=drive_link</t>
  </si>
  <si>
    <t>https://universidade.pipelovers.net/m/lessons/lideres-que-se-conectam-rendem-mais1769550040105?classId=3092</t>
  </si>
  <si>
    <t>https://universidade.pipelovers.net/m/lessons/fundamentos-e-preparacao-da-negociacao-b2b-1787581524133?moduleId=1604&amp;classId=4496</t>
  </si>
  <si>
    <t>Capacitação de Vendas para Canais</t>
  </si>
  <si>
    <t>Daniele Barracas</t>
  </si>
  <si>
    <t>https://www.linkedin.com/in/daniele-barracas-13186925</t>
  </si>
  <si>
    <t xml:space="preserve">16. PipeLovers Class 🤍: "Líderes que se conectam rendem mais" com Adriano Jeremias – 2024/11/01 10:50 BRT </t>
  </si>
  <si>
    <t>Negociação para Vendedores B2B</t>
  </si>
  <si>
    <t>Cibersegurança como diferencial de vendas</t>
  </si>
  <si>
    <t>Mauricio Gimenes</t>
  </si>
  <si>
    <t>Arquitetura de concessões: ceder sem destruir margem</t>
  </si>
  <si>
    <t>Jorge Galvão</t>
  </si>
  <si>
    <t>Chief Sales Officer (CSO)</t>
  </si>
  <si>
    <t>Professor / Palestrante</t>
  </si>
  <si>
    <t>Introduce</t>
  </si>
  <si>
    <t>https://universidade.pipelovers.net/m/lessons/capacitacao-de-vendas-para-canais1769552418312?classId=3359</t>
  </si>
  <si>
    <t>https://www.linkedin.com/in/jorgegalvao10/</t>
  </si>
  <si>
    <t>https://www.linkedin.com/in/mauriciogimenesoficial/</t>
  </si>
  <si>
    <t>https://universidade.pipelovers.net/m/lessons/arquitetura-de-concessoes-ceder-sem-destruir-margem-1787581737845?moduleId=1605&amp;classId=4497</t>
  </si>
  <si>
    <t>https://universidade.pipelovers.net/m/lessons/ciberseguranca-como-diferencial-de-vendas1769550040145?classId=3096</t>
  </si>
  <si>
    <t>https://drive.google.com/file/d/1fdtJn52ux1r2FzKCSrH06kKi64OnqOMu/view?usp=drive_link</t>
  </si>
  <si>
    <t>Segmentação de Canais e Parceiros</t>
  </si>
  <si>
    <t>17. PipeLovers Class 🤍: "Cibersegurança como diferencial de vendas" com Mauricio Gimenes – 2024/11/08 10:48 GMT-03:00 – Recording</t>
  </si>
  <si>
    <t>Paula Chacur</t>
  </si>
  <si>
    <t>Gerente de Canais</t>
  </si>
  <si>
    <t>SkyOne</t>
  </si>
  <si>
    <t>https://www.linkedin.com/in/paula-chacur-de-arandas-67252228/</t>
  </si>
  <si>
    <t>Como o networking gera venda</t>
  </si>
  <si>
    <t>Leonardo Coelho</t>
  </si>
  <si>
    <t>CEO e Diretor Comercial</t>
  </si>
  <si>
    <t>Oten Tecnologia</t>
  </si>
  <si>
    <t>https://www.linkedin.com/in/leonardocoelhooficial/</t>
  </si>
  <si>
    <t>Como destravar fechamentos no final de mês</t>
  </si>
  <si>
    <t>https://universidade.pipelovers.net/m/lessons/como-destravar-fechamentos-no-final-de-mes-1787581891095?moduleId=1606&amp;classId=4498</t>
  </si>
  <si>
    <t>https://universidade.pipelovers.net/m/lessons/segmentacao-de-canais-e-parceiros1769552418755?classId=3015</t>
  </si>
  <si>
    <t>https://universidade.pipelovers.net/m/lessons/como-o-networking-gera-venda1769550040174?classId=3099</t>
  </si>
  <si>
    <t>3,43</t>
  </si>
  <si>
    <t>Business Case: como provar o ROI ao cliente</t>
  </si>
  <si>
    <t>21/12/2023</t>
  </si>
  <si>
    <t>Andrey D’Almeida</t>
  </si>
  <si>
    <t>Head Of Sales e CS</t>
  </si>
  <si>
    <t>https://drive.google.com/file/d/1pYZkxRGukn2HHuVeBXzb7ZYkejtI2Zh8/view?usp=drive_link</t>
  </si>
  <si>
    <t>DigAÍ</t>
  </si>
  <si>
    <t>https://www.linkedin.com/in/andrey-d%E2%80%99almeida-ba6b8853/</t>
  </si>
  <si>
    <t>18. PipeLovers Class 🤍: "Como o networking gera venda" com Leonardo Coelho - 2024/11/22 10:52 GMT-03:00 - Recording</t>
  </si>
  <si>
    <t>Vendas gamificadas para todos</t>
  </si>
  <si>
    <t>https://universidade.pipelovers.net/m/lessons/business-case-como-provar-o-roi-ao-cliente-1788462678927?moduleId=1641&amp;classId=4548</t>
  </si>
  <si>
    <t>Vendas para Setor Público via Canais</t>
  </si>
  <si>
    <t>Roberto Miyahara</t>
  </si>
  <si>
    <t>https://www.linkedin.com/in/roberto-miyahara-856198/</t>
  </si>
  <si>
    <t>https://universidade.pipelovers.net/m/lessons/vendas-gamificadas-para-todos1769550040251?classId=3113</t>
  </si>
  <si>
    <t>https://universidade.pipelovers.net/m/lessons/vendas-para-setor-publico-via-canais1769552418589?classId=3368</t>
  </si>
  <si>
    <t>Payback e TCO: como defender valor sem conceder descontos</t>
  </si>
  <si>
    <t>Rogério Mello</t>
  </si>
  <si>
    <t>Fundador e Consultor de Estratégia Comercial</t>
  </si>
  <si>
    <t>RJ DIGITAL</t>
  </si>
  <si>
    <t>https://www.linkedin.com/in/rogeriomellojr/</t>
  </si>
  <si>
    <t>28/12/2023</t>
  </si>
  <si>
    <t>https://universidade.pipelovers.net/m/lessons/payback-e-tco-como-defender-valor-sem-conceder-descontos-1789158618034?moduleId=1667&amp;classId=4603</t>
  </si>
  <si>
    <t>19. PipeLovers Class 🤍: "Vendas gamificadas para todos " com Felipe dos Santos  - 2024/11/29 10:45 GMT-03:00 - Recording</t>
  </si>
  <si>
    <t>https://drive.google.com/file/d/1Z7B8ZXMKKw--2rDZY6Z9Z1iJZRC-_rl1/view?usp=drive_link</t>
  </si>
  <si>
    <t>Vender Mais, Gastar Menos: Planejamento tributário para superar objeções</t>
  </si>
  <si>
    <t>Rafael Apolinário</t>
  </si>
  <si>
    <t>Az Consultoria Tributária</t>
  </si>
  <si>
    <t>https://www.linkedin.com/in/rafael-apolin%C3%A1rio-598318b9/</t>
  </si>
  <si>
    <t xml:space="preserve"> Como gerar valor para o canal além da comissão</t>
  </si>
  <si>
    <t>José Luiz Quintela</t>
  </si>
  <si>
    <t>VP Canais</t>
  </si>
  <si>
    <t>https://www.linkedin.com/in/jlquintella/</t>
  </si>
  <si>
    <t>3,29</t>
  </si>
  <si>
    <t>https://universidade.pipelovers.net/m/lessons/vender-mais-gastar-menos-planejamento-tributario-para-superar-objecoes1769550040204?classId=3114</t>
  </si>
  <si>
    <t>Sinais que seu cliente mente para você</t>
  </si>
  <si>
    <t>Neto Moura</t>
  </si>
  <si>
    <t>EXIT´s Business Development</t>
  </si>
  <si>
    <t>https://www.linkedin.com/in/nestorneto130482/</t>
  </si>
  <si>
    <t>https://universidade.pipelovers.net/m/lessons/como-gerar-valor-para-o-canal-alem-da-comissao1769552418381?classId=3484</t>
  </si>
  <si>
    <t>20. PipeLovers Class 🤍: "Vender Mais, Gastar Menos: Planejamento tributário para superar objeções" com - 2024/12/06 10:48 GMT-03:00 - Recording</t>
  </si>
  <si>
    <t>https://universidade.pipelovers.net/m/lessons/sinais-que-seu-cliente-mente-para-voce-1790084891289?moduleId=1694&amp;classId=4631</t>
  </si>
  <si>
    <t>Repertório como ferramenta em vendas externas</t>
  </si>
  <si>
    <t>04/01/2024</t>
  </si>
  <si>
    <t>William Caldas</t>
  </si>
  <si>
    <t>https://drive.google.com/file/d/1Rf9h4Hex4LPaZlbIhBGjt_NWJpOASKio/view?usp=drive_link</t>
  </si>
  <si>
    <t>William Caldas Consultoria &amp; Treinamento</t>
  </si>
  <si>
    <t>https://www.linkedin.com/in/williamcaldas/</t>
  </si>
  <si>
    <t>Pesquisa de satisfação para Canais</t>
  </si>
  <si>
    <t>Guilherme Reitz</t>
  </si>
  <si>
    <t>Yungas</t>
  </si>
  <si>
    <t>https://www.linkedin.com/in/guireitz/</t>
  </si>
  <si>
    <t>Técnica de "Time Blocking": foco e gestão de tempo</t>
  </si>
  <si>
    <t>Éverton Sbruzzi</t>
  </si>
  <si>
    <t>Diretor Comercial</t>
  </si>
  <si>
    <t>Mercado Eletrônico</t>
  </si>
  <si>
    <t>https://www.linkedin.com/in/evertonsbruzzi/</t>
  </si>
  <si>
    <t>https://universidade.pipelovers.net/m/lessons/repertorio-como-ferramenta-em-vendas-externas1769550040289?classId=3126</t>
  </si>
  <si>
    <t>https://universidade.pipelovers.net/m/lessons/pesquisa-de-satisfacao-para-canais-1770488598048?classId=3483</t>
  </si>
  <si>
    <t>https://universidade.pipelovers.net/m/lessons/tecnica-de-time-blocking-foco-e-gestao-de-tempo-1790085027422?moduleId=1695&amp;classId=4632</t>
  </si>
  <si>
    <t>21. PipeLovers Class 🤍: "Repertório como ferramenta em vendas externas" com Willian Caldas - 2024/12/13 09:46 GMT-03:00 - Recording</t>
  </si>
  <si>
    <t>11/01/2024</t>
  </si>
  <si>
    <t>https://drive.google.com/file/d/1fBLohmT06rjs8rXHWVRh9cetz84b2Hfc/view?usp=drive_link</t>
  </si>
  <si>
    <t>Agentes de IA para aumentar a produtividade do comercial</t>
  </si>
  <si>
    <t>Consultor e Treinador em Vendas e Gestão Comercial</t>
  </si>
  <si>
    <t>iBusiness Consultoria e Treinamentos</t>
  </si>
  <si>
    <t>https://universidade.pipelovers.net/m/lessons/agentes-de-ia-para-aumentar-a-produtividade-do-comercial1769550040318?classId=3128</t>
  </si>
  <si>
    <t>O que um canal precisa para crescer</t>
  </si>
  <si>
    <t>Nathalia Koga</t>
  </si>
  <si>
    <t>Vice-presidente</t>
  </si>
  <si>
    <t>Abravit</t>
  </si>
  <si>
    <t>https://universidade.pipelovers.net/m/lessons/o-que-um-canal-precisa-para-crescer1769552418873?classId=3367</t>
  </si>
  <si>
    <t>22. PipeLovers Class 🤍: "Agentes de IA para aumentar a produtividade do comercial" com Igor Batista - 2024/12/20 10:52 GMT-03:00 - Recording</t>
  </si>
  <si>
    <t>Como o marketing conversacional vai impactar seus resultados de vendas em 2025</t>
  </si>
  <si>
    <t>https://universidade.pipelovers.net/m/lessons/como-o-marketing-conversacional-vai-impactar-seus-resultados-de-vendas-em-20251769550040347?classId=3129</t>
  </si>
  <si>
    <t>18/01/2024</t>
  </si>
  <si>
    <t>https://drive.google.com/file/d/1nevWTU6jToILb0I-uZQ2mkD-kNBvr5zU/view?usp=drive_link</t>
  </si>
  <si>
    <t>Novas linhas de receita para seu parceiro</t>
  </si>
  <si>
    <t>23. PipeLovers Class 🤍: "Como o marketing conversacional vai impactar seus resultados de vendas em 202 - 2025/01/17 10:45 GMT-03:00 - Recording</t>
  </si>
  <si>
    <t>Thales Frade</t>
  </si>
  <si>
    <t>Sales Leader</t>
  </si>
  <si>
    <t>Hubla</t>
  </si>
  <si>
    <t>Você trabalha bem em equipe?</t>
  </si>
  <si>
    <t>https://www.linkedin.com/in/thales-frade-1009461a7/</t>
  </si>
  <si>
    <t>https://universidade.pipelovers.net/m/lessons/novas-linhas-de-receita-para-seu-parceiro1769552418990?classId=3366</t>
  </si>
  <si>
    <t>https://universidade.pipelovers.net/m/lessons/voce-trabalha-bem-em-equipe1769550040377?classId=3131</t>
  </si>
  <si>
    <t>25/01/2024</t>
  </si>
  <si>
    <t>https://drive.google.com/file/d/1wwHK-trCM7PCtM4ejlGQNxrliZcKBnnR/view?usp=drive_link</t>
  </si>
  <si>
    <t>24. PipeLovers Class 🤍: "Você trabalha bem em equipe?" com Guilherme Bonaroti  - 2025/01/24 10:55 GMT-03:00 - Recording</t>
  </si>
  <si>
    <t>Estrutura organizacional para times de canais</t>
  </si>
  <si>
    <t>Philemon Mattos</t>
  </si>
  <si>
    <t>Produtividade em vendas</t>
  </si>
  <si>
    <t>Chief Partnership Officer</t>
  </si>
  <si>
    <t>https://www.linkedin.com/in/philemonmattos/</t>
  </si>
  <si>
    <t>https://universidade.pipelovers.net/m/lessons/estrutura-organizacional-para-times-de-canais1769552419064?classId=3377</t>
  </si>
  <si>
    <t>https://universidade.pipelovers.net/m/lessons/produtividade-em-vendas1769550040416?classId=3133</t>
  </si>
  <si>
    <t>01/02/2024</t>
  </si>
  <si>
    <t>https://drive.google.com/file/d/1qyBBNUw2gRVXcHnijM2IXhn3C7c6V24x/view?usp=drive_link</t>
  </si>
  <si>
    <t>25. PipeLovers Class 🤍: "Produtividade em vendas" com Matheus Quirino - 2025/01/31 10:52 GMT-03:00 - Recording</t>
  </si>
  <si>
    <t>Mão na massa com IA: Aumente suas conversões e escale suas vendas outbound</t>
  </si>
  <si>
    <t>Danilo Konrad</t>
  </si>
  <si>
    <t>Co-Fundador &amp; Mentor</t>
  </si>
  <si>
    <t>Universidade do SaaS</t>
  </si>
  <si>
    <t>https://www.linkedin.com/in/danilokonrad/</t>
  </si>
  <si>
    <t>Catalyst 2023: Melhores Práticas Sobre Parcerias e Ecossistemas Direto das Trincheiras</t>
  </si>
  <si>
    <t>Julio Azzini</t>
  </si>
  <si>
    <t>Director, Global Partner Programs</t>
  </si>
  <si>
    <t xml:space="preserve">Siteimprove </t>
  </si>
  <si>
    <t>https://www.linkedin.com/in/juliocesarazzini/</t>
  </si>
  <si>
    <t>https://universidade.pipelovers.net/m/lessons/mao-na-massa-com-ia-aumente-suas-conversoes-e-escale-suas-vendas-outbound1769550040446?classId=3153</t>
  </si>
  <si>
    <t>https://universidade.pipelovers.net/m/lessons/catalyst-2023-melhores-praticas-sobre-parcerias-e-ecossistemas-direto-das-trincheiras1769552419193?classId=3376</t>
  </si>
  <si>
    <t>08/02/2024</t>
  </si>
  <si>
    <t>https://drive.google.com/file/d/1m7z7UoTa_4VjFeEFQhmViHlvhw13DlEk/view?usp=drive_link</t>
  </si>
  <si>
    <t>26. PipeLovers Class 🤍: "Mão na massa com IA: Aumente suas conversões e escale suas vendas outbound" c - 2025/02/07 10:50 GMT-03:00 - Recording</t>
  </si>
  <si>
    <t>Spin Selling como você nunca viu: O poder das perguntas para fechar mais negócios</t>
  </si>
  <si>
    <t>Engajamento de canais em alta escala</t>
  </si>
  <si>
    <t>Monique Kempt</t>
  </si>
  <si>
    <t>Head de Canais</t>
  </si>
  <si>
    <t>Linx / Hiper</t>
  </si>
  <si>
    <t>https://www.linkedin.com/in/monique-kempt-b4683b173/</t>
  </si>
  <si>
    <t>https://universidade.pipelovers.net/m/lessons/spin-selling-como-voce-nunca-viu-o-poder-das-perguntas-para-fechar-mais-negocios1769550040506?classId=3171</t>
  </si>
  <si>
    <t>https://universidade.pipelovers.net/m/lessons/engajamento-de-canais-em-alta-escala1769552419340?classId=3375</t>
  </si>
  <si>
    <t>15/02/2024</t>
  </si>
  <si>
    <t>27. PipeLovers Class 🤍: "Spin Selling como você nunca viu: O poder das perguntas para fechar mais negó - 2025/02/14 10:38 GMT-03:00 - Recording</t>
  </si>
  <si>
    <t>https://drive.google.com/file/d/1cKOD3lwTuums7P_UOYRFn8gDwQN55e2O/view?usp=drive_link</t>
  </si>
  <si>
    <t>Do lead ao fechamento: Como o marketing pode acelerar seu pipeline de vendas</t>
  </si>
  <si>
    <t>Wiliam Comissario</t>
  </si>
  <si>
    <t>Diretor de Atendimento</t>
  </si>
  <si>
    <t>Agência Canna</t>
  </si>
  <si>
    <t>http://linkedin.com/in/wiliamcomissario/</t>
  </si>
  <si>
    <t xml:space="preserve">A evolução dos modelos de canais indiretos no mundo digital </t>
  </si>
  <si>
    <t>Aurora Suh</t>
  </si>
  <si>
    <t>Omie</t>
  </si>
  <si>
    <t>https://www.linkedin.com/in/aurora-suh/</t>
  </si>
  <si>
    <t>https://universidade.pipelovers.net/m/lessons/do-lead-ao-fechamento-como-o-marketing-pode-acelerar-seu-pipeline-de-vendas1769550040477?classId=3172</t>
  </si>
  <si>
    <t>https://universidade.pipelovers.net/m/lessons/a-evolucao-dos-modelos-de-canais-indiretos-no-mundo-digital1769552419444?classId=3374</t>
  </si>
  <si>
    <t>28. PipeLovers Class 🤍: "Do lead ao fechamento: Como o marketing pode acelerar seu pipeline de vendas" - 2025/02/21 10:46 GMT-03:00 - Recording</t>
  </si>
  <si>
    <t>Antifragilidade para crescer: Como vender em 2025 no meio do caos</t>
  </si>
  <si>
    <t>Leonardo Guilherme</t>
  </si>
  <si>
    <t>AvantiSales</t>
  </si>
  <si>
    <t>https://www.linkedin.com/in/leooguilherme/</t>
  </si>
  <si>
    <t>22/02/2024</t>
  </si>
  <si>
    <t>https://drive.google.com/file/d/19CCVR0AdP3xxMhJOAweroZBxhPCl0i1X/view?usp=drive_link</t>
  </si>
  <si>
    <t>https://universidade.pipelovers.net/m/lessons/antifragilidade-para-crescer-como-vender-em-2025-no-meio-do-caos1769550040537?classId=3173</t>
  </si>
  <si>
    <t>Estratégias de Customer Success para Parceiros</t>
  </si>
  <si>
    <t>Lui von Holleben</t>
  </si>
  <si>
    <t>CS by Lui</t>
  </si>
  <si>
    <t>https://www.linkedin.com/in/luiholleben/</t>
  </si>
  <si>
    <t>https://universidade.pipelovers.net/m/lessons/estrategias-de-customer-success-para-parceiros1769552419494?classId=3373</t>
  </si>
  <si>
    <t>29. PipeLovers Class 🤍: "Antifragilidade para crescer: Como vender em 2025 no meio do caos" com Leonar - 2025/03/07 10:37 GMT-03:00 - Recording</t>
  </si>
  <si>
    <t>ABS (Account-Based Selling) : Como sair da abordagem genérica e criar relacionamentos estratégicos</t>
  </si>
  <si>
    <t>Marcos Gawriliuk</t>
  </si>
  <si>
    <t>Vallor Digital</t>
  </si>
  <si>
    <t>https://www.linkedin.com/in/mgawriliuk/</t>
  </si>
  <si>
    <t>https://drive.google.com/file/d/1mIsnyzlFpS9SPwkijHks_ODVNY84hc6B/view?usp=drive_link</t>
  </si>
  <si>
    <t>https://universidade.pipelovers.net/m/lessons/abs-account-based-selling-como-sair-da-abordagem-generica-e-criar-relacionamentos-estrategicos1769550040568?classId=3174</t>
  </si>
  <si>
    <t>30. PipeLovers Class 🤍: "ABS (Account-Based Selling) : Como sair da abordagem genérica e criar relacio - 2025/03/14 10:52 GMT-03:00 - Recording</t>
  </si>
  <si>
    <t>Como ser interessante sem ser interesseiro</t>
  </si>
  <si>
    <t xml:space="preserve">CRMThink </t>
  </si>
  <si>
    <t>https://universidade.pipelovers.net/m/lessons/como-ser-interessante-sem-ser-interesseiro1769550040597?classId=3183</t>
  </si>
  <si>
    <t>07/03/2024</t>
  </si>
  <si>
    <t>https://drive.google.com/file/d/1KQ_j5SOB-E9SGPPIPN0FHipu1qO_mm-E/view?usp=drive_link</t>
  </si>
  <si>
    <t>Método OCTO</t>
  </si>
  <si>
    <t>Juliana Tubino e Nara Guimarães</t>
  </si>
  <si>
    <t>Autoras</t>
  </si>
  <si>
    <t>31. PipeLovers Class 🤍: "Como ser interessante sem ser interesseiro" com Romualdo Silva - 2025/03/21 10:53 GMT-03:00 - Recording</t>
  </si>
  <si>
    <r>
      <rPr>
        <rFont val="Nunito"/>
        <color rgb="FF1155CC"/>
        <u/>
      </rPr>
      <t>https://www.linkedin.com/in/naravazguimaraes/</t>
    </r>
    <r>
      <rPr>
        <rFont val="Nunito"/>
      </rPr>
      <t xml:space="preserve"> | </t>
    </r>
    <r>
      <rPr>
        <rFont val="Nunito"/>
        <color rgb="FF1155CC"/>
        <u/>
      </rPr>
      <t>https://www.linkedin.com/in/julianatubino/</t>
    </r>
  </si>
  <si>
    <t>Marca forte vende mais: entenda por quê</t>
  </si>
  <si>
    <t>Euler Costa</t>
  </si>
  <si>
    <t>Agility Marcas e Patentes</t>
  </si>
  <si>
    <t>https://www.linkedin.com/in/euler-costa/</t>
  </si>
  <si>
    <t>https://universidade.pipelovers.net/m/lessons/metodo-octo1769552425646?classId=3384</t>
  </si>
  <si>
    <t>14/03/2024</t>
  </si>
  <si>
    <t>https://drive.google.com/file/d/1nGnnMahe_s0OzzhiXfDOhH5FEoN6MlXN/view?usp=drive_link</t>
  </si>
  <si>
    <t>https://universidade.pipelovers.net/m/lessons/marca-forte-vende-mais-entenda-por-que1769550040636?classId=3184</t>
  </si>
  <si>
    <t>Podcast como canal de engajamento com parceiros e clientes</t>
  </si>
  <si>
    <t>Romualdo "Romuca" Silva</t>
  </si>
  <si>
    <t>CRMThink</t>
  </si>
  <si>
    <t>https://universidade.pipelovers.net/m/lessons/podcast-como-canal-de-engajamento-com-parceiros-e-clientes1769552425690?classId=3383</t>
  </si>
  <si>
    <t>32. PipeLovers Class 🤍: "Marca forte vende mais: entenda por quê" com Euler Costa  - 2025/03/28 10:51 GMT-03:00 - Recording</t>
  </si>
  <si>
    <t>O que os livros não ensinam sobre oratória</t>
  </si>
  <si>
    <t>Mentora especialista em treinamentos de oratória e comunicação</t>
  </si>
  <si>
    <t>21/03/2024</t>
  </si>
  <si>
    <t>https://drive.google.com/file/d/1Gy-r4iipUWTpy7l73PTNqT2Oax4_27qr/view?usp=drive_link</t>
  </si>
  <si>
    <t xml:space="preserve">Como construir um planejamento estratégico para área de canais </t>
  </si>
  <si>
    <t>Alexandre Valle</t>
  </si>
  <si>
    <t>Canais &amp; Alianças Estratégicas</t>
  </si>
  <si>
    <t xml:space="preserve">Hyperflow Global </t>
  </si>
  <si>
    <t>https://universidade.pipelovers.net/m/lessons/o-que-os-livros-nao-ensinam-sobre-oratoria1769550040736?classId=3185</t>
  </si>
  <si>
    <t>https://www.linkedin.com/in/alexandre-valle/</t>
  </si>
  <si>
    <t>https://universidade.pipelovers.net/m/lessons/como-construir-um-planejamento-estrategico-para-area-de-canais1769552425730?classId=3382</t>
  </si>
  <si>
    <t>28/03/2024</t>
  </si>
  <si>
    <t>https://drive.google.com/file/d/1J_WYZoaBp87Lw0e-9xd142PTL2z1H2DC/view?usp=drive_link</t>
  </si>
  <si>
    <t>Papéis e responsabilidades do Partner Account Manager</t>
  </si>
  <si>
    <t>Ligia Alface</t>
  </si>
  <si>
    <t>Partnerships Manager</t>
  </si>
  <si>
    <t xml:space="preserve">Deel </t>
  </si>
  <si>
    <t>https://www.linkedin.com/in/ligiaalface/</t>
  </si>
  <si>
    <t>https://universidade.pipelovers.net/m/lessons/papeis-e-responsabilidades-do-partner-account-manager1769552425761?classId=3381</t>
  </si>
  <si>
    <t>04/04/2024</t>
  </si>
  <si>
    <t>https://drive.google.com/file/d/1XtULLg5o2_DPM77WArI45XapL_XtO4qi/view?usp=drive_link</t>
  </si>
  <si>
    <t>33. PipeLovers Class 🤍: "O que os livros não ensinam sobre oratória" com Beatriz Kobal - 2025/04/04 10:45 GMT-03:00 - Recording</t>
  </si>
  <si>
    <t>Validação de novos modelos de parcerias</t>
  </si>
  <si>
    <t>Vinícius Souza</t>
  </si>
  <si>
    <t>Strategic Partnerships Specialist</t>
  </si>
  <si>
    <t>https://www.linkedin.com/in/s-souzavinicius/</t>
  </si>
  <si>
    <t>https://universidade.pipelovers.net/m/lessons/validacao-de-novos-modelos-de-parcerias1769552425848?classId=3071</t>
  </si>
  <si>
    <t>Engenharia reversa dos funis de marketing e vendas dos concorrentes</t>
  </si>
  <si>
    <t>Leandro Macedo</t>
  </si>
  <si>
    <t>Agência Donnu</t>
  </si>
  <si>
    <t>https://www.linkedin.com/in/leandro--macedo/</t>
  </si>
  <si>
    <t>11/04/2024</t>
  </si>
  <si>
    <t>https://drive.google.com/file/d/18ofSnmUoWT4HJnXL6QsSgne31uBO-mB8/view?usp=drive_link</t>
  </si>
  <si>
    <t>https://universidade.pipelovers.net/m/lessons/engenharia-reversa-dos-funis-de-marketing-e-vendas-dos-concorrentes1769550040865?classId=3186</t>
  </si>
  <si>
    <t>Gestão de Parcerias em Marketplaces</t>
  </si>
  <si>
    <t>Paulo Madureira</t>
  </si>
  <si>
    <t>Estrategista em Transformação Digital &amp; Marketplace</t>
  </si>
  <si>
    <t>https://www.linkedin.com/in/paulomadu/</t>
  </si>
  <si>
    <t>https://universidade.pipelovers.net/m/lessons/gestao-de-parcerias-em-marketplaces1769552425789?classId=3073</t>
  </si>
  <si>
    <t>34. PipeLovers Class 🤍: "Engenharia reversa dos funis de marketing e vendas dos concorrentes" com Lean - 2025/04/11 10:50 GMT-03:00 - Recording</t>
  </si>
  <si>
    <t>Como fazer uma apresentação comercial matadora</t>
  </si>
  <si>
    <t>Brunno Alencar</t>
  </si>
  <si>
    <t>Comercial PRO</t>
  </si>
  <si>
    <t>https://www.linkedin.com/in/brunnobezerra/</t>
  </si>
  <si>
    <t>18/04/2024</t>
  </si>
  <si>
    <t>https://drive.google.com/file/d/1HT-Tm0TyD9ij6rXIMQJfoUkyZKB2-sL6/view?usp=drive_link</t>
  </si>
  <si>
    <t>https://universidade.pipelovers.net/m/lessons/como-fazer-uma-apresentacao-comercial-matadora1769550042060?classId=3187</t>
  </si>
  <si>
    <t>Construção de ofertas de valor agregado com parceiros</t>
  </si>
  <si>
    <t>Thiago Letra</t>
  </si>
  <si>
    <t>Total Pass</t>
  </si>
  <si>
    <t>https://www.linkedin.com/in/thiagopassosletra/</t>
  </si>
  <si>
    <t>35. PipeLovers Class 🤍: "Como fazer uma apresentação comercial matadora" com Brunno Alencar - 2025/04/25 10:50 GMT-03:00 - Recording</t>
  </si>
  <si>
    <t>O seu lead está com medo?</t>
  </si>
  <si>
    <t xml:space="preserve">Clarissa Hohmuth Rissi </t>
  </si>
  <si>
    <t>Performa Consultoria Estratégica</t>
  </si>
  <si>
    <t>https://universidade.pipelovers.net/m/lessons/construcao-de-ofertas-de-valor-agregado-com-parceiros1769552425875?classId=3076</t>
  </si>
  <si>
    <t>https://universidade.pipelovers.net/m/lessons/o-seu-lead-esta-com-medo1769550042110?classId=3188</t>
  </si>
  <si>
    <t>25/04/2024</t>
  </si>
  <si>
    <t>https://drive.google.com/file/d/1sWwu60Daajo8Raxs47WED1lKndsCYjHs/view?usp=drive_link</t>
  </si>
  <si>
    <t>36. PipeLovers Class 🤍: "O seu lead está com medo?" com Clarissa Hohmuth Rissi  - 2025/05/09 10:50 GMT-03:00 - Recording</t>
  </si>
  <si>
    <t>Cadência como processo: como estruturar interações comerciais de forma eficiente</t>
  </si>
  <si>
    <t>Gabriel Civinski</t>
  </si>
  <si>
    <t>Founder &amp; Mentor</t>
  </si>
  <si>
    <t>Altavenda</t>
  </si>
  <si>
    <t>https://www.linkedin.com/in/gabriel-civinski/</t>
  </si>
  <si>
    <t>Salesforce Trailhead: um ecossistema de enablement</t>
  </si>
  <si>
    <t>Director of Ecosystem Program &amp; Trailhead LATAM</t>
  </si>
  <si>
    <t>https://universidade.pipelovers.net/m/lessons/cadencia-como-processo-como-estruturar-interacoes-comerciais-de-forma-eficiente1769550042140?classId=3195</t>
  </si>
  <si>
    <t>https://universidade.pipelovers.net/m/lessons/salesforce-trailhead-um-ecossistema-de-enablement1769552425938?classId=3077</t>
  </si>
  <si>
    <t>37. PipeLovers Class 🤍: "Cadência como processo" com Gabriel Civinski  - 2025/05/16 11:00 GMT- 12:00 - Recording</t>
  </si>
  <si>
    <t>Como tomar decisões mais inteligentes usando dados</t>
  </si>
  <si>
    <t>https://universidade.pipelovers.net/m/lessons/como-tomar-decisoes-mais-inteligentes-usando-dados1769550059834?classId=3196</t>
  </si>
  <si>
    <t>02/05/2024</t>
  </si>
  <si>
    <t>https://drive.google.com/file/d/1rBjk9XThPtYGi-FuFXBY33q6itvXFNbW/view?usp=drive_link</t>
  </si>
  <si>
    <t>38. PipeLovers Class 🤍: "Como tomar decisões mais inteligentes usando dados" com Chris Cornehl - 2025/05/23 10:50 GMT-03:00 - Recording</t>
  </si>
  <si>
    <t>A reta final da venda: da apresentação do preço ao fechamento</t>
  </si>
  <si>
    <t>https://universidade.pipelovers.net/m/lessons/a-reta-final-da-venda-da-apresentacao-do-preco-ao-fechamento1769550060299?classId=3197</t>
  </si>
  <si>
    <t>Como priorizar a melhor oferta para seu canal?</t>
  </si>
  <si>
    <t>Felipe Giroleti</t>
  </si>
  <si>
    <t>Franq</t>
  </si>
  <si>
    <t>https://www.linkedin.com/in/felipegiroleti/</t>
  </si>
  <si>
    <t>39. PipeLovers Class 🤍: "A reta final da venda: da apresentação do preço ao fechamento" com Brunno Ale - 2025/05/30 10:50 GMT-03:00 - Recording</t>
  </si>
  <si>
    <t>O impacto do hipercrescimento no comercial: o que muda na prática</t>
  </si>
  <si>
    <t>https://universidade.pipelovers.net/m/lessons/como-priorizar-a-melhor-oferta-para-seu-canal1769552425966?classId=3078</t>
  </si>
  <si>
    <t>https://universidade.pipelovers.net/m/lessons/o-impacto-do-hipercrescimento-no-comercial-o-que-muda-na-pratica1769550059977?classId=3198</t>
  </si>
  <si>
    <t>40. PipeLovers Class 🤍: "O impacto do hipercrescimento no comercial: o que muda na prática" com João E - 2025/06/06 10:41 GMT-03:00 - Recording</t>
  </si>
  <si>
    <t>Como fazer vendas para grandes contas</t>
  </si>
  <si>
    <t>09/05/2024</t>
  </si>
  <si>
    <t xml:space="preserve">Co-founder e CEO </t>
  </si>
  <si>
    <t>https://drive.google.com/file/d/1tRmigwD_PcisC7y2ZvbW_oGdpcEMKotc/view?usp=drive_link</t>
  </si>
  <si>
    <t>https://universidade.pipelovers.net/m/lessons/como-fazer-vendas-para-grandes-contas1769550060331?classId=3199</t>
  </si>
  <si>
    <t>Expansão internacional com franquias</t>
  </si>
  <si>
    <t>Arno Krug Junior</t>
  </si>
  <si>
    <t>President</t>
  </si>
  <si>
    <t>CEFA Early Learning</t>
  </si>
  <si>
    <t>https://www.linkedin.com/in/arnokrugjunior/</t>
  </si>
  <si>
    <t>41. PipeLovers Class 🤍: "Como fazer vendas para grandes contas" com Felipe Spina - 2025/06/13 10:51 GMT-03:00 - Recording</t>
  </si>
  <si>
    <t>https://universidade.pipelovers.net/m/lessons/expansao-internacional-com-franquias1769552425993?classId=3117</t>
  </si>
  <si>
    <t>Saúde financeira pra quem vive de meta</t>
  </si>
  <si>
    <t xml:space="preserve">Nicolas Frajhof </t>
  </si>
  <si>
    <t>https://www.linkedin.com/in/nicolas-frajhof/</t>
  </si>
  <si>
    <t>https://universidade.pipelovers.net/m/lessons/saude-financeira-pra-quem-vive-de-meta1769550060585?classId=3213</t>
  </si>
  <si>
    <t>https://drive.google.com/file/d/1_JFV5SvlqXAG3uxHcNH_C0uxKXMF0mF7/view?usp=drive_link</t>
  </si>
  <si>
    <t>42. PipeLovers Class 🤍: "Saúde financeira pra quem vive de meta" com Nicolas Frajhof - 2025/06/20 10:52 GMT-03:00 - Recording</t>
  </si>
  <si>
    <t>Geração de demanda de leads potencializada com IA</t>
  </si>
  <si>
    <t>João Filgueiras</t>
  </si>
  <si>
    <t>Sales Pirates</t>
  </si>
  <si>
    <t>Diferença na gestão de canais com marca própria e revendas independentes</t>
  </si>
  <si>
    <t>https://www.linkedin.com/in/jo%C3%A3o-filgueiras/</t>
  </si>
  <si>
    <t>Célio Pupo</t>
  </si>
  <si>
    <t>Gerente Executivo</t>
  </si>
  <si>
    <t>Tablet Cloud</t>
  </si>
  <si>
    <t>https://www.linkedin.com/in/c%C3%A9lio-pupo-ab745623/</t>
  </si>
  <si>
    <t>https://universidade.pipelovers.net/m/lessons/diferenca-na-gestao-de-canais-com-marca-propria-e-revendas-independentes1769552426019?classId=3119</t>
  </si>
  <si>
    <t>https://universidade.pipelovers.net/m/lessons/geracao-de-demanda-de-leads-potencializada-com-ia1769550060086?classId=3215</t>
  </si>
  <si>
    <t>23/05/2024</t>
  </si>
  <si>
    <t>https://drive.google.com/file/d/10NrSGvAlPp4l7A8GemLmzFvwk2jvXSj4/view?usp=drive_link</t>
  </si>
  <si>
    <t>43. PipeLovers Class 🤍: "Geração de demanda de leads potencializada com IA" com João Filgueiras - 2025/06/27 10:51 GMT-03:00 - Recording</t>
  </si>
  <si>
    <t>Manual de Persuasão do FBI aplicado à venda consultiva</t>
  </si>
  <si>
    <t>Tiago Ribeiro</t>
  </si>
  <si>
    <t>https://www.linkedin.com/in/tiagoribeiro1/</t>
  </si>
  <si>
    <t>Estruturando do zero um canal top performer</t>
  </si>
  <si>
    <t>Bruno Stuchi</t>
  </si>
  <si>
    <t>Aktie Now</t>
  </si>
  <si>
    <t>https://www.linkedin.com/in/brunostuchi/</t>
  </si>
  <si>
    <t>https://universidade.pipelovers.net/m/lessons/manual-de-persuasao-do-fbi-aplicado-a-venda-consultiva1769550060182?classId=3216</t>
  </si>
  <si>
    <t>https://universidade.pipelovers.net/m/lessons/estruturando-do-zero-um-canal-top-performer1769552426046?classId=3121</t>
  </si>
  <si>
    <t>44. PipeLovers Class 🤍: "Manual de Persuasão do FBI aplicado à venda consultiva" com Tiago Ribeiro - 2025/07/04 10:47 GMT-03:00 - Recording</t>
  </si>
  <si>
    <t>https://drive.google.com/file/d/1vmhDdBWvAHi5wmdWQ1501T-q61Jh-e3c/view?usp=drive_link</t>
  </si>
  <si>
    <t>Follow-up na prática: o que falar, quando e por quê</t>
  </si>
  <si>
    <t>Carlos Campos</t>
  </si>
  <si>
    <t>Otimização de verbas de marketing para canais</t>
  </si>
  <si>
    <t>Mauricio Cardoso</t>
  </si>
  <si>
    <t>Vuno</t>
  </si>
  <si>
    <t>https://www.linkedin.com/in/mauricio-cardoso/</t>
  </si>
  <si>
    <t>https://universidade.pipelovers.net/m/lessons/follow-up-na-pratica-o-que-falar-quando-e-por-que1769550060222?classId=3217</t>
  </si>
  <si>
    <t>https://universidade.pipelovers.net/m/lessons/otimizacao-de-verbas-de-marketing-para-canais1769552426084?classId=3022</t>
  </si>
  <si>
    <t>06/06/2024</t>
  </si>
  <si>
    <t>https://drive.google.com/file/d/13kOJ0AizKi-ykJe0BDpHK_zWXi93gNPs/view?usp=drive_link</t>
  </si>
  <si>
    <t>45. PipeLovers Class 🤍: "Follow-up na prática: o que falar, quando e por quê" com Carlos Campos - 2025/07/11 10:47 GMT-03:00 - Recording</t>
  </si>
  <si>
    <t>Conferência Gartner 2025: As principais tendências na área de vendas</t>
  </si>
  <si>
    <t>Cofundador</t>
  </si>
  <si>
    <t xml:space="preserve">Neoxspredi </t>
  </si>
  <si>
    <t>https://universidade.pipelovers.net/m/lessons/conferencia-gartner-2025-as-principais-tendencias-na-area-de-vendas1769550060615?classId=3218</t>
  </si>
  <si>
    <t>Influenciadores como canal de vendas</t>
  </si>
  <si>
    <t>Leandro Barankiewicz</t>
  </si>
  <si>
    <t>Non Stop</t>
  </si>
  <si>
    <t>https://www.linkedin.com/in/leandro-barankiewicz/</t>
  </si>
  <si>
    <t>https://universidade.pipelovers.net/m/lessons/influenciadores-como-canal-de-vendas1769552426110?classId=3124</t>
  </si>
  <si>
    <t>46. PipeLovers Class 🤍: "Conferência Gartner 2025: As principais tendências na área de vendas" com Mau - 2025/07/18 10:49 GMT-03:00 - Recording</t>
  </si>
  <si>
    <t xml:space="preserve">Arquitetura de uma oferta irrecusável </t>
  </si>
  <si>
    <t>13/06/2024</t>
  </si>
  <si>
    <t>https://drive.google.com/file/d/1QxEUALxb64EzK0mhsDBr1dRL6mwWV4lx/view?usp=drive_link</t>
  </si>
  <si>
    <t>Previsibilidade de forecast em programas de canais</t>
  </si>
  <si>
    <t>https://universidade.pipelovers.net/m/lessons/arquitetura-de-uma-oferta-irrecusavel1769550060272?classId=3628</t>
  </si>
  <si>
    <t>Ernani Carraro</t>
  </si>
  <si>
    <t>Partnerships Development Manager</t>
  </si>
  <si>
    <t>https://www.linkedin.com/in/ernanicarraro/</t>
  </si>
  <si>
    <t>https://universidade.pipelovers.net/m/lessons/previsibilidade-de-forecast-em-programas-de-canais1769552426137?classId=3135</t>
  </si>
  <si>
    <t>47. PipeLovers Class 🤍: "Arquitetura de uma oferta irrecusável" com Pedro Iglesias - 2025/07/25 10:49 GMT-03:00 - Recording</t>
  </si>
  <si>
    <t>Controle de ansiedade em meio às mudanças</t>
  </si>
  <si>
    <t>20/06/2024</t>
  </si>
  <si>
    <t>https://drive.google.com/file/d/1X6oaTMLcZu8bqj_kNRiOTiffI3BGJfIc/view?usp=drive_link</t>
  </si>
  <si>
    <t>https://universidade.pipelovers.net/m/lessons/controle-de-ansiedade-em-meio-as-mudancas1769550060686?classId=3641</t>
  </si>
  <si>
    <t>7 pecados na gestão de canais indiretos</t>
  </si>
  <si>
    <t>Walter Acras</t>
  </si>
  <si>
    <t xml:space="preserve">Presidente </t>
  </si>
  <si>
    <t>ABRAVIT</t>
  </si>
  <si>
    <t>https://www.linkedin.com/in/walteracras/</t>
  </si>
  <si>
    <t>48. PipeLovers Class 🤍_ _Controle de ansiedade em meio às mudanças_ com Romualdo da Silva - 2025_08_01 10_49 GMT-03_00 - Descript.mp4</t>
  </si>
  <si>
    <t>O que o livro negócio fechado pode te ensinar sobre negociação</t>
  </si>
  <si>
    <t>https://universidade.pipelovers.net/m/lessons/o-que-o-livro-negocio-fechado-pode-te-ensinar-sobre-negociacao1769550060655?classId=3642</t>
  </si>
  <si>
    <t>https://universidade.pipelovers.net/m/lessons/7-pecados-na-gestao-de-canais-indiretos1769552429220?classId=3137</t>
  </si>
  <si>
    <t>27/06/2024</t>
  </si>
  <si>
    <t>https://drive.google.com/file/d/1ddgxIH9AgVzrQBKhYEloP1Q2rMfFgQLM/view?usp=drive_link</t>
  </si>
  <si>
    <t>49. PipeLovers Class 🤍_ _O que  o livro _negócio fechado_ pode te ensinar sobre negociação_ com Igor B - 2025_08_08 10_49 GMT-03_00 - descript.mp4</t>
  </si>
  <si>
    <t>Leads não pagam boletos: o que falta na ponte entre marketing e vendas</t>
  </si>
  <si>
    <t>https://universidade.pipelovers.net/m/lessons/leads-nao-pagam-boletos-o-que-falta-na-ponte-entre-marketing-e-vendas1769550060715?classId=3644</t>
  </si>
  <si>
    <t>Programa de Indicação de Clientes: Case ChatGuru</t>
  </si>
  <si>
    <t>Chief Sales &amp; Marketing Officer</t>
  </si>
  <si>
    <t>https://universidade.pipelovers.net/m/lessons/programa-de-indicacao-de-clientes-case-chatguru1769552429249?classId=3140</t>
  </si>
  <si>
    <t>50. PipeLovers Class 🤍_ _Leads não pagam boletos_ o que falta na ponte entre marketing e vendas_ com W - 2025_08_15 10_45 GMT-03_00 - descript.mp4</t>
  </si>
  <si>
    <t>Prospecção analítica: Estratégias para aumentar a conversão</t>
  </si>
  <si>
    <t>Flávio Maciel</t>
  </si>
  <si>
    <t>https://www.linkedin.com/in/flaviomaciel/</t>
  </si>
  <si>
    <t>https://universidade.pipelovers.net/m/lessons/prospeccao-analitica-estrategias-para-aumentar-a-conversao1769550060910?classId=3646</t>
  </si>
  <si>
    <t>04/07/2024</t>
  </si>
  <si>
    <t>https://drive.google.com/file/d/1wAty5heSbNCOnYSiXU6JeGsEtaz16FM-/view?usp=drive_link</t>
  </si>
  <si>
    <t>O futuro dos canais indiretos no mercado de tecnologia</t>
  </si>
  <si>
    <t>Gilsinei Hansen</t>
  </si>
  <si>
    <t>Senior Advisor</t>
  </si>
  <si>
    <t>Linx</t>
  </si>
  <si>
    <t>https://www.linkedin.com/in/gilsineihansen/</t>
  </si>
  <si>
    <t>51. PipeLovers Class 🤍_ _Prospecção analitica_ Estratégias para aumentar a conversão_ com Flávio Macie - 2025_08_22 10_47 GMT-03_00 - descript.mp4</t>
  </si>
  <si>
    <t>https://universidade.pipelovers.net/m/lessons/o-futuro-dos-canais-indiretos-no-mercado-de-tecnologia1769552429297?classId=3142</t>
  </si>
  <si>
    <t>Como construir business cases em vendas complexas</t>
  </si>
  <si>
    <t>https://universidade.pipelovers.net/m/lessons/como-construir-business-cases-em-vendas-complexas1769550060829?classId=3662</t>
  </si>
  <si>
    <t>11/07/2024</t>
  </si>
  <si>
    <t>https://drive.google.com/file/d/18cewb_gTgGhfjJsMY6MXAOLwrrNZtdDp/view?usp=drive_link</t>
  </si>
  <si>
    <t>Pipeline de Parcerias Estratégicas</t>
  </si>
  <si>
    <t>Leandro Sacramento</t>
  </si>
  <si>
    <t>Strategic Partnerships</t>
  </si>
  <si>
    <t>https://www.linkedin.com/in/leandrosacramento/</t>
  </si>
  <si>
    <t>52. PipeLovers Class 🤍_ _Como construir business cases em vendas complexas_ com Chris Cornehl - 2025_08_29 10_52 GMT-03_00 - descript.mp4</t>
  </si>
  <si>
    <t>https://universidade.pipelovers.net/m/lessons/pipeline-de-parcerias-estrategicas1769552429326?classId=3147</t>
  </si>
  <si>
    <t>O que são Battlecards e como elEs ajudam você a vencer a concorrência</t>
  </si>
  <si>
    <t>Refyro</t>
  </si>
  <si>
    <t>https://universidade.pipelovers.net/m/lessons/o-que-sao-battlecards-e-como-eles-ajudam-voce-a-vencer-a-concorrencia1769550060940?classId=3663</t>
  </si>
  <si>
    <t>18/07/2024</t>
  </si>
  <si>
    <t>https://drive.google.com/file/d/13sQCSoAF02g0aLYXHLMSqq6H2OXPg5it/view?usp=drive_link</t>
  </si>
  <si>
    <t>Case: Programa de Canais do ZOHO CRM</t>
  </si>
  <si>
    <t>Katherine Sallum</t>
  </si>
  <si>
    <t>Gerente de Parceiros</t>
  </si>
  <si>
    <t>https://www.linkedin.com/in/katherinesallum/</t>
  </si>
  <si>
    <t>53. PipeLovers Class 🤍_ _O que são Battlecards e como elas ajudam você a vencer a concorrência_ com Ga - 2025_09_05 10_50 GMT-03_00 - descript.mp4</t>
  </si>
  <si>
    <t>Estratégias de venda para base</t>
  </si>
  <si>
    <t>https://universidade.pipelovers.net/m/lessons/estrategias-de-venda-para-base1769550060793?classId=3664</t>
  </si>
  <si>
    <t>https://universidade.pipelovers.net/m/lessons/case-programa-de-canais-do-zoho-crm1769552429371?classId=3148</t>
  </si>
  <si>
    <t>25/07/2024</t>
  </si>
  <si>
    <t>https://drive.google.com/file/d/1spaCsDreMsa8MuEmYrPHENdsG4wpNKjk/view?usp=drive_link</t>
  </si>
  <si>
    <t>54. PipeLovers Class 🤍_ _Estratégias de venda para base_ com Ricardo Okino - 2025_09_12 10_46 GMT-03_00 - descript.mp4</t>
  </si>
  <si>
    <t>Inteligência de vendas na prática: Como deixar de vender para todo mundo e focar nos clientes certo</t>
  </si>
  <si>
    <t>Identificando  alavancas nos Canais de Vendas Indiretas</t>
  </si>
  <si>
    <t>Roberto Dariva</t>
  </si>
  <si>
    <t>https://www.linkedin.com/in/dariva/</t>
  </si>
  <si>
    <t>https://universidade.pipelovers.net/aulas/identificando-alavancas-nos-canais-de-vendas-indiretas-1775076477959</t>
  </si>
  <si>
    <t>https://universidade.pipelovers.net/m/lessons/inteligencia-de-vendas-na-pratica-como-deixar-de-vender-para-todo-mundo-e-focar-nos-clientes-certo1769550060989?classId=3665</t>
  </si>
  <si>
    <t>01/08/2024</t>
  </si>
  <si>
    <t>https://drive.google.com/file/d/1rI-2fq6SWdDqI0nrjYSynpEfEILo7Cpn/view?usp=drive_link</t>
  </si>
  <si>
    <t>Vendedores especialistas com produtos de parceiros</t>
  </si>
  <si>
    <t>Romulo Ferreira</t>
  </si>
  <si>
    <t>https://www.linkedin.com/in/romulo-ferreira-16899b73/</t>
  </si>
  <si>
    <t>55. PipeLovers Class 🤍_ _Inteligência de vendas na prática_ Como deixar de vender para todo mundo e fo - 2025_09_19 10_50 GMT-03_00 -d.mp4</t>
  </si>
  <si>
    <t>Como vender mais em feiras e eventos</t>
  </si>
  <si>
    <t>Bruno Folle</t>
  </si>
  <si>
    <t>Folle Consultoria</t>
  </si>
  <si>
    <t>https://www.linkedin.com/in/brunofolle/</t>
  </si>
  <si>
    <t>https://universidade.pipelovers.net/m/lessons/vendedores-especialistas-com-produtos-de-parceiros1769552429522?classId=3150</t>
  </si>
  <si>
    <t>https://universidade.pipelovers.net/m/lessons/como-vender-mais-em-feiras-e-eventos1769550061091?classId=3666</t>
  </si>
  <si>
    <t>08/08/2024</t>
  </si>
  <si>
    <t>https://drive.google.com/file/d/1Suv5U4NugZtSlk6DuaG0to9qdJZgS0Es/view?usp=drive_link</t>
  </si>
  <si>
    <t>Quando e como usar multicanais como estratégia de crescimento de receita</t>
  </si>
  <si>
    <t>Fabiane Auler</t>
  </si>
  <si>
    <t>BizDev &amp; Strategic Partnerships Specialist</t>
  </si>
  <si>
    <t>https://www.linkedin.com/in/fabianeauler/</t>
  </si>
  <si>
    <t>56. [Pipelovers] Class _ Aula 56 - Como vender mais em feiras e eventos-descript.mp4</t>
  </si>
  <si>
    <t>Geração de demanda através do Whatsapp</t>
  </si>
  <si>
    <t>Junior dos Reis</t>
  </si>
  <si>
    <t>treble.ai</t>
  </si>
  <si>
    <t>https://www.linkedin.com/in/junioreis22/</t>
  </si>
  <si>
    <t>https://universidade.pipelovers.net/m/lessons/quando-e-como-usar-multicanais-como-estrategia-de-crescimento-de-receita1769552437784?classId=3151</t>
  </si>
  <si>
    <t>https://universidade.pipelovers.net/m/lessons/geracao-de-demanda-atraves-do-whatsapp1769550061159?classId=3667</t>
  </si>
  <si>
    <t>15/08/2024</t>
  </si>
  <si>
    <t>https://drive.google.com/file/d/1ZIO2TRNeajDy1u44eYoQKwEH-7jcLGj6/view?usp=drive_link</t>
  </si>
  <si>
    <t>57. PipeLovers Class 🤍 Geração de demanda através do Whatsapp com Junior dos Reis- descript.mp4</t>
  </si>
  <si>
    <t>Liderar com propósito: a jornada até a direção geral da Zoho</t>
  </si>
  <si>
    <t>Rodrigo Vaca</t>
  </si>
  <si>
    <t>Zoho Brasil</t>
  </si>
  <si>
    <t>https://www.linkedin.com/in/rodrigovaca/</t>
  </si>
  <si>
    <t>Demonstrações interativas para capacitação de canais indiretos</t>
  </si>
  <si>
    <t>https://www.linkedin.com/in/matheus-weigand-5aa415151/</t>
  </si>
  <si>
    <t>https://universidade.pipelovers.net/m/lessons/liderar-com-proposito-a-jornada-ate-a-direcao-geral-da-zoho1769550061224?classId=3668</t>
  </si>
  <si>
    <t>https://universidade.pipelovers.net/m/lessons/demonstracoes-interativas-para-capacitacao-de-canais-indiretos1769552438073?classId=3152</t>
  </si>
  <si>
    <t>58. PipeLovers Class 🤍 Liderar com propósito a jornada até a direção geral da Zoho com Rodrigo Vaca-descript.mp4</t>
  </si>
  <si>
    <t>Passo a passo para construir e rodar um SDR de IA</t>
  </si>
  <si>
    <t>Franky Neto</t>
  </si>
  <si>
    <t>Connect Sales</t>
  </si>
  <si>
    <t>https://www.linkedin.com/in/frankyneto/</t>
  </si>
  <si>
    <t>https://drive.google.com/file/d/1iJIDXdNFXvDKmmLc-Q8RIhaiihqq_7s9/view?usp=drive_link</t>
  </si>
  <si>
    <t>https://universidade.pipelovers.net/m/lessons/passo-a-passo-para-construir-e-rodar-um-sdr-de-ia1769550061281?classId=3669</t>
  </si>
  <si>
    <t>Moldando seu programa de canais ao contexto organizacional</t>
  </si>
  <si>
    <t>Gabriel Higa</t>
  </si>
  <si>
    <t>Head de Canais e Parcerias</t>
  </si>
  <si>
    <t>HealthBit</t>
  </si>
  <si>
    <t>https://www.linkedin.com/in/gabrielhiga/</t>
  </si>
  <si>
    <t>59. PipeLovers Class 🤍 Passo a passo para construir e rodar um SDR de IA com Franky Neto-descript.mp4</t>
  </si>
  <si>
    <t xml:space="preserve">Do lead frio ao cliente quente: fluxos de nutrição multicanal </t>
  </si>
  <si>
    <t>Igor Navarro</t>
  </si>
  <si>
    <t>Gerente de Atendimento</t>
  </si>
  <si>
    <t>SendPulse</t>
  </si>
  <si>
    <t>https://universidade.pipelovers.net/m/lessons/moldando-seu-programa-de-canais-ao-contexto-organizacional1769552438130?classId=3154</t>
  </si>
  <si>
    <t>https://www.linkedin.com/in/igor-navarro-rabelo/</t>
  </si>
  <si>
    <t>29/08/2024</t>
  </si>
  <si>
    <t>https://drive.google.com/file/d/1_JHKt0MKFJ3o9roKzThFfuapZSerCqPE/view?usp=drive_link</t>
  </si>
  <si>
    <t>https://universidade.pipelovers.net/aulas/do-lead-frio-ao-cliente-quente-fluxos-de-nutricao-multicanal-1775817131791</t>
  </si>
  <si>
    <t>Como construir um ecossistema em uma indústria tradicional?</t>
  </si>
  <si>
    <t>J.R. Caporal</t>
  </si>
  <si>
    <t>Presidente e Fundador</t>
  </si>
  <si>
    <t>https://www.linkedin.com/in/jrcaporal/</t>
  </si>
  <si>
    <t>60. PipeLovers Class 🤍 Do lead frio ao cliente quente fluxos de nutrição multicanal  com Igor Navarro-descript.mp4</t>
  </si>
  <si>
    <t>https://universidade.pipelovers.net/m/lessons/como-construir-um-ecossistema-em-uma-industria-tradicional1769552438207?classId=3155</t>
  </si>
  <si>
    <t>Upsell e Cross-sell: como vender após a venda</t>
  </si>
  <si>
    <t>Gabriel Schuler</t>
  </si>
  <si>
    <t>Head of Account Management Brasil</t>
  </si>
  <si>
    <t>https://www.linkedin.com/in/gabrielbat/</t>
  </si>
  <si>
    <t>05/09/2024</t>
  </si>
  <si>
    <t>https://drive.google.com/file/d/1_l8ZjkWhK7bFzWwsIOGJjrJgsOXtQZ_d/view?usp=drive_link</t>
  </si>
  <si>
    <t>https://universidade.pipelovers.net/m/lessons/upsell-e-cross-sell-como-vender-apos-a-venda1769550061339?classId=3671</t>
  </si>
  <si>
    <t>Vendas Indiretas para Clientes Enterprise</t>
  </si>
  <si>
    <t>Paulo Asano</t>
  </si>
  <si>
    <t>Populos</t>
  </si>
  <si>
    <t>https://www.linkedin.com/in/pauloasano/</t>
  </si>
  <si>
    <t>https://universidade.pipelovers.net/m/lessons/vendas-indiretas-para-clientes-enterprise1769552438287?classId=3156</t>
  </si>
  <si>
    <t>61. PipeLovers Class 🤍 Upsell e Cross-sell como vender após a venda com Gabriel Schuler - descript.mp4</t>
  </si>
  <si>
    <t>Funil de Outbound na prática</t>
  </si>
  <si>
    <t>12/09/2024</t>
  </si>
  <si>
    <t>https://drive.google.com/file/d/1MfFVd5_P4nVhak1gtq6OF_ug4d06265e/view?usp=drive_link</t>
  </si>
  <si>
    <t>https://universidade.pipelovers.net/m/lessons/funil-de-outbound-na-pratica1769550061376?classId=3672</t>
  </si>
  <si>
    <t>O impacto dos marketplaces em negócios B2B</t>
  </si>
  <si>
    <t>Silvio Mota</t>
  </si>
  <si>
    <t>Diretor Global | Vendas, Canais &amp; Parcerias.</t>
  </si>
  <si>
    <t>Mercado Eletronico</t>
  </si>
  <si>
    <t>https://www.linkedin.com/in/mota-silvio/</t>
  </si>
  <si>
    <t>62.  PipeLovers Class 🤍 Funil de Outbound na prática com Juliano Dias - descript.mp4</t>
  </si>
  <si>
    <t>Autogestão para Liderar</t>
  </si>
  <si>
    <t>https://universidade.pipelovers.net/m/lessons/o-impacto-dos-marketplaces-em-negocios-b2b1769552438337?classId=3157</t>
  </si>
  <si>
    <t>https://universidade.pipelovers.net/m/lessons/autogestao-para-liderar1769550061558?classId=3673</t>
  </si>
  <si>
    <t>19/09/2024</t>
  </si>
  <si>
    <t>https://drive.google.com/file/d/1e_ZV5JaVgsNHDpiy-Uhlcdwpuhc10ihh/view?usp=drive_link</t>
  </si>
  <si>
    <t>63.  PipeLovers Class 🤍 Autogestão para Liderar com Rafael Alexandre-descript.mp4</t>
  </si>
  <si>
    <t>Account-Based Marketing: o que muda na estratégia de Marketing e Vendas</t>
  </si>
  <si>
    <t>Bernardo Madeira</t>
  </si>
  <si>
    <t>CTO - Co-Founder</t>
  </si>
  <si>
    <t>https://www.linkedin.com/in/bernardosouzamadeira/</t>
  </si>
  <si>
    <t>https://universidade.pipelovers.net/m/lessons/account-based-marketing-o-que-muda-na-estrategia-de-marketing-e-vendas1769550061406?classId=3674</t>
  </si>
  <si>
    <t>26/09/2024</t>
  </si>
  <si>
    <t>Geração de Demanda para Canais</t>
  </si>
  <si>
    <t>Christian Geronasso</t>
  </si>
  <si>
    <t>Indirect Demand Generation &amp; GTM Manager - Latin America</t>
  </si>
  <si>
    <t>https://www.linkedin.com/in/cgeronasso/</t>
  </si>
  <si>
    <t>64. PipeLovers Class 🤍 Account-Based Marketing o que muda na estratégia de Marketing e Vendas com Bernardo Madeira - descript.mp4</t>
  </si>
  <si>
    <t>Vender mais com menos esforço: tecnologia como aliada no funil de vendas</t>
  </si>
  <si>
    <t>https://universidade.pipelovers.net/m/lessons/geracao-de-demanda-para-canais1769552438466?classId=3158</t>
  </si>
  <si>
    <t>Head of Sales Enterprise</t>
  </si>
  <si>
    <t>03/10/2024</t>
  </si>
  <si>
    <t>https://drive.google.com/file/d/1_JN-pygS26vsg8FaSEBwll2Cw2jioD2c/view?usp=drive_link</t>
  </si>
  <si>
    <t>https://universidade.pipelovers.net/m/lessons/vender-mais-com-menos-esforco-tecnologia-como-aliada-no-funil-de-vendas1769550061459?classId=3675</t>
  </si>
  <si>
    <t>O papel do distribuidor para escalar vendas indiretas</t>
  </si>
  <si>
    <t>Marilena Cancelier</t>
  </si>
  <si>
    <t>Tocatto</t>
  </si>
  <si>
    <t>https://www.linkedin.com/in/marilena-cancelier/</t>
  </si>
  <si>
    <t>https://universidade.pipelovers.net/m/lessons/o-papel-do-distribuidor-para-escalar-vendas-indiretas1769552438586?classId=3159</t>
  </si>
  <si>
    <t>65.  PipeLovers Class 🤍 Vender mais com menos esforço tecnologia como aliada no funil de vendas com Katherine Sallum - descript.mp4</t>
  </si>
  <si>
    <t>Qual o papel de vendas na estrutura de RevOps</t>
  </si>
  <si>
    <t>8DHubify</t>
  </si>
  <si>
    <t>10/10/2024</t>
  </si>
  <si>
    <t>https://drive.google.com/file/d/1tNV8LDVCAjAUi-cC8emYjl2CSh3dKTX3/view?usp=drive_link</t>
  </si>
  <si>
    <t>https://universidade.pipelovers.net/m/lessons/qual-o-papel-de-vendas-na-estrutura-de-revops1769550061492?classId=3676</t>
  </si>
  <si>
    <t>Gamificação em Programas de Canais e Parcerias</t>
  </si>
  <si>
    <t>Cristiano Sacramento</t>
  </si>
  <si>
    <t>Peoplefy</t>
  </si>
  <si>
    <t>https://www.linkedin.com/in/cristianosacramento/</t>
  </si>
  <si>
    <t>https://universidade.pipelovers.net/m/lessons/gamificacao-em-programas-de-canais-e-parcerias1769552438647?classId=3019</t>
  </si>
  <si>
    <t>66. PipeLovers Class 🤍 Qual o papel de vendas na estrutura de RevOps com Fabio Duran - descript.mp4</t>
  </si>
  <si>
    <t>LinkedIn 2026: como a IA e novo algoritmo impacta seu social selling</t>
  </si>
  <si>
    <t>17/10/2024</t>
  </si>
  <si>
    <t>https://drive.google.com/file/d/1-JZG5UugMnTupPo6Frw01lw5V1i7BII4/view?usp=drive_link</t>
  </si>
  <si>
    <t>https://universidade.pipelovers.net/m/lessons/linkedin-2026-como-a-ia-e-novo-algoritmo-impacta-seu-social-selling1769550061530?classId=3677</t>
  </si>
  <si>
    <t>Aquisição de Novos Clientes via Canais</t>
  </si>
  <si>
    <t>Rodrigo Gonçalves</t>
  </si>
  <si>
    <t>Senior Sales Manager - SME Indirect Channel</t>
  </si>
  <si>
    <t>https://linkedin.com/in/rodrigo-gs/</t>
  </si>
  <si>
    <t>67. PipeLovers Class 🤍 LinkedIn 2026 como a IA e novo algoritmo impacta seu social selling com Weverton Soares - descript.mp4</t>
  </si>
  <si>
    <t>RevOps + CRM: Dados Integrados entre Marketing, Vendas e Atendimento</t>
  </si>
  <si>
    <t>Marcão Andrade</t>
  </si>
  <si>
    <t>CSO</t>
  </si>
  <si>
    <t>https://www.linkedin.com/in/marcao8d/</t>
  </si>
  <si>
    <t>https://universidade.pipelovers.net/m/lessons/aquisicao-de-novos-clientes-via-canais1769552438729?classId=3160</t>
  </si>
  <si>
    <t>https://universidade.pipelovers.net/m/lessons/revops-crm-dados-integrados-entre-marketing-vendas-e-atendimento1769550061587?classId=3678</t>
  </si>
  <si>
    <t>24/10/2024</t>
  </si>
  <si>
    <t>https://drive.google.com/file/d/1_48nJdn3DZ3Z5ZA9QdLVEVFRFko_Hrdk/view?usp=drive_link</t>
  </si>
  <si>
    <t>Ampliação de portfólio de produtos nos canais de distribuição</t>
  </si>
  <si>
    <t>Andressa Lagonegro</t>
  </si>
  <si>
    <t>Head de Estratégia de Produtos - Mercado Pago</t>
  </si>
  <si>
    <t>https://www.linkedin.com/in/andressa-lagonegro-b08a1411/</t>
  </si>
  <si>
    <t>68. PipeLovers Class 🤍 RevOps + CRM Dados Integrados entre Marketing, Vendas e Atendimento com Marcão Andrade - descript.mp4</t>
  </si>
  <si>
    <t>Tendências 2026: como os tomadores de decisão estão definindo prioridades</t>
  </si>
  <si>
    <t>Ivan Welter</t>
  </si>
  <si>
    <t>Co fundador e Sales Manager</t>
  </si>
  <si>
    <t>Wz Soluções</t>
  </si>
  <si>
    <t>https://www.linkedin.com/in/ivanwelter/</t>
  </si>
  <si>
    <t>https://universidade.pipelovers.net/m/lessons/tendencias-2026-como-os-tomadores-de-decisao-estao-definindo-prioridades1769550061618?classId=3776</t>
  </si>
  <si>
    <t>https://universidade.pipelovers.net/m/lessons/ampliacao-de-portfolio-de-produtos-nos-canais-de-distribuicao1769552438796?classId=3161</t>
  </si>
  <si>
    <t>31/10/2024</t>
  </si>
  <si>
    <t>https://drive.google.com/file/d/1F9SU5y0S0aq6IY9Ijl1oj8J9c8Zl1zY4/view?usp=drive_link</t>
  </si>
  <si>
    <t>69.  PipeLovers Class 🤍 Tendências 2026 como os tomadores de decisão estão definindo prioridades com Ivan Welter - descript.mp4</t>
  </si>
  <si>
    <t>Por que operações de vendas externas fracassam (e como blindar a sua)</t>
  </si>
  <si>
    <t>Padronização de processos de vendas em canais e revendas</t>
  </si>
  <si>
    <t>Diogo Bandeira</t>
  </si>
  <si>
    <t>Diretor de Vendas via Franquias</t>
  </si>
  <si>
    <t>https://www.linkedin.com/in/diogobandeira27/</t>
  </si>
  <si>
    <t>https://universidade.pipelovers.net/m/lessons/por-que-operacoes-de-vendas-externas-fracassam-e-como-blindar-a-sua1769550061647?classId=3777</t>
  </si>
  <si>
    <t>https://universidade.pipelovers.net/m/lessons/padronizacao-de-processos-de-vendas-em-canais-e-revendas1769552438845?classId=3162</t>
  </si>
  <si>
    <t>70. PipeLovers Class 🤍 Por que operações de vendas externas fracassam (e como blindar a sua) com André Zacarias- descript.mp4</t>
  </si>
  <si>
    <t>10 verdades que aceleram seu desenvolvimento profissional</t>
  </si>
  <si>
    <t>07/11/2024</t>
  </si>
  <si>
    <t>Thiago Angulski</t>
  </si>
  <si>
    <t>SalesHunter</t>
  </si>
  <si>
    <t>https://drive.google.com/file/d/1AwJrLCTBtttGiIVIrwm-nsqs_VSWVDdY/view?usp=drive_link</t>
  </si>
  <si>
    <t>https://www.linkedin.com/in/thiagoangulski/</t>
  </si>
  <si>
    <t>Aprendizado ativo</t>
  </si>
  <si>
    <t>https://universidade.pipelovers.net/m/lessons/10-verdades-que-aceleram-seu-desenvolvimento-profissional1772542641585?classId=3745</t>
  </si>
  <si>
    <t>Estruturando uma equipe de gestão de parcerias</t>
  </si>
  <si>
    <t>Wanderlucio Andrade</t>
  </si>
  <si>
    <t>Entrepay</t>
  </si>
  <si>
    <t>https://www.linkedin.com/in/wanderl%C3%BAcio-andrade-614ab720?utm_source=share&amp;utm_campaign=share_via&amp;utm_content=profile&amp;utm_medium=ios_app</t>
  </si>
  <si>
    <t>71.  PipeLovers Class 🤍 10 verdades que aceleram seu desenvolvimento profissional com Thiago Angulski - descript.mp4</t>
  </si>
  <si>
    <t>Metodologia NEPQ : Neurociência aplicada a vendas</t>
  </si>
  <si>
    <t>https://universidade.pipelovers.net/m/lessons/estruturando-uma-equipe-de-gestao-de-parcerias1769552438933?classId=3025</t>
  </si>
  <si>
    <t>https://universidade.pipelovers.net/m/lessons/metodologia-nepq-neurociencia-aplicada-a-vendas1772542642696?classId=3762</t>
  </si>
  <si>
    <t>14/11/2024</t>
  </si>
  <si>
    <t>https://drive.google.com/file/d/1xX85mknzuBsZC8Wat0B0sfhPa4cK-WH3/view?usp=drive_link</t>
  </si>
  <si>
    <t>72. PipeLovers Class 🤍_ _Metodologia NEPQ_ Neurociência aplicada a vendas_ com Gabriel Civinski - descript.mp4</t>
  </si>
  <si>
    <t>Rotinas e Ferramentas para melhorar o pitch do seu time</t>
  </si>
  <si>
    <t>Gabriel Bonela</t>
  </si>
  <si>
    <t>Pitchfy</t>
  </si>
  <si>
    <t>https://www.linkedin.com/in/gabrielbonela/</t>
  </si>
  <si>
    <t>Boas práticas de offboarding de canais</t>
  </si>
  <si>
    <t>Fernanda Novaes</t>
  </si>
  <si>
    <t>Gerente de Programas de Parceria | Brasil e LATAM</t>
  </si>
  <si>
    <t>https://universidade.pipelovers.net/m/lessons/rotinas-e-ferramentas-para-melhorar-o-pitch-do-seu-time1772542661925?classId=3769</t>
  </si>
  <si>
    <t>https://www.linkedin.com/in/fernandacpn/</t>
  </si>
  <si>
    <t>https://universidade.pipelovers.net/m/lessons/boas-praticas-de-offboarding-de-canais1769552438998?classId=3164</t>
  </si>
  <si>
    <t>73. PipeLovers Class 🤍 Rotinas e Ferramentas para melhorar o pitch do seu time com Gabriel Bonela - descript.mp4</t>
  </si>
  <si>
    <t>Aprendizados do Livro Prospecção Fanática</t>
  </si>
  <si>
    <t>Co-Founder/ Head</t>
  </si>
  <si>
    <t>Academia Rapport/ ABSeed</t>
  </si>
  <si>
    <t>21/11/2024</t>
  </si>
  <si>
    <t>https://drive.google.com/file/d/1XW2uPRjDSY9r-g-OIUnWixDRh5zk4qLD/view?usp=drive_link</t>
  </si>
  <si>
    <t>https://universidade.pipelovers.net/m/lessons/aprendizados-do-livro-prospeccao-fanatica-1773152052605?classId=3779</t>
  </si>
  <si>
    <r>
      <rPr>
        <rFont val="Poppins"/>
        <b/>
        <color rgb="FFFFFFFF"/>
        <sz val="12.0"/>
      </rPr>
      <t xml:space="preserve">CADASTRO DE SESSÕES AO VIVO &amp; EXPERTS DE VENDAS B2B
</t>
    </r>
    <r>
      <rPr>
        <rFont val="Poppins"/>
        <b/>
        <color rgb="FFFFFFFF"/>
        <sz val="21.0"/>
      </rPr>
      <t>BIBLIOTECA DE CONTEÚDOS</t>
    </r>
  </si>
  <si>
    <t>Desafios de apuração de comissões de parceiros</t>
  </si>
  <si>
    <t>https://universidade.pipelovers.net/m/lessons/desafios-de-apuracao-de-comissoes-de-parceiros1769552439066?classId=3165</t>
  </si>
  <si>
    <t>74. PipeLovers Class 🤍 Aprendizados do Livro Prospecção Fanática com Fernanda Garcia - DESCRIPT.mp4</t>
  </si>
  <si>
    <t>Guia completo de papéis em vendas: 4 cargos que você precisa conhecer</t>
  </si>
  <si>
    <t>Gabriel Schüler</t>
  </si>
  <si>
    <t>https://www.linkedin.com/in/gabrielbat/?locale=pt_BR</t>
  </si>
  <si>
    <t>28/11/2024</t>
  </si>
  <si>
    <t>https://drive.google.com/file/d/1_wDqqIl1z41SGFgCjw65OGwpY-DRBSEG/view?usp=drive_link</t>
  </si>
  <si>
    <t>https://universidade.pipelovers.net/m/lessons/guia-completo-de-papeis-em-vendas-4-cargos-que-voce-precisa-conhecer-1771880116451?classId=3842</t>
  </si>
  <si>
    <t>Lições de uma carreira em tecnologia e empreendedorismo</t>
  </si>
  <si>
    <t>Ernesto Haberkorn</t>
  </si>
  <si>
    <t>https://www.linkedin.com/in/ernestohaberkorn/</t>
  </si>
  <si>
    <t>75. PipeLovers Class 🤍 Guia completo de papéis em vendas 4 cargos que você precisa conhecer com Gabriel Schüler - descript.mp4</t>
  </si>
  <si>
    <t>https://universidade.pipelovers.net/m/lessons/licoes-de-uma-carreira-em-tecnologia-e-empreendedorismo1769552439117?classId=3166</t>
  </si>
  <si>
    <t>Aprendizados da maior feira de varejo do mundo - NRF</t>
  </si>
  <si>
    <t>Daniela Dalmolin</t>
  </si>
  <si>
    <t>Fundadora e Consultora</t>
  </si>
  <si>
    <t>DDF Consultoria</t>
  </si>
  <si>
    <t>https://www.linkedin.com/in/daniela-dalmolin-feldens/</t>
  </si>
  <si>
    <t>https://universidade.pipelovers.net/m/lessons/aprendizados-da-maior-feira-de-varejo-do-mundo-nrf-1774279496516?classId=3843</t>
  </si>
  <si>
    <t>https://drive.google.com/file/d/1fw8B_BZMqe7fv70TMmcypuwXWp087ikh/view?usp=drive_link</t>
  </si>
  <si>
    <t>76. PipeLovers Class 🤍 Aprendizados da maior feira de varejo do mundo - NRF com Daniela Dalmolin - descript.mp4</t>
  </si>
  <si>
    <t>Alta performance começa por dentro</t>
  </si>
  <si>
    <t>Tiago Verissimo</t>
  </si>
  <si>
    <t>Executivo de operações</t>
  </si>
  <si>
    <t>EVER Trade Marketing</t>
  </si>
  <si>
    <t>https://www.linkedin.com/in/twverissimo/</t>
  </si>
  <si>
    <t>Conectando Canais com Marketing, Produto e Customer Success</t>
  </si>
  <si>
    <t>Karine Catani</t>
  </si>
  <si>
    <t>Chief Commercial Officer (CCO)</t>
  </si>
  <si>
    <t>Impulse Soluções e Consultoria</t>
  </si>
  <si>
    <t>https://www.linkedin.com/in/karine-catani-336679149/</t>
  </si>
  <si>
    <t>Aula 01: Estratégias de Crescimento e Go-To-Market (GTM)</t>
  </si>
  <si>
    <t>https://universidade.pipelovers.net/m/lessons/alta-performance-comeca-por-dentro-1774383463813?classId=3844</t>
  </si>
  <si>
    <t>https://universidade.pipelovers.net/m/lessons/conectando-canais-com-marketing-produto-e-customer-success1769552445429?classId=3167</t>
  </si>
  <si>
    <t>CEO PipeLovers</t>
  </si>
  <si>
    <t>77.  PipeLovers Class 🤍 Alta performance começa por dentro com Tiago Verissimo - descript.mp4</t>
  </si>
  <si>
    <t>Pare de fazer networking e comece a se conectar</t>
  </si>
  <si>
    <t>12/12/2024</t>
  </si>
  <si>
    <t>https://universidade.pipelovers.net/m/lessons/programa-de-construcao-da-maquina-de-vendas-b2b-estrategias-de-crescimento-e-go-to-market-gtm-1789586957052?moduleId=1677&amp;classId=4612</t>
  </si>
  <si>
    <t>https://drive.google.com/file/d/1ppSZtLBQ7sMCS4o55MTWqXtRkASUhzdi/view?usp=drive_link</t>
  </si>
  <si>
    <t>https://universidade.pipelovers.net/m/lessons/pare-de-fazer-networking-e-comece-a-se-conectar-1774385257123?classId=3845</t>
  </si>
  <si>
    <t>Partner Account Manager: Escopo e Responsabilidades</t>
  </si>
  <si>
    <t>Guilherme Maciel</t>
  </si>
  <si>
    <t>Partnerships Ecosystem Manager</t>
  </si>
  <si>
    <t>https://www.linkedin.com/in/macielguilherme/</t>
  </si>
  <si>
    <t>78. PipeLovers Class 🤍 Pare de fazer networking e comece a se conectar com Guilherme Bonaroti.mp4</t>
  </si>
  <si>
    <t>Lições do esporte aplicadas à alta performance </t>
  </si>
  <si>
    <t>https://universidade.pipelovers.net/m/lessons/partner-account-manager-escopo-e-responsabilidades1769552445557?classId=3168</t>
  </si>
  <si>
    <t>Ana Amorim</t>
  </si>
  <si>
    <t>Aula 01  Programa de Construção da Máquina de Vendas B2B Estratégias de Crescimento e Go-To-Market (GTM) com Gustavo Pagotto - descript.mp4</t>
  </si>
  <si>
    <t>Palestrante e Mentora</t>
  </si>
  <si>
    <t>https://www.linkedin.com/in/anaamorimoficial/</t>
  </si>
  <si>
    <t>https://universidade.pipelovers.net/m/lessons/licoes-do-esporte-aplicadas-a-alta-performance-1773773449865</t>
  </si>
  <si>
    <t>https://drive.google.com/file/d/1ksYwjHNxWOYvhBgbzHcnX1dwrn4rmVMi/view?usp=drive_link</t>
  </si>
  <si>
    <t>Aula 02: Construção de Playbooks de Vendas com IA</t>
  </si>
  <si>
    <t>Transição de carreira de vendas diretas para gestão de canais diretos</t>
  </si>
  <si>
    <t>Guilherme Losekann</t>
  </si>
  <si>
    <t>Gerente de Relacionamento e Expansão</t>
  </si>
  <si>
    <t>https://universidade.pipelovers.net/m/lessons/programa-de-construcao-da-maquina-de-vendas-b2b-construcao-de-playbooks-de-vendas-com-ia-1790017719614</t>
  </si>
  <si>
    <t>https://www.linkedin.com/in/guilherme-losekann/?utm_source=share&amp;utm_campaign=share_via&amp;utm_content=profile&amp;utm_medium=ios_app</t>
  </si>
  <si>
    <t>Como dobrar a receita sem dobrar o volume de leads</t>
  </si>
  <si>
    <t>Pedro Costa</t>
  </si>
  <si>
    <t>Coordenador de Marketing</t>
  </si>
  <si>
    <t>https://www.linkedin.com/in/urldopedro/</t>
  </si>
  <si>
    <t>https://universidade.pipelovers.net/m/lessons/transicao-de-carreira-de-vendas-diretas-para-gestao-de-canais-diretos1769552445623?classId=3169</t>
  </si>
  <si>
    <t>_Aula 02  Programa de Construção da Máquina de Ven.mp4</t>
  </si>
  <si>
    <t>https://universidade.pipelovers.net/m/lessons/como-dobrar-a-receita-sem-dobrar-o-volume-de-leads-1773774431464?moduleId=1258&amp;classId=3833</t>
  </si>
  <si>
    <t>https://drive.google.com/file/d/1G_HTPyPiM-sFowi5LJXpu0n7esZsupGv/view?usp=drive_link</t>
  </si>
  <si>
    <t>Alavancando resultado através de parcerias de integração de produtos</t>
  </si>
  <si>
    <t>Lucas Varnieri</t>
  </si>
  <si>
    <t>Partnership &amp; Marketing Sr. Manager</t>
  </si>
  <si>
    <t>https://www.linkedin.com/in/lucas-varnieri-a6124a46/</t>
  </si>
  <si>
    <t>https://universidade.pipelovers.net/m/lessons/alavancando-resultado-atraves-de-parcerias-de-integracao-de-produtos1769552445684?classId=3170</t>
  </si>
  <si>
    <t>Indústria 4.0: Como vender para esse mercado</t>
  </si>
  <si>
    <t>Rodrigo Portes</t>
  </si>
  <si>
    <t>Palestrante e Mentor</t>
  </si>
  <si>
    <t>https://www.linkedin.com/in/rodrigoportes/</t>
  </si>
  <si>
    <t>https://drive.google.com/file/d/1JRHHE5AYpzcXMobUGSi5jNhs47c382Py/view?usp=drive_link</t>
  </si>
  <si>
    <t>https://universidade.pipelovers.net/m/lessons/industria-40-como-vender-para-esse-mercado-1773774828884?moduleId=1259&amp;classId=3834</t>
  </si>
  <si>
    <t>09/01/2025</t>
  </si>
  <si>
    <t>https://drive.google.com/file/d/1UtH7raSUXgwmwrNiKFgd5Sv3DJqK9WPt/view?usp=drive_link</t>
  </si>
  <si>
    <t>Escuta, Prioridade e Empatia: o triângulo da negociação</t>
  </si>
  <si>
    <t>https://universidade.pipelovers.net/m/lessons/escuta-prioridade-e-empatia-o-triangulo-da-negociacao-1778505387426?moduleId=1407&amp;classId=3993</t>
  </si>
  <si>
    <t>Geração de Leads através de canais não remunerados</t>
  </si>
  <si>
    <t>Danilo Sugahara</t>
  </si>
  <si>
    <t>Ex-Clearsale/Stuo/Picpay</t>
  </si>
  <si>
    <t>https://www.linkedin.com/in/danilosugahara/</t>
  </si>
  <si>
    <t>Como construir um time de vendas que escala junto</t>
  </si>
  <si>
    <t>https://universidade.pipelovers.net/m/lessons/geracao-de-leads-atraves-de-canais-nao-remunerados1769552445782?classId=3021</t>
  </si>
  <si>
    <t>Barbara Hipolide</t>
  </si>
  <si>
    <t>Manager, Sales LatAm &amp; Iberia</t>
  </si>
  <si>
    <t>Wati</t>
  </si>
  <si>
    <t>https://www.linkedin.com/in/b%C3%A1rbara-hipolide-neves-958398b2/</t>
  </si>
  <si>
    <t>https://drive.google.com/file/d/1HEvBQpxjwEio-808M7lo8k50iP-bp8Yc/view?usp=drive_link</t>
  </si>
  <si>
    <t>https://universidade.pipelovers.net/m/lessons/como-construir-um-time-de-vendas-que-escala-junto-1779220034956?moduleId=1423&amp;classId=4009</t>
  </si>
  <si>
    <t>Hard e soft skills para gestão de canais</t>
  </si>
  <si>
    <t>Paula Schaefer</t>
  </si>
  <si>
    <t>Gerente de vendas sênior - Canais/Parceiros</t>
  </si>
  <si>
    <t>https://www.linkedin.com/in/paula-schaefer/</t>
  </si>
  <si>
    <t>https://universidade.pipelovers.net/m/lessons/hard-e-soft-skills-para-gestao-de-canais1769552445851?classId=3175</t>
  </si>
  <si>
    <t>Desenvolvimento de Pessoas</t>
  </si>
  <si>
    <t>Rituais de Gestão de Vendas</t>
  </si>
  <si>
    <t>23/01/2025</t>
  </si>
  <si>
    <t>https://drive.google.com/file/d/1M9rkt06iuKAF9PrvUt1vKPDoPDh2GH7-/view?usp=drive_link</t>
  </si>
  <si>
    <t>https://pipelovers.curseduca.pro/m/lessons/como-demonstrar-uma-boa-solucao-com-as-informacoes-certas-1778530991994</t>
  </si>
  <si>
    <t>Programa de Afiliados: primeiros passos para criar um novo canal de aquisição</t>
  </si>
  <si>
    <t>https://universidade.pipelovers.net/m/lessons/programa-de-afiliados-primeiros-passos-para-criar-um-novo-canal-de-aquisicao1769552445920?classId=3176</t>
  </si>
  <si>
    <t>Como empresas constroem autoridade e reputação pela mídia</t>
  </si>
  <si>
    <t>Rodrigo Lóssio</t>
  </si>
  <si>
    <t>https://www.linkedin.com/in/lossio/</t>
  </si>
  <si>
    <t>30/01/2025</t>
  </si>
  <si>
    <t>https://drive.google.com/file/d/1ZOjLy1QJh_KRjWa7GjUInLvfX4bN2AlU/view?usp=drive_link</t>
  </si>
  <si>
    <t>https://universidade.pipelovers.net/m/lessons/como-empresas-constroem-autoridade-e-reputacao-pela-midia-1778614487459?moduleId=1413&amp;classId=3998</t>
  </si>
  <si>
    <t>Parcerias de Valor Adicionado (Value-Added Partnerships) para crescimento sustentável</t>
  </si>
  <si>
    <t>Kalina Renno</t>
  </si>
  <si>
    <t>Chief Marketing Office</t>
  </si>
  <si>
    <t>Configr e Cloudez</t>
  </si>
  <si>
    <t>https://www.linkedin.com/in/kalina-renno/?utm_source=share&amp;utm_campaign=share_via&amp;utm_content=profile&amp;utm_medium=ios_app</t>
  </si>
  <si>
    <t>Branding e Posicionamento</t>
  </si>
  <si>
    <t>https://universidade.pipelovers.net/m/lessons/parcerias-de-valor-adicionado-value-added-partnerships-para-crescimento-sustentavel1769552445999?classId=3177</t>
  </si>
  <si>
    <t>Maximizando a Prospecção</t>
  </si>
  <si>
    <t>https://universidade.pipelovers.net/m/lessons/rampagem-de-vendedores-1782407840745?moduleId=1459&amp;classId=4043</t>
  </si>
  <si>
    <t>06/02/2025</t>
  </si>
  <si>
    <t>https://drive.google.com/file/d/1bUWFIrllxugzmZgIjVwwXyFIVtnpDZqO/view?usp=drive_link</t>
  </si>
  <si>
    <t>Primeiros passos para criar um playbook de canais</t>
  </si>
  <si>
    <t>Antonio Forte</t>
  </si>
  <si>
    <t>Director, Business Development &amp; Partner’s Ecosystem</t>
  </si>
  <si>
    <t>https://www.linkedin.com/in/antonio-forte-9211762/</t>
  </si>
  <si>
    <t>Estruturando seu processo de GTM através de Inteligência Comercial</t>
  </si>
  <si>
    <t>https://universidade.pipelovers.net/m/lessons/primeiros-passos-para-criar-um-playbook-de-canais1769552446074?classId=3178</t>
  </si>
  <si>
    <t>https://pipelovers.curseduca.pro/m/lessons/estruturando-seu-processo-de-gtm-atraves-de-inteligencia-comercial-1784049558211?moduleId=1528&amp;classId=4229</t>
  </si>
  <si>
    <t>13/02/2025</t>
  </si>
  <si>
    <t>https://drive.google.com/file/d/1f8DYkTvSkZ-QIyqiYnbPXFS21n1dg_PE/view?usp=drive_link</t>
  </si>
  <si>
    <t>Planejando o ano com canais franqueado</t>
  </si>
  <si>
    <t>Inteligência Artificial no CRM: Casos Reais e Aplicações Práticas</t>
  </si>
  <si>
    <t>Ricardo Tanaka</t>
  </si>
  <si>
    <t>Regional Sales Manager</t>
  </si>
  <si>
    <t>https://www.linkedin.com/in/ricardomtanaka/</t>
  </si>
  <si>
    <t>Anderson Ferreira e Jessica Butzge</t>
  </si>
  <si>
    <t>Sales Engineer &amp; Head de Product Marketing</t>
  </si>
  <si>
    <t>https://pipelovers.curseduca.pro/m/lessons/inteligencia-artificial-no-crm-casos-reais-e-aplicacoes-praticas-1784832731227?moduleId=1565&amp;classId=4417</t>
  </si>
  <si>
    <t>https://universidade.pipelovers.net/m/lessons/planejando-o-ano-com-canais-franqueado1769552446135?classId=3179</t>
  </si>
  <si>
    <t>Por que sua prospecção não é falta de sorte, é falta de processo (e de time)</t>
  </si>
  <si>
    <t>Guilherme Loureiro</t>
  </si>
  <si>
    <t>20/02/2025</t>
  </si>
  <si>
    <t>https://drive.google.com/file/d/1FB-gW09ARnmM9R4DKWxbdh8hAYH76nSw/view?usp=drive_link</t>
  </si>
  <si>
    <t>https://www.linkedin.com/in/guiteixeiraf/</t>
  </si>
  <si>
    <t>Canais de Distribuição: Estruturando o essencial para crescer</t>
  </si>
  <si>
    <t>https://universidade.pipelovers.net/m/lessons/por-que-sua-prospeccao-nao-e-falta-de-sorte-e-falta-de-processo-e-de-time-1785348689665?moduleId=1573&amp;classId=4448</t>
  </si>
  <si>
    <t>https://universidade.pipelovers.net/m/lessons/canais-de-distribuicao-estruturando-o-essencial-para-crescer1769552446221?classId=3180</t>
  </si>
  <si>
    <t>27/02/2025</t>
  </si>
  <si>
    <t>https://drive.google.com/file/d/18FukbMvOIFORT0sbk7jWq44Y8CYdbwno/view?usp=drive_link</t>
  </si>
  <si>
    <t>Estruturação de Times e Processos</t>
  </si>
  <si>
    <t>Venda Mais: Desbloqueie Sua Performance em Vendas</t>
  </si>
  <si>
    <t>A culpa não é do canal: Erros que cometemos e como evitá- los</t>
  </si>
  <si>
    <t>Denys Vojnovskis</t>
  </si>
  <si>
    <t>Especialista de Conteúdo</t>
  </si>
  <si>
    <t>Territory Sales Manager</t>
  </si>
  <si>
    <t>Qlik</t>
  </si>
  <si>
    <t>https://www.linkedin.com/in/denys-vojnovskis/</t>
  </si>
  <si>
    <t>https://universidade.pipelovers.net/m/lessons/a-culpa-nao-e-do-canal-erros-que-cometemos-e-como-evita-los1769552446280?classId=3181</t>
  </si>
  <si>
    <t>https://universidade.pipelovers.net/m/lessons/venda-mais-desbloqueie-sua-performance-em-vendas-1787258456767?moduleId=1602&amp;classId=4491</t>
  </si>
  <si>
    <t>06/03/2025</t>
  </si>
  <si>
    <t>https://drive.google.com/file/d/1_YefoCUxXQPY7UzgGRljmHiN3QOicOhW/view?usp=drive_link</t>
  </si>
  <si>
    <t>Plano de Carreira em vendas indiretas</t>
  </si>
  <si>
    <t>Renata Rico</t>
  </si>
  <si>
    <t>Ex Salesforce, SAP, AWS e Oracle</t>
  </si>
  <si>
    <t>https://www.linkedin.com/in/renatasrico/</t>
  </si>
  <si>
    <t>Capacitação Comercial</t>
  </si>
  <si>
    <t>O que a filosofia pode ensinar para quem vende</t>
  </si>
  <si>
    <t>Guilhermo Caproni</t>
  </si>
  <si>
    <t>Head Hunter</t>
  </si>
  <si>
    <t>https://universidade.pipelovers.net/m/lessons/plano-de-carreira-em-vendas-indiretas1769552446341?classId=3182</t>
  </si>
  <si>
    <t>https://www.linkedin.com/in/guilhermo-caproni/</t>
  </si>
  <si>
    <t>https://universidade.pipelovers.net/m/lessons/o-que-a-filosofia-pode-ensinar-para-quem-vende-1788460956665?moduleId=1637&amp;classId=4544</t>
  </si>
  <si>
    <t>13/03/2025</t>
  </si>
  <si>
    <t>https://drive.google.com/file/d/1RiXrauHOOr9Am5IrvOrQliIqC502Ejt-/view?usp=drive_link</t>
  </si>
  <si>
    <t>Captação de canais de ticket baixo</t>
  </si>
  <si>
    <t>https://universidade.pipelovers.net/m/lessons/captacao-de-canais-de-ticket-baixo1769552446416?classId=3189</t>
  </si>
  <si>
    <t>Planejamento Go-To-Market para 2027</t>
  </si>
  <si>
    <t>https://universidade.pipelovers.net/m/lessons/planejamento-go-to-market-para-2027-1786047266518?moduleId=1702&amp;classId=4639</t>
  </si>
  <si>
    <t>20/03/2025</t>
  </si>
  <si>
    <t>https://drive.google.com/file/d/1W7qqINTwUZsdKi394wOuUaiU1_-gRxKl/view?usp=drive_link</t>
  </si>
  <si>
    <t>KPIs estratégicos para escalar e otimizar canais de vendas</t>
  </si>
  <si>
    <t>Adriano Neves</t>
  </si>
  <si>
    <t>Do sucesso do cliente à expansão da conta</t>
  </si>
  <si>
    <t>Senior Ops Manager</t>
  </si>
  <si>
    <t>https://www.linkedin.com/in/adrianogan/</t>
  </si>
  <si>
    <t>Tarcisio Silva</t>
  </si>
  <si>
    <t>Professor e Palestrante</t>
  </si>
  <si>
    <t>Interface Cursos</t>
  </si>
  <si>
    <t>https://www.instagram.com/professor.tarcisio/</t>
  </si>
  <si>
    <t>https://universidade.pipelovers.net/m/lessons/kpis-estrategicos-para-escalar-e-otimizar-canais-de-vendas1769552446472?classId=3190</t>
  </si>
  <si>
    <t>https://universidade.pipelovers.net/m/lessons/do-sucesso-do-cliente-a-expansao-da-conta-1790368863964?moduleId=1705&amp;classId=4641</t>
  </si>
  <si>
    <t>27/03/2025</t>
  </si>
  <si>
    <t>https://drive.google.com/file/d/1pM4ZtYtv5NazezZqIUSEH2W57xH2bF__/view?usp=drive_link</t>
  </si>
  <si>
    <t>Criação de templates de cadência com Claude</t>
  </si>
  <si>
    <t>Alianças estratégicas para ampliação de portfólio de ofertas</t>
  </si>
  <si>
    <t>Head of Tech Partnerships LATAM</t>
  </si>
  <si>
    <t>Adyen</t>
  </si>
  <si>
    <t>https://universidade.pipelovers.net/m/lessons/criacao-de-claude-gems-de-para-construcao-de-templates-de-cadencia-1790688694800?moduleId=1708&amp;classId=4646</t>
  </si>
  <si>
    <t>https://universidade.pipelovers.net/m/lessons/aliancas-estrategicas-para-ampliacao-de-portfolio-de-ofertas1769552449341?classId=3191</t>
  </si>
  <si>
    <t>03/04/2025</t>
  </si>
  <si>
    <t>https://drive.google.com/file/d/1wTQOWYr8YSWAM9X4JJwu_3pkrNQ-BwHh/view?usp=drive_link</t>
  </si>
  <si>
    <t>Vendas Consultivas: Da execução a gestão</t>
  </si>
  <si>
    <t>John Wilian</t>
  </si>
  <si>
    <t>Voip do Brasil</t>
  </si>
  <si>
    <t>linkedin.com/in/john-wilian-9076bbb6</t>
  </si>
  <si>
    <t>Gerenciando revendas em mercados regulados</t>
  </si>
  <si>
    <t>Hannah Matos</t>
  </si>
  <si>
    <t>Head of Sales | Wholesale</t>
  </si>
  <si>
    <t>https://www.linkedin.com/in/hannahmattos/</t>
  </si>
  <si>
    <t>https://universidade.pipelovers.net/m/lessons/vendas-consultivas-da-execucao-a-gestao-1791293252716?moduleId=1723&amp;classId=4808</t>
  </si>
  <si>
    <t>https://universidade.pipelovers.net/m/lessons/gerenciando-revendas-em-mercados-regulados1769552449390?classId=3192</t>
  </si>
  <si>
    <t>https://drive.google.com/file/d/1PIpV-a3ApS4HTNaV_GOVxVdDSBpb38y7/view?usp=drive_link</t>
  </si>
  <si>
    <t>Gestão Estratégica de Carteira de Clientes</t>
  </si>
  <si>
    <t>Estratégia de governança para diferentes canais de vendas</t>
  </si>
  <si>
    <t>Joice Ferreira</t>
  </si>
  <si>
    <t>Innovation Advisor</t>
  </si>
  <si>
    <t>Pont Business Club</t>
  </si>
  <si>
    <t>https://www.linkedin.com/in/joiceferreira2025/</t>
  </si>
  <si>
    <t>https://universidade.pipelovers.net/m/lessons/gestao-estrategica-de-carteira-de-clientes-1792158790252?moduleId=1735&amp;classId=4820</t>
  </si>
  <si>
    <r>
      <rPr>
        <rFont val="Poppins"/>
        <b/>
        <color rgb="FFFFFFFF"/>
        <sz val="12.0"/>
      </rPr>
      <t xml:space="preserve">CADASTRO DE SESSÕES AO VIVO &amp; EXPERTS DE VENDAS B2B
</t>
    </r>
    <r>
      <rPr>
        <rFont val="Poppins"/>
        <b/>
        <color rgb="FFFFFFFF"/>
        <sz val="21.0"/>
      </rPr>
      <t>BIBLIOTECA DE CONTEÚDOS</t>
    </r>
  </si>
  <si>
    <t>https://universidade.pipelovers.net/m/lessons/estrategia-de-governanca-para-diferentes-canais-de-vendas1769552449470?classId=3193</t>
  </si>
  <si>
    <t>https://drive.google.com/file/d/1NDjIWVhI_N42XK4-hGL_fBPopRWEmKZe/view?usp=drive_link</t>
  </si>
  <si>
    <t>Exemplos práticos: Explorando o uso de IA em programas de parcerias</t>
  </si>
  <si>
    <t>Nara Vaz</t>
  </si>
  <si>
    <t>https://universidade.pipelovers.net/m/lessons/exemplos-praticos-explorando-o-uso-de-ia-em-programas-de-parcerias1769552449505?classId=3194</t>
  </si>
  <si>
    <t>3,86</t>
  </si>
  <si>
    <t>24/04/2025</t>
  </si>
  <si>
    <t>https://drive.google.com/file/d/1M1V_Rm2HjIJqRzrflkTSjLPXD2c_Bdxn/view?usp=drive_link</t>
  </si>
  <si>
    <t>Arquitetura de Canais: Como construir e escalar um modelo de representação comercial</t>
  </si>
  <si>
    <t>Rodrigo Prado</t>
  </si>
  <si>
    <t>R8 Treinamentos</t>
  </si>
  <si>
    <t>https://www.linkedin.com/in/managerprado/</t>
  </si>
  <si>
    <t>https://universidade.pipelovers.net/m/lessons/arquitetura-de-canais-como-construir-e-escalar-um-modelo-de-representacao-comercial1769552449538?classId=3394</t>
  </si>
  <si>
    <t>Módulo 1: Certificação de IA - Fundamentos de IA em vendas</t>
  </si>
  <si>
    <t>Iago Martins</t>
  </si>
  <si>
    <t>Viver de IA</t>
  </si>
  <si>
    <t>https://www.linkedin.com/in/yagomartins/</t>
  </si>
  <si>
    <t>01/05/2025</t>
  </si>
  <si>
    <t>https://drive.google.com/file/d/1ThWsYlFESI0pgSORJmOxGTEFu9dbwMiF/view?usp=drive_link</t>
  </si>
  <si>
    <t>https://pipelovers.curseduca.pro/m/lessons/modulo-1-certificacao-em-inteligencia-artificial-fundamentos-de-ia-em-vendas-1783114254816</t>
  </si>
  <si>
    <t>Módulo 2: Certificação de IA - IA na Prospecção: Pesquisa, Personalização e Ritmo</t>
  </si>
  <si>
    <t>https://universidade.pipelovers.net/m/lessons/ia-na-prospeccao-pesquisa-personalizacao-e-ritmo-1784049963676</t>
  </si>
  <si>
    <t>08/05/2025</t>
  </si>
  <si>
    <t>https://drive.google.com/file/d/1kx3qd-vXwyVj-YX_GdfWRlWuzR2BlrOZ/view?usp=drive_link</t>
  </si>
  <si>
    <t>Módulo 3: Certificação de IA - IA na Qualificação e na Reunião de Descoberta</t>
  </si>
  <si>
    <t>Robson Del Fiol</t>
  </si>
  <si>
    <t>Diretor de Educação</t>
  </si>
  <si>
    <t>Sky.One</t>
  </si>
  <si>
    <t>https://www.linkedin.com/in/robsondelfiol/</t>
  </si>
  <si>
    <t>https://universidade.pipelovers.net/m/lessons/ia-na-qualificacao-e-na-reuniao-de-descoberta-1784921425354</t>
  </si>
  <si>
    <t>De CPF a CNPJ: O essencial para seu canal virar empresa</t>
  </si>
  <si>
    <t>José Backes</t>
  </si>
  <si>
    <t>Ex Nextel, Spring Wireless e Livelo</t>
  </si>
  <si>
    <t>https://www.linkedin.com/in/jose-backes/</t>
  </si>
  <si>
    <t>Módulo 4: Certificação de IA - IA na Proposta e na Comunicação Comercial</t>
  </si>
  <si>
    <t>https://universidade.pipelovers.net/m/lessons/de-cpf-a-cnpj-o-essencial-para-seu-canal-virar-empresa1769552449628?classId=3398</t>
  </si>
  <si>
    <t>https://universidade.pipelovers.net/m/lessons/certificacao-em-inteligencia-artificial-em-vendas-b2b-1783114475289?moduleId=1474&amp;classId=4492</t>
  </si>
  <si>
    <t>https://drive.google.com/file/d/1IUSkJRxFYNU61XGG-7YrM7LajCR8-kIk/view?usp=drive_link</t>
  </si>
  <si>
    <t>Módulo 5: Certificação de IA - IA na Gestão de Objeções e no Fechamento</t>
  </si>
  <si>
    <t>Taís</t>
  </si>
  <si>
    <t>Elephan.IA</t>
  </si>
  <si>
    <t>https://universidade.pipelovers.net/m/lessons/ia-na-gestao-de-objecoes-e-no-fechamento-1785177287741</t>
  </si>
  <si>
    <t>Programa de canais sob a ótica do canal</t>
  </si>
  <si>
    <t>Marcos Biazi</t>
  </si>
  <si>
    <t>https://www.linkedin.com/in/marcos-biazi-10580a26/</t>
  </si>
  <si>
    <t>Módulo 6: Certificação de IA - IA na Gestão do Time e na Liderança Comercial</t>
  </si>
  <si>
    <t>Thiago Grissi</t>
  </si>
  <si>
    <t>Plug.iA</t>
  </si>
  <si>
    <t>https://www.linkedin.com/in/thiagogrissi/</t>
  </si>
  <si>
    <t>https://universidade.pipelovers.net/m/lessons/programa-de-canais-sob-a-otica-do-canal1769552458437?classId=3399</t>
  </si>
  <si>
    <t>https://universidade.pipelovers.net/m/lessons/ia-na-gestao-do-time-e-na-lideranca-comercial-1785177476751?moduleId=1569&amp;classId=4421</t>
  </si>
  <si>
    <t>22/05/2025</t>
  </si>
  <si>
    <t>https://drive.google.com/file/d/1Rj4i9i7MgEA4MuiDkuJ904l9z7gPAWIL/view?usp=drive_link</t>
  </si>
  <si>
    <t>Como estruturar um PRM em um CRM comum</t>
  </si>
  <si>
    <t>https://universidade.pipelovers.net/m/lessons/como-estruturar-um-prm-em-um-crm-comum1769552458621?classId=3402</t>
  </si>
  <si>
    <t>29/05/2025</t>
  </si>
  <si>
    <t>https://drive.google.com/file/d/1Yc33YSE283m2rf76hrnsPm-4ftxdZ4x1/view?usp=drive_link</t>
  </si>
  <si>
    <t>Como impulsionar o crescimento de receita alavancando canais de distribuição</t>
  </si>
  <si>
    <t>Luiz Gustavo Tozo</t>
  </si>
  <si>
    <t>Founder &amp; Conselheiro Consultivo</t>
  </si>
  <si>
    <t>BS Soluções Empresariais</t>
  </si>
  <si>
    <t>https://www.linkedin.com/in/luiz-gustavo-tozo/</t>
  </si>
  <si>
    <t>https://universidade.pipelovers.net/m/lessons/como-impulsionar-o-crescimento-de-receita-alavancando-canais-de-distribuicao1769552458868?classId=3403</t>
  </si>
  <si>
    <t>05/06/2025</t>
  </si>
  <si>
    <t>https://drive.google.com/file/d/1qpY0sFmqtihqXASX5qVCc7TNFas3duMp/view?usp=drive_link</t>
  </si>
  <si>
    <t>CS + Canais: A colaboração que transforma base em receita</t>
  </si>
  <si>
    <t xml:space="preserve">Daniela Neves </t>
  </si>
  <si>
    <t>Channel Partners Director</t>
  </si>
  <si>
    <t xml:space="preserve">Wellhub </t>
  </si>
  <si>
    <t>https://www.linkedin.com/in/daniela-dos-santos-cruz-neves/</t>
  </si>
  <si>
    <t>https://universidade.pipelovers.net/m/lessons/cs-canais-a-colaboracao-que-transforma-base-em-receita1769552459068?classId=3404</t>
  </si>
  <si>
    <t>12/06/2025</t>
  </si>
  <si>
    <t>https://drive.google.com/file/d/1v4mykldKpCgDJ-8GAz9dvBh6fKwglJre/view?usp=drive_link</t>
  </si>
  <si>
    <t>Estratégias Win-Win: Como construir sinergia real com parceiros</t>
  </si>
  <si>
    <t>Gabriella Montini</t>
  </si>
  <si>
    <t>Diretora de Ecossistema</t>
  </si>
  <si>
    <t>Grupo FCamara</t>
  </si>
  <si>
    <t>https://www.linkedin.com/in/gabriella-montini/</t>
  </si>
  <si>
    <t>https://universidade.pipelovers.net/m/lessons/estrategias-win-win-como-construir-sinergia-real-com-parceiros1769552459120?classId=3406</t>
  </si>
  <si>
    <t>19/06/2025</t>
  </si>
  <si>
    <t>https://drive.google.com/file/d/1duYmG7JyDvpm2S_NCTyzrxOXChuUJHlv/view?usp=drive_link</t>
  </si>
  <si>
    <t>Avaliação de expansão de canais na América Latina - diferenças e traços culturais a observar</t>
  </si>
  <si>
    <t>Jorge Fernando Bayá</t>
  </si>
  <si>
    <t>Director General Latam</t>
  </si>
  <si>
    <t xml:space="preserve">Napse.Global </t>
  </si>
  <si>
    <t>https://www.linkedin.com/in/jorge-fernando-baya/</t>
  </si>
  <si>
    <t>https://universidade.pipelovers.net/m/lessons/avaliacao-de-expansao-de-canais-na-america-latina-diferencas-e-tracos-culturais-a-observar1769552459320?classId=3407</t>
  </si>
  <si>
    <t>26/06/2025</t>
  </si>
  <si>
    <t>https://drive.google.com/file/d/1yeRnABUw-R4j9J2yvM5qBde-WyskMoW-/view?usp=drive_link</t>
  </si>
  <si>
    <t>Como liderar projetos e pessoas sem ser gestor direto</t>
  </si>
  <si>
    <t xml:space="preserve">Janaina Rost </t>
  </si>
  <si>
    <t xml:space="preserve">Mentora de Carreira </t>
  </si>
  <si>
    <t>https://www.linkedin.com/in/janainarost/</t>
  </si>
  <si>
    <t>https://universidade.pipelovers.net/m/lessons/como-liderar-projetos-e-pessoas-sem-ser-gestor-direto1769552459959?classId=3408</t>
  </si>
  <si>
    <t>https://drive.google.com/file/d/1Qih9JNqBK5vGx9meumA_Y2HIinamo_od/view?usp=drive_link</t>
  </si>
  <si>
    <t>Gestão do tempo - Técnicas de organização e produtividade</t>
  </si>
  <si>
    <t>https://universidade.pipelovers.net/m/lessons/gestao-do-tempo-tecnicas-de-organizacao-e-produtividade1769552460040?classId=3409</t>
  </si>
  <si>
    <t>10/07/2025</t>
  </si>
  <si>
    <t>https://drive.google.com/file/d/1rgDmA5fFA_diuTZZti9fGzPeVfKGuHRq/view?usp=drive_link</t>
  </si>
  <si>
    <t>RevOps para canais: como desenhar uma operação que ajuda o parceiro a vender mais</t>
  </si>
  <si>
    <t>Maria Eduarda Kumlehn</t>
  </si>
  <si>
    <t>Salvy</t>
  </si>
  <si>
    <t>https://www.linkedin.com/in/duda-salvy/</t>
  </si>
  <si>
    <t>https://universidade.pipelovers.net/m/lessons/revops-para-canais-como-desenhar-uma-operacao-que-ajuda-o-parceiro-a-vender-mais1769552460187?classId=3410</t>
  </si>
  <si>
    <r>
      <rPr>
        <rFont val="Poppins"/>
        <b/>
        <color rgb="FFFFFFFF"/>
        <sz val="12.0"/>
      </rPr>
      <t xml:space="preserve">CADASTRO DE SESSÕES AO VIVO &amp; EXPERTS DE VENDAS B2B
</t>
    </r>
    <r>
      <rPr>
        <rFont val="Poppins"/>
        <b/>
        <color rgb="FFFFFFFF"/>
        <sz val="21.0"/>
      </rPr>
      <t>BIBLIOTECA DE CONTEÚDOS</t>
    </r>
  </si>
  <si>
    <t>https://drive.google.com/file/d/1JikgCVfhVaBCXP0V2M67NGiSksb-T3qi/view?usp=drive_link</t>
  </si>
  <si>
    <t>Como estabelecer parcerias estratégicas para impulsionar sua receita</t>
  </si>
  <si>
    <t>https://universidade.pipelovers.net/m/lessons/como-estabelecer-parcerias-estrategicas-para-impulsionar-sua-receita1769552460239?classId=3411</t>
  </si>
  <si>
    <t>24/07/2025</t>
  </si>
  <si>
    <t>https://drive.google.com/file/d/1Qj67PR9ewi0uPMU6Sbz-FzQc36Neqgl3/view?usp=drive_link</t>
  </si>
  <si>
    <t>Como fazer seu canal refletir sua cultura para o mercado</t>
  </si>
  <si>
    <t>Marcelo de Andrade</t>
  </si>
  <si>
    <t>Channels &amp; Ecosystem Director</t>
  </si>
  <si>
    <t>https://www.linkedin.com/in/marceloandradeb/</t>
  </si>
  <si>
    <t>https://universidade.pipelovers.net/m/lessons/como-fazer-seu-canal-refletir-sua-cultura-para-o-mercado1769552460290?classId=3412</t>
  </si>
  <si>
    <t>31/07/2025</t>
  </si>
  <si>
    <t>https://drive.google.com/file/d/1F1KfLOJfiX0_4DAMN3jLTuilLQUm3vCc/view?usp=drive_link</t>
  </si>
  <si>
    <t>MÓDULO 1: PROGRAMA DE GESTÃO - ESTRATÉGIA DE POSICIONAMENTO E PLANEJAMENTO COMERCIAL</t>
  </si>
  <si>
    <t>Afiliados que vendem: como criar um programa de parcerias com escala</t>
  </si>
  <si>
    <t>Flavia Paula</t>
  </si>
  <si>
    <t>Swile Brasil</t>
  </si>
  <si>
    <t>https://www.linkedin.com/in/fl%C3%A1via-paula-442a5a100/</t>
  </si>
  <si>
    <t>https://universidade.pipelovers.net/m/lessons/modulo-1-programa-de-gestao-de-vendas-b2b-estrategia-de-posicionamento-e-planejamento-comercial-1774882373795</t>
  </si>
  <si>
    <t>https://universidade.pipelovers.net/m/lessons/afiliados-que-vendem-como-criar-um-programa-de-parcerias-com-escala1769552460435?classId=3413</t>
  </si>
  <si>
    <t>https://universidade.pipelovers.net/m/lessons/modulo-1-programa-de-gestao-de-vendas-b2b-estrategia-de-posicionamento-e-planejamento-comercial-1774882373796</t>
  </si>
  <si>
    <t>07/08/2025</t>
  </si>
  <si>
    <t>https://drive.google.com/file/d/1b4zdRSXQIAsSZ48mPKY-E_BSoYZ5YBvb/view?usp=drive_link</t>
  </si>
  <si>
    <t>Módulo 1  - Programa de Gestão de Vendas B2B Estratégia de Posicionamento e Planejamento Comercial.mp4</t>
  </si>
  <si>
    <t>Construção de confiança na relação com parceiros</t>
  </si>
  <si>
    <t>Mario de Morais</t>
  </si>
  <si>
    <t>https://www.linkedin.com/in/mariomorais/</t>
  </si>
  <si>
    <t>MÓDULO 2: PROGRAMA DE GESTÃO - RECRUTAMENTO, REMUNERAÇÃO E DESENVOLVIMENTO DE EQUIPES COMERCIAIS</t>
  </si>
  <si>
    <t>https://universidade.pipelovers.net/m/lessons/modulo-2-recrutamento-remuneracao-e-desenvolvimento-de-equipes-1774884083442</t>
  </si>
  <si>
    <t>https://universidade.pipelovers.net/m/lessons/construcao-de-confianca-na-relacao-com-parceiros1769552460488?classId=3414</t>
  </si>
  <si>
    <t>https://universidade.pipelovers.net/m/lessons/modulo-2-recrutamento-remuneracao-e-desenvolvimento-de-equipes-1774884083443</t>
  </si>
  <si>
    <t>Módulo 2  - Programa de Gestão de Vendas B2B Recrutamento, Remuneração e Desenvolvimento de Equipes Comerciais-descript.mp4</t>
  </si>
  <si>
    <t>https://drive.google.com/file/d/1upBl9rFASOUgnYVFCrCAY2dJq49-A83u/view?usp=drive_link</t>
  </si>
  <si>
    <t>MÓDULO 3: PROGRAMA DE GESTÃO - CANAIS DE AQUISIÇÃO E GERAÇÃO DE DEMANDA B2B</t>
  </si>
  <si>
    <t>https://universidade.pipelovers.net/m/lessons/modulo-3-canais-de-aquisicao-e-geracao-de-demanda-b2b-1774884769462</t>
  </si>
  <si>
    <t xml:space="preserve">Como identificar o IPP (Perfil de Parceiro Ideal) </t>
  </si>
  <si>
    <t>David Souza</t>
  </si>
  <si>
    <t>Coordenador de parcerias</t>
  </si>
  <si>
    <t>Mercos</t>
  </si>
  <si>
    <t>https://www.linkedin.com/in/david-souza-32064a50/</t>
  </si>
  <si>
    <t>https://universidade.pipelovers.net/m/lessons/modulo-3-canais-de-aquisicao-e-geracao-de-demanda-b2b-1774884769463</t>
  </si>
  <si>
    <t xml:space="preserve"> Módulo 3 - Canais de Aquisição e Geração de Demanda B2B-descript.mp4</t>
  </si>
  <si>
    <t>https://universidade.pipelovers.net/aulas/como-identificar-o-ipp-perfil-de-parceiro-ideal-1775812602394</t>
  </si>
  <si>
    <t>MÓDULO 4: PROGRAMA DE GESTÃO - EXPANSÃO DE RECEITA NA BASE DE CLIENTES - RETENÇÃO, UPSELL E CROSS-SELL</t>
  </si>
  <si>
    <t>https://universidade.pipelovers.net/m/lessons/modulo-4-expansao-de-receita-na-base-de-clientes-retencao-upsell-1774888126474</t>
  </si>
  <si>
    <t>21/08/2025</t>
  </si>
  <si>
    <t>https://drive.google.com/file/d/1LdxOaMCQyF-IX7pEeJNqCmmomOvZ2JM6/view?usp=drive_link</t>
  </si>
  <si>
    <t>https://universidade.pipelovers.net/m/lessons/modulo-4-expansao-de-receita-na-base-de-clientes-retencao-upsell-1774888126475</t>
  </si>
  <si>
    <t>Módulo 4  Programa de Gestão de Vendas B2B Expansão de receita na base de clientes retenção, upsell e cross-sell - descript.mp4</t>
  </si>
  <si>
    <t>Como criar consistência no canal: o papel da disciplina no dia a dia da venda</t>
  </si>
  <si>
    <t>Richard Zimermann</t>
  </si>
  <si>
    <t>Cloud Sales Director</t>
  </si>
  <si>
    <t>https://www.linkedin.com/in/rzimermann/</t>
  </si>
  <si>
    <t>MÓDULO 5: PROGRAMA DE GESTÃO - ROTINAS DE GESTÃO COMERCIAL - RITUAIS, PROCESSOS E FERRAMENTAS</t>
  </si>
  <si>
    <t>https://universidade.pipelovers.net/m/lessons/modulo-5-rotinas-de-gestao-comercial-rituais-processos-e-ferramentas-1774897016053</t>
  </si>
  <si>
    <t>https://universidade.pipelovers.net/m/lessons/como-criar-consistencia-no-canal-o-papel-da-disciplina-no-dia-a-dia-da-venda1769552460909?classId=3416</t>
  </si>
  <si>
    <t>https://universidade.pipelovers.net/m/lessons/modulo-5-rotinas-de-gestao-comercial-rituais-processos-e-ferramentas-1774897016054</t>
  </si>
  <si>
    <t>Módulo 5  Programa de Gestão de Vendas B2B Rotinas de gestão comercial rituais, processos e ferramentas - descript.mp4</t>
  </si>
  <si>
    <t>28/08/2025</t>
  </si>
  <si>
    <t>https://drive.google.com/file/d/1a8xbwUUOj5N_wX2iQsywszLIDPtupZwg/view?usp=drive_link</t>
  </si>
  <si>
    <t>Estratégia de onboarding e rampagem de novos canais indiretos</t>
  </si>
  <si>
    <t>Leonardo Neves</t>
  </si>
  <si>
    <t>https://www.linkedin.com/in/l%C3%A9o-neves-030a1a33/</t>
  </si>
  <si>
    <t>https://universidade.pipelovers.net/m/lessons/estrategia-de-onboarding-e-rampagem-de-novos-canais-indiretos1769552461093?classId=3417</t>
  </si>
  <si>
    <t>https://drive.google.com/file/d/13szKRNgjDwdHAZAII9trZL1Ov4reV0rI/view?usp=drive_link</t>
  </si>
  <si>
    <t>Gestão de relacionamento com parceiros estratégicos</t>
  </si>
  <si>
    <t>Andreia Vavassori</t>
  </si>
  <si>
    <t>Especialista em canais indiretos</t>
  </si>
  <si>
    <t>https://www.linkedin.com/in/andreiavavassorigerentecomercial/</t>
  </si>
  <si>
    <t>https://universidade.pipelovers.net/m/lessons/gestao-de-relacionamento-com-parceiros-estrategicos1769552461242?classId=3023</t>
  </si>
  <si>
    <t>11/09/2025</t>
  </si>
  <si>
    <t>https://drive.google.com/file/d/1MqbTMk57dAhwzmzao-ebAUX7TVEx06KZ/view?usp=drive_link</t>
  </si>
  <si>
    <t>TAM, SAM, SOM para canais</t>
  </si>
  <si>
    <t>Marcus Vinicius Saraiva</t>
  </si>
  <si>
    <t>Marwin Ventures</t>
  </si>
  <si>
    <t>https://www.linkedin.com/in/marcusvcsaraiva/</t>
  </si>
  <si>
    <t>https://universidade.pipelovers.net/m/lessons/tam-sam-som-para-canais1769552460341?classId=3418</t>
  </si>
  <si>
    <t>18/09/2025</t>
  </si>
  <si>
    <t>https://drive.google.com/file/d/16qejif0e6VXXcXbqoR81craZpiptoO5b/view?usp=drive_link</t>
  </si>
  <si>
    <t>Gestão de expectativa com stakeholders em canais</t>
  </si>
  <si>
    <t>Starian</t>
  </si>
  <si>
    <t>https://universidade.pipelovers.net/m/lessons/gestao-de-expectativa-com-stakeholders-em-canais1769552466005?classId=3419</t>
  </si>
  <si>
    <t>25/09/2025</t>
  </si>
  <si>
    <t>https://drive.google.com/file/d/1e2kAP3Lvq9mltU2LMmfWPLUVXpALe-Ol/view?usp=drive_link</t>
  </si>
  <si>
    <t>Como estruturar um programa de canais do zero</t>
  </si>
  <si>
    <t>Adriano Santos</t>
  </si>
  <si>
    <t>Cloudfy Tecnologia</t>
  </si>
  <si>
    <t>https://www.linkedin.com/in/adrianoluizdossantos/</t>
  </si>
  <si>
    <t>https://universidade.pipelovers.net/m/lessons/como-estruturar-um-programa-de-canais-do-zero1769552466069?classId=3420</t>
  </si>
  <si>
    <t>02/10/2025</t>
  </si>
  <si>
    <t>https://drive.google.com/file/d/1AaTlY8l_ObFxD_gm5T7N7xJFlRW_vcze/view?usp=drive_link</t>
  </si>
  <si>
    <t>Gestão estratégica na era de IA : automação e o novo papel do parceiro</t>
  </si>
  <si>
    <t>Antonio Custódio</t>
  </si>
  <si>
    <t>Gestão de Vendas Nacionais</t>
  </si>
  <si>
    <t>CIGAM</t>
  </si>
  <si>
    <t>https://www.linkedin.com/in/antoniocustodiog/</t>
  </si>
  <si>
    <t>https://universidade.pipelovers.net/m/lessons/gestao-estrategica-na-era-de-ia-automacao-e-o-novo-papel-do-parceiro1769552466319?classId=3421</t>
  </si>
  <si>
    <t>09/10/2025</t>
  </si>
  <si>
    <t>https://drive.google.com/file/d/17a2R7U9BkbTv3RGXTiEvyZCM0ywCWz4p/view?usp=drive_link</t>
  </si>
  <si>
    <t>KPIs de canais: como medir engajamento e performance</t>
  </si>
  <si>
    <t>Gabriela Agapito</t>
  </si>
  <si>
    <t>Diretora de Relacionamento e Canais</t>
  </si>
  <si>
    <t>Fiibo</t>
  </si>
  <si>
    <t>https://www.linkedin.com/in/gabrielagapito/</t>
  </si>
  <si>
    <t>https://universidade.pipelovers.net/m/lessons/kpis-de-canais-como-medir-engajamento-e-performance1769552466132?classId=3018</t>
  </si>
  <si>
    <t>16/10/2025</t>
  </si>
  <si>
    <t>https://drive.google.com/file/d/1Qsz_FJsKWbSG-rQhKTHs0wlY4xgPHShj/view?usp=drive_link</t>
  </si>
  <si>
    <t>Gestão de funil de vendas de canais indiretos</t>
  </si>
  <si>
    <t>Carlos Hernandez</t>
  </si>
  <si>
    <t>Head de Canais e Alianças</t>
  </si>
  <si>
    <t>https://www.linkedin.com/in/carlos-d-hernandez-m/</t>
  </si>
  <si>
    <t>https://universidade.pipelovers.net/m/lessons/gestao-de-funil-de-vendas-de-canais-indiretos1769552466194?classId=3425</t>
  </si>
  <si>
    <t>23/10/2025</t>
  </si>
  <si>
    <t>https://drive.google.com/file/d/1CJXsvuZ3QZf-HcS7lhS_HNUunANcSGgQ/view?usp=drive_link</t>
  </si>
  <si>
    <t>Estrutura de um pitch de aquisição de novos parceiros</t>
  </si>
  <si>
    <t>Felipe de Carvalho</t>
  </si>
  <si>
    <t>Diretor de filial</t>
  </si>
  <si>
    <t>Alper Seguros</t>
  </si>
  <si>
    <t>https://universidade.pipelovers.net/m/lessons/estrutura-de-um-pitch-de-aquisicao-de-novos-parceiros1769552466257?classId=3426</t>
  </si>
  <si>
    <t>https://drive.google.com/file/d/12Bl_6laIoe2WOGwM9CN2MJ46ba7foC65/view?usp=drive_link</t>
  </si>
  <si>
    <t>Segmentação de parceiros para desenvolver canais com eficiência</t>
  </si>
  <si>
    <t>Daniel Hollander</t>
  </si>
  <si>
    <t>BasicX</t>
  </si>
  <si>
    <t>https://www.linkedin.com/in/danielhollander/</t>
  </si>
  <si>
    <t>https://universidade.pipelovers.net/m/lessons/segmentacao-de-parceiros-para-desenvolver-canais-com-eficiencia1769552465755?classId=3430</t>
  </si>
  <si>
    <t>https://drive.google.com/file/d/1XWsvcAqb3CHVwpDmgk8t0_87t93_x99P/view?usp=drive_link</t>
  </si>
  <si>
    <t>Aprendizado em rede: como escalar conhecimento entre representantes</t>
  </si>
  <si>
    <t>https://universidade.pipelovers.net/m/lessons/aprendizado-em-rede-como-escalar-conhecimento-entre-representantes1769552465872?classId=3431</t>
  </si>
  <si>
    <r>
      <rPr>
        <rFont val="Poppins"/>
        <b/>
        <color rgb="FFFFFFFF"/>
        <sz val="12.0"/>
      </rPr>
      <t xml:space="preserve">CADASTRO DE SESSÕES AO VIVO &amp; EXPERTS DE VENDAS B2B
</t>
    </r>
    <r>
      <rPr>
        <rFont val="Poppins"/>
        <b/>
        <color rgb="FFFFFFFF"/>
        <sz val="21.0"/>
      </rPr>
      <t>BIBLIOTECA DE CONTEÚDOS</t>
    </r>
  </si>
  <si>
    <t>https://drive.google.com/file/d/1JbRFMRMr_RW1P_rUoxIybHEJIRTgOwKL/view?usp=drive_link</t>
  </si>
  <si>
    <t>Como engajar canais à distância de forma eficaz</t>
  </si>
  <si>
    <t>Lucas Pinto</t>
  </si>
  <si>
    <t>Head Comercial Parcerias</t>
  </si>
  <si>
    <t>https://www.linkedin.com/in/lucasbezerrapinto/</t>
  </si>
  <si>
    <t>https://universidade.pipelovers.net/m/lessons/como-engajar-canais-a-distancia-de-forma-eficaz1769552465935?classId=3432</t>
  </si>
  <si>
    <t>https://drive.google.com/file/d/1rIAeV6z_tEvAaxt3txl82Si9KmjA3uTS/view?usp=drive_link</t>
  </si>
  <si>
    <t>Posicionamento conjunto: como alinhar proposta de valor com o parceiro</t>
  </si>
  <si>
    <t>Vincent Parachini</t>
  </si>
  <si>
    <t>LATAM Managing Partner</t>
  </si>
  <si>
    <t>Halifax Consulting Brasil</t>
  </si>
  <si>
    <t>https://www.linkedin.com/in/vincent-parachini/</t>
  </si>
  <si>
    <t>https://universidade.pipelovers.net/m/lessons/posicionamento-conjunto-como-alinhar-proposta-de-valor-com-o-parceiro1769552465815?classId=3016</t>
  </si>
  <si>
    <t>https://drive.google.com/file/d/1VDo-GaJRRUXCNfpssv7JFijS33_mfMMr/view?usp=drive_link</t>
  </si>
  <si>
    <t>Escuta ativa com parceiros: como gerar alinhamento e oportunidades</t>
  </si>
  <si>
    <t>Rachel Paranhos</t>
  </si>
  <si>
    <t>Sambatech</t>
  </si>
  <si>
    <t>https://www.linkedin.com/in/rachelparanhos/</t>
  </si>
  <si>
    <t>https://universidade.pipelovers.net/aulas/escuta-ativa-com-parceiros-como-gerar-alinhamento-e-oportunidades-1775813044717</t>
  </si>
  <si>
    <t>https://drive.google.com/file/d/1wQU73B5rt5BvPAhN3jvZO48iEr2N5P3k/view?usp=drive_link</t>
  </si>
  <si>
    <t>Priorização de canais com base em ROI e potencial de receita</t>
  </si>
  <si>
    <t>João Palhares</t>
  </si>
  <si>
    <t>Cashgo</t>
  </si>
  <si>
    <t>https://www.linkedin.com/in/jvpalhares/</t>
  </si>
  <si>
    <t>https://universidade.pipelovers.net/aulas/priorizacao-de-canais-com-base-em-roi-e-potencial-de-receita-1775075945715</t>
  </si>
  <si>
    <t>MÓDULO 1: PROSPECÇÃO INTELIGENTE E GERAÇÃO DE DEMANDA</t>
  </si>
  <si>
    <t xml:space="preserve">Marcelo Baratella </t>
  </si>
  <si>
    <t xml:space="preserve">CEO e Founder </t>
  </si>
  <si>
    <t>Vendoria</t>
  </si>
  <si>
    <t>139.  PipeLovers💜 Canais &amp; Parcerias Priorização de canais com base em ROI e potencial de receita com João Palhares - descript.mp4</t>
  </si>
  <si>
    <t>Certificações para canais e parcerias</t>
  </si>
  <si>
    <t>Julio Cunha</t>
  </si>
  <si>
    <t>EDUBRIX</t>
  </si>
  <si>
    <t>https://www.linkedin.com/in/juliocunha/</t>
  </si>
  <si>
    <t>https://pipelovers.curseduca.pro/m/lessons/modulo-1-certificacao-de-vendedores-b2b-prospeccao-inteligente-e-geracao-de-demanda-1774620432269</t>
  </si>
  <si>
    <t>https://universidade.pipelovers.net/m/lessons/certificacoes-para-canais-e-parcerias1769552466443?classId=3737</t>
  </si>
  <si>
    <t>140.  PipeLovers💜 Canais &amp; Parcerias Certificações para canais e parcerias com Julio Cunha - descript.mp4</t>
  </si>
  <si>
    <t>Modelos de incentivo e recompensa para parceiros</t>
  </si>
  <si>
    <t>Eliomar Oliveira</t>
  </si>
  <si>
    <t>Coordenador de Vendas Indiretas</t>
  </si>
  <si>
    <t>https://www.linkedin.com/in/eliomarlobogois/</t>
  </si>
  <si>
    <t>Módulo 1  Certificação de Vendedores B2B Prospecção Inteligente e Geração de Demanda.mp4</t>
  </si>
  <si>
    <t>https://universidade.pipelovers.net/aulas/modelos-de-incentivo-e-recompensa-para-parceiros-1775813520218</t>
  </si>
  <si>
    <t>MÓDULO 2: PITCH, STORYTELLING E ORATÓRIA COMERCIAL</t>
  </si>
  <si>
    <t xml:space="preserve">Hélio Azevedo </t>
  </si>
  <si>
    <t>141. PipeLovers💜 Canais &amp; Parcerias Modelos de incentivo e recompensa para parceiros com Eliomar Oliveira - descript.mp4</t>
  </si>
  <si>
    <t>InsiderTraining</t>
  </si>
  <si>
    <t>Como fazer Upsell na base de parceiros</t>
  </si>
  <si>
    <t>Janine Motta</t>
  </si>
  <si>
    <t>Growth Partner Lifecycle Manager SMB</t>
  </si>
  <si>
    <t>Conta Azul</t>
  </si>
  <si>
    <t>https://www.linkedin.com/in/janinemotta/</t>
  </si>
  <si>
    <t>https://universidade.pipelovers.net/m/lessons/como-fazer-upsell-na-base-de-parceiros1769552469419?classId=3020</t>
  </si>
  <si>
    <t>https://pipelovers.curseduca.pro/m/lessons/modulo-2-certificacao-de-vendedores-b2b-pitch-storytelling-e-oratoria-comercial-descript-1774622506811?classId=3850</t>
  </si>
  <si>
    <t>142.  PipeLovers💜 Canais &amp; Parcerias Como fazer Upsell na base de parceiros com Janine Mota - descript.mp4</t>
  </si>
  <si>
    <t>Estruturação de um plano comercial junto ao parceiro</t>
  </si>
  <si>
    <t>Módulo 2  Certificação de Vendedores B2B Pitch, Storytelling e Oratória Comercial - descript.mp4</t>
  </si>
  <si>
    <t>https://universidade.pipelovers.net/m/lessons/estruturacao-de-um-plano-comercial-junto-ao-parceiro1772542642515?classId=3758</t>
  </si>
  <si>
    <t>MÓDULO 3: NEGOCIAÇÃO E FECHAMENTO</t>
  </si>
  <si>
    <t xml:space="preserve">Sócio e Diretor Comercial </t>
  </si>
  <si>
    <t>VectorSoluções</t>
  </si>
  <si>
    <t>https://pipelovers.curseduca.pro/m/lessons/modulo-3-certificacao-de-vendedores-b2b-negociacao-e-fechamento-descript-1774623205576?classId=3852</t>
  </si>
  <si>
    <t>143. PipeLovers💜 Canais &amp; Parcerias Estruturação de um plano comercial junto ao parceiro com Douglas Medeiros - descript.mp4</t>
  </si>
  <si>
    <t>Networking estratégico em canais: como ativar e expandir sua rede de parceiros</t>
  </si>
  <si>
    <t>Filipe Ivo</t>
  </si>
  <si>
    <t>Endeavor Brasil</t>
  </si>
  <si>
    <t>https://www.linkedin.com/in/filipebragaivo/</t>
  </si>
  <si>
    <t>Módulo 3  Certificação de Vendedores B2B Negociação e Fechamento-descript.mp4</t>
  </si>
  <si>
    <t>MÓDULO 4: GESTÃO DE CARTEIRA E EXPANSÃO DE RECEITA</t>
  </si>
  <si>
    <t>https://www.linkedin.com/in/diegoazevedo1/</t>
  </si>
  <si>
    <t>https://universidade.pipelovers.net/m/lessons/networking-estrategico-em-canais-como-ativar-e-expandir-sua-rede-de-parceiros1772542642782?classId=3764</t>
  </si>
  <si>
    <t>https://pipelovers.curseduca.pro/m/lessons/modulo-4-certificacao-de-vendedores-b2b-gestao-de-carteira-e-expansao-de-receita-1774629783806?classId=3851</t>
  </si>
  <si>
    <t>Módulo 4  Certificação de Vendedores B2B Gestão de Carteira e Expansão de Receita - descript.mp4</t>
  </si>
  <si>
    <t>144.  PipeLovers💜 Canais &amp; Parcerias Networking estratégico em canais como ativar e expandir sua rede de parceiros com Filipe Ivo - descript.mp4</t>
  </si>
  <si>
    <t>Campanhas que funcionam no início do ano</t>
  </si>
  <si>
    <t>Marketing Manager - Partnership</t>
  </si>
  <si>
    <t>MÓDULO 5:  ROTINAS E HABILIDADES ESSENCIAIS DO VENDEDOR</t>
  </si>
  <si>
    <t>https://pipelovers.curseduca.pro/m/lessons/modulo-5-habilidades-essenciais-e-rotina-do-vendedor-1775063260546</t>
  </si>
  <si>
    <t>https://universidade.pipelovers.net/m/lessons/campanhas-que-funcionam-no-inicio-do-ano1772542642119?classId=3749</t>
  </si>
  <si>
    <t>Módulo 5  Certificação de Vendedores B2B Habilidades Essenciais e Rotina do Vendedor - descript.mp4</t>
  </si>
  <si>
    <t>145.  PipeLovers💜 Canais &amp; Parcerias Campanhas que funcionam no início do ano com Livia Lima - descript.mp4</t>
  </si>
  <si>
    <t>Boas práticas de relacionamento para parcerias duradouras</t>
  </si>
  <si>
    <t>Vinícius Saldivia</t>
  </si>
  <si>
    <t>Head de Parcerias</t>
  </si>
  <si>
    <t>https://www.linkedin.com/in/senhorvinicius/</t>
  </si>
  <si>
    <t>https://universidade.pipelovers.net/m/lessons/boas-praticas-de-relacionamento-para-parcerias-duradouras1772542642031?classId=3747</t>
  </si>
  <si>
    <t>146.  PipeLovers💜 Canais &amp; Parcerias Boas práticas de relacionamento para parcerias duradouras com Vinícius Saldivia - descript.mp4</t>
  </si>
  <si>
    <t>Onboarding e Customer Success do parceiro</t>
  </si>
  <si>
    <t>Mariana Magalhães</t>
  </si>
  <si>
    <t>https://www.linkedin.com/in/mariana-gomes-magalh%C3%A3es/</t>
  </si>
  <si>
    <t>https://universidade.pipelovers.net/m/lessons/onboarding-e-customer-success-do-parceiro1772542642829?classId=3765</t>
  </si>
  <si>
    <t>147. PipeLovers💜 Canais &amp; Parcerias Onboarding e Customer Success do parceiro com Mariana Magalhães - descript.mp4</t>
  </si>
  <si>
    <t>Definição de metas internas para a área de canais</t>
  </si>
  <si>
    <t>https://universidade.pipelovers.net/m/lessons/definicao-de-metas-internas-para-a-area-de-canais-1773152095428?classId=3778</t>
  </si>
  <si>
    <t>148. PipeLovers💜 Canais &amp; Parcerias Definição de metas internas para a área de canais com Nara Guimarães- descript.mp4</t>
  </si>
  <si>
    <t>Como manter o relacionamento quando o parceiro vende para concorrentes</t>
  </si>
  <si>
    <t>Henrique Rezende</t>
  </si>
  <si>
    <t>Senior Channel Account Manager</t>
  </si>
  <si>
    <t>https://www.linkedin.com/in/henriquerrezende/</t>
  </si>
  <si>
    <t>https://universidade.pipelovers.net/m/lessons/como-manter-o-relacionamento-quando-o-parceiro-vende-para-concorrentes-1771879881462?classId=3837</t>
  </si>
  <si>
    <t>149. PipeLovers💜 Canais &amp; Parcerias Como manter o relacionamento quando o parceiro vende concorrentes com Henrique Rezende- descript.mp4</t>
  </si>
  <si>
    <t>Como manter a motivação quando o canal não performa</t>
  </si>
  <si>
    <t>Geovanna Lara</t>
  </si>
  <si>
    <t>Chanel Manager</t>
  </si>
  <si>
    <t>https://www.linkedin.com/in/geovannalara/</t>
  </si>
  <si>
    <t>https://universidade.pipelovers.net/aulas/como-manter-a-motivacao-quando-o-canal-nao-performa-1775814316323</t>
  </si>
  <si>
    <t>150. PipeLovers💜 Canais &amp; Parcerias Como manter a motivação quando o canal não performa com Geovanna Lara - descript.mp4</t>
  </si>
  <si>
    <t>Inteligência artificial para engajar parceiros</t>
  </si>
  <si>
    <t>Bruno Maia</t>
  </si>
  <si>
    <t>Head Dados e IA</t>
  </si>
  <si>
    <t>Ifood</t>
  </si>
  <si>
    <t>https://www.linkedin.com/in/brunodanielmaia/</t>
  </si>
  <si>
    <t>https://universidade.pipelovers.net/m/lessons/inteligencia-artificial-para-engajar-parceiros-1773780201180?classId=3840</t>
  </si>
  <si>
    <t>151. PipeLovers💜 Canais &amp; Parcerias Inteligência artificial para engajar parceiros com Bruno Maia.mp4</t>
  </si>
  <si>
    <t>Estruturação e gestão de Co-Marketing com parceiros</t>
  </si>
  <si>
    <t>Vinicius Aguiar</t>
  </si>
  <si>
    <t>Commercial Partner Manager</t>
  </si>
  <si>
    <t>Kobe Apps</t>
  </si>
  <si>
    <t>https://www.linkedin.com/in/viniciusaguiarmorais/</t>
  </si>
  <si>
    <t>https://universidade.pipelovers.net/m/lessons/estruturacao-e-gestao-de-co-marketing-com-parceiros-1773694700752?classId=3824</t>
  </si>
  <si>
    <t>152. PipeLovers💜 Canais &amp; Parcerias Estruturação e gestão de Co-Marketing com parceiros com Vinicius Aguiar.mp4</t>
  </si>
  <si>
    <t>Forecast em canais: como montar, acompanhar e corrigir a rota</t>
  </si>
  <si>
    <t>Academia de Metas</t>
  </si>
  <si>
    <t>https://universidade.pipelovers.net/m/lessons/forecast-em-canais-como-montar-acompanhar-e-corrigir-a-rota-1773764797243?classId=3825</t>
  </si>
  <si>
    <t>153. PipeLovers💜 Canais &amp; Parcerias Forecast em canais como montar, acompanhar e corrigir a rota com Caio Vidal - descript.mp4</t>
  </si>
  <si>
    <t>Como construir um pipeline confiável em vendas indiretas</t>
  </si>
  <si>
    <t>José Hunzicker</t>
  </si>
  <si>
    <t>Channel Sales Manager</t>
  </si>
  <si>
    <t>Flash</t>
  </si>
  <si>
    <t>https://www.linkedin.com/in/jos%C3%A9-eduardo-hunzicker-antunes/</t>
  </si>
  <si>
    <t>https://universidade.pipelovers.net/m/lessons/como-construir-um-pipeline-confiavel-em-vendas-indiretas-1773765565839?classId=3826</t>
  </si>
  <si>
    <t>154. PipeLovers💜 Canais &amp; Parcerias Como construir um pipeline confiável em vendas indiretas com José Hunzicker - descript.mp4</t>
  </si>
  <si>
    <t>Vendas via canal: como negociar sem comprometer a margem</t>
  </si>
  <si>
    <t>Stephan Calandrino</t>
  </si>
  <si>
    <t>Gerente de canais</t>
  </si>
  <si>
    <t>Onvox</t>
  </si>
  <si>
    <t>https://www.linkedin.com/in/stephan-calandrino-16649bb/</t>
  </si>
  <si>
    <t>https://universidade.pipelovers.net/m/lessons/vendas-via-canal-como-negociar-sem-comprometer-a-margem-1773767978019?classId=3830</t>
  </si>
  <si>
    <t>155. PipeLovers💜 Canais &amp; Parcerias Vendas via canal como negociar sem comprometer a margem com Stephan Calandrino - descript.mp4</t>
  </si>
  <si>
    <t>Channel marketing: estratégias de Aquisição, engajamento e geração de demanda com parceiros</t>
  </si>
  <si>
    <t>Deize Schetz</t>
  </si>
  <si>
    <t>Gerente de Marketing de Canais</t>
  </si>
  <si>
    <t>https://www.linkedin.com/in/deizeschetz/</t>
  </si>
  <si>
    <t>https://universidade.pipelovers.net/m/lessons/channel-marketing-estrategias-de-aquisicao-engajamento-e-geracao-de-demanda-com-parceiros-1776197546039?classId=3955</t>
  </si>
  <si>
    <t>156. PipeLovers💜 Canais &amp; Parcerias Channel marketing estratégias de Aquisição, engajamento e geração de demanda com parceiros com Deize Schetz - descript.mp4</t>
  </si>
  <si>
    <t>Co-sell na prática: como escalar vendas com parceiros através da tecnologia</t>
  </si>
  <si>
    <t>Bruno Xavier</t>
  </si>
  <si>
    <t>Head of Partnerships</t>
  </si>
  <si>
    <t>Onfly</t>
  </si>
  <si>
    <t>https://www.linkedin.com/in/bruno-xavier-11096514/</t>
  </si>
  <si>
    <t>https://universidade.pipelovers.net/m/lessons/co-sell-na-pratica-como-escalar-vendas-com-parceiros-atraves-da-tecnologia-1773766947918?classId=3828</t>
  </si>
  <si>
    <t>157. PipeLovers💜 Canais &amp; Parcerias Co-sell na prática como escalar vendas com parceiros através da tecnologia com Bruno Xavier - descript.mp4</t>
  </si>
  <si>
    <t>Como adaptar sua comunicação para diferentes perfis de parceiros</t>
  </si>
  <si>
    <t>Bruno Romera</t>
  </si>
  <si>
    <t>Revi</t>
  </si>
  <si>
    <t>https://www.linkedin.com/in/bruno-colpaert-romera-335128134/</t>
  </si>
  <si>
    <t>https://universidade.pipelovers.net/m/lessons/como-adaptar-sua-comunicacao-para-diferentes-perfis-de-parceiros-1773767302165?classId=3829</t>
  </si>
  <si>
    <t>158. PipeLovers💜 Canais &amp; Parcerias Como adaptar sua comunicação para diferentes perfis de parceiros com Bruno Romera - descript.mp4</t>
  </si>
  <si>
    <t>O peso de ecossistemas na tese de investimento e valuation de empresas SaaS</t>
  </si>
  <si>
    <r>
      <rPr>
        <rFont val="Poppins"/>
        <b/>
        <color rgb="FFFFFFFF"/>
        <sz val="12.0"/>
      </rPr>
      <t xml:space="preserve">CADASTRO DE SESSÕES AO VIVO &amp; EXPERTS DE VENDAS B2B
</t>
    </r>
    <r>
      <rPr>
        <rFont val="Poppins"/>
        <b/>
        <color rgb="FFFFFFFF"/>
        <sz val="21.0"/>
      </rPr>
      <t>BIBLIOTECA DE CONTEÚDOS</t>
    </r>
  </si>
  <si>
    <t>https://universidade.pipelovers.net/m/lessons/o-peso-de-ecossistemas-na-tese-de-investimento-e-valuation-de-empresas-saas-1773766136629?classId=3827</t>
  </si>
  <si>
    <t>159. PipeLovers💜 Canais &amp; Parcerias O peso de ecossistemas na tese de investimento e valuation de empresas SaaS com Edson Rigonatti - descript.mp4</t>
  </si>
  <si>
    <t>Gestão de carteira de parceiros com a Matriz RFM</t>
  </si>
  <si>
    <t>Douglas Silva</t>
  </si>
  <si>
    <t>Parceria Labs</t>
  </si>
  <si>
    <t>https://www.linkedin.com/in/odouglassilva/</t>
  </si>
  <si>
    <t>https://universidade.pipelovers.net/m/lessons/gestao-de-carteira-de-parceiros-com-a-matriz-rfm-1778012020540?classId=3990</t>
  </si>
  <si>
    <t>Quando faz sentido criar uma área de canais na sua empresa</t>
  </si>
  <si>
    <t>Beatriz Schittino</t>
  </si>
  <si>
    <t>Gerente de Parcerias Estratégicas</t>
  </si>
  <si>
    <t>https://www.linkedin.com/in/beatrizschittino/</t>
  </si>
  <si>
    <t>https://universidade.pipelovers.net/m/lessons/como-aprender-com-vitorias-e-derrotas-para-melhorar-a-atuacao-dos-canais-1773772176498?classId=3831</t>
  </si>
  <si>
    <t>Como usar casos de sucesso para engajar e ativar novos canais</t>
  </si>
  <si>
    <t>Claudio Martins</t>
  </si>
  <si>
    <t>Head de Canais &amp; Parcerias</t>
  </si>
  <si>
    <t>Frenet</t>
  </si>
  <si>
    <t>https://www.linkedin.com/in/claudiofernandomartins/</t>
  </si>
  <si>
    <t>https://universidade.pipelovers.net/m/lessons/como-usar-casos-de-sucesso-para-engajar-e-ativar-novos-canais-1778788290511?classId=4002</t>
  </si>
  <si>
    <t>MÓDULO 2: Engenharia da Atenção - Especialização Prospecção</t>
  </si>
  <si>
    <t>Ricardo Correa</t>
  </si>
  <si>
    <t>https://pipelovers.curseduca.pro/m/lessons/engenharia-da-atencao-por-que-o-prospect-responde-ou-ignora-voce-1774645021735?classId=3855</t>
  </si>
  <si>
    <t>Case Senior: Ecossistema que gera receita</t>
  </si>
  <si>
    <t>Heber Silva</t>
  </si>
  <si>
    <t>Coordenador de Negócios</t>
  </si>
  <si>
    <t>Senior</t>
  </si>
  <si>
    <t>https://www.linkedin.com/in/heberlaet/</t>
  </si>
  <si>
    <t>Módulo 2  Especialização em prospecção Engenharia da atenção Por que o prospect responde (ou ignora) você -descript.mp4</t>
  </si>
  <si>
    <t>https://universidade.pipelovers.net/m/lessons/case-senior-ecossistema-que-gera-receita-1780517096282?moduleId=1433&amp;classId=4021</t>
  </si>
  <si>
    <t>MÓDULO 3: Produtividade, Cadência e Consistência</t>
  </si>
  <si>
    <t>https://www.linkedin.com/in/diegocordovez/</t>
  </si>
  <si>
    <t>Como planejar a entrada em novos mercados via canais</t>
  </si>
  <si>
    <t>Thiago Rotondo</t>
  </si>
  <si>
    <t>Gerente de parcerias</t>
  </si>
  <si>
    <t>Loja Integrada</t>
  </si>
  <si>
    <t>https://www.linkedin.com/in/thiagorotondo/</t>
  </si>
  <si>
    <t>https://pipelovers.curseduca.pro/m/lessons/programa-especializacao-em-prospeccao-1775859580421</t>
  </si>
  <si>
    <t>https://universidade.pipelovers.net/m/lessons/como-planejar-a-entrada-em-novos-mercados-via-canais-1778865833832?moduleId=1417&amp;classId=4003</t>
  </si>
  <si>
    <t>Módulo 3  - Especialização em prospecção Produtividade, cadência e consistência - descript.mp4</t>
  </si>
  <si>
    <t>Expansão de Mercado</t>
  </si>
  <si>
    <t>Jornada do IPP: como descobrir seus parceiros ideais</t>
  </si>
  <si>
    <t>Valerio Budke</t>
  </si>
  <si>
    <t>BestPartner</t>
  </si>
  <si>
    <t>https://www.linkedin.com/in/valerio-ricardo-budke/</t>
  </si>
  <si>
    <t xml:space="preserve">MÓDULO 4: Mensagens que geram conversão: WhatsApp, Linkedin e E-mail     </t>
  </si>
  <si>
    <t>https://universidade.pipelovers.net/m/lessons/jornada-do-ipp-como-descobrir-seus-parceiros-ideais-1778870346141?moduleId=1418&amp;classId=4004</t>
  </si>
  <si>
    <t>Módulo 4  Especialização em prospecção Mensagens que geram conversão (WhatsApp, LinkedIn e e-mail) - descript.mp4</t>
  </si>
  <si>
    <t>Processos e rituais para gestão eficaz de parceiros-chave</t>
  </si>
  <si>
    <t>Gustavo Valle</t>
  </si>
  <si>
    <t>EVOLVE</t>
  </si>
  <si>
    <t>https://www.linkedin.com/in/gusvalle/</t>
  </si>
  <si>
    <t>https://universidade.pipelovers.net/m/lessons/processos-e-rituais-para-gestao-eficaz-de-parceiros-chave-1782390566932?moduleId=1458&amp;classId=4042</t>
  </si>
  <si>
    <t>MÓDULO 5: Gestão de Objeções</t>
  </si>
  <si>
    <t>Gerente de Prospecção de Negócios</t>
  </si>
  <si>
    <t>Módulo 5 -  Especialização em prospecção Gestão de objeções.mp4</t>
  </si>
  <si>
    <t>Como estruturar uma estratégia de prospecção de parceiros que gera resultados.</t>
  </si>
  <si>
    <t>MÓDULO 6: Mapa de Poder &amp; Multithreading - Pagotto - Especialização Prospecção</t>
  </si>
  <si>
    <t>https://universidade.pipelovers.net/m/lessons/como-estruturar-uma-estrategia-de-prospeccao-de-parceiros-que-gera-resultados-1783085692519?moduleId=1526&amp;classId=4227</t>
  </si>
  <si>
    <t>https://pipelovers.curseduca.pro/m/lessons/mapa-de-poder-multi-threading-1774647109566</t>
  </si>
  <si>
    <t>Prospecção</t>
  </si>
  <si>
    <t>Case CIMED: Como construíram um time de representantes de alta performance</t>
  </si>
  <si>
    <t>Elaine Guzzo</t>
  </si>
  <si>
    <t>Educadora executiva da força de vendas</t>
  </si>
  <si>
    <t>CIMED</t>
  </si>
  <si>
    <t>https://www.linkedin.com/in/elaine-guzzo-ba08078b/</t>
  </si>
  <si>
    <t>https://universidade.pipelovers.net/m/lessons/case-cimed-como-construiram-um-time-de-representantes-de-alta-performance-1783100217231?moduleId=1525&amp;classId=4226</t>
  </si>
  <si>
    <t>Como conduzir conversas difíceis com parceiros estratégicos</t>
  </si>
  <si>
    <t>Lucas Lopan</t>
  </si>
  <si>
    <t>Yampi</t>
  </si>
  <si>
    <t>https://www.linkedin.com/in/lucaslopan/</t>
  </si>
  <si>
    <t>https://universidade.pipelovers.net/m/lessons/como-conduzir-conversas-dificeis-com-parceiros-estrategicos-1778592900163?moduleId=1411&amp;classId=3997</t>
  </si>
  <si>
    <t>Boas práticas para alinhamento entre marketing, vendas e canais</t>
  </si>
  <si>
    <t>Victor Schultz</t>
  </si>
  <si>
    <t>Gestor de Parcerias</t>
  </si>
  <si>
    <t>Umbler</t>
  </si>
  <si>
    <t>https://www.linkedin.com/in/victor-schultz/</t>
  </si>
  <si>
    <t>https://universidade.pipelovers.net/m/lessons/boas-praticas-para-alinhamento-entre-marketing-vendas-e-canais-1783100686212?moduleId=1472&amp;classId=4054</t>
  </si>
  <si>
    <t>Treinamento de Parceiros: Como transformar conhecimento em resultados</t>
  </si>
  <si>
    <t>Nathalia Leichsnering</t>
  </si>
  <si>
    <t>Gestora de Parcerias</t>
  </si>
  <si>
    <t>Auvo</t>
  </si>
  <si>
    <t>https://www.linkedin.com/in/nathalia-leichsnering/</t>
  </si>
  <si>
    <t>https://universidade.pipelovers.net/m/lessons/certificacao-e-treinamento-de-parceiros-em-novos-produtos-1785350680902?moduleId=1574&amp;classId=4449</t>
  </si>
  <si>
    <t>Canais que geram resultados de MRR</t>
  </si>
  <si>
    <t>Tiago Teixeira</t>
  </si>
  <si>
    <t>https://www.linkedin.com/in/tiagoteixeiraoficial/</t>
  </si>
  <si>
    <t>https://universidade.pipelovers.net/m/lessons/canais-que-geram-resultados-de-mrr-1785434867780?moduleId=1577&amp;classId=4452</t>
  </si>
  <si>
    <t>Gestão de mudanças em programas de canais</t>
  </si>
  <si>
    <t>Diego Almada</t>
  </si>
  <si>
    <t>Diretor de expansão</t>
  </si>
  <si>
    <t>Blow</t>
  </si>
  <si>
    <t>https://www.linkedin.com/in/diego-almada-92122056/</t>
  </si>
  <si>
    <t>https://universidade.pipelovers.net/m/lessons/gestao-de-mudancas-em-programas-de-canais-1786046457426?moduleId=1582&amp;classId=4471</t>
  </si>
  <si>
    <t>IA aplicada na gestão de vendas indiretas</t>
  </si>
  <si>
    <t>https://universidade.pipelovers.net/m/lessons/ia-aplicada-na-gestao-de-vendas-indiretas-1787066815356?moduleId=1592&amp;classId=4483</t>
  </si>
  <si>
    <t>Case Mercos: de 0 a 60 como construimos um canal do zero</t>
  </si>
  <si>
    <t>Andrea Kaestner</t>
  </si>
  <si>
    <t>https://www.linkedin.com/in/andr%C3%A9a-kaestner-03410621/</t>
  </si>
  <si>
    <t>https://universidade.pipelovers.net/m/lessons/case-mercos-de-0-a-60-como-construimos-um-canal-do-zero-1787066991400?moduleId=1593&amp;classId=4484</t>
  </si>
  <si>
    <t>Rituais de Gestão de performance com canais indiretos</t>
  </si>
  <si>
    <t>Gestora de Canais</t>
  </si>
  <si>
    <t>Goomer</t>
  </si>
  <si>
    <t>https://universidade.pipelovers.net/m/lessons/rituais-de-gestao-de-performance-com-canais-indiretos-1788463008810?moduleId=1642&amp;classId=4549</t>
  </si>
  <si>
    <t>Técnicas de engajamento de vendedores de parceiros</t>
  </si>
  <si>
    <t>Ellen Alexandra</t>
  </si>
  <si>
    <t>https://www.linkedin.com/in/ellenalexsandra/?isSelfProfile=false</t>
  </si>
  <si>
    <t>https://universidade.pipelovers.net/m/lessons/tecnicas-de-engajamento-de-vendedores-de-parceiros-1787067289106?moduleId=1594&amp;classId=4485</t>
  </si>
  <si>
    <r>
      <rPr>
        <rFont val="Poppins"/>
        <b/>
        <color rgb="FFFFFFFF"/>
        <sz val="12.0"/>
      </rPr>
      <t xml:space="preserve">CADASTRO DE CORTES DAS SESSÕES
</t>
    </r>
    <r>
      <rPr>
        <rFont val="Poppins"/>
        <b/>
        <color rgb="FFFFFFFF"/>
        <sz val="21.0"/>
      </rPr>
      <t>BIBLIOTECA DE CONTEÚDOS</t>
    </r>
  </si>
  <si>
    <t>Task ID</t>
  </si>
  <si>
    <t>Created At</t>
  </si>
  <si>
    <t>Completed At</t>
  </si>
  <si>
    <t>Last Modified</t>
  </si>
  <si>
    <t>Name</t>
  </si>
  <si>
    <t>Section/Column</t>
  </si>
  <si>
    <t>Assignee</t>
  </si>
  <si>
    <t>Assignee Email</t>
  </si>
  <si>
    <t># Vídeo</t>
  </si>
  <si>
    <t>Start Date</t>
  </si>
  <si>
    <t>Due Date</t>
  </si>
  <si>
    <t>Tags</t>
  </si>
  <si>
    <t>Notes</t>
  </si>
  <si>
    <t># Sessão</t>
  </si>
  <si>
    <t>Nome sessão</t>
  </si>
  <si>
    <t>Data sessão</t>
  </si>
  <si>
    <t>Projects</t>
  </si>
  <si>
    <t>Expert</t>
  </si>
  <si>
    <t>Parent Task</t>
  </si>
  <si>
    <t>Blocked By (Dependencies)</t>
  </si>
  <si>
    <t>Tempo (min)</t>
  </si>
  <si>
    <t>Blocking (Dependencies)</t>
  </si>
  <si>
    <t>Links</t>
  </si>
  <si>
    <t>Competência Pilar</t>
  </si>
  <si>
    <t>Tópico</t>
  </si>
  <si>
    <t>1204351766961426</t>
  </si>
  <si>
    <t>#C500 Os benefícios de um perfil de autoridade no LinkedIn</t>
  </si>
  <si>
    <t xml:space="preserve">Os 4 principais incentivos para Canais &amp; Parcerias </t>
  </si>
  <si>
    <t>Aguardando Aprovação</t>
  </si>
  <si>
    <t>mentorias@pipelovers.net</t>
  </si>
  <si>
    <t xml:space="preserve">SDR`s,Daniel Fideles </t>
  </si>
  <si>
    <t>Aula:
SDRs - Daniel Fideles - COMO TER UM PERFIL DE AUTORIDADE NO LINKEDIN
https://drive.google.com/file/d/1IYA1SvUJpCCA8E56Jv-1_jb6s88s-5CQ/view?usp=share_link
Minutagem:
2:25/3:42
Link vídeo final:
https://drive.google.com/file/d/1RyUE9V8XSGv1urqFWlR2Hb1GW2mdjF2i/view?usp=share_link
Link alteração:
Transcrição:
Eu não tenho métricas de viralização no LinkedIn, de posts que explodem de comentário, de curtida e mesmo assim, nos últimos 18 meses, mais ou menos, eu recebi umas 16 abordagens de empresa no meu LinkedIn, de pessoas que eu nunca conheci na vida pra trabalhar em  posições muito legais em empresas muito legais. Não sei se todo mundo tem interesse de ser observado pelo mercado, as vezes tem alguém aqui que não sei, quer empreender, quer ter a própria empresa.</t>
  </si>
  <si>
    <t>1204351766961428</t>
  </si>
  <si>
    <t>#C501 Seu perfil precisa de um storytelling</t>
  </si>
  <si>
    <t xml:space="preserve">Aula:
SDRs - Daniel Fideles - COMO TER UM PERFIL DE AUTORIDADE NO LINKEDIN
https://drive.google.com/file/d/1IYA1SvUJpCCA8E56Jv-1_jb6s88s-5CQ/view?usp=share_link
Minutagem:
4:38/6:10
Link vídeo final:
https://drive.google.com/file/d/1gviQQBTbMRgrxCOoRkMPcdTMCBCl4kN9/view?usp=share_link
Link alteração:
Transcrição:
</t>
  </si>
  <si>
    <t>#C502 A importância da sua landing page no LinkedIn</t>
  </si>
  <si>
    <t xml:space="preserve">Aula:
SDRs - Daniel Fideles - COMO TER UM PERFIL DE AUTORIDADE NO LINKEDIN
https://drive.google.com/file/d/1IYA1SvUJpCCA8E56Jv-1_jb6s88s-5CQ/view?usp=share_link
Minutagem:
9:42/11:20
Link vídeo final:
https://drive.google.com/file/d/1aCmMYn51-2G_NKw0CjwIIt-BgoMqEvOI/view?usp=share_link
Link alteração:
Transcrição:
Geralmente quando  você vê  ou a gente está fazendo uma venda de um produto, principalmente digital, quando a gente fala para curso, e-book, qualquer coisa assim, tem uma página feita exclusivamente para vender aquele produto. Nessa página explica se a proposta de valor desse produto, o que está dentro dele, quais são as condições de garantia e o botão para você comprar aquele produto.
Então, resumindo, é uma página focada para venda de um produto somente. E no LinkedIn, o que é a sua landing page? É o seu perfil, porque no LinkedIn vocês vão ver que existe muito post que viraliza. Com certeza todo dia você vê pelo um post na sua timeline no seu feed de que viralizou. E aí, o que acontece? Não adianta esse post viralizar e quando você visitar o perfil da pessoa que postou aquele conteúdo, o perfil não ser de uma pessoa interessante.
O que tem que acontecer? Quando a pessoa entrar no seu perfil, ela tem que ter vontade de falar com você ou no mínimo, de te seguir.  Ela tem que ver assim, poxa é fulano, é muito bom, parece ser uma pessoa com conteúdo muito interessante, seja na carreira que for. No caso aqui, a gente está falando do mundo  de vendas B2B, de prospecção, de SDR e de BDR. Mas isso vale para qualquer carreira em que a gente esteja.
</t>
  </si>
  <si>
    <t>1204351766961432</t>
  </si>
  <si>
    <t>#C503 Mostre que vendas é prioridade na sua carreira</t>
  </si>
  <si>
    <t xml:space="preserve">Aula:
SDRs - Daniel Fideles - COMO TER UM PERFIL DE AUTORIDADE NO LINKEDIN
https://drive.google.com/file/d/1IYA1SvUJpCCA8E56Jv-1_jb6s88s-5CQ/view?usp=share_link
Minutagem:
18:15/19:36
Link vídeo final:
https://drive.google.com/file/d/1RhGlmbzLCadAIljnJVz-Jyxci3dyhXbn/view?usp=share_link
Link alteração:
Transcrição:
Pagotto, é a minha experiência, eu não sei, tá? Para mim, você é uma pessoa fora da curva, né? Você trabalha com o tema desde o início da carreira, desde estagiário eu acho, né? Quando você  estava na faculdade? Eu comecei, estava na faculdade, eu virei trainee de vendas eu estava  bem no comecinho de carreira. Então trabalhei um pouco com comércio exterior, mas rapidinho eu já entrei em vendas. Porque assim, eu acho que seu perfil ele é uma raridade. muitas vezes pelo menos no Brasil eu acho que tem um preconceito com o tema de vendas. Muita gente,  muitas vezes a gente pega um trabalho de vendedor como um side job, ou um trabalho temporário só pra gente se alavancar. Então é assim gente, eu não gostaria que o perfil de quem está aqui  mostrasse que vendas é apenas uma opção na carreira, é um movimento temporário.
Você não pode mostrar isso, você tem que mostrar que vendas é uma escolha de vida e que você está tentando ser um expert nisso. E como eu pessoalmente fiz isso, tendo uma carreira muito, muito curta em vendas até o momento, além de mexer no meu perfil, tudo que é postagem que eu faço vocês vão ver  no meu perfil.
Fiquem à vontade para me adicionar como amigo, me seguir, mandar mensagem. Tudo que é post que eu faço é relacionado a venda.
</t>
  </si>
  <si>
    <t>1204351766961434</t>
  </si>
  <si>
    <t>#C504 O passo a passo para um perfil de sucesso no LinkedIn</t>
  </si>
  <si>
    <t>https://drive.google.com/file/d/1bbSvYN9hBrsZAgLY41lNtDe83p3oAIvx/view?usp=share_link</t>
  </si>
  <si>
    <t xml:space="preserve">Aula:
SDRs - Daniel Fideles - COMO TER UM PERFIL DE AUTORIDADE NO LINKEDIN
https://drive.google.com/file/d/1IYA1SvUJpCCA8E56Jv-1_jb6s88s-5CQ/view?usp=share_link
Minutagem:
23:40/25:40
Link vídeo final:
https://drive.google.com/file/d/1FgZ8c8ZQxKit8LDaziCJ3tMaE8Q_ND_d/view?usp=share_link
Link alteração:
Transcrição:
No próprio LinkedIn, eu não sei se a galera aqui já viu. Agora você consegue programar post.  Se você escreve aqui em começar um post, existe aqui um programar para mais tarde. Você pode programar um post de texto com foto, com vídeo, você seleciona a data em que esse post tem que sair e o horário em que esse post tem que sair.
E aí você só bota pra programar e imagina, você faz isso uma vez por semana, pra semana toda. Aí você não tem que mais olhar pra isso, Isso vai acontecer automaticamente. Outra coisa, você não sabe  que foto de cover aqui de  capa você coloca no seu perfil do LinkedIn. No o Canva, que é uma ferramenta gratuita. Se você digitar LinkedIn cover, vão aparecer trocentas 1000 opções que você pode pegar uma, editar e colocar seu nome, sua expertise e colocar uma capa super maneira no LinkedIn que a pessoa vai bater e vai falar nossa,  essa pessoa entende do que  ela trabalha, do que ela fala.
Outra coisa muito legal você não tem uma foto de perfil bacana no LinkedIn? Tem tanto serviço gratuito pra você montar uma foto, maneira de LinkedIn, removendo fundo, tendo alguma edição deixando a gente mais bonito, tipo essa daqui Profile Pic Maker. Você pega esse site, sobe uma foto, ele vai fazer várias  edições utilizando a inteligência artificial pra você ter uma foto boa pro seu perfil.
Então é assim gente, hoje não tem motivos pra gente não ter um perfil bacana no LinkedIn e a gente não vai gastar nada.
</t>
  </si>
  <si>
    <t>1204481685234844</t>
  </si>
  <si>
    <t>#C505 A comunicação é fundamental para o desempenho em vendas</t>
  </si>
  <si>
    <t>Eduardo Bertochi</t>
  </si>
  <si>
    <t>producao.edu23@gmail.com</t>
  </si>
  <si>
    <t>Líderes,Jéssica Bortolato</t>
  </si>
  <si>
    <t xml:space="preserve">Aula:
Líderes de Vendas - Jéssica Bortolato - O impacto de comunicar a estratégia da empresa para vendedores
https://drive.google.com/file/d/1CcmrBdAlYmsDGfqEJbcWG9yYmohnocrB/view?usp=share_link
Minutagem:
8:30/10:25
Link vídeo final:
Link alteração:
Transcrição:
</t>
  </si>
  <si>
    <t>1204481685234846</t>
  </si>
  <si>
    <t>#C506 A estratégia por trás de uma comunicação de metas efetiva</t>
  </si>
  <si>
    <t xml:space="preserve">Aula:
Líderes de Vendas - Jéssica Bortolato - O impacto de comunicar a estratégia da empresa para vendedores
https://drive.google.com/file/d/1CcmrBdAlYmsDGfqEJbcWG9yYmohnocrB/view?usp=share_link
Minutagem:
10:36/12:06
Link vídeo final:
Link alteração:
Transcrição:
</t>
  </si>
  <si>
    <t>1204481685234848</t>
  </si>
  <si>
    <t>#C507 O que deve ou não ser comunicado no ambiente corporativo</t>
  </si>
  <si>
    <t xml:space="preserve">Aula:
Líderes de Vendas - Jéssica Bortolato - O impacto de comunicar a estratégia da empresa para vendedores
https://drive.google.com/file/d/1CcmrBdAlYmsDGfqEJbcWG9yYmohnocrB/view?usp=share_link
Minutagem:
18:36/20:53
Link vídeo final:
Link alteração:
Transcrição:
</t>
  </si>
  <si>
    <t>#C508 Insight: Quando o cenário é crítico o espaçamento da comunicação é menor</t>
  </si>
  <si>
    <t xml:space="preserve">Aula:
Líderes de Vendas - Jéssica Bortolato - O impacto de comunicar a estratégia da empresa para vendedores
https://drive.google.com/file/d/1CcmrBdAlYmsDGfqEJbcWG9yYmohnocrB/view?usp=share_link
Minutagem:
24:49/26:39
Link vídeo final:
Link alteração:
Transcrição:
</t>
  </si>
  <si>
    <t>1204481685234852</t>
  </si>
  <si>
    <t>#C509 Construa a cultura da comunicação</t>
  </si>
  <si>
    <t xml:space="preserve">Aula:
Líderes de Vendas - Jéssica Bortolato - O impacto de comunicar a estratégia da empresa para vendedores
https://drive.google.com/file/d/1CcmrBdAlYmsDGfqEJbcWG9yYmohnocrB/view?usp=share_link
Minutagem:
26:41/27:48
Link vídeo final:
Link alteração:
Transcrição:
</t>
  </si>
  <si>
    <t>1204481685234834</t>
  </si>
  <si>
    <t>O impacto da inteligência artificial em vendas</t>
  </si>
  <si>
    <t>Alterações solicitadas</t>
  </si>
  <si>
    <t>Thiago Reis,Planejamento Comercial</t>
  </si>
  <si>
    <t xml:space="preserve">Aula:
Planejamento Comercial - Thiago Reis - Inteligencia Artificial aplicada a Planejamento Comercial
https://drive.google.com/file/d/1AzDF39r1cV34evOCe6gVvFzsoHDI3w1H/view?usp=share_link
Minutagem:
6:01//6:43 — 7:47/7:55 — 8:27/9:03 — 11:10/11:57
Link vídeo final:
https://drive.google.com/file/d/1QuGtI7qVv9eH3Yg98PDchCG4d2G-DRCZ/view?usp=share_link
Link alteração:
Transcrição:
Como você acha que a inteligência artificial pode, de fato ajudar a otimizar esse processo de planejamento comercial e  aumentar a efetividade  das operações de vendas?  É difícil dizer aonde que ela não vai impactar.  Porque, por exemplo, hoje você usando soluções de sprint analytics, você consegue transcrever 100% da ligação de um SDR, você consegue jogar ela para dentro de um modelo de dados e a partir de uma  leve calibragem, você vai pegar objeção, emoção, insegurança.
Então o negócio que você precisaria de cinco pessoas para fazer a auditoria de chamada, quatro clicks e você consegue auditar um número ilimitado de pessoas e corrigir especificamente aquela pessoa. A gente vai ter uma diminuição muito grande  da necessidade de Closers e SDRs, de  cara, Sales Ops, Sales Planning e  todo o restante aí que a gente tem. Ter  toda a lógica de automatização a partir da ligação, de  transcrever voz, captar emoção, pegar gaps e a partir disso criar um plano de desenvolvimento individual do teu vendedor ou do teu SDR baseado em um modelo e não na percepção de uma pessoa, e aí você escala ao infinito,  você não vai mais analisar uma amostragem de reunião ou uma amostragem de ligação, você analisa tudo  e você vai conseguir ter coach e correção de pessoas em uma velocidade muito superior, podendo ter um nível de personalização de capacitação individual.
</t>
  </si>
  <si>
    <t>1204481685234836</t>
  </si>
  <si>
    <t>Insight: Os profissionais de vendas B2B serão substituídos?</t>
  </si>
  <si>
    <t xml:space="preserve">Aula:
Planejamento Comercial - Thiago Reis - Inteligencia Artificial aplicada a Planejamento Comercial
https://drive.google.com/file/d/1AzDF39r1cV34evOCe6gVvFzsoHDI3w1H/view?usp=share_link
Minutagem:
12:04/14:02
Link vídeo final:
https://drive.google.com/file/d/1sqwzfq3WUhJCl58jGq4YZGCzCY4Twx0I/view?usp=share_link
Link alteração:
Transcrição:
Minha esposa trabalha a gerenciando uma operação terceira de centenas de pessoas que tem Insight Sales e SDRs. Eles tinham recursos que ficavam lá fazendo monitoria de ligação. Cara, hoje  isso não é mais necessário, nem ferramentas americanas que custam  algumas dezenas ou centenas de dólares por usuário. Hoje não, eles pegam a transcrição, já joga, já vê que palavras que estão usando e ou seja, é um trabalho que era feito pontualmente com alguns dos SDR  ou com alguns Insight Sales, hoje já tá automatizado pra todo mundo. Cara, isso em coisa de que três meses atrás não  existia. Então, naturalmente a gente vai ter redução de pessoas porque a máquina vai conseguir responder, o chatbot vai qualificar, a inteligência de big data vai dizer se aquele cara é seu ICP sim ou não.
E do nosso lado a gente vai precisar de muito menos gente para fazer trabalhos manuais.  É um pouco desesperador a gente,  principalmente para quem tem uma comunidade de profissionais de vendas B2B, pensar nisso, né? Que o número de profissionais de vendas B2B vai diminuir. Mas tem um alento que é as pessoas que sobrarem vão precisar se capacitar um pouco mais para conseguir entender mais de negócio, porque, enfim acho que nem tudo vai ser  automatizado tão rapidamente pelo menos eu espero.
</t>
  </si>
  <si>
    <t>A representatividade feminina dentro da PipeLovers!</t>
  </si>
  <si>
    <t xml:space="preserve">Aula:
Planejamento Comercial - Thiago Reis - Inteligencia Artificial aplicada a Planejamento Comercial
https://drive.google.com/file/d/1AzDF39r1cV34evOCe6gVvFzsoHDI3w1H/view?usp=share_link
Minutagem:
15:44/17:28
Link vídeo final:
https://drive.google.com/file/d/11o7FpGobsUZx-yVIHNV_JC0xwoazM8vu/view?usp=share_link
Link alteração:
Transcrição:
A minha briga aqui na Pipelovers é pra eu ter 50/50, 50% homens, 50% mulher. Em geral a gente consegue, né? Agora é muito, muito interessante ver como em geral tem um nível de insegurança maior nas mulheres de confirmar, acho que elas fazem muito mais perguntas, querem entender a audiência, etc. Uma das coisas que mais me chama a atenção é quanto que o pessoal vai pedir autorização da empresa.
Em geral, quando eu convido homens, as pessoas me respondem na hora “Legal, eu topo, só a gente ver se eu tenho a disponibilidade de data ou não”. As mulheres em geral falam “Eu preciso ver se a minha empresa autoriza”. Cara, assim, eu  sempre respondo falando assim, “Cara, em geral as pessoas não precisam, né?” Mas acho que tem uma insegurança grande em relação a isso e acho que o nosso papel aqui é dar cada vez mais voz, porque quanto mais comum for ter essa visibilidade, acho que as pessoas vão entender que não requer isso.
</t>
  </si>
  <si>
    <t>1204481685234838</t>
  </si>
  <si>
    <t>Inteligência Artificial para forecast de vendas</t>
  </si>
  <si>
    <t xml:space="preserve">Aula:
Planejamento Comercial - Thiago Reis - Inteligencia Artificial aplicada a Planejamento Comercial
https://drive.google.com/file/d/1AzDF39r1cV34evOCe6gVvFzsoHDI3w1H/view?usp=share_link
Minutagem:
15:00/15:07 — 17:52/20:00
Link vídeo final:
https://drive.google.com/file/d/1KLSUkXhwVWat76bq6kfF9zP6VM5jd9nY/view?usp=share_link
Link alteração:
Transcrição:
Eu sinto que a gente está com um problema um passo atrás, que é a qualidade do dado está sendo imputado dentro do CRM. Eu acho que falta um pouco de processo nessa ponta para que a gente entenda melhor as passagens das etapas e a partir disso, ter algo efetivamente confiável e não ter apenas  a oportunidade que o vendedor tem confiança de que fechou, e aí a gente começa a ter, porque qual é o trabalho que a gente tem com o GPT ou com qualquer outra IA? É você ensinar ela, você gasta um tempo treinando ela, por mais que seja um modelo de Deep e não de Machine, ele precisa entender um padrão de comportamento até mesmo para aprender sozinho e para a partir disso poder fazer o padrão de previsibilidade. O que eu gostava muito do Insightsquared é que ele com pouca informação, ele já consegue jogar a previsibilidade.
E aí ele faz uma coisa  que é muito fo**, que ele muda o comportamento do vendedor, porque como ele começa a gerar insights muito valiosos, do tipo, essa conta vai ser perdida porque ela está a mais de três dias sem falar com o Decision Maker, e aí o que isso faz? Isso começa a meio que servir quase como um coach para mostrar para o vendedor que ele não pode ficar mais de três dias sem falar com uma conta que está  da etapa de sei lá, de proposta para frente.
</t>
  </si>
  <si>
    <t>Os principais modelos de Canais &amp; Parcerias</t>
  </si>
  <si>
    <t>1204481685234842</t>
  </si>
  <si>
    <t>https://drive.google.com/file/d/1xUL5q95cIgGoUr-ld3r154oq86rpAfVv/view?usp=share_link</t>
  </si>
  <si>
    <t>Homem VS. Máquina: O futuro do planejamento de vendas</t>
  </si>
  <si>
    <t xml:space="preserve">Aula:
Planejamento Comercial - Thiago Reis - Inteligencia Artificial aplicada a Planejamento Comercial
https://drive.google.com/file/d/1AzDF39r1cV34evOCe6gVvFzsoHDI3w1H/view?usp=share_link
Minutagem:
27:29/27:44 — 28:30/29:57
Link vídeo final:
https://drive.google.com/file/d/10zJy5qE8rrisr8KkeOGGTG0vQ5mKwBtb/view?usp=share_link
Link alteração:
Transcrição:
Como a gente pode garantir que a inteligência artificial melhore os nossos processos sem prejudicar o contato pessoal com clientes e garantir segurança de dados e  manter o engajamento de vendedores dentro desses processos? Caro, sabe o que eu faço? Proposta comercial. A nossa proposta comercial ela tem assim: Descrição da empresa, objetivo, pontos de atenção, desafios e obstáculos. Cara, eu pego a minha reunião que eu fiz com cliente,  eu exporto ela para AVI, de AVI eu subo ela para o transcriptor do transcriptor eu jogo pra dentro do Chat GPT, do Chat GPT eu tenho um prompt pronto com essas variáveis falando “Considerando essa reunião aqui, me faça a descrição do que a empresa, qual é o desafio, qual é o objetivo, qual é o modelo de negócio e quais são as variáveis. Cara, cospe assim, perfeitamente e eu jamais faria dessa maneira.  Agora você imagina essa po*** integrada com teu CRM, com a tua ferramenta de voz e com um click sai a tua proposta com a transcrição da chamada e ainda sai a tua Champions letter sem você precisar escrever uma única linha.
</t>
  </si>
  <si>
    <t>1204351766960379</t>
  </si>
  <si>
    <t>A importância do alinhamento de expectativas para o sucesso de Canais &amp; Parcerias</t>
  </si>
  <si>
    <t>Os benefícios de balancear a vida pessoal com o trabalho</t>
  </si>
  <si>
    <t>Líderes,Mauricio Schorsch</t>
  </si>
  <si>
    <t>https://drive.google.com/file/d/1q4yq695kbeoRfiPDOn2G1PPBSvi0TSIZ/view?usp=share_link</t>
  </si>
  <si>
    <t xml:space="preserve">Aula:
Líderes de Vendas - Mauricio Schorsch - O papel da liderança no Work-Life Balance
https://drive.google.com/file/d/1JaVR8ctRWb0sQ_1UfGfW-iLh3oU-Cy70/view?usp=share_link
Minutagem:
7:02/9:12
Link vídeo final:
https://drive.google.com/file/d/17ObeBFDP3NfbWMu7Zz0ZEeb78cxQCJ1O/view?usp=share_link
Link alteração:
Transcrição:
 O que para você é work-life balance, o que tem um pouco de teoria por trás disso?
A primeira provocação que eu faço é, o que é work-life balance, ou seja, existe diferença entre vida pessoal e profissional? Em tempos de pandemia, trabalho híbrido, trabalhando de casa. Então estou aqui, quando acabar essa sessão de hoje eu vou sair ali, vou fazer um carinho nos cachorros, vou tomar um café com a mulher, vou falar com a minha filha.
Antes de falar de definição, para mim, isso é uma definição muito particular minha, tá bom? Eu acho que quando eu falo work-life balance, para mim não é ter horário para começar e terminar o trabalho, só isso. Eu acho que tem uma questão de se no meio do dia eu levantar e eu for ao mercado, cara, eu estou resolvendo um assunto meu particular ali, não vai comprometer meu dia, eu vou lá e eu faço. Então, eu acho que para mim o que eu vejo de work-life balance é exatamente poder ter esse equilíbrio entre as duas coisas e que para mim não se separam.
</t>
  </si>
  <si>
    <t>1204187287484066</t>
  </si>
  <si>
    <t>Quem deve conduzir uma análise de win-loss?</t>
  </si>
  <si>
    <t>É possível implementar mais de um modelo de Canais &amp; Parcerias?</t>
  </si>
  <si>
    <t>Líderes,Caio Montagner</t>
  </si>
  <si>
    <t xml:space="preserve">Aula:
Líderes de Vendas - Win-Loss Analysis - Caio Montagner da Live University
https://drive.google.com/file/d/1f9sLDaIhh5aOss7gbZ9nZMGVPPn4pk28/view?usp=share_link
Minutagem:
27:50/29:10
Link vídeo final:
https://drive.google.com/file/d/1xdSVgOoHvj1hSVZ62ikwRJ2zoacnWUjy/view?usp=share_link
Transcrição:
Quem deveria conduzir essa entrevista? Se é o próprio closer que participou da oportunidade, ganhou ou perdeu, uma pessoa de fora, tem alguma recomendação nesse aspecto?
Só não pode ser o vendedor, pode ser qualquer pessoa, pode ser uma consultoria terceira, pode ser o Caio, liga para o Caio e pede para o Caio ligar.
Para para pensar, ele contou para você que fechou só que ele tem uma sensação de que cara, seria legal que ele te falasse coisas que você quer ouvir e no fundo se o rito da informação vier por quem estava envolvido pela venda, primeiro lugar que pode ser o cliente não partilhe a informação, em segundo que o vendedor que fechou ele tem um viés do porque ele fechou. Então ele pode preencher esse nosso futuro banco de dados, através de uma ferramenta de coleta para depois compor a análise win-loss de uma maneira enviesada e não é isso que a gente quer, o que a gente quer é alguém isento, então pode ser qualquer pessoa, só não pode ser o vendedor.
</t>
  </si>
  <si>
    <t>https://drive.google.com/file/d/1ndsOXeTSfZ_BYgd9Bc20A1RX5Id4yGHf/view?usp=share_link</t>
  </si>
  <si>
    <t>1204187286981736</t>
  </si>
  <si>
    <t>Uma experiência real sobre a análise win-loss</t>
  </si>
  <si>
    <t>Líderes,Gustavo Pagotto,Caio Montagner</t>
  </si>
  <si>
    <t xml:space="preserve">Aula:
Líderes de Vendas - Win-Loss Analysis - Caio Montagner da Live University
https://drive.google.com/file/d/1f9sLDaIhh5aOss7gbZ9nZMGVPPn4pk28/view?usp=share_link
Minutagem:
3:41/5:16
Link vídeo final:
https://drive.google.com/file/d/1l_WygAvA_57pRBYY_k43oVPabn1VB3RJ/view?usp=share_link
Transcrição:
A minha história com win-loss, eu acho que eu comecei meio sem querer a usar essa ferramenta, né? Na minha época eu estava na TOTVS, a gente estava lançando um produto novo. Era a primeira vez que a empresa estava colocando uma equipe de vendas de especialistas, né? Enfim a TOTVS é bem conhecida pelo ERP e a gente estava vendendo um produto de BI, Cross na nossa base e a gente começou a vender, acertamos a mão sem saber muito bem como que tinha acertado. E aí eu falei, cara mas tem muita coisa acontecendo, muita gente pedindo, muito colateral de vendas, faz mais evento, muda isso no produto, faz aquela feature.
E eu falei, Vini vamos fazer um negócio cara, acho que é meio mobral aqui mas todo o cliente que a gente fechar você vai ligar para o cliente e vai perguntar o porque ele comprou. E aí depois eu fui descobrir, depois de muito tempo, que a gente estava fazendo uma parte da win-loss analysis, a gente só estava analisando o win e o loss não estava dando muito para analisar. Acho que desde então eu comecei a ver como é importante saber o que você está acertando, e não é só feeling, né? As vezes você como vendedor, como gerente de vendas, coloca tanta energia no "ah não, eu acho que isso está dando certo" e você não fez esse estudo, assim como tem alguns pontos que você está deixando passando batido e em uma pesquisa pode te trazer.
</t>
  </si>
  <si>
    <t>1204187287484064</t>
  </si>
  <si>
    <t>Como avaliar o potencial de um canal?</t>
  </si>
  <si>
    <t>Quais métricas são tiradas de uma análise de win-loss?</t>
  </si>
  <si>
    <t>https://drive.google.com/file/d/1z1FCoVtoH0NiR4WPvlSEULagmnmdnFfC/view?usp=share_link</t>
  </si>
  <si>
    <t xml:space="preserve">Aula:
Líderes de Vendas - Win-Loss Analysis - Caio Montagner da Live University
https://drive.google.com/file/d/1f9sLDaIhh5aOss7gbZ9nZMGVPPn4pk28/view?usp=share_link
Minutagem:
22:37/23:08 — 23:11/26:15 — 26:56/17:04
Link vídeo final:
https://drive.google.com/file/d/1rl0r-1wzJkCcd9Hzmr-gvP4Nckntv4Bq/view?usp=share_link
Transcrição:
Eu queria entender, um pouco mais o que dá para tirar de métricas e se você puder dar alguns exemplos de perguntas efetivamente que vão para esse questionário, que vão ajudar a tirar essas perguntas, né?
Cara, perfeito. Eu queria que vocês imaginassem uma planilha de Excel, com as seguintes colunas, sendo que cada linha é um cliente, beleza? Seja de win, seja de loss. Então eu vou ter na primeira coluna CNPJ, ai na segunda coluna eu vou ter seguimento, ai na próxima coluna eu vou ter Business Unit, que parte da tua empresa que atendeu esse cliente, ai na próxima coluna eu vou ter o nome do vendedor, a próxima coluna o time do vendedor, ai na próxima coluna eu vou ter os produtos que foram oferecidos, e mais, eu posso ter outras colunas com as respostas efetivamente do win-loss que eu nem falei quais são as perguntas ainda. Só nessas coisas que são identificatórias de quem é o cliente, eu já consigo fazer que seja aqueles gráficos dinâmicos ou tabelas dinâmicas do Excel, para avaliar se os wins estão mais associados a algum tipo, tamanho, perfil, cotação, prazo de relação com o cliente e o loss também. Então começa a ficar mais identificável, onde foi que eu acertei e onde foi que eu errei.
</t>
  </si>
  <si>
    <t>Como implantar a análise win-loss na minha empresa?</t>
  </si>
  <si>
    <t xml:space="preserve">Aula:
Líderes de Vendas - Win-Loss Analysis - Caio Montagner da Live University
https://drive.google.com/file/d/1f9sLDaIhh5aOss7gbZ9nZMGVPPn4pk28/view?usp=share_link
Minutagem:
11:45/12:02 — 12:04/13:11 — 17:11/17:22
Link vídeo final:
https://drive.google.com/file/d/1bKi1iBa1qdhyHElVqi8Tv288BTr8zFNm/view?usp=share_link
Transcrição:
Como que eu começo para implementar um processo de win-loss dentro da minha operação de vendas e principalmente, quem são as pessoas ou as áreas que se envolvem nesse fluxo para começar, principalmente quando eu tenho poucos recursos? Queria que você comentasse bem uma forma prática.
Perfeito. Bom, o win-loss ele só faz sentido se ele for uma prática recorrente e ela envolve eu entrar em contato com o cliente.
E aí Caio, pode ser por e-mail? Caio, pode ser, talvez se eu fizesse um questionário desses de typeform e mandar, SurveyMonkey, Google Forms. A recomendação é que você esteja um pouco mais próximo do cliente, porque os levantamentos costumeiramente são qualitativos, né? Eles explicam razões e motivos. Então a primeira coisa, fazer com recorrência. Segunda coisa amostragem, eu vou falar com todos os clientes? Depende do tamanho do seu negócio. Então, a estruturação em essência é essa, faça sempre, escolha para quem você vai ligar, efetivamente ligue, não deixe isso como a falta de prioridade e organize no banco de dados para que você possa fazer análises.
</t>
  </si>
  <si>
    <t>1203831885482382</t>
  </si>
  <si>
    <t>Dicas para alcançar resultados sem uma estrutura corporativa elaborada</t>
  </si>
  <si>
    <t>A estratégia de fusão entre agentes autônomos complementares</t>
  </si>
  <si>
    <t>Programa de Agentes Autônomos - XP Investimentos</t>
  </si>
  <si>
    <t>SDR`s,Lucas Abrucezze</t>
  </si>
  <si>
    <t xml:space="preserve">Aula:
SDRs "Estruturando - Operação de Pré-Vendas - Lucas Abrucezze
https://drive.google.com/file/d/1eobnzflRQV_JotskVb-7ac4aDCnoB0td/view?usp=share_link
Minutagem:
23:29/23:34 — 23:40/24:45 — 26:31/27:14
Link vídeo final:
https://drive.google.com/file/d/1QZnxcuXSL87xQ5nVRDHjeuqiYA-AvbNs/view?usp=share_link
Alteração:
</t>
  </si>
  <si>
    <t>Head Inside Sales</t>
  </si>
  <si>
    <t xml:space="preserve">XP investimentos </t>
  </si>
  <si>
    <t>https://drive.google.com/file/d/14u2IhcF4oEJDdvzJOMQE2foUV7BTL358/view?usp=share_link</t>
  </si>
  <si>
    <t>Você é o vendedor que cola na prova?</t>
  </si>
  <si>
    <t xml:space="preserve">Aula:
SDRs "Estruturando - Operação de Pré-Vendas - Lucas Abrucezze
https://drive.google.com/file/d/1eobnzflRQV_JotskVb-7ac4aDCnoB0td/view?usp=share_link
Minutagem:
20:36/22:01
Link vídeo final:
https://drive.google.com/file/d/1ql9bTYEopcpvQgWyKHUgs1rt9QSnxjs4/view?usp=share_link
Alteração:
</t>
  </si>
  <si>
    <t>1203951798592318</t>
  </si>
  <si>
    <t>O cliente ideal da venda porta a porta</t>
  </si>
  <si>
    <t>Executivo de Vendas,Fernando Baldan</t>
  </si>
  <si>
    <t xml:space="preserve">Aula:
Executivos de Vendas - Fernando Baldan - Funil de Vendas Porta a Porta
https://drive.google.com/file/d/1xekoux1poIpTVRYb5nGFSq0b_WQmHoNb/view?usp=share_link
Minutagem:
15:42/17:48
Link vídeo final:
https://drive.google.com/file/d/1zi7g7BmzlqJBA0ndTkMUG1xAowFpXCZC/view?usp=share_link
Alteração:
</t>
  </si>
  <si>
    <t>O sucesso de uma parceria depende da troca</t>
  </si>
  <si>
    <t>1203951798592322</t>
  </si>
  <si>
    <t>https://drive.google.com/file/d/107w264uWO1zJe6N5bYQdJuMaRCX7B5cx/view?usp=share_link</t>
  </si>
  <si>
    <t>Conselhos para uma reunião de venda</t>
  </si>
  <si>
    <t xml:space="preserve">Aula:
Executivos de Vendas - Fernando Baldan - Funil de Vendas Porta a Porta
https://drive.google.com/file/d/1xekoux1poIpTVRYb5nGFSq0b_WQmHoNb/view?usp=share_link
Minutagem:
36:46/37:25 — 37:45/37:55 — 38:32/39:30
Link vídeo final:
https://drive.google.com/file/d/1UuBuKJ3aC--m63IN2RAOsopBw_hTMe7d/view?usp=share_link
Alteração:
</t>
  </si>
  <si>
    <t>Remuneração do canal de vendas da XP</t>
  </si>
  <si>
    <t>1203951798592316</t>
  </si>
  <si>
    <t>Como funciona a venda porta a porta?</t>
  </si>
  <si>
    <t>https://drive.google.com/file/d/1v1OACtbZ9VzG71Lg9EQx7oqACHufrv2w/view?usp=share_link</t>
  </si>
  <si>
    <t xml:space="preserve">Aula:
Executivos de Vendas - Fernando Baldan - Funil de Vendas Porta a Porta
https://drive.google.com/file/d/1xekoux1poIpTVRYb5nGFSq0b_WQmHoNb/view?usp=share_link
Minutagem:
13:09/13:26 — 13:28/15:14
Link vídeo final:
https://drive.google.com/file/d/1bgHOaYJBZdhzw6F-4Y1CcpIDJq0DRFdq/view?usp=share_link
Alteração:
</t>
  </si>
  <si>
    <t>A importância do relacionamento entre vendedor e cliente no B2B</t>
  </si>
  <si>
    <t xml:space="preserve">Aula:
Executivos de Vendas - Fernando Baldan - Funil de Vendas Porta a Porta
https://drive.google.com/file/d/1xekoux1poIpTVRYb5nGFSq0b_WQmHoNb/view?usp=share_link
Minutagem:
20:15/21:50
Link vídeo final:
https://drive.google.com/file/d/10nCrWf0hHVmaVkCN2Q__KMwvz8sRGrJA/view?usp=share_link
Alteração:
</t>
  </si>
  <si>
    <t>1204351766961438</t>
  </si>
  <si>
    <t>Insight: Na prática a teoria funciona?</t>
  </si>
  <si>
    <t>Aprovados</t>
  </si>
  <si>
    <t xml:space="preserve">Planejamento Comercial,Luiz Gaziri </t>
  </si>
  <si>
    <t>O cliente não tem dono</t>
  </si>
  <si>
    <t xml:space="preserve">Aula:
Planejamento Comercial - Luiz Gaziri - Equipes de Vendas Sem Comissão
https://drive.google.com/file/d/1hQTAkzoYFdOrvVxlbPGuYdEmWbvSXAxs/view?usp=share_link
Minutagem:
9:50/11:36
Link vídeo final:
https://drive.google.com/file/d/16HNPCTYbP8b1OeB2Kwx59NqfM7qlkMxY/view?usp=share_link
Link alteração:
Transcrição:
Eu escuto as pessoas falando assim “Nossa, mas na teoria é muito bonito, né professor? Mas na prática é diferente”. As pessoas não sabem o que é teoria, essa é a questão. As pessoas confundem teoria com hipótese, as pessoas acham que teoria é uma suposição que alguém teve sobre como o mundo funciona, isso não é uma teoria. Uma teoria é quando o cientista quer testar alguma coisa e descobrir como é que esse fenômeno se comporta.
Então, eu quero descobrir, por exemplo, qual tipo de desconto faz com que as pessoas tenham um sentimento maior de ganho e que faz com que as pessoas comprem mais. Então eu vou selecionar um grupo de pessoas, vou dividir essas pessoas, vou fazer um grupo de pessoas receber uma oferta e um desconto em percentual, o outro grupo de pessoas recebe o desconto em reais e eu vou descobrir, analisar os dados aqui desses dois grupos, comparar esses dois, fazer cálculos estatísticos que fogem até da nossa compreensão, publicar em um jornal científico pra daí entender como é que o mundo funciona de verdade, livre de viés, 100% estatística.
Então ali. Só que a teoria  e a prática, a teoria é a descrição da realidade. Por que a teoria serve pra sua teoria? Serve para você praticar algo de forma certa, de forma correta, para você obter os melhores resultados?
</t>
  </si>
  <si>
    <t>https://drive.google.com/file/d/1CYzPnLzIbNB5U4kWGPuW4W4iIf7gCh1q/view?usp=share_link</t>
  </si>
  <si>
    <t>1204351766961442</t>
  </si>
  <si>
    <t>Remuneração é a melhor forma de conseguir alta performance?</t>
  </si>
  <si>
    <t xml:space="preserve">Aula:
Planejamento Comercial - Luiz Gaziri - Equipes de Vendas Sem Comissão
https://drive.google.com/file/d/1hQTAkzoYFdOrvVxlbPGuYdEmWbvSXAxs/view?usp=share_link
Minutagem:
26:29/28:52
Link vídeo final:
https://drive.google.com/file/d/1-Fs4mxhW5ZG4-z67GdJvQO5IUOaLiYVO/view?usp=share_link
Link alteração:
Transcrição:
Vejam só o pessoal, o que a maioria  das pessoas confunde motivação  com performance. O que é motivação? Motivação é aquilo que me faz agir. O que é performance? Performance é o resultado que eu tenho quando estou agindo.  As pessoas acham que quanto mais motivado uma pessoa está, melhor a performance dela. Mas não é isso que a ciência mostra pra gente.
Esse estudo aqui feito pelo Robert Yerkes e o John Dodson descobriu pessoal, que motivação e performance aumentam juntas, quanto mais motivado uma pessoa está é ali o eixo X, onde está escrito “arrousal”, né? “arrousal”  é motivação em inglês ou excitação. Então você vai vendo que a motivação vai aumentando e a performance aumentando também até um certo ponto,  a partir de um certo ponto,
se a pessoa está mais motivada, a performance dela começa cair.  Então, vejam só que motivação  nem sempre é algo bom, motivação excessiva é prejudicial para a performance das pessoas. Então, qual é o problema do dinheiro, da comissão? Não é que não motiva as pessoas, dinheiro motiva sim as pessoas, o problema do dinheiro é que o dinheiro motiva as pessoas demais, a pessoa fica colocando inúmeras coisas na sua cabeça e esquece como é que performa a tarefa.
</t>
  </si>
  <si>
    <t>O crescimento e profissionalização do mercado de investimentos</t>
  </si>
  <si>
    <t>1204351766961444</t>
  </si>
  <si>
    <t>https://drive.google.com/file/d/1vqr1hLh2X1evmlPLIZhGyHCHfOu0Ztkv/view?usp=share_link</t>
  </si>
  <si>
    <t>Saúde financeira influencia diretamente a inteligência</t>
  </si>
  <si>
    <t xml:space="preserve">Aula:
Planejamento Comercial - Luiz Gaziri - Equipes de Vendas Sem Comissão
https://drive.google.com/file/d/1hQTAkzoYFdOrvVxlbPGuYdEmWbvSXAxs/view?usp=share_link
Minutagem:
29:22/32:02
Link vídeo final:
https://drive.google.com/file/d/1pnKgdhsV75O0MJV0gbm2uO7fbq3FGaxz/view?usp=share_link
Link alteração:
Transcrição:
Mas o ser humano não é um robô.  O ser humano não responde a incentivo financeiro de uma forma previsível e muito menos da forma que a gente acha que ele responde. Então olha lá o que a gente está fazendo com as pessoas da empresa que a gente trabalha?  Ah, mas é porque o vendedor, ele constrói o seu próprio salário.
Sério? Por que ele não tem uma Ferrari então? Ah, porque ele não quer, ah porque ele não gosta de dinheiro. Cara,  se dinheiro funcionasse do jeito que as pessoas  acham que o dinheiro funciona todos os problemas do mundo estavam solucionados, todo vendedor ia ser milionário, não ia ter empresa quebrada, nenhuma empresa ia ter problema financeiro de faturamento, estava tudo certo, cara.
</t>
  </si>
  <si>
    <t>A importância de repetir o que dá certo</t>
  </si>
  <si>
    <t>SDR`s,Bruna Craveiro</t>
  </si>
  <si>
    <t>Como funciona o programa de agentes autônomos da XP</t>
  </si>
  <si>
    <t xml:space="preserve">Aula:
SDRs - Bruna Craveiro - Autogestão Baseada em Indicadores
https://drive.google.com/file/d/1uGjxtuW4-F1-jm_FE5I2n1S9cDPLt2L6/view?usp=share_link
Minutagem:
12:16/13:39
Link vídeo final:
https://drive.google.com/file/d/10syd8z-DYriDMY1zWL-Vn0ERtKW3K5wS/view?usp=share_link
Link alteração:
https://drive.google.com/file/d/1R58Ell0Z6ajIelgFFV9tx0KOCs_JCcjw/view?usp=share_link
Transcrição:
Acho muito complicado quando você, quando a responsabilidade e a remuneração do pré-vendedor está vinculado ao fechamento, mas o ponto que você colocou sobre, além de monitorar o número de contas, número de leads tocados, volume de oportunidades abertas qualificadas, acompanhar as suas oportunidades ao longo do ciclo, muito mais com o objetivo de aprender, né? Quem está aqui já na PipeLovers a algum tempo certamente já ouviu eu falar de repetir as coisas que dão certo. Então, quando você começa a acompanhar as coisas que você fez que deu certo, isso vai retroalimentar para priorizar o seu tempo, para focar em tipos de empresa e que oportunidades que maturam mais, que de fato tem interesse no seu produto, na sua solução e isso vira um ciclo virtuoso.
</t>
  </si>
  <si>
    <t>https://drive.google.com/file/d/1fRW9TI_rPLQfpPxE7oUAYaguDizYA5ci/view?usp=share_link</t>
  </si>
  <si>
    <t>1204351766961446</t>
  </si>
  <si>
    <t>Alinhe seus objetivos com a liderança</t>
  </si>
  <si>
    <t>Executivo de Vendas,Ciro Falcão da Cred</t>
  </si>
  <si>
    <t xml:space="preserve">Aula:
Executivos de Vendas - Ciro Falcão - #16: A rota de vendedor a gerente de vendas
https://drive.google.com/file/d/19BSbEUi5ANmguOp5jP4-mXn1ZVBBfa14/view?usp=share_link
Minutagem:
2:09/2:47
Link vídeo final:
https://drive.google.com/file/d/1PDqxOXyZViteyV1GZk58RcpCv6slgoy2/view?usp=share_link
Link alteração:
Transcrição:
Eu resolvi te convidar para esse tema porque a sua rota de vendedor para gerente, foi quase um drama, né? Assim, pô você me chamava ali no one a one chorando "Pagotto, eu quero virar gerente de vendas." Ai virou gerente de vendas, quase que estava chorando de volta, querendo voltar, né? Já adiantando uma boa dica, um grande passo para a gente conseguir assumir no cargo de gestão é já procurar sempre alinhar com o seu atual gestor, essa vontade assumir uma liderança. Então, eu falei algumas dezenas de vezes com o Pagotto, a minha vontade de assumir um cargo de gestão até ter a oportunidade.
</t>
  </si>
  <si>
    <t>1204351766961448</t>
  </si>
  <si>
    <t>Os prós e contras dos cargos de gestão - ninguém para de vender</t>
  </si>
  <si>
    <t xml:space="preserve">Aula:
Executivos de Vendas - Ciro Falcão da Cred - #16: A rota de vendedor a gerente de vendas
https://drive.google.com/file/d/19BSbEUi5ANmguOp5jP4-mXn1ZVBBfa14/view?usp=share_link
Minutagem:
6:35/7:21 — 8:25/8:58
Link vídeo final:
https://drive.google.com/file/d/1hlJUA1ppZ5j-6e5iF7lNhNQjZE2s-rLz/view?usp=share_link
Link alteração:
Transcrição:
Então hoje a minha rotina em ser de uma empresa de três, quatro mil funcionários, é uma rotina que eu tenho uma agenda semanal, com o vice presidente da empresa , uma agenda mensal com o CEO da empresa, então de fato isso é uma realidade. Eu acho que uma coisa que definitivamente cai por terra na vasta maioria dos casos, é a doce ilusão de que você vai parar de vender quando você vira gerente de vendas.
Isso definitivamente não existe, ninguém aqui vai parar de vender, você tem ali no seu dia a dia a responsabilidade principalmente em contas mais estratégicas, de se envolver na negociação, de estar linkado com a empresa também, então você acaba sendo um aliado, um par do seu atual executivo de vendas, né? Do seu liderado na verdade.
Então, é uma doce ilusão achar que agora seu trabalho é só comandar um time, pelo contrário, você vai continuar vendendo, essa é a rotina também de um gerente de vendas, você vai estar ali com a empresa porque a sua meta costuma ser a soma das metas de todos os seus liderados, né? Então quando vem uma conta grande, quando vem uma empresa de fato que vai gerar um impacto para o seu resultado, é claro que você vai se envolver, é claro que você vai procurar estar ali no processo comercial e vendendo também.
</t>
  </si>
  <si>
    <t>A exclusividade depende do potencial da distribuidora</t>
  </si>
  <si>
    <t>https://drive.google.com/file/d/1-Jw5EI8bFwwkQr2yeVxNu76ZEcyJw7Vr/view?usp=share_link</t>
  </si>
  <si>
    <t>As principais competências para um cargo de liderança</t>
  </si>
  <si>
    <t xml:space="preserve">Aula:
Executivos de Vendas - Ciro Falcão da Cred - #16: A rota de vendedor a gerente de vendas
https://drive.google.com/file/d/19BSbEUi5ANmguOp5jP4-mXn1ZVBBfa14/view?usp=share_link
Minutagem:
9:50/10:11 — 10:57/11:33
Link vídeo final:
https://drive.google.com/file/d/1e9juyox0zvXsHiLvimrGxirgwHx0k_IA/view?usp=share_link
Link alteração:
Transcrição:
Se você pudesse voltar no tempo e quisesse ajudar o Ciro no início de carreira, quais seriam as principais competências que você gostaria de ter desenvolvido mais ou desenvolvido do zero, caso você não tenha ainda, que atualmente você acha fundamental para ter essa posição de liderança?
Eu acho que tem algumas habilidades que competem tanto ao executivo de vendas e também ao líder, que é uma questão de negociação, uma oratória boa, um bom tom de voz, relacionamentos e assim por diante. Mas sem dúvida algo que eu deveria ter talvez investido muito mais na minha carreira de executivo de vendas, é principalmente Pagotto e pessoal, desenvolver vínculos com os seus stakeholders, com outras áreas principalmente. O nosso trabalho em vendas ele é um trabalho que você tem autonomia na sua gestão, mas definitivamente você pode ter facilitadores dentro da sua própria empresa para te ajudar no seu dia a dia.
</t>
  </si>
  <si>
    <t>1204351766961452</t>
  </si>
  <si>
    <t>Bons relacionamentos são essenciais para negócios bem-sucedidos</t>
  </si>
  <si>
    <t xml:space="preserve">Aula:
Executivos de Vendas - Ciro Falcão da Cred - #16: A rota de vendedor a gerente de vendas
https://drive.google.com/file/d/19BSbEUi5ANmguOp5jP4-mXn1ZVBBfa14/view?usp=share_link
Minutagem:
13:13/15:00
Link vídeo final:
https://drive.google.com/file/d/1eXKOHNvuABvHqz0aYbjLQ__43RYbgaEm/view?usp=share_link
Link alteração:
Transcrição:
Você não constrói relacionamento a hora que você precisa, você constrói relacionamento ao longo do tempo e um dia você usa esse relacionamento. Eu acho que isso vai muito além, né? Essa construção de relacionamento vai te ajudar a abrir portas, mas vai te ajudar a entender mais sobre a empresa como um todo. Qual que é a forma mais fácil de você ser promovido na empresa onde você tá? Por isso que eu também te convidei Ciro, porque você foi um cara que chegou dentro da empresa, virou coordenador, virou gerente, mas você foi entregando resultados e foi aprendendo. Então, quais eram as variáveis que você tinha?
Você já conhecia o negócio, você já conhecia as pessoas, você já conhecia o time, você já conhecia para quem você ia reportar, única coisa que você não fazia ainda era ter um papel de liderança. Ou seja, as variáveis elas eram menores.
Quando a gente é um vendedor, um executivo de vendas, um gerente de contas, quando a gente usa esse relacionamento interno que o Ciro falou, você está aprendendo mais sobre a dinâmica da empresa e a dinâmica do negócio. Quando você sobe para um papel de liderança, não adianta só você ir lá e vender o produto e conhecer o cliente, você precisa entender a dinâmica do negócio para se posicionar dentro da empresa e muitas vezes uma coisa que você está fazendo dentro da sua área, que o seu time está fazendo impacta lá na frente. O papel do líder para ser bem sucedido precisa entender não só do seu subsistema mas do sistema como um todo.
</t>
  </si>
  <si>
    <t>1204351766961454</t>
  </si>
  <si>
    <t>Para ser um bom líder de vendas você não precisa ser o melhor vendedor</t>
  </si>
  <si>
    <t xml:space="preserve">Aula:
Executivos de Vendas - Ciro Falcão da Cred - #16: A rota de vendedor a gerente de vendas
https://drive.google.com/file/d/19BSbEUi5ANmguOp5jP4-mXn1ZVBBfa14/view?usp=share_link
Minutagem:
15:53/16:51
Link vídeo final:
https://drive.google.com/file/d/1luNleeAOAFZMoxXjfQMoDjsIml_zq0_r/view?usp=share_link
Link alteração:
Transcrição:
Para você se tornar um líder de vendas, o que é muito importante? Não basta ser um bom vendedor, na verdade eu me arrisco a dizer que você nem precisa ser o melhor vendedor de todos na verdade, né Pagotto? Você não precisa ser o melhor vendedor da sua empresa para se tornar um gerente de vendas. Mas é muito importante que você consiga ser referência para algumas questões principalmente que não necessariamente são ligadas só a vendas.
Então poxa, procure se aprimorar sobre o seu CRM, se você utiliza um HubSpot por exemplo, cara seja uma referência em HubSpot. Você pode se tornar uma referência na melhores contratos e você, cada pessoa que as pessoas costumam chamar para retirada dois contratos. Então, torne-se uma referência em tudo que está ligado ao negócio como um todo, ao produto, ao benefício que vocês vendem hoje, a solução que vocês estão vendendo. Quando você se torna uma referência automaticamente já se vê ali um papel de líder, porque você é a referência, um líder ele tem que ser essa referência.
</t>
  </si>
  <si>
    <t>O treinamento eficiente precisa ser personalizado</t>
  </si>
  <si>
    <t>O canal precisa gerar valor para o cliente</t>
  </si>
  <si>
    <t>https://drive.google.com/file/d/11zsZWHI1w1yAse_xhvXOlWpirvPQPUxn/view?usp=share_link</t>
  </si>
  <si>
    <t>Canais e Parcerias,Cristiano Gregorius</t>
  </si>
  <si>
    <t xml:space="preserve">Aula:
Canais &amp; Parcerias - Cristiano Gregorius - Fusão de Programas de Canais Pós-M&amp;A
https://drive.google.com/file/d/1Hx_sKoh5HHbnjoIFYZTu3Q3-4PWNBya4/view?usp=share_link
Minutagem:
11:57/13:22
Link vídeo final:
https://drive.google.com/file/d/1lnLijQtIwJ9F1Ke7hR9p_52ZCXAsxxy7/view?usp=share_link
Link alteração:
https://drive.google.com/file/d/1H0BS4UifkVr3bILm5pDXxttA7CDltNDv/view?usp=share_link
Transcrição:
Muitas vezes o modelo financeiro de avaliação é assim. Ah então legal, a minha empresa eu tenho trinta canais que eu distribuo, que eu tenho uma capacidade de vendas X, à medida que eu adquiri uma outra empresa, essa empresa está trazendo 100 canais, essas 100 revendas, então é natural que, ah vai ter um período de onboarding, de capacitação dessa galera, de sei lá dois meses, seis meses, e passado esse período em seis meses, eu estou multiplicando o problema, eu estou trazendo três vezes mais vendas, como se fosse a coisa mais natural do mundo sem entender qual é o perfil do  canal que vem, qual é o modelo de negócio que tem, porque simplesmente ter canal que não tem capacidade de agregar valor para o cliente, a tendência é que esse canal morra, ou você parta para modelos de insight, parta para modelos que, de fato, que diminuiem o teu CAC, que são mais vantajosos para a empresa. A grande vantagem do canal, na minha visão o canal para em pé, a medida que ele de fato leve algum valor para o cliente e que ele consiga monetizar isso, porque se não tem incentivo da empresa e não tem uma forma de monetizar junto ao cliente.
Dificilmente ele vai permanecer engajado com o teu negócio, né?
</t>
  </si>
  <si>
    <t>1204351766961462</t>
  </si>
  <si>
    <t>Controlar a ansiedade interna e externa é essencial durante um M&amp;A</t>
  </si>
  <si>
    <t xml:space="preserve">Aula:
Canais &amp; Parcerias - Cristiano Gregorius - #19 - Fusão de Programas de Canais Pós-M&amp;A
https://drive.google.com/file/d/1Hx_sKoh5HHbnjoIFYZTu3Q3-4PWNBya4/view?usp=share_link
Minutagem:
14:13/16:08
Link vídeo final:
https://drive.google.com/file/d/1FeHzcX0v6f-LoKR7o2pToJtQCdLAuYcF/view?usp=share_link
Link alteração:
https://drive.google.com/file/d/1hwsATbn4KRuuHmiTp3NkQDgV-ka6Mm5s/view?usp=share_link
Transcrição:
E aí aconteceu o M&amp;A, contrato assinado, comunicamos no mercado, agora vai. E aí o que você já viu de boas práticas e de erros principais aí nesse processo?
Eu acho que o primeiro ponto, é controlar a ansiedade de todo o mundo. A tendência natural é uma ansiedade enorme dos canais, a primeira é aquela ansiedade negativa, de e agora, ó céus, ó vida. Depois é a ansiedade positiva, puts tenho mais portfólio agora eu vou bombar de vender e quero ir para a rua vender, me da produto, pô libera o item fiscal para eu vender, eu preciso vender isso amanhã, sem treinamento, sem nada, sem estar pronto.
Conter a ansiedade dos clientes, que muitas vezes os clientes percebem esse movimento de aquisição e eles querem colher benefícios desse M&amp;A. Então, ah legal eu quero ter um ponto único de contato, eu quero ter um suporte unificado, eu quero ter um único ponto de atendimento aqui, o mesmo canal conversando só com uma pessoa.
Então há uma ansiedade dos canais, há uma ansiedade dos clientes e há uma ansiedade interna de quem aprovou o guild dentro de casa, e legal o resultado tem que acontecer.
</t>
  </si>
  <si>
    <t>1204351766960383</t>
  </si>
  <si>
    <t>O líder precisa construir a cultura do seu time</t>
  </si>
  <si>
    <t xml:space="preserve">Aula:
Líderes de Vendas - Mauricio Schorsch - #30 O papel da liderança no Work-Life Balance
https://drive.google.com/file/d/1JaVR8ctRWb0sQ_1UfGfW-iLh3oU-Cy70/view?usp=share_link
Minutagem:
22:48/24:03
Link vídeo final:
https://drive.google.com/file/d/1SQrnhXtxMuGsCeRJlG5OVRXcEX0b8vFp/view?usp=share_link
Link alteração:
Transcrição:
O papel da liderança é moldar a própria cultura dentro do seu time. Eu comecei a minha carreira de vendas como trainee na Câmara Alemã, e lá a gente foi treinado a ser soldadinho de vendas, né? Ou seja, você prospecta, você vende, faz um monte de reuniões e no sei o que. E ai, eu fui por uma coincidência, eu dava treinamento para essa galera a cada seis meses, as novas turmas, eu fui percebendo que as novas gestões eles começaram a mudar essa coisa de se todo soldadinho, todo mundo ser muito quadrado e começou a criar um modelo mais relacional. E a performance desses times ao longo do tempo, foi aumentando muito. Isso não era que a organização mudou a cultura, imagina uma câmara de comércio alemã tem cento e vinte anos no Brasil, cara não vai mudar nunca essa cultura. Mas aquelas pessoas elas conseguiam ajudar nesse tema.
</t>
  </si>
  <si>
    <t>O preço é importante mas não é tudo</t>
  </si>
  <si>
    <t>1204290632144987</t>
  </si>
  <si>
    <t>O que significa "conhecer" o cliente para um vendedora técnico</t>
  </si>
  <si>
    <t>https://drive.google.com/file/d/1dsoetx4-M27_PmI7fhGdeJt1jC-wYs3a/view?usp=share_link</t>
  </si>
  <si>
    <t>Executivo de Vendas,Felipe Pervelli</t>
  </si>
  <si>
    <t>Aula:
Executivos de Vendas - Felipe Perve - Vendas Técnicas para Vendedores Generalistas 
https://drive.google.com/file/d/1_1a-Qag8dRzcIQSU97O9A9aS6ZAXzOBN/view?usp=share_link
Minutagem:
21:00/23:33
Link vídeo final:
https://drive.google.com/file/d/1856pTGhWhqSVuwyLljlgmUXbyNeUs2FY/view?usp=share_link
Link alteração:
Transcrição:
O conhecer o cliente quando falam para venda técnica é um pouco diferente, eu vou dar o exemplo do meu setor em específico. Quando eu entrei aqui na MK, eu falei assim "Eu não faço a mínima ideia do setor de telecom." Então, o que eu fiz para vocês terem noção, eu fiz um curso de como abrir um provedor de internet e quando eu fui conhecer o meu cliente, eu foi conhecer cara no detalhe.
Eu visitei cinco operações no nosso começo, fiquei lá metade do período, fui lá "Cara, como que você faz? Por que você faz? Da onde você faz?" Eu converso, eu fiz um relacionamento muito grande, rápido. Gente, eu tô a cinco meses só na MK, eu já tenho curso de como abrir provedor de internet o módulo um, dois e três. Então, a primeira coisa de um vendedor técnico que é um pouco diferente, não é conhecer seu cliente "Ai, entrei no site dele, eu sei que o site dele é isso, eu sei que ele tem tanto funcionários." Não, conhecer mais técnico é entrar fundo no detalhe.</t>
  </si>
  <si>
    <t>1204187287484078</t>
  </si>
  <si>
    <t>O início do programa de canais e parcerias para B2B2C</t>
  </si>
  <si>
    <t>Canais e Parcerias,Mathias Costa</t>
  </si>
  <si>
    <t xml:space="preserve">Aula:
Canais &amp; Parcerias - Mathias Costa - Processos B2B2C
https://drive.google.com/file/d/18y-pHiGn99dxXo4ZL78H9o0WPffv35jc/view?usp=share_link
Minutagem:
12:06/12:12 — 17:34/19:19
Link vídeo final:
https://drive.google.com/file/d/1k2rI7YGpeie-98O5Jp4WO8gh_rpWlOj0/view?usp=share_link
Transcrição:
</t>
  </si>
  <si>
    <t>1204187287484082</t>
  </si>
  <si>
    <t>Como escalar uma parceria B2B2C</t>
  </si>
  <si>
    <t xml:space="preserve">Aula:
Canais &amp; Parcerias - Mathias Costa - Processos B2B2C
https://drive.google.com/file/d/18y-pHiGn99dxXo4ZL78H9o0WPffv35jc/view?usp=share_link
Minutagem:
34:36/37:16
Link vídeo final:
https://drive.google.com/file/d/1iJxxiaeEMADpQXkY8mUpgX4tq3sVooeR/view?usp=share_link
Transcrição:
</t>
  </si>
  <si>
    <t>A cooperação entre o distribuidor e o canal deve ser constante</t>
  </si>
  <si>
    <t>1204290632144991</t>
  </si>
  <si>
    <t>Como aproveitar o conhecimento de negócio para uma venda técnica</t>
  </si>
  <si>
    <t>https://drive.google.com/file/d/1j6omca2UzhfzY5MKvdUtqCQmKqbdsrC3/view?usp=share_link</t>
  </si>
  <si>
    <t>Aula:
Executivos de Vendas - Felipe Perve - Vendas Técnicas para Vendedores Generalistas 
https://drive.google.com/file/d/1_1a-Qag8dRzcIQSU97O9A9aS6ZAXzOBN/view?usp=share_link
Minutagem:
32:35/33:16 — 33:24/34:18
Link vídeo final:
https://drive.google.com/file/d/1U-KOj3pGt4qpqZoFG4cNzf69EXqfzQoQ/view?usp=share_link
Link alteração:
Transcrição:
Como que o conhecimento de negócios do vendedor generalista, pode ser usado a favor durante uma venda técnica? Porque muitas vezes em uma venda muito técnica, você compete com outros players zero cara de vendedor, mas falava o "tecniques" como ninguém. De que forma você acha que esse conhecimento de negócio ajuda a criar melhores argumentos em uma venda técnica?
Olha que interessante gente! Eu vivo em um setor que eles são mais técnicos do que de negócios. Então, quando você fala de negócios para eles, eles adoram. Eu sou um cara que gosta de estudar muito negócios, porque é que o provedor a Brisanet tem mais de um milhão, por exemplo, de conexões, como que ele construiu? Como que ele fez?
E pegar esse conhecimento do meu setor foi essencial para como conversar com provedores de mil conexões, de duas mil, porque? Eu tenho o conhecimento de negócios, de como a Brisanet fez, como a Alloha fez, como que esses grandes conseguiram chegar em um milhão de conexões?</t>
  </si>
  <si>
    <t>O CRM é essencial para o desenvolvimento de uma equipe de vendas - CRM</t>
  </si>
  <si>
    <t>Gustavo Pagotto,Planejamento Comercial,Patricia Antonelli</t>
  </si>
  <si>
    <t xml:space="preserve">Aula:
Planejamento Comercial - Patricia Antonelli - Tecnologias para aumentar a produtivide
https://drive.google.com/file/d/1kWFUXA2jbMg3W-rP4IqNka57A8yOoecR/view?usp=share_link
Minutagem:
14:48/16:02
Link vídeo final:
https://drive.google.com/file/d/1UgM8xhcgneq5hwwoSteBDF_nlc9cqBAg/view?usp=share_link
Transcrição:
É impossível, né? Definitivamente é impossível qualquer coisa disso que a gente está falando acontecer se não existir um CRM.
O CRM ele é o pilar de todos esses dados, é onde o seu vendedor vai estar com o seu cockpit ligado. E eu gosto de  contar muito uma passagem que eu tive, logo que eu cheguei na Creditas que eu fui assumir o time, eu cuidava de canais, a gente não tinha lá um sistema propriamente dito para a gestão de canais e eu assumi lá o time de B2B.
E eu cheguei lá, tinha uma ferramenta de Sales Engagement, tinha uma ferramenta de base de dados, tinha o CRM e a galera estava analisando uma ferramenta de Customer Success. Assim, não teve nem análise. Primeira semana, eu falei "pode cortar tudo, a gente vai começar basics, e se precisar depois a gente vai integrar esse CRM com outras coisas, mas a gente precisa usar na potencialidade desse CRM.
</t>
  </si>
  <si>
    <t>O passo a passo da construção de um relacionamento</t>
  </si>
  <si>
    <t>Executivo de Vendas,Vanessa Pagotto</t>
  </si>
  <si>
    <t xml:space="preserve">Aula:
Executivos de Vendas - Vanessa Pagotto - Construindo relacionamentos de confiança
https://drive.google.com/file/d/1jv5BjmU-pknBrAiDxp6Hih24NnzbRkFE/view?usp=share_link
Minutagem:
16:12/16:19 — 16:32/18:52
Link vídeo final:
https://drive.google.com/file/d/1Wq_aKxEe_uq8twVwmdsc-ph5a0NrALwi/view?usp=share_link
Transcrição:
</t>
  </si>
  <si>
    <t xml:space="preserve">Os pontos fundamentais para encontrar clientes duradouros  </t>
  </si>
  <si>
    <t>Cantada é assédio?</t>
  </si>
  <si>
    <t>SDR`s,Ana Nunes</t>
  </si>
  <si>
    <t xml:space="preserve">Aula:
SDRs - Ana Nunes - Assédio não é normal, ok?
https://drive.google.com/file/d/10MJhgfee7MR92VYZH-_QxVbpwp87963T/view?usp=share_link
Minutagem:
6:12/7:36
Link vídeo final:
https://drive.google.com/file/d/11BheYc5VvgDun0o98hoN77MtGPiYyHOg/view?usp=share_link
Transcrição:
Então uma cantada é assédio? A cantada ela só existe quando há consentimento, isso é um fato, caso contrário, sim é assédio. Se a pessoa em nenhum momento está ali compactuando com aquilo, se a pessoa não pediu, se a pessoa, se você não tem intimidade com ela, então sim, é assédio.
É muito diferente, é uma linha muito tênue, né? Entre você querer cantar uma pessoa chamando ela de gostosa, ou de gostoso, ou falar de um atributo físico dela, do que você simplesmente querem conversar com aquela pessoa, fazer um relacionamento além de uma coisa normal, né? De uma coisa que tem que ser normalizada. "E ai nossa, eu só quis elogiar a pessoa." Elogiar não deixa ninguém constrangida, muito menos, nem ofendem, e muito menos objetifica. A partir do momento que você fica objetificando um corpo, você já está em uma linha de tipo, nossa você está querendo trazer uma visão muito destoante do que realmente é um relacionamento, do que realmente é um elogio.
</t>
  </si>
  <si>
    <t>https://drive.google.com/file/d/1gs1LtqccHb3g2_fe9udpB89L2jaw7YAr/view?usp=share_link</t>
  </si>
  <si>
    <t>1204187287484072</t>
  </si>
  <si>
    <t>A cada cinco pessoas uma já sofreu assédio no trabalho</t>
  </si>
  <si>
    <t xml:space="preserve">Aula:
SDRs - Ana Nunes - Assédio não é normal, ok?
https://drive.google.com/file/d/10MJhgfee7MR92VYZH-_QxVbpwp87963T/view?usp=share_link
Minutagem:
12:59/14:27
Link vídeo final:
https://drive.google.com/file/d/1SiVKGzTW8LVIlfHa0DU76pVKqTa_33qL/view?usp=share_link
Transcrição:
Tem muitas pessoas que sempre vão dizer "Ai, eu me sinto culpado, eu sei que pessoas vão me culpabilizar, pela minha roupa, pela minha postura". Você sempre vai achar várias razões, quando na verdade não tem que existir, o único fato é, a pessoa lhe assediou, você não tem culpa nenhuma sobre isso, nada justifica o assédio e não é normal.
E uma das coisas que eu consigo constatar, mediante a tudo isso e encarar também com todos esses dados. É que infelizmente, o agressor, principalmente quando não há o registro dessa assédio, ele sempre vai sair impune e a vítima ela sempre vai ser a pessoa que mais sofre com as consequências, tanto no sentido de sempre ficar se culpabilizando. como também do trauma que aquilo fica, né? De você muitas vezes não saber se comportar em algum ambiente de trabalho novo, quando você sai daquela zona ali, né? De onde está o centro do assédio, quando você também abrange isso para até relacionamentos interpessoais na sua vida, então você já fica com medo, da roupa que você usa, do jeito que você fala, então sempre traz umas consequências que faz com que a gente fique na prisão.
</t>
  </si>
  <si>
    <t>1204187286981714</t>
  </si>
  <si>
    <t>A importância do planejamento de Forecast de Vendas para uma empresa</t>
  </si>
  <si>
    <t>Planejamento Comercial,Livia Lima</t>
  </si>
  <si>
    <t xml:space="preserve">Aula:
Planejamento Comercial - Livia Lima - Forecast de Vendas: Processos e Previsibilidade
https://drive.google.com/file/d/1GuALr5qZE8RaKy2Ox4APxpY_PngoNSwD/view?usp=share_link
Minutagem:
9:56/10:15 — 10:33/10:45 — 11:17/12:50 
Link vídeo final:
https://drive.google.com/file/d/1t6mlH2NcuruDajtd6B45vAPCAzk161fo/view?usp=share_link
Transcrição:
Qual que é a importância do processo de forecast de vendas para uma organização como um todo?
Bom, eu vejo como, assim essa previsão de vendas como um dos processos realmente mais importantes em uma organização, a gente passou, ou devo dizer, vem passando por um momento crítico ali, de onda de demissão, né? Vocês provavelmente estão acompanhando, afetando várias empresas, em especial essas empresas de tecnologia que eu falei, que basicamente viveram né um boom não planejado, não dentro do plano ali, nada muito que pudesse ter sido previsto e acabaram aumentando muito a força de trabalho ali como uma forma de conseguir ter os recursos necessários para conseguir gerenciar esse aumento de demanda, esse aumento de trabalho, esse volume maior ali de serviços e vendas.
Só que não previram esse cenário macroeconômico mais desafiador que a gente está passando agora. Então, essa é uma das formas que a gente tem né, claramente via nesses acontecimentos recentes de ver como impacta, né? Essa questão de poder projetar, de poder fazer uma previsão do que virá de receita e conseguir tomar decisões de negócios mais acertadas, para realmente não ter um impacto ali indesejado, enfim, acontecer alguma coisa que a gente não necessariamente deseja que aconteça.
</t>
  </si>
  <si>
    <t>1204187286981716</t>
  </si>
  <si>
    <t>A necessidade da estruturação de um planejamento de Forecast</t>
  </si>
  <si>
    <t>Os canais de vendas do Mercado Pago</t>
  </si>
  <si>
    <t xml:space="preserve">Aula:
Planejamento Comercial - Livia Lima - Forecast de Vendas: Processos e Previsibilidade
https://drive.google.com/file/d/1GuALr5qZE8RaKy2Ox4APxpY_PngoNSwD/view?usp=share_link
Minutagem:
14:58/15:21 — 15:49/16:21 — 17:04/17:26
Link vídeo final:
https://drive.google.com/file/d/1pFT2Adm-9oLjCNZsQxYYv7pDAkVhisHt/view?usp=share_link
Transcrição:
Quais são as melhores práticas em relação a como estruturar esse processo do forecast comercial e como tentar transformar esse processo, que acaba sendo até mesmo burocrático, em um processo que de fato ajude a organização, a estrutura, os times, os vendedores a vender, a vender mais.
É mas eu acho assim, eu entendo que a melhor forma da gente realmente ter o "buy in" dos vendedores, é tentar deixar muito claro para eles, primeiro o porque que certos processos existem, né? Então, para eles entenderem o racional por trás desses processos e como eles podem impactar, inclusive eles próprios né, o trabalho deles, o resultado deles, então como eles podem ser benéficos para o dia a dia deles também.
Quanto mais a gente conseguir fazer com que eles entendam que é uma ferramenta menos para gerenciá-los e mais para ajudá-los e obviamente, eu entendo que isso vai ter um impacto também na forma como eles entendem né, o processo e realmente fazem uso dessa ferramenta de previsibilidade de uma forma mais adequada.
</t>
  </si>
  <si>
    <t>1204187286981724</t>
  </si>
  <si>
    <t>Os principais indicadores para medir a performance de um negócio</t>
  </si>
  <si>
    <t>https://drive.google.com/file/d/1eTMxDKPkgHJMiwpt2naHik708Js7-ARb/view?usp=share_link</t>
  </si>
  <si>
    <t xml:space="preserve">Aula:
Planejamento Comercial - Livia Lima - Forecast de Vendas: Processos e Previsibilidade
https://drive.google.com/file/d/1GuALr5qZE8RaKy2Ox4APxpY_PngoNSwD/view?usp=share_link
Minutagem:
35:00/35:24 — 35:58/36:56
Link vídeo final:
https://drive.google.com/file/d/1uQOpccfZPfE1_PdJDwpwtxF4znBA3cdY/view?usp=share_link
Transcrição:
Tem métrica que a gente olha toda semana e a gente tem a nossa reunião de forecast toda semana, toda sexta feira, final de semana, no último dia ali para revizar o que aconteceu, como está o nosso status do negócio, como que está as projeções e aí sim, confrontando os dados do modelo quantitativo, com os dados dos vendedores, a gente chama né, qual que é o call deles para acabar o trimestre.
Mas tem outras métricas que não faz sentido a gente olhar toda semana, simplesmente porque não deu tempo toda semana delas mudarem né, de onde elas estavam assim.
Então a forma como a gente divide e como a gente define a cadência para cada uma das métricas, ela vai muito de encontro com a maneira como essas métricas se comportam.
</t>
  </si>
  <si>
    <t>O maior erro do planejamento comercial - times</t>
  </si>
  <si>
    <t xml:space="preserve">Planejamento Comercial,Mauricio Zotarelli </t>
  </si>
  <si>
    <t xml:space="preserve">Aula:
Planejamento Comercial - Mauricio Zotarelli - Como criar área de planejamento comercial do zero?
https://drive.google.com/file/d/1GcOh2tKm17xZfPk9-A4IbZtl3GhAy7xP/view?usp=share_link
Minutagem:
33:20/35:09
Link vídeo final:
https://drive.google.com/file/d/1kNbbbvCqusE3uKy0XRVKlov8WhukSVKO/view?usp=share_link
Transcrição:
As piores áreas de planejamento comercial ou de analytics que eu vi, era o cara que chegava no planejamento para o trimestre seguinte falando assim "legal, parabéns, vocês bateram um recorde histórico, agora a gente colocou aqui 15% a mais de produtividade, do que era 0.8 por dia a gente aumentou para 0.92". Assim, você sai da realidade de que existem pessoas, principalmente falando em B2B, existem pessoas que estão executando o processo comercial, tem muita gente de planejamento, que não coloca aí mais headcount, eu já tive uma situação onde me falaram o seguinte 
"Não, a gente precisa crescer o nosso topo de funil com prospecção outbound". A gente tinha na época uns quinze SDR's.
Ai não, legal então agora no mês de fevereiro a gente vai contratar trinta SDR's, ai o nosso time vai para quarenta e cinco, eu falei "Cara, mas a gente não tem nem braço para encontrar esses trinta, muito mais do que trinta, né? Você tem que encontrar muito mais, selecionar, botar todo mundo para dentro, né?". Então, quando você desconecta o mundo real do planejamento comercial, é aí que começa a criar os conflitos entre esses times.
</t>
  </si>
  <si>
    <t>1204073895481525</t>
  </si>
  <si>
    <t>Tipos de parcerias do Mercado Pago</t>
  </si>
  <si>
    <t>Uma experiência de transição de carreira - dinheiro é td ?</t>
  </si>
  <si>
    <t>Executivo de Vendas,Borja Castelar</t>
  </si>
  <si>
    <t xml:space="preserve">Aula:
Executivos de Vendas - Borja Castelar - O melhor vendedor do mundo (no LinkedIn)
https://drive.google.com/file/d/1YdXvfWqYlPaQpZNd4aKAlkgAOwbyGaVj/view?usp=share_link
Minutagem:
6:39/8:16
Link vídeo final:
https://drive.google.com/file/d/1mO4mceQBxgxMPbC5EXyd0I12UuwLkaqj/view?usp=share_link
Transcrição:
Como que foi a sua entrada em vendas, como que foi esse estalo, né? A maioria das pessoas acabam olhando para vendas porque vê, pô vê aquela galera, parece que esses caras não trabalham só tomam café, tão viajando toda hora, ganham um bom dinheiro, tem carro melhor ou não? Ou você já era um cara diferente, falou cara não, minha motivação maior não era a comissão, eu tinha outras ambições e foi assim que eu acabei entrando em vendas.
É interessante, porque eu entrei no LinkedIn e entrei para a área de recursos humanos, não de vendas inclusive. Então eu percebi há pouco tempo, tendo muitos amigos em vendas inclusive dentro do LinkedIn, que isso era o que eu queria, eu percebi claramente que meus pontos fortes e meu talento natural ia florescer muito mais em uma posição de vendas, essa foi a minha maior motivação.
Gosto mais de reconhecimento do que de dinheiro mas eu nunca fui a pessoa que me movia pelas comissões, elas chegaram como consequência também e que foi muito bom também, mas foi mais o poder fazer uma coisa que eu sinto que eu tenho esse ponto forte e poder usar as minhas habilidades, para uma coisa que eu ia curtir muito.
</t>
  </si>
  <si>
    <t>https://drive.google.com/file/d/1qeiNcps1N9OxN7jFW9BBEUd5wHa3J_SD/view?usp=share_link</t>
  </si>
  <si>
    <t>1204073895481523</t>
  </si>
  <si>
    <t>O sucesso é fruto da dedicação e da inspiração</t>
  </si>
  <si>
    <t xml:space="preserve">Aula:
Executivos de Vendas - Borja Castelar - O melhor vendedor do mundo (no LinkedIn)
https://drive.google.com/file/d/1YdXvfWqYlPaQpZNd4aKAlkgAOwbyGaVj/view?usp=share_link
Minutagem:
16:04/17:31
Link vídeo final:
https://drive.google.com/file/d/1NmWUsYqaoTHZ7c32jVM6uxaATX_WPpbe/view?usp=share_link
Transcrição:
E como eu sempre falo, ter energia para mim é 90% sucesso, 10% copiar os melhores, 90% é energia. E se tenho que prospectar cada dia seis horas, eu prospectava, se eu tenho que ficar até uma da manhã vou ficar. Tipo, é um nível de foco, especialmente num período da minha vida foi muito intenso mas ao mesmo tempo, esses dois anos tão intensos eu consegui pegar exatamente a eficiência absoluta.
Tanto que anos mais tarde, eu trabalhava cinco, seis horas, eu trabalhava muito pouco e conseguia fazer os mesmos resultados. Teve uma época de aprendizagem muito rápido que eu queria fazer uma curva assim. Então foi um foco, que depois foi muito bom porque depois não trabalhei no mesmo nível.
</t>
  </si>
  <si>
    <t>1204009117663259</t>
  </si>
  <si>
    <t>O networking é como um jardim</t>
  </si>
  <si>
    <t>Thiago Reis,Executivo de Vendas</t>
  </si>
  <si>
    <t>Aula:
Executivos de Vendas - Thiago Reis - Carreira &amp; Crescimento para Executivos de Vendas B2B
https://drive.google.com/file/d/1x_1lq7oyVeljhqZZRAOOEGYWmMmQ2j5G/view?usp=share_link
Minutagem:
47:34/48:17 — 48:41/49:30
Link vídeo final:
https://drive.google.com/file/d/1gERErgaG6MQcTwZj6EEdl8CcsJjiRKhq/view?usp=share_link
Alteração:
https://drive.google.com/file/d/1c6A0y1xPWWi2_veSSnVl5XHN4wud_GMz/view?usp=share_link
Transcrição:
Olha como é o interesse genuíno em aprender. Eu vejo muita gente que contrata rock content, RD, contrata cara, um milhão de soluções mas o cara não quer aprender, o cara tem que querer aprender e tem que ir atrás. Cara, eu acho que essa parte de querer ir atrás é super importante e acho que aí entra cara em um ponto para mim, que qual que é o papel do networking?
A parada do networking cara que eu aprendi, eu tive um mentor muito bom de networking, um cara que é bizarramente conectado e ali cara, o que aprendi, tá? Qual que é o erro da maior parte das pessoas, né? Porque a maioria das pessoas têm um networking merda? Ou quando precisa de uma ajuda não tem que pedir ajuda. O networking cara, ele é igual você criar um jardim, você tem que cultivar, não é uma parada que pô, eu vou usar quando eu quero, não.</t>
  </si>
  <si>
    <t>1203663578505014</t>
  </si>
  <si>
    <t>Caio Peres,Canais e Parcerias</t>
  </si>
  <si>
    <t>A área de canais não fará milagre sem investimento</t>
  </si>
  <si>
    <t xml:space="preserve">Aula:
Canais e Parcerias - Caio Peres - Programa de Agentes Autônomos - XP Investimentos
https://drive.google.com/file/d/1rNmJQwxdo63nw_IjCAMbpGrcwbOL8JQl/view
Minutagem:
    52:25/53:32
Link vídeo final:
https://drive.google.com/file/d/1j6omca2UzhfzY5MKvdUtqCQmKqbdsrC3/view?usp=share_link
Link alteração:
Transcrição:
Um dos papéis de quem estrutura uma área de canais e gere uma área de canais efetivamente é você ajudar o seu canal a ter a política de comissionamento e remuneração dentro da estrutura deles. Acho que nesse caso especificamente de agentes autônomos é mais ou menos  padronizada a estrutura mas quando a gente vai, por exemplo, no mundo de software, que é onde muita gente está aqui.
O cara vende cinco, seis, sete sistemas diferentes de várias casas, e aí cara, entrou mais  um produto eu não sei quanto que eu ganho nesse produto ou fechou uma parceria, mas ainda não têm comissão para o vendedor. Cara, se não tiver comissão para o vendedor na ponta, não vai, né? Então assim, tem que ter, tem o lançamento de produto, tem que explicar. Eu já vendi vários produtos que na época quando a gente lançou não tinha ainda programa de remuneração, a gente literalmente vendia no amor, né? Tinha um bom relacionamento com esses caras mas chega algum momento, cara mas espera aí, quanto que eu ganho disso aqui? E eu já vi muito programa de canais e de parcerias que não funcionou bem, que não teve um bom resultado, porque o fornecedor, o fabricante não tinha uma política clara de comunicar isso para o seu canal, nem o próprio canal as vezes sabia quanto ganhava. 
E tem muita empresa de software agora querendo virar uma mistura de fintech, techfin e tal, e cara a galera chega na ponta, cara eu vendi um produto que não sei quanto que eu ganho, né? E aí fica aquela coisa, eu não sei quanto que eu ganho, mas eu sei quanto que eu trabalho, acho que eu vou parar de trabalhar nisso. Então eu acho que essa parte da remuneração é bem relevante.
</t>
  </si>
  <si>
    <t>1203660138619845</t>
  </si>
  <si>
    <t>https://drive.google.com/file/d/1_bvuOJhdEbKHo7b6OnTEFQWvYXlaYYYu/view?usp=share_link</t>
  </si>
  <si>
    <t xml:space="preserve">Aula:
Canais e Parcerias - Caio Peres - Programa de Agentes Autônomos - XP Investimentos
https://drive.google.com/file/d/1rNmJQwxdo63nw_IjCAMbpGrcwbOL8JQl/view
Minutagem:
    51:28/52:02
Link vídeo final:
https://drive.google.com/file/d/1dsoetx4-M27_PmI7fhGdeJt1jC-wYs3a/view?usp=share_link
Link alteração:
Transcrição:
Não é uma questão só de preço, preço é importante, mas ele é um componente, um componente super importante mas assim, você ganhar 100% de R$1.000 é pior do que você ganhar 5% de R$10.000. A gente vai nessa cabeça de como fazer para maximizar o bolo ali em cima, fazendo aí divisões justas. O escritório ele tem autonomia de fazer as divisões dele na maneira dele, a gente dá orientações e ensina o que a gente souber sobre aquele tema e cada um vai desenhando um modelo próprio de distribuição. Tem escritórios, por exemplo, onde o assessor o cliente não fala só com um assessor, ele fala com vários, tem escritórios onde pô você tem um especialista de produto para cada produto.
Cada um desenhou de uma forma, a gente tem inteligência e consegue agregar em todas as formas que são desenhadas possíveis, porque a gente já viu praticamente todas elas em algum momento na vida.
</t>
  </si>
  <si>
    <t xml:space="preserve">Aula:
Canais e Parcerias - Caio Peres - Programa de Agentes Autônomos - XP Investimentos
https://drive.google.com/file/d/1rNmJQwxdo63nw_IjCAMbpGrcwbOL8JQl/view
Minutagem:
25:29/26:14.
Link vídeo final:
https://drive.google.com/file/d/1-Jw5EI8bFwwkQr2yeVxNu76ZEcyJw7Vr/view?usp=share_link
Link alteração:
Transcrição:
Vamos dizer que eu sou uma corretora pequenininha. Tenho dois produtos que fazem algum sentido, pô não dá para eu chegar para o cara e falar assim. "Olha, vira distribuidor exclusivo meu". Porque ele não vai ter uma série de coisas, então ele não vai querer, né? A gente pô, por exemplo, a plataforma de seguros da XP a gente é muito focado em previdência e seguro de vida. Eu não posso chegar para um corretor, a gente nem fazer isso, e falar, corretor distribua só os seguros da XP, não dá entendeu? Porque ele distribui automóvel, ele distribui sei lá mais dez outros tipos de seguros que eu não tenho. Então não adianta você querer exclusividade se você não está entregando o potencial total que esse cara precisa para desenvolver o business dele.
</t>
  </si>
  <si>
    <t>1203660138619831</t>
  </si>
  <si>
    <t xml:space="preserve">Aula:
Canais e Parcerias - Caio Peres - Programa de Agentes Autônomos - XP Investimentos
https://drive.google.com/file/d/1rNmJQwxdo63nw_IjCAMbpGrcwbOL8JQl/view
Minutagem:
 31:53/33:01
Link vídeo final:
https://drive.google.com/file/d/1fRW9TI_rPLQfpPxE7oUAYaguDizYA5ci/view?usp=share_link
Link alteração:
Transcrição:
Só para dar dados aqui, né? Hoje a gente tem quinhentas empresas conectadas na gente. Dentro dessas quinhentas empresas estão esses doze mil agentes autônomos. Então assim, é bastante complexo a operação como um todo, porque são quinhentos agentes autônomos, cada um com uma história, cada um com jeito, estilo, marca própria.
Não é um modelo de franquia. Eu estudei bastante sobre o modelo de franquia para a gente tentar fazer os paralelos, sabe? O que a gente brinca aqui dentro é que assim, é como se você deixasse o dono da franquia do McDonald tirar o alface do Big Mac, entendeu? Assim, tipo, o Big Mac é esse mas customiza ai do teu jeito. Então a gente deixa ele customizar, deixa ele terceirizar, todo o serviço, toda a experiência do cliente. Só não pode vender Pepsi, né? Só não pode vender Pepsi. O resto, assim, a gente deixa, da muita liberdade na verdade para o assessor, nas alocações, nos serviços, nos atendimentos, mas a gente age eu acho que principalmente com uma cabeça de fazer esse cara ter lucro, eu acho que isso foi a grande porrada aqui para a gente.
</t>
  </si>
  <si>
    <t>1203660138619835</t>
  </si>
  <si>
    <t>O que fazer para se tornar um parceiro do grupo Mercado Livre?</t>
  </si>
  <si>
    <t xml:space="preserve">Aula:
Canais e Parcerias - Caio Peres - Programa de Agentes Autônomos - XP Investimentos
https://drive.google.com/file/d/1rNmJQwxdo63nw_IjCAMbpGrcwbOL8JQl/view
Minutagem:
38:03/39:55 
Link vídeo final:
https://drive.google.com/file/d/1vqr1hLh2X1evmlPLIZhGyHCHfOu0Ztkv/view?usp=share_link
Link alteração:
Transcrição:
A necessidade de se falar de investimento está aumentando o mercado ficou mais complexo, se lançou mais produtos. 2010 não existia LCI e LCA assim. Então, o mercado ficou mais complexo, o juros deu umas sacudidas para cima e para baixo, o que trouxe a necessidade de você entender mais o que está acontecendo.
Quando eu comecei a estudar desse mercado, era difícil de achar conteúdo de qualidade, hoje em dia você joga na internet que cara tem conteúdo além do necessário, tem muita coisa. Então o mercado ficou muito favorável, a gente acha que o número de agentes autônomos nos próximos anos explode bastante, se você comparar com outras profissões, assim, pô corretor de seguros que eu estava dizendo aqui mais cedo, tem trezentos mil, salvo engano médico são meio milhão de médicos.
Então, aparentemente assim, né? Pensando que toda pessoa que economiza, que poupa algum dinheiro precisa conversar com alguém minimamente, sem ser o primo ou tio que entende alguma coisa, né? Porque isso acontece bastante, mas quer falar com o profissional mesmo, pô o banco ele não tem disponibilidade de tempo para fazer esse tipo de atendimento, porque o modelo de distribuição dele é muito pesada é muito caro.
O banco tem agência, porta eletrônica, segurança armado. Então, o custo hora de ter um funcionário lá em uma agência conversando sobre investimento é muito pesado. Então o cenário está favorecendo bastante a gente nesse sentido, deve impulsionar mais o nosso crescimento ai nos próximos anos
</t>
  </si>
  <si>
    <t>1203695764573109</t>
  </si>
  <si>
    <t>https://drive.google.com/file/d/14SBEpn69Rk_pJ5AsxkW9VCdNndDDi2cl/view?usp=share_link</t>
  </si>
  <si>
    <t>Como definir quantos parceiros cada gerente consegue atender</t>
  </si>
  <si>
    <t>Canais e Parcerias,Samir Carlton</t>
  </si>
  <si>
    <t xml:space="preserve">Aula:
Canais &amp; Parcerias - Samir Carlton - Case: Mercado Pago
https://drive.google.com/file/d/1OQhj281BDkd8AQ1w32dTIdQDhf7vPiB8/view?usp=share_link
Minutagem:
26:57/28:33
Link vídeo final:
https://drive.google.com/file/d/1JjVBx3dunjaXeD_hvSbiCIydgMRB147A/view?usp=share_link
Alteração:
https://drive.google.com/file/d/1uRZuUrz3Bu6TMC3NObM_N0yidrJS_taT/view?usp=share_link
Transcrição:
Muita gente pergunta, quantas pessoas eu deveria estar tendo gerindo cada parceiro? Obviamente vai depender de cada segmentação, mas seria legal entender um pouco dessa dinâmica. Quando eu olho cross, a estrutura é bastante grande, então eu tenho canais, que eu tenho vinte, trinta especialistas, eu tenho canais que eu tenho quatro especialistas.
A conta principal é o quantas pessoas você precisa para suportar a complexidade daquela operação. Então, assim uma coisa é você atende parceiros pequenos que têm uma certa demanda ali, mas no final do dia unitariamente, cada um deles não mexe tanto o ponteiro assim, mas no todo é um grupo grande. Esse cluster você consegue deixar na mão de um especialista sênior, porque ele vai saber fazer essa gestão de tempo. Diferente de você olhar para um parceiro ala TOTVS, por exemplo, VTEX, Adobe Commerce, são caras extremamente gigantes, extremamente complexos. Se você colocar sessenta parceiros desse na mão de um executivo, esquece, ele não vai atender, porque demanda muito mais tempo, demanda muito mais técnica, toda a negociação ela é muito mais impactante para organização.
Então, a melhor forma de você definir o tamanho de equipe, é fazer uma matriz de impacto e complexidade de parceiros. Então, qual que é o impacto se eu perco um cara ou se eu ganho um cara, e qual que é a complexidade desse cara que eu estou gerindo aqui.
</t>
  </si>
  <si>
    <t>1203695764573105</t>
  </si>
  <si>
    <t xml:space="preserve">Aula:
Canais &amp; Parcerias - Samir Carlton - Case: Mercado Pago
https://drive.google.com/file/d/1OQhj281BDkd8AQ1w32dTIdQDhf7vPiB8/view?usp=share_link
Minutagem:
34:38/37:46 (tem cortes no meio, ex: momentos em que ele dá vários exemplos de um assunto só)
Link vídeo final:
https://drive.google.com/file/d/14SBEpn69Rk_pJ5AsxkW9VCdNndDDi2cl/view?usp=share_link
Transcrição:
Conta um pouco como é a jornada de uma empresa que quer virar parceiro do Mercado Pago? O que a gente acredita muito fortemente na cultura MELI, do grupo todo. Cada entidade com quem a gente relaciona, ela tem que ser muito bem atendida e a gente tem que conhecer da realidade dessa entidade. Então, quando você fala de um parceiro focado em large corporations, normalmente é um encontro de mundos, né?
Então, o cara vem te procurar ao mesmo tempo que você está procurando ele. Quando você fala de um parceiro voltado para o long tail, é muito mais ele buscando o Mercado Pago. E aí a gente faz essa avaliação de match, se faz sentido se não faz sentido, se tem mercado, se não tem mercado. Quando você fala para um SMB, esse cara normalmente é o mais "hunteado" porque são plataformas ou são soluções de RP muito mais nichadas no segmento.
Então cada canal e cada perfil de o parceiro tem a sua jornada, mas no geral é, encontra-se esse cara, esse cara
passa por um due diligence obviamente, para saber quem ele é, como que ele funciona, se ele é um cara idôneo ou não,
feito isso entra em toda uma etapa de contrato, onde a gente estabelece os termos da parceria.
Depois, caso seja necessário integração, e ai é go live mesmo da parceria para fazer a distribuição, seja do checkout, seja da máquininha dentro daquele mercado. Em grandes linhas é esse o caminho de onboarding.
</t>
  </si>
  <si>
    <t>1203892930567543</t>
  </si>
  <si>
    <t>O engajamento de parceiros em novos mercados</t>
  </si>
  <si>
    <t>Canais e Parcerias,Daniela Spinardi</t>
  </si>
  <si>
    <t>https://drive.google.com/file/d/1uRZuUrz3Bu6TMC3NObM_N0yidrJS_taT/view?usp=share_link</t>
  </si>
  <si>
    <t xml:space="preserve">Aula:
Canais &amp; Parcerias - Daniela Spinardi - Internacionalização via Canais
https://drive.google.com/file/d/1iM15kaKIkKUaQ2NYqqNMtP7RZb5Tituq/view?usp=share_link
Minutagem:
28:25/28:38 — 28:42/30:14
Link vídeo final:
https://drive.google.com/file/d/1QxN_iDR_JwAcPV0x_MvVORHhsJPrXVfS/view?usp=share_link
Link alterações:
https://drive.google.com/file/d/1iYCXzG0u18yzN-TESp_ERiGbdpDISfYN/view?usp=share_link
Transcrição:
Vocês veem alguma mudança de critério na entrada do programa, que seja para um novo mercado do que é para o Brasil, tem uma barra mais alta, ou mais baixa, ou um diferente, ou é a mesma coisa?
É difícil colocar uma barra muito alta quando você acabou de chegar. Então você acaba de chegar, você tem que parar a pessoa do que ela está fazendo hoje e já funciona e muitas vezes significa ela parar dedicar tempo para um serviço que já funciona para ela, para se dedicar ao seu.
Por exemplo, certificações muito mais exigentes, cobrar meta, etc, são coisas que pelo menos no nosso mercado é super difícil você já chegar exigindo de um parceiro. O caminho que a gente usa acaba sendo muito mais o contrário de focar bastante no relacionamento, na construção do relacionamento e na capacitação. E aí é uma capacitação sem cobrança, de fato, do lado do parceiro, muito mais pensando em uma construção de um relacionamento de longo prazo e de aprender junto com o parceiro.
Porque em vez de cobrar o parceiro já. "Você não criou lojas para mim, você não esta batendo uma meta." Eu vou querer entender com o parceiro é, você está com dificuldade de vender o meu produto, onde que você entende que o meu produto não atende o seu mercado, onde que eu preciso melhorar, me ajuda a trazer feedbacks, me ajuda trazer informação de razão de perda de vendas, como que eu te ajudo a conhecer melhor o meu produto?
</t>
  </si>
  <si>
    <t>1203892930567541</t>
  </si>
  <si>
    <t>A internacionalização por meio de canais e parcerias</t>
  </si>
  <si>
    <t xml:space="preserve">Aula:
Canais &amp; Parcerias - Daniela Spinardi - Internacionalização via Canais
https://drive.google.com/file/d/1iM15kaKIkKUaQ2NYqqNMtP7RZb5Tituq/view?usp=share_link
Minutagem:
14:06/14:44 — 22:18/22:57 — 26:06/27:52
Link vídeo final:
https://drive.google.com/file/d/1YLloqkqg5SnqNoIRQx1bIO5ME1gxZHY0/view?usp=share_link
Link alterações:
https://drive.google.com/file/d/1UpDdZGWeKhUWjwX6nyCGCCZNyjJAyMuj/view?usp=share_link
Transcrição:
Tem muita empresa que olha para canais, que olha e puts, eu preciso internacionalizar, então ao invés de adquirir um cliente de cada vez eu vou achar um parceiro que vai me trazer muitos clientes. Se você puder contextualizar um pouquinho da história de internacionalização, acho que é legal e até pegando isso que você estava falando de tem um modelo que é mais fácil de ter entrada, de representação ou não, ctrl+c, ctrl+v da estratégia, como é que é esses mitos aí de internacionalização? 
Você até comentou, né? O próprio Brasil foi uma internacionalização para a Nuvemshop porque a gente é argentino, mas tem uma diferença importante quando a gente veio para o Brasil. A gente já estava bem estruturada como marca, né? Argentina e começando lá. Quando a Nuvem veio para o Brasil, ela veio com o objetivo de ser o que a gente chama de Brazil first.
Então não é que o Brasil era um mercado separado, que a gente estava apostando, todos vieram da Argentina para o Brasil para focar no Brasil como principal, porque era o principal mercado. Então é quase uma. Nacionalização, né? Exato. É mais sofisticado você chegar com um produto novo no mercado, sem você ter marca e produto, no nosso caso é uma semente que você tem que plantar, mas não é um caminho fácil. Então, você tem que ir com a expectativa de que é uma construção. Se você conseguir ter um contato mais local, ainda que você não queira colocar uma estrutura local, fazendo esse relacionamento, que seja por outra estrutura da empresa, aqui na Nuvemshop a gente alavanca muito os country managers, quando a gente vai fazer a expansão eles acabam sendo a cara local e a gente entra nesses mercados bastante pequenos, assim, time de quatro a cinco pessoas, vai testando e validando e vai expandindo.
</t>
  </si>
  <si>
    <t>1203892930567547</t>
  </si>
  <si>
    <t>A jornada do parceiro dentro de um mercado estabelecido</t>
  </si>
  <si>
    <t>O que é preciso para uma parceria de sucesso</t>
  </si>
  <si>
    <t xml:space="preserve">Aula:
Canais &amp; Parcerias - Daniela Spinardi - Internacionalização via Canais
https://drive.google.com/file/d/1iM15kaKIkKUaQ2NYqqNMtP7RZb5Tituq/view?usp=share_link
Minutagem:
35:55/36:55
Link vídeo final:
https://drive.google.com/file/d/1pWghwfaqBDzXXETJ9J4O-vTfjb5T8bmJ/view?usp=share_link
Transcrição:
Mas assim, pensando em uma geografia estabelecida, eu te falo assim, a Nuvem é muito centrada no cliente e a gente sempre vai pensar no lojista mas quando a gente pensa em canais indiretos, a nossa centralidade é também do parceiro, porque ele é um cliente da Nuvem. Então, a gente gosta de pensar a maneira que a gente trabalha e se organiza a jornada toda do parceiro, porque a gente tem que pensar como ele conhece a Nuvem, como a gente traz ele, como a gente faz o onboarding, o onboarding, do onboarding até a certificação, do que ele precisa para começar a criar os primeiros projetos, ai tem uma sinalização do quanto ele vai avançando com a gente mas ela é muito pensada nessa jornada do engajamento e crescimento com eles junto com a Nuvem.
Por isso a gente acaba usando a jornada fim a fim, para se orientar em como a gente pensa processo, time e todo o suporte para parceiro.
</t>
  </si>
  <si>
    <t>Superintendente de Venda Direta e Parcerias</t>
  </si>
  <si>
    <t xml:space="preserve">Alelo Brasil </t>
  </si>
  <si>
    <t>https://drive.google.com/file/d/1V9oaJj9KNhry8j863wJyIh-Pxg1cHxqU/view?usp=share_link</t>
  </si>
  <si>
    <t>Canais e Parcerias,Nara Guimarães</t>
  </si>
  <si>
    <t>Aula:
Canais &amp; Parcerias - Nara Guimarães - Modelos de Programas de Canais
https://drive.google.com/file/d/12nFgcrvx4hzQnpkfltYCJUtWh9uD8732/view?usp=share_link
Minutagem:
32:13/33:25
Link vídeo final:
https://drive.google.com/file/d/1q4yq695kbeoRfiPDOn2G1PPBSvi0TSIZ/view?usp=share_link
Transcrição:
Acho que esse ponto é muito crítico, assim né? É uma parceria, cada um dentro da parceria tem os seus papéis e responsabilidades, problema que vai, com o tempo quando essa parceria não está muito estruturado e foi um dos tópicos que a gente falou na primeira sessão, ou seja, eu preciso ter o executivo que vai fazer a gestão desses canais, o papel desse executivo é a gente colocar as pessoas ali para fazer esse alinhamento todos os dias, ou todas as semanas ou todos os meses. Cara, qual o meu papel, qual é o seu papel, quais as minhas responsabilidades, qual é a sua, qual é o nosso objetivo em comum? Às vezes, a gente encontra parceiros que você fala, cara eu vou te indicar um cliente por vez. Cara beleza, está aqui no meu territory plan, um lead que vai vir desse parceiro e beleza, essa é expectativa. Tem cara que fala, não eu vou te entregar trinta, ai você fala cara maravilhoso. Essa é uma das coisas que eu tinha muito com meu time de canais.
A gente fazia um planejamento antes do mês, quanto a gente espera que venha dessa determinada parcela, o cara falou que vai mandar 50. Então mas vamos olhar aqui historicamente, o máximo foi 20. Não, porque este mês ele vai mandar um e-mail marketing para base e vai explodir. Você fala, cara você quer se enganar, você quer me enganar, ou ele que está te enganando? Vamos fazer um pouco mais realista nesse processo? Então, eu acho que é muito importante esse alinhamento.</t>
  </si>
  <si>
    <t>1203695750912582</t>
  </si>
  <si>
    <t>A Alelo no mercado PAT</t>
  </si>
  <si>
    <t>Canais e Parcerias,Barbara Luchese</t>
  </si>
  <si>
    <t>Aula:
Canais &amp; Parcerias - Barbara Luchese - Case: Alelo
https://drive.google.com/file/d/1eSIV5fkLxGHvGGbSZ2J6-aUk7LI9MNBd/view?usp=share_link
Minutagem: 
05:33/05:45 — 06:05/06:40 — 06:50/07:10
Link vídeo final:
https://drive.google.com/file/d/1HaY5XhiWmqRvd20ZXTF0FZcZ6MJ-CxD4/view?usp=share_link
Alteração:
https://drive.google.com/file/d/1oM0lz1PwJUZru0vRyn2sxSkJjFfcmM0R/view?usp=share_link
Transcrição:
Bom, a Alelo é uma empresa de capital fechado, uma empresa 100% brasileiros,  os controladores da Alelo são Banco do Brasil e Bradesco, né? A gente fala que é uma parceria do mercado público com o privado, que dá certo. Então temos Livelo, temos a Alelo, enfim, a gente fala todos os elos dessa corrente, né?
É um grupo financeiro muito sólido do Banco do Brasil e Bradesco, apesar de cada uma das empresas ter administração própria. A gente responde para o Conselho de administração desses bancos, mas a administração é própria, com seus diretores, com o seu presidente e é uma empresa que a gente é líder do mercado a mais de treze anos.
O mercado PAT, que é o programa de alimentação do trabalhador , é um mercado regulado, existe há mais de quarenta e seis anos, ele é de 1976. Onde ele pressupõe que as empresas têm benefícios fiscais para cuidar da alimentação dos seus trabalhadores. É um mercado regulado, um mercado onde três grandes players surfaram nele muito grandemente, então a gente tem Sodexo Ticket e Alelo, como líderes com 70%, 80% desse mercado, e existem várias empresas pequenas. E como você comentou novos entrantes devido às mudanças que estão acontecendo no mercado.</t>
  </si>
  <si>
    <t>Ao buscar um parceiro não comece por "peixes grandes"</t>
  </si>
  <si>
    <t>1203622949570167</t>
  </si>
  <si>
    <t>A importância da cocriação</t>
  </si>
  <si>
    <t>Líderes,Cláudio Bessa</t>
  </si>
  <si>
    <t>https://drive.google.com/file/d/1L_U_3TXCK1Q9oKCqpKCDQegNA3qD2w4d/view?usp=share_link
Transcrição:
A palavra de ordem agora chama com criação de vocês escutar essa palavra para essa atenção nela, com criação dela para o seguinte, que existe um compartilhamento de responsabilidades, então a palavra assim eu não sou o dono da razão. Eu provedor desenvolvedor de uma solução, eu não sou o dono da razão.
Eu não vou colocar o produto e cem por cento para funcionar, e daí por diante, porque se quebrar a cara com pessoal minha, o que eu estou fazendo agora? com, criando melhor o seu desafio de negócio. Enquanto que você fazer e conjuntamente conjuntamente a gente vai com criar e desenvolver através do meu espelho.
Quinze. Através das minhas tecnologias, a gente vai com criar em cima do seu conhecimento e seu expertise com relação ao negócio que vai desenvolver uma solução.</t>
  </si>
  <si>
    <t>https://drive.google.com/file/d/1KTBb6dHFQMxFydaj9W2Bq3q5CC2MWiQG/view?usp=share_link</t>
  </si>
  <si>
    <t>1203614404300155</t>
  </si>
  <si>
    <t>Perfil de empresas que trabalham com MPE</t>
  </si>
  <si>
    <t>Líderes,Ludmilla Fernandes</t>
  </si>
  <si>
    <t>https://drive.google.com/file/d/10XC4qohLkLFfXHSaGHV15wF5GhxF_UNU/view?usp=share_link
Alteração:
https://drive.google.com/file/d/1XtlbK0QbYSWZgHmNhMhEfdLpsf26dM6D/view?usp=share_link
Transcrição:
Meu pai sempre teve empresa de software para pequenos varejistas, quando você atende um pequeno varejista, é o cara que é o dono da lojinha, o dono do restaurante. Os sistemas eram um sistema de controle de PDV. Cara esse negócio não pode dar pau. No fim de semana à noite, você tem que ter uma empresa muito objetiva, muito rápida, que não têm gastos desnecessários, altamente eficiente, e é isso que acontece na operação das Solides.
É até engraçado assim eu consigo ver, a dificuldade de vocês para mover para uma venda enterprise, cara o ritmo, o perfil das pessoas, o batidão, a forma como implementa. O ritmo de uma máquina enterprise. Eu não sei nem, eu nem conheço a fundo o produto para dizer se o produto da feat com grandes empresas, mas o feat de uma venda enterprise que vai demorar e pega o avião e molda uma proposta personalizada e faz aquela politicagem para fechar o negócio. Está totalmente fora do DNA que a empresa nesse momento ainda não está preparada para isso. E tem casos de empresas que são opostos no mesmo mercado que vocês estão. A empresa surgiu vendendo para grandes empresas, trabalhava nisso depois foi para empresas médias, e não consegue chegar em empresas pequenas porque não tem, não sabe nem conversar.</t>
  </si>
  <si>
    <t>1203695764573121</t>
  </si>
  <si>
    <t>As estruturas de vendas no mercado de mídia</t>
  </si>
  <si>
    <t>Líderes,Michelle Schneider</t>
  </si>
  <si>
    <t>Dicas para estruturar o setor de canais</t>
  </si>
  <si>
    <t>Aula:
Sales Leaders - Michelle Schneider - Vendas no Mercado de Midia e Advertising
https://drive.google.com/file/d/1v-ZcUlrF70LsQ7Yq26sRe2Oog22fQLHp/view?usp=share_link
Minutagem:
17:17/19:00
Link vídeo final:
https://drive.google.com/file/d/1tqdRaGG2B3otu3ivs71wm8QiF14meNzr/view?usp=share_link
Alterações:
https://drive.google.com/file/d/1frg6ET79xNL4jpn3baSi91p62FJ31uvj/view?usp=share_link
Transcrição:
O Google, Tiktok, Facebook, que eu acho que são os grandes players, eles têm uma estrutura muito similar. Então você tem um time que atende grandes contas. Você normalmente tem um time de mid-market, e ai você tem um time de scale, que é aquele volumão mesmo de clientes que estão começando. Então as estruturas são muito diferentes.
Quando você vai para esse scale, obviamente o vendedor ele tem uma carteira extensa, e ele não trabalha em dupla. E ai basicamente o trabalho dele é trazer esse cliente que ainda não investe, normalmente são empresas que estão surgindo que são novas porque normalmente, acho que de resto, dificilmente alguém não estaria investindo.
Ai você já vai para o time de mid-market, onde você tem, depende da empresa, mas você tem, as vezes um executivo atendendo ali, 20 contas, 30 contas. A carteira que está quase pronta para virar enterprise você começa já ter uma dupla mesmo no time de mid-market. E ai você sobe para contas enterprise, aí a gente já começa a falar de muita profundidade, né?
Então, para vocês terem uma ideia no Google os grandes clientes hoje tem dois executivos para uma única conta.</t>
  </si>
  <si>
    <t>https://drive.google.com/file/d/1V1N7AoxoWgJHwsrAFGHCcxAYR4da4YPb/view?usp=share_link</t>
  </si>
  <si>
    <t>1203695764573113</t>
  </si>
  <si>
    <t>O papel do account executive no crescimento do cliente de mídia</t>
  </si>
  <si>
    <t>Aula:
Sales Leaders - Michelle Schneider - Vendas no Mercado de Midia e Advertising
https://drive.google.com/file/d/1v-ZcUlrF70LsQ7Yq26sRe2Oog22fQLHp/view?usp=share_link
Minutagem:
29:30/31:06
Link vídeo final:
https://drive.google.com/file/d/1m-gRO9pwBn0VkTPFFmgLFlNGFVvQsDh5/view?usp=share_link
Alteração:
https://drive.google.com/file/d/1nUj8Wl4Nxw7hqHsQmUgyTuiI9eqE6_jh/view?usp=share_link
Transcrição:
Mas o que acontece nesses times interprise é que o cliente ele não é novo, né? Normalmente você tem o cliente, você tem que ir aumentando o cliente, a sua meta é aumentar sempre. E aí vai muito das experiências que ele vai fazendo, então, dentro da agenda de performance, a gente normalmente faz uma agenda de test and learning, onde a gente tem sempre ir melhorando a eficiência para a gente poder ir puxando mais dinheiro.
Então a conta é, estamos melhorando o CAC? A gente começa a pedir mais dinheiro. Ai o cliente vem as vezes ele fala. "Cara, mudou, agora não vou mais olhar para o custo para abertura de conta, agora eu tenho que olhar para a rentabilidade". Ai a gente recomeça o trabalho. Quando é o dinheiro de uma campanha de branding, as métricas são outras.
E aí normalmente você não tem esse ajuste muito no meio do caminho, em uma pré campanha, o cliente normalmente faz um briefing, e aí é o papel do executivo "pitchar" algo maior. Aí vai muito como é que ele vai articular essa venda para ele puxar um dinheiro maior. Então os budgets de branding, são alinhados pré campanha e os de performance são no always on.
Melhorou a eficiência vem mais dinheiro, piorou a eficiência eles vão tirando dinheiro.</t>
  </si>
  <si>
    <t>1203695764573063</t>
  </si>
  <si>
    <t>Os 5 elementos da estratégia de Account-Based Marketing (ABM) - Marketing</t>
  </si>
  <si>
    <t>Líderes,Felipe Spina</t>
  </si>
  <si>
    <t xml:space="preserve">Aula:
Líderes de Vendas - ABM - Account Based Marketing - Felipe Spina
https://drive.google.com/file/d/18WWzQjGBaw9q-oz33vvW2R7dqz37ZswL/view
Minutagem:
15:47/17:18 (Também dá pra cortar detalhes nesse meio tempo, se precisar)
Link vídeo final:
https://drive.google.com/file/d/1yfU8RyhF7-QYv98LEnj2xovIMJ098JIW/view?usp=share_link
Transcrição:
A gente tem cinco elementos para começar a estratégia de ABM. Então, o primeiro passo é saber para quem eu vou vender. Um grande erro do ABM é eu querer conversar com todo mundo, né? Não é uma estratégia de volume, é uma estratégia de key account. Então primeiro eu vou definir meu ICP para saber com quem eu vou falar.
Segundo, se eu já sei com quem eu quero falar, eu crio uma lista de contatos. Então eu vou definir um dossiê daquela empresa, eu vou definir quem são as pessoas daquela empresa, o que elas gostam, quais são os desafios. Porque sabendo esses dados  eu consigo personalizar o conteúdo, consigo personalizar a mensagem, eu consigo montar uma estratégia para aquela conta, e sabendo disso eu consigo orquestrar, eu consigo montar uma campanha personalizada, eu consigo definir uma play, que a gente vai explicar cada caixinha dessas no detalhe, né? De como você construir isso dentro da sua empresa. Mas como que você lança? Qual o tempo de uma resposta e outra? Como fazer essas ações?
Qual ciclo de vendas? Aqui na parte de mensuração a gente consegue saber quantos pontos de contato até a venda, quantas pessoas participaram do processo, qual foi o ponto de contato mais efetivo. Então dessa orquestração, de todos esses pontos de contato, a gente consegue melhorar ainda mais essas ações.
</t>
  </si>
  <si>
    <t>Apoio de Parceiros para alcançar grandes contas</t>
  </si>
  <si>
    <t>1203695764573083</t>
  </si>
  <si>
    <t>Elemento 5 de ABM: mensurar</t>
  </si>
  <si>
    <t>https://drive.google.com/file/d/1M6qMOS5m-1kHY6nnLMn8fO5oTnF-4NoE/view?usp=share_link</t>
  </si>
  <si>
    <t>Aula:
https://drive.google.com/file/d/18WWzQjGBaw9q-oz33vvW2R7dqz37ZswL/view
Minutagem:
46:41/48:00
Link vídeo final:
https://drive.google.com/file/d/1La8dgP8s8i1GutNR8FKDH4uaCDAkZexO/view?usp=share_link
Alteração:
https://drive.google.com/file/d/1lPmHfBg9e6NFobRFTrlMMhQ-okX2qppI/view?usp=share_link
Transcrição:
Não podemos esquecer de mensurar, né pessoal? Eu acho que deixo para o último item mais para mim talvez seja o principal, né? O que a gente vai mensurar. Já dizia Peter Drucker, né? O pai do marketing. "O que não pode ser medido, não pode ser melhorado". Então, como que a gente evolui as métricas? Como que você traz para o time,
o que a gente vai trazer, né? Qual evolução dentro dessas contas? Quantos pontos de contato? Quantas pessoas participaram? Qual foi o melhor ponto de contato? Porque tudo tem um funil, tudo tem um processo, mas como é que eu evoluo essa estratégia? Então acho que isso, você vai trazendo essas respostas e você vai melhorando cada vez mais e muita gente acha que o ABM (Account-Based Marketing) é só para a aquisição de novos clientes, mas não.
A gente também trabalha numa estratégia de expansão. Inclusive a maioria dos nossos clientes usam mais para a expansão do que para aquisição. Porque se você já tem uma carteira de clientes, você pode aumentar o seu MRR, você pode aumentar sua receita recorrente através de expansão, porque se você já tem um dos clientes e você pode vender outras soluções para quem já é seu cliente. Então você mapeia os clientes do seu radar, começa a trabalhar o Customer Marketing.
Começa o seu time de marketing CS, começa a trabalhar funções para você vender outras soluções ou aumentar o ticket, ou aumentar a receita da sua empresa através de expansão, que eu acho isso super significante no processo.</t>
  </si>
  <si>
    <t>1203695764573065</t>
  </si>
  <si>
    <t>Elemento 1 de ABM: defina seu nicho</t>
  </si>
  <si>
    <t>Aula:
Líderes de Vendas - ABM - Account Based Marketing - Felipe Spina
https://drive.google.com/file/d/18WWzQjGBaw9q-oz33vvW2R7dqz37ZswL/view
Minutagem:
18:14/19:17
Link vídeo final:
https://drive.google.com/file/d/1LbDLaiXvuNj_jU5LBBJMVIIoE9AUT5bW/view?usp=share_link
Alteração:
https://drive.google.com/file/d/1OucTi_N2vgfnfvg7QqLEKXkJg6_YCAGB/view?usp=share_link
Transcrição:
Sabe quando você tira nota boa no colégio e você coloca na geladeira para mostrar para os seus pais? Esse é o tipo de cliente, seria um cliente muito bom, que você colocaria na home do seu site, no seu portfólio e daria orgulho, iria falar assim, olha eu tenho esse cliente no meu portifólio que vai te abrir portas para outros clientes. Então você criaria sua lista de desejos. Ah quero ter aquele cliente, assim, por exemplo, então nosso site lá.
Comecei assim a Maestro, tem lá a Zenvia, podia ter a Zenvia no portfólio. Porque em 2021 ela comprou 10 startups, uma empresa que super, tecnológica e pensando em inovação, então busca novas tecnologias, então eu acredito que ABM (Account-Based Marketing)
seria uma estratégia. Então fiz nesse processo, né? Inclusive a gente come da própria ração.
A gente faz ABM para vender ABM, né? Utiliza o próprio produto.</t>
  </si>
  <si>
    <t>1203642713062876</t>
  </si>
  <si>
    <t>Os desafios e oportunidades nas vendas de serviços</t>
  </si>
  <si>
    <t>Contrato para cada modelo de Parceria</t>
  </si>
  <si>
    <t>Líderes,Lelio Souza</t>
  </si>
  <si>
    <t>https://drive.google.com/file/d/1K-3Bizh5390c3nj_0IuH47wduEKzEyjD/view?usp=share_link</t>
  </si>
  <si>
    <t xml:space="preserve">Aula:
Sales Leaders com Lelio Souza - Gestão de Vendas de Serviços
https://drive.google.com/file/d/1f1tKb11ooLBlJn-BcmY1aEm3_-JbU_Jv/view
Minutagem:
7:06/7:39 — 7:57:8:04 — 8:39:8:54.
Link vídeo final:
https://drive.google.com/file/d/1eLpmsO5i47FYn-zxhynvO0CpqatHJTL0/view?usp=share_link
Alteração:
https://drive.google.com/file/d/1sZ7TFeiyTm92SpewTISmB6626wRdOsZo/view?usp=share_link
Transcrição:
Como é que você vê a diferença, né? De fazer o processo de vendas desses dois tipos de serviços, onde é um serviço puro, ou seja, uma pessoa prestando um serviço, ou um serviço atrelado a um produto. O que tem de prós e contras e desafios e facilidades em cada uma dessas coisas? Maravilha, então quando a gente fala serviços de fato tem uma gama muito ampla.
Se você pensa dentro de uma consultoria como era a Accenture no serviço de estratégias. Que eu vou ajudar um cliente em um tema estratégico é muito tailor made, muito específico para aquele cliente. Enquanto outros tipos de serviços de consultoria, a gente consegue empacotar mais em oferta, mas no final do dia todos eles guardam um princípio em comum, que é resolver uma dor. Eu gosto muito de pensar a venda de serviços e mesmo de produto. Em um princípio inicial básico, é que dor você está resolvendo?
</t>
  </si>
  <si>
    <t>1203642713062906</t>
  </si>
  <si>
    <t>Go to Marketing X Go to Ecosystem: a monetização não é linear</t>
  </si>
  <si>
    <t>Líderes,Tiago Tadeu</t>
  </si>
  <si>
    <t xml:space="preserve">Aula:
Sales Leaders com Tiago Tadeu - Demissões e Layoffs
https://drive.google.com/file/d/1UABLCHFdaYgNmYbUju_EQsUIClh7B9Lu/view
Minutagem:
39:21/40:30
Link vídeo final:
https://drive.google.com/file/d/1U-UGQeboY2SWM7-pFAabNUZ4u94XAUq7/view?usp=share_link
Transcrição:
Eu vi uma frase hoje, que assim, a gente fala muito de Go To Marketing, e está surgindo o conceito de Go To Ecosystem, ou seja, quando você está trazendo um cliente da Cora para ele abrir uma conta digital de graça. Na verdade, você não está vendendo uma conta digital de graça, você está tendo um esforço de aquisição de um cliente para ele entrar dentro de um ecossistema, onde você monetiza de múltiplas maneiras.
A nossa sessão da Pipelovers hoje de manhã, falando de canais e parcerias, que era a loja integrada, era exatamente isso, um ecossistema de dois milhões e meio de lojas virtuais. O mundo está indo para ecossistemas, onde a monetização não é mais linear, a monetização acontece em vários lados. E se você não souber, se você não tiver esse entendimento de como que o seu ecossistema ele para de pé, onde que ele monetiza, qual que é o elo mais relevante dentro do seu ecossistema, que partes que não vão ser representativas.
Isso faz com que. Esse é o entendimento que um líder de negócio, precisa ter.
</t>
  </si>
  <si>
    <t>1203558703539792</t>
  </si>
  <si>
    <t>Tercerização vale a pena?</t>
  </si>
  <si>
    <t>SDR`s,Thiago Reis</t>
  </si>
  <si>
    <t>Aula:
Thiago Reis "A máquina de Vendas das Máquinas de Vendas"
https://drive.google.com/file/d/1Gh5Gh7IGNucTOz1q3TM0_1oV0cUvkYcy/view
Minutagem:
Link vídeo final:
https://drive.google.com/file/d/10sw1HaTCYwe_Loj2Ece4BgW-44Ny0_aY/view?usp=share_link
Transcrição:
Qual que é sua opinião sobre a terceirização do processo de prospecção pelas empresas, inclusive junto com o Michel, né Pagotto? A gente está analisando, inclusive que o Pagotto é investidor da empresa do Michel que é sócia desse projeto que a gente está desenvolvendo, a gente está analisando fazer a terceirização para a gente não ter que levar ele os quatro meses para montar um bom time de pré vendas, então a gente vai terceirizar, mas numa etapa de validação de um MVP.
Então eu tenho uma hipótese que dá para fazer tal coisa, vou usar a terceirização para isso, então nesse nesse cenário. Então pô cara eu sou sei lá, um dentista, sei zero sobre comercial. Não vou conseguir motivar o meu time. Não vou conseguir criar uma estrutura comercial eficiente, e cara na verdade assim, o meu principal canal de aquisição é o Instagram e a minha secretária e eu estou usando a prospecção para ser mais um canal complementar ao meu principal canal de aquisição. Faz sentido! Agora, cara, pô eu sou uma empresa que quer escala, que quer crescer, que quer ir mais rápido, cara a terceirização, para mim ela é um caminho, ou para você economizar custo e para você ganhar tempo.
Por isso que eu acho difícil.</t>
  </si>
  <si>
    <t>Tenha Parceiros com clientes de mesmo perfil de decisor</t>
  </si>
  <si>
    <t>1203642713062918</t>
  </si>
  <si>
    <t>Recomendações para as empresas que participam do M&amp;A - Recomendações</t>
  </si>
  <si>
    <t>https://drive.google.com/file/d/1Hui9fnVgSpbG9yRaAkeuiwTVCM_Ijg_E/view?usp=share_link</t>
  </si>
  <si>
    <t>Líderes,Alexandre Apendino</t>
  </si>
  <si>
    <t xml:space="preserve">Aula:
Sales Leaders com Alexandre Apendino - Integrando Equipes de Vendas pós M&amp;A
https://drive.google.com/file/d/1EvFOSNigOlRbcF_ZtOuDqkm6C969u4sX/view
Minutagem:
08:25/08:35 — 08:51/09:03 — 09:06/09:13 — 09:19/09:43 — 10:53/11:28 — 11:38/11:50.
Link vídeo final:
https://drive.google.com/file/d/1ryUTQ2yZGBMCQ_IeWJp3GZaGAAg9LPbG/view?usp=share_link
Transcrição:
Quais são as recomendações que você daria dos dois lados. Então, tanto para quem está do lado de quem está comprando coisas que vocês fizeram para absorver e aprender e do outro lado também, assim, quando as empresas compradas tem muitas empresas compradas, que é comprado e o negócio meio que se perde, mas ela também consegue aprender muito da matriz, porque, cara, por algum motivo também essa empresa ficou maior e teve mais, tem mais maturidade, as vezes tem mais áreas de apoio. Eu vou dar dica para o pessoal que está aqui. Se você estiver na empresa que for adquirida um dia, a primeira coisa que eu dou de dica é, tenha paciência. O que vai acontecer? A primeira coisa que vai acontecer vai ter uma debandada dos sócios e dos altos executivos e quem está no segundo ou no terceiro nível abre um mundo de oportunidades para vocês, um mundo de oportunidades. E do lado de quem compra, de novo né? Tem um aprendizado, tem talento, tem talento nessas empresas, que é importante olhar, e eu por experiência de novo, a gente tem talentos hoje na TOTVS de empresas que foram compradas, que não eram talentos nas empresas que foram compradas.
Por que essa pessoa não era da panela, não era do grupo que estava lá dentro e era um talento que estava lá esperando. E não tinha mais espaço para crescer às vezes, né? Porque as vezes a empresa é menor, o talento está limitado, né? A empresa fica de olho que pode vim muito talento lá  dentro da empresa que pode ser usado. E aí a outra dica é não tenham vergonha de promover esses talentos e dar a pista.
</t>
  </si>
  <si>
    <t>1203642713062914</t>
  </si>
  <si>
    <t>A operação de vendas pós M&amp;A - Recomendações</t>
  </si>
  <si>
    <t>https://drive.google.com/file/d/1oM0lz1PwJUZru0vRyn2sxSkJjFfcmM0R/view?usp=share_link</t>
  </si>
  <si>
    <t xml:space="preserve">Aula:
Sales Leaders com Alexandre Apendino - Integrando Equipes de Vendas pós M&amp;A
https://drive.google.com/file/d/1EvFOSNigOlRbcF_ZtOuDqkm6C969u4sX/view
Minutagem:
04:24/04:50 — 05:13/05:46.
Link vídeo final:
https://drive.google.com/file/d/1jtMGbiftKLhe5Qp5pahrqNsoS2kJARj0/view?usp=share_link
Transcrição:
Cara, quais são as primeiras coisas que você começa a olhar e como operação de vendas para botar uma nova operação para dentro? Pagotto, a gente errou muito já no passado. Eu acho que depois de tantas aquisições a gente começou a aprender. O que eu quero compartilhar com vocês é o que a gente aprendeu, que acho que é o mais importante. Para encurtar a resposta, e que vocês possam levar para casa mesmo como experiência, nunca ache que você é melhor que a outra empresa, por menor que ela seja, Nunca julgue o outro time, porque se aquele empreendedor chegou ali e ele vendeu a empresa. E como você brincou né? Encheu o bolso de dinheiro, ele tem seu mérito. Então eu acho que o mais importante, quem compra respeitar quem foi comprado.
</t>
  </si>
  <si>
    <t>1203642713062928</t>
  </si>
  <si>
    <t>No mundo de tecnologia existem 2 tipos de empresa - área comercial</t>
  </si>
  <si>
    <t>A comissão nem sempre é o principal atrativo para um parceiro</t>
  </si>
  <si>
    <t xml:space="preserve">Aula:
Sales Leaders com Alexandre Apendino - Integrando Equipes de Vendas pós M&amp;A
https://drive.google.com/file/d/1EvFOSNigOlRbcF_ZtOuDqkm6C969u4sX/view
Minutagem:
38:03/40:10
Link vídeo final:
https://drive.google.com/file/d/1l60QEbTVMWKbJULL49O7zfjAXjC8SDSX/view?usp=share_link
Transcrição:
No mundo de tecnologia tem dois tipos de empresas. Empresa que é liderada pela área de produtos e empresa que é liderada pela área de vendas. O caso da TOTVS é uma empresa de vendas e o time de produto vem cada vez mais aprimorando, mas é uma empresa, o fundador é uma pessoa comercial. Então às vezes para uma pessoa de produto. Ah não, vou dar desconto esse mês, fecha o mês que vem, o que é que tem?
E para a área comercial. Não, tá louco? Precisa fechar este mês, vai que o cliente morre, amanhã ele muda de ideia no final de semana, ele resolve comprar um barco em vez de comprar o produto, que é o que acontece. E tiveram casos aqui onde essa cultura nova ela ganhou espaço. Eu sou parte da cultura nova na TOTVS. Entrei em uma área que era, estava isolada lá, uma área pequena. 
A empresa também fez essa aquisição, já mirando essa área comercial e os benefícios que essa área comercial pode trazer. Só que é um choque, né? A área comercial com a área de produto é um choque muito grande e vai ser eterno, né? Ai põe o marketing no meio para dar um pouco mais de confusão. Tem um processo ai que realmente acabam ficando corpos pelo caminho, que é ruim, mas precisa saber quando a companhia está preparada para absorver uma cultura agressiva como ter uma cultura de produto.
</t>
  </si>
  <si>
    <t>https://drive.google.com/file/d/14G31WI0pI30PCLO9MFbbq3ggNcaz9e-k/view?usp=share_link</t>
  </si>
  <si>
    <t>1204351766961458</t>
  </si>
  <si>
    <t>Pontos de observação para definir um acordo de M&amp;A</t>
  </si>
  <si>
    <t>Postados</t>
  </si>
  <si>
    <t xml:space="preserve">Aula:
Canais &amp; Parcerias - Cristiano Gregorius - Fusão de Programas de Canais Pós-M&amp;A
https://drive.google.com/file/d/1Hx_sKoh5HHbnjoIFYZTu3Q3-4PWNBya4/view?usp=share_link
Minutagem:
8:28/10:05
Link vídeo final:
https://drive.google.com/file/d/1pc6lmuy8-KCccggv3UKRElrfDVQ1sOdR/view?usp=share_link
Link alteração:
https://drive.google.com/file/d/1nbWGOl-jTzDNx3UqQ-sUh59uj83wWpB1/view?usp=share_link
Transcrição:
Vou adquirir alguma outra empresa que tem uma solução complementar a minha. E eu tenho, enfim, eu estou incorporando portfólio e à medida que eu trago esse portfólio eu já tenho o canal e vou distribuir esse portfólio. O que não se leva em consideração muitas vezes, eu acho que esse é um erro importante, uma participação mais efetiva no time de canais nessas discussões prévias, é como funciona cada um dos modelos de distribuição? Qual a capacidade que o canal tem, tanto da empresa A compradora da empresa B que está sendo comprada, quais são os modelos vigentes e quanto que cada um desses agrega valor para que tenha incentivos que viabilizem o negócio? E em um A B, em uma visão futura de junção dos dois negócios onde de fato existe sinergia e onde talvez, quem está pensando na tese, olhando só para produto, complementariedade de portfólio, não se atenta muito aos temas da distribuição.
</t>
  </si>
  <si>
    <t>Entender o ecossistema é fundamental para um canal de parcerias bem sucedido</t>
  </si>
  <si>
    <t>https://drive.google.com/file/d/1cRUnxF5ikeAMn4ulB1qlIVRAwWMOcOJm/view?usp=share_link</t>
  </si>
  <si>
    <t>Erros e acertos ao realizar um M&amp;A - Recomendações</t>
  </si>
  <si>
    <t xml:space="preserve">Aula:
Sales Leaders com Alexandre Apendino - Integrando Equipes de Vendas pós M&amp;A
https://drive.google.com/file/d/1EvFOSNigOlRbcF_ZtOuDqkm6C969u4sX/view
Minutagem:
41:51/43:00 — 43:51/44:20
Link vídeo final:
https://drive.google.com/file/d/1C9KJqpC5MSz1J7k8PdMcH9zQk8x9zVdW/view?usp=share_link
Transcrição:
O que você já fez para minimizar essas questões culturais e gerar essa integração? E quais foram ai três coisas que deram muito errado ao longo desses últimos sete anos que você dá para ajudar a galera que quer encurtar esse caminho?
O que deu muito errado foi colocar alguém lá dentro como se fosse um informante, para saber o que está acontecendo. O amigo do CEO, um amigo do VP. Pior cagada que você faz, a outra coisa é colocar alguém na área de M&amp;A para ser o diretor da operação, também não tem nada a ver, a pessoa que compra a empresa não é uma pessoa que pode operar a empresa, ela tem que estar ali para apoiar no processo de aquisição, e a outra coisa é colocar alguém que não é de negócios para tocar uma empresa. E aí para concluir eu vou repetir o que eu falei no começo. Tem que respeitar as culturas de quem foi adquirido. Se você tomou a decisão de comprar a empresa, respeite as culturas, tente entender o que tem de melhor lá, não seja, não tenho o ego que você comprou agora, mesmo se for o seu inimigo, vai lá abraça ele, a gente concorria, dá risada, aquela conta que você ganhou de mim, essa que eu perdi de você. E a gente faz parte isso, né?
</t>
  </si>
  <si>
    <t>Os desafios do início de um programa de canais</t>
  </si>
  <si>
    <t>1204351766961456</t>
  </si>
  <si>
    <t>Um erro recorrente durante Fusões e Aquisições</t>
  </si>
  <si>
    <t>https://drive.google.com/file/d/1_wmdAjptFyoHX0g9Bgs-Sm5s--m_d_kq/view?usp=share_link</t>
  </si>
  <si>
    <t xml:space="preserve">Aula:
Canais &amp; Parcerias - Cristiano Gregorius - Fusão de Programas de Canais Pós-M&amp;A
https://drive.google.com/file/d/1Hx_sKoh5HHbnjoIFYZTu3Q3-4PWNBya4/view?usp=share_link
Minutagem:
7:13/8:27 — 10:30/10:49
Link vídeo final:
https://drive.google.com/file/d/1-oQU4UmNRic-3Rav9Uc4GfoXMgQZpfv2/view?usp=share_link
Link alteração:
https://drive.google.com/file/d/14pRNTXDOutIVGZpv9WrWEoJyrnwCH2Br/view?usp=share_link
Transcrição:
Independente em qual empresa você está, a sua empresa amanhã pode trazer mais alguém para juntar forças ou ela passar a fazer parte de um outro grupo que também, enfim, também vai juntar forças.
Um ponto que eu tenho de visão ai quando a gente fala de pré M&amp;A, muitas vezes a distribuição, a estrutura de canais, quem define atua no go to market, quem leva essa soluções para o mercado participa pouco das discussões estratégicas de M&amp;A, e aí o que acontece? Muitas vezes as teses que são construídas para dar um próximo passo de M&amp;A, de adquirir uma empresa ela muitas vezes é construída a partir de alguns pressupostos que não necessariamente vão acontecer na prática.
Então eu acho que se eu pudesse ver um grande erro é a falta de envolvimento de quem está na ponta, à frente dos modelos de distribuição, à frente das operações efetivamente de canais, participar mais da validação das teses para entender em que momento isso é possível e para ponto, como distribuir isso de uma forma mais efetiva.
</t>
  </si>
  <si>
    <t>1204351766960391</t>
  </si>
  <si>
    <t xml:space="preserve">A virada de chave inovadora da Conta Azul dentro do mercado de canais </t>
  </si>
  <si>
    <t>Os indicadores de um bom vendedor</t>
  </si>
  <si>
    <t>https://drive.google.com/file/d/1XKxP9xOLo9XNrpKJk-D6QOg6qTSgzmf6/view?usp=share_link</t>
  </si>
  <si>
    <t xml:space="preserve">Aula:
SDRs - Bruna Craveiro - #35: Autogestão Baseada em Indicadores
https://drive.google.com/file/d/1uGjxtuW4-F1-jm_FE5I2n1S9cDPLt2L6/view?usp=share_link
Minutagem:
10:14/12:17
Link vídeo final:
https://drive.google.com/file/d/19Stzjgl4EfKqgf4HnmKZ--1ta6bJz4pZ/view?usp=share_link
Link alteração:
Transcrição:
Os indicadores que vocês vão precisar olhar sempre vão ser o número de contas que vocês estão trabalhando, dessas contas vocês mapearam e entenderem quais são os leads que vocês tocaram. Sejam esses leads já interessados no produto de vocês, ou leads que vocês vão prospectar e criar e encantar esses leads.
Através desses leads vão ser geradas oportunidades qualificadas. Então, acompanhar também esse volume de oportunidades qualificadas que vocês estão gerando e depois de oportunidades qualificadas, algo muito importante que nunca ninguém me disse, tá? Que eu aprendi no campo, é muito importante os geradores de demanda, ele ter uma responsabilidade e também acompanhar as oportunidades que ele gerou e entender quanto dessas oportunidades estão sendo convertidas em vendas lá no final do ciclo de vendas. Isso faz também com que o trabalho de vocês seja mais inteligente, vocês se conectem com os AE's e principalmente mostre para a empresa que vocês trabalham, que vocês estão responsáveis com o todo.
</t>
  </si>
  <si>
    <t>1204351766961424</t>
  </si>
  <si>
    <t>Mantenha suas métricas em dia</t>
  </si>
  <si>
    <t>As estratégias de gestão por trás de um canal de parcerias</t>
  </si>
  <si>
    <t>https://drive.google.com/file/d/16-HrohnH9842U73zJyjmSZn0DN0GrXcJ/view?usp=share_link</t>
  </si>
  <si>
    <t xml:space="preserve">Aula:
SDRs - Bruna Craveiro - Autogestão Baseada em Indicadores
https://drive.google.com/file/d/1uGjxtuW4-F1-jm_FE5I2n1S9cDPLt2L6/view?usp=share_link
Minutagem:
15:27/16:31 — 17:10/17:40
Link vídeo final:
https://drive.google.com/file/d/1qC8Q1YAg74k3VPzZGSYcFvpZxE3snq3s/view?usp=share_link
Link alteração:
Transcrição:
📍Você é da opinião que tudo tem que estar dentro do CRM, ou existem outras formas ali, de acompanhar essa evolução e quais eram os locais que você acompanhava os seus dados, você estruturava isso, você tinha uma planilha de excel em paralelo, você tinha o caderninho, tinha o post-it, conta um pouco para o pessoal qual que era a melhor forma de medir esses indicadores que fazia com que você chegasse sempre nas suas metas.
Eu acho que é importante a gente mesclar, óbvio que o CRM é um investimento que a companhia faz para ter controle dos dados. Eu acho que em vendas a coisa mais importante são os dados, e depois são as pessoas. Então eu acredito, sim, que é importante a gente saber criar uma constância para subir esses dados no CRM mas também a gente ter controles próprios.
Eu sempre me organizei com caderninhos, mas também tinha uma planilha pessoal. Na planilha, quando a gente pensa nesse controle da autogestão, desses indicadores que a gente vem comentando. Eu acho que não existe uma fórmula cem por cento, né? Uma fórmula única, cada pessoa pode organizar esses dados da melhor maneira, com o foco principal de você ter na sua cabeça o domínio dos seus números, seja diariamente, seja semanalmente, seja também mensalmente.
</t>
  </si>
  <si>
    <t>O líder deve ajudar um bom funcionário a se realocar</t>
  </si>
  <si>
    <t>Líderes,Tiago Tadeu,Gustavo Pagotto</t>
  </si>
  <si>
    <t>Programa de canais como meio para expandir produtos SaaS</t>
  </si>
  <si>
    <t xml:space="preserve">Aula:
Sales Leaders com Tiago Tadeu - Demissões e Layoffs
https://drive.google.com/file/d/1UABLCHFdaYgNmYbUju_EQsUIClh7B9Lu/view
Minutagem:
48:35/49:34
Link vídeo final:
https://drive.google.com/file/d/1ezxt2zBC46KMU21qJmCqbIGhIdA8bl0b/view?usp=share_link
Alteração:
https://drive.google.com/file/d/1tEIyO1ybpsQnjG9tm15XcvVQ9l50TJLK/view?usp=share_link
</t>
  </si>
  <si>
    <t>https://drive.google.com/file/d/1cY-gN8Yx4O2dXtrcZxo6_Do7HoP916kO/view?usp=share_link</t>
  </si>
  <si>
    <t>Existem formas boas e ruins de fazer um layoff</t>
  </si>
  <si>
    <t xml:space="preserve">Aula:
Sales Leaders com Tiago Tadeu - Demissões e Layoffs
https://drive.google.com/file/d/1UABLCHFdaYgNmYbUju_EQsUIClh7B9Lu/view
Minutagem:
31:21/32:37 — 33:11/34:04
Link vídeo final:
https://drive.google.com/file/d/159LbFNoZjfJTmZBW03Dw9T3PCIWY21gF/view?usp=share_link
Transcrição:
O que você viu que era também mais importante para a galera que estava sendo cortada? Cara, variou assim, a Udacity foi muito mais modesto o pacote e assim até porque a empresa de verdade assim, foi bizarro o jeito que foi feito, foi apagar, apertar um botão. Então o pacote ali, também não pensava muito em pacote não, até porque metade da empresa foi mandada embora porque eles falaram é quem ficar vão ter mais duas ondas.
Você tá na onda X se você ficar até a onda X eu te mando embora e você tem os benefícios de ser mandado embora. Tinha lá acho que benefícios de ser mandado embora e mais uns dois salários, sei lá, um negócio relativamente assim. Mas você tem que ficar até a data, caso contrário, nada disso, e era, sei lá, alguns bons meses de férias. Mas é assim tipo, os caras fecharam em novembro e tinha que ficar até trinta de abril. Com a Intuit não, com a Intuit foi mais estruturado, muito mais generosa. Todo equipamento, com exceção do computador, mandou embora com três salários, enfim, e o pacote de outplacement e etc. Mas assim no geral. No geral, tá? Acho que foi mais legal, não foi só, a empresa deu ali, tipo legal cara ajudou, as pessoas realmente assim, se recolocaram o rápido, a maioria delas em ambos os casos.
Mas acho que o mais legal foi a galera assim, porque no geral, é isso, a empresa sai, quem está aqui fica e cria um laço, se ajuda, se apoia. Eu acho que isso foi o de mais valor.
</t>
  </si>
  <si>
    <t>1203642713062908</t>
  </si>
  <si>
    <t>Recomendações para um bom layoff</t>
  </si>
  <si>
    <t xml:space="preserve">Aula:
Sales Leaders com Tiago Tadeu - Demissões e Layoffs
https://drive.google.com/file/d/1UABLCHFdaYgNmYbUju_EQsUIClh7B9Lu/view
Minutagem:
42:55/43:25 — 44:37/46:40
Link vídeo final:
https://drive.google.com/file/d/1y01S8TTQznKhB-qUnx-evakaipBDx9ti/view?usp=share_link
Alteração:
https://drive.google.com/file/d/1MvZW86oxDcTnSQ5Y9wzN7o1CvFeGz7FS/view?usp=share_link
</t>
  </si>
  <si>
    <t>Você precisa ser efetivo ao invés de escalável</t>
  </si>
  <si>
    <t xml:space="preserve">Daniela Spinardi </t>
  </si>
  <si>
    <t>1204187286981732</t>
  </si>
  <si>
    <t>A transparência é a chave da confiança e do relacionamento</t>
  </si>
  <si>
    <t>https://drive.google.com/file/d/1lVSQArjZcYdMMY0iRI5FXRL14wGAtcxU/view?usp=share_link</t>
  </si>
  <si>
    <t>Executivo de Vendas,Gustavo Pagotto,Vanessa Pagotto</t>
  </si>
  <si>
    <t xml:space="preserve">Aula:
Executivos de Vendas - Vanessa Pagotto - Construindo relacionamentos de confiança
https://drive.google.com/file/d/1jv5BjmU-pknBrAiDxp6Hih24NnzbRkFE/view?usp=share_link
Minutagem:
22:09/24:13
Link vídeo final:
https://drive.google.com/file/d/1TbqULkTDX8AajyBrYH_iAQKf4Km6Im3r/view?usp=share_link
Transcrição:
Eu acho que tem um elemento que é interessante. Que a gente fala de velocidade de resposta, se você tem clientes B2B2 um dia vai dar merda, um dia o produto vai parar de funcionar, um dia a entrega não vai acontecer, um dia o consultor não vai lá, um dia vai dar algum problema cabeludo, e nesse dia o seu cliente vai te ligar e você vai saber que ele está te ligando porque deu um baita problema e o que você tem que fazer nesse momento? Atender o telefone o mais rápido possível.
E você vai virar a empresa de cabeça para baixo para entender o que está acontecendo e voltar para o cara, olha realmente, cara assim, os alienígenas invadiram nosso datacenter e explodiu tudo, perdemos todos os seus dados, a gente está calculando qual que é o tamanho do prejuízo e a gente vai te atender.
Cara, do outro lado o cara vai ficar puto da vida.
"Pô, mas como assim vocês não conseguiram prever que os alienígenas iam invadir o datacenter e roubar todos os meus dados?" Cara é realmente, mas essa é a situação. Você tem que ser transparente com o seu cliente, né? Confiança tem a ver com transparência. Tem um monte de gente, eu já vi vários vendedores fazerem isso, toca o telefone o cara fala assim "Puts meu, olha aqui cliente me ligando, deu merda lá, puts não vou atender." Cara, você acabou de destruir a confiança com o seu cliente.
</t>
  </si>
  <si>
    <t>1204290632144989</t>
  </si>
  <si>
    <t>Relacionamento e conhecimento do negócio são importantes para venda técnica</t>
  </si>
  <si>
    <t>Aula:
Executivos de Vendas - Felipe Perve - Vendas Técnicas para Vendedores Generalistas 
https://drive.google.com/file/d/1_1a-Qag8dRzcIQSU97O9A9aS6ZAXzOBN/view?usp=share_link
Minutagem:
27:26/29:48
Link vídeo final:
https://drive.google.com/file/d/1QNEliCJJa_DOhFzmx1XMD2c04SJFjeUf/view?usp=share_link
Link alteração:
Transcrição:
 Não é porque é uma venda técnica que você  não tem que falar de negócios. E acho que você tocou em outro ponto também, que é bastante relevante, que é o fato de você ser genuinamente você. O fato de você ser ignorante tecnicamente acaba surpreendendo o cliente, na entrega que você consegue trazer para ele no futuro.
Tudo é muito automatizado hoje, né? Bot, BI, Inteligência artificial. E talvez em muitos dos momentos nós perdemos essa humanidade, né? Tudo tão "fast", está aqui, vai está lá, não preciso contato com ninguém, ninguém me encontra. Eu vejo muito hoje no mercado, principalmente esse mercado um pouco mais técnico, ele fala assim "Cara, eu quero face to face, eu não quero você sendo um bot aqui, um robozinho me atendendo, eu quero que você seja real."
Então a realidade às vezes dos quais eu compartilho, eu não sei fazer isso, não tem problema, você vai procurar saber? Vai, quando você faz esse pitch muito bem feito de duas frases, com big numbers, com cases de sucesso, com estudo  de mercado.
O cara já olha e fala assim "É uma bela empresa." Se essa pessoa não souber me responder, não tem problema, mas eu acho que essa empresa faz.</t>
  </si>
  <si>
    <t>Para ter pessoas de alta performance é preciso criar um ambiente de alta performance</t>
  </si>
  <si>
    <t xml:space="preserve">Aula:
Planejamento Comercial - Luiz Gaziri - #10: Equipes de Vendas Sem Comissão
https://drive.google.com/file/d/1hQTAkzoYFdOrvVxlbPGuYdEmWbvSXAxs/view?usp=share_link
Minutagem:
19:24/20:38
Link vídeo final:
https://drive.google.com/file/d/1JqsZhE4o2vxM9lHbsTSwURRuCyyIIYMX/view?usp=share_link
Link alteração:
Transcrição:
Um cientista da Stanford chamado Lee Ross,  junto com Richard Nesbitt, que é um outro cientista da Universidade de Michigan, eu visitei ele ano passado. Eles descobriram  pessoal, um fenômeno chamado “erro fundamental da atribuição”. O erro fundamental da atribuição é a tendência que o ser humano tem em atribuir o comportamento das pessoas à sua personalidade. Quando a gente vê alguém que não tem um bom resultado na empresa, a gente atribui o comportamento da pessoa à personalidade dela.
Ah, esse cara está na zona de conforto, ele não quer nada com nada, ele não tem cabeça de dono, ele não veste a camisa, ele não quer ser gerente, ele quer continuar sendo vendedor, ele não gosta de dinheiro. A gente atribui o comportamento da pessoa à personalidade dela e a gente se cega para a influência do ambiente no comportamento dela, sendo que o ambiente é um preditor maior de comportamento do que a personalidade.
Então, essa é a primeira lição que a gente tem que entender pessoal, se eu quero ter pessoas com alta performance, eu tenho que criar um ambiente que possibilite a alta performance.
</t>
  </si>
  <si>
    <t>1204351766960385</t>
  </si>
  <si>
    <t>A liderança precisa dar exemplo</t>
  </si>
  <si>
    <t xml:space="preserve">Aula:
Líderes de Vendas - Mauricio Schorsch - O papel da liderança no Work-Life Balance
https://drive.google.com/file/d/1JaVR8ctRWb0sQ_1UfGfW-iLh3oU-Cy70/view?usp=share_link
Minutagem:
24:08/26:29
Link vídeo final:
https://drive.google.com/file/d/1R0-EBHb-HnC-4232U4h0FLcvjf9iVSQD/view?usp=share_link
Link alteração:
Transcrição:
Quando a gente está em tempos de crise, né? Então, quando a gente não está batendo meta, a gente tem uma tendência a falar "Não, eu tenho que trabalhar muito, porque é para o pessoal ver que eu estou tentando". Aqui tem uma armadilha muito grande, né? Efetivamente, o que eu costumo sempre fazer com a minha equipe, eu sempre faço uma revisão de onde eles estão colocando energia, e muitas vezes quem está no meio daquele turbilhão ali não enxerga, não consegue ver possibilidades "Não mas eu tenho que fazer, eu não tive nem tempo de almoçar". Cara, se tem uma coisa que eu nunca tive orgulho é falar "Pô, minha equipe trabalha demais, os cara ficam até tarde e final de semana". Cara não, tem alguma coisa errada ai, né? O que está fazendo com que esses caras fiquem trabalhando muito, né?
Então, acho que é efetivamente ajudar mesmo. Cara vamos lá, você está muito ferrado de tempo ai, o que está na sua mão ai para você resolver? O que é prioridade, o que você precisa fazer agora, para resolver agora, o que pode ser feito depois? Então a questão de gestão do tempo e priorização é um trabalho muito com a equipe, mas você precisa construir esse ambiente, para não parecer que você é controlador, mas isso funciona super bem.
</t>
  </si>
  <si>
    <t>1204351766961436</t>
  </si>
  <si>
    <t>Motivação nem sempre está ligada à recompensa</t>
  </si>
  <si>
    <t>https://drive.google.com/file/d/1pWghwfaqBDzXXETJ9J4O-vTfjb5T8bmJ/view?usp=share_link</t>
  </si>
  <si>
    <t>Aula:
Planejamento Comercial - Luiz Gaziri - Equipes de Vendas Sem Comissão
https://drive.google.com/file/d/1hQTAkzoYFdOrvVxlbPGuYdEmWbvSXAxs/view?usp=share_link
Minutagem:
5:55/8:11
Link vídeo final:
https://drive.google.com/file/d/1J7tiFcR7C8HKmhcWhCPTLuOPNID-F2DV/view?usp=share_link
Link alteração:
Transcrição:
Tem gente que gosta de jogar bola, ir no barzinho, dançar balé, tocar violão. Eu gosto de ler artigo científico, isso é o que me move no meu dia a dia. A primeira vez que eu li um artigo científico, eu trabalhava como executivo  e eu tinha acabado de receber uma promoção para  ser líder de mais de 100 pessoas na região norte e nordeste do Brasil.
E o que aconteceu?  Eu era bastante jovem e eu fiquei assustado, eu fiquei com medo. Eu falei cara, o que eu vou fazer para motivar essa galera, o que eu vou fazer eles me obedecerem, como é que eu vou fazer para essa galera vender mais? E nesse dia de desespero eu fui lá no google, digitei motivation,  motivação em inglês e por acaso eu cliquei no link que me levou para um artigo científico.
E quando eu li aquele artigo científico de motivação eu falei, cara isso daqui é motivação? Puts cara, mas não tem nada a ver com a palestra lá do cara que eu fui lá, que fala que certas coisas que motivam as pessoas, pô mas não tem nada a ver com o que o meu chefe fala pra mim que motiva as pessoas.
Puts então, isso daqui é o que motiva as pessoas de verdade? Que coisa fantástica, cara! E o que eu comecei a fazer foi aplicar  aquilo que eu aprendi nos artigos científicos com a equipe que eu gerenciava. E em um ano, duas concessionárias da minha região entraram no top dez de vendas da empresa, isso nunca tinha acontecido na história da companhia.</t>
  </si>
  <si>
    <t>Não deixe o medo de arriscar te impedir de inovar</t>
  </si>
  <si>
    <t>Canais e Parcerias,Gustavo Pagotto,Mathias Costa</t>
  </si>
  <si>
    <t xml:space="preserve">Aula:
Canais &amp; Parcerias - Mathias Costa - Processos B2B2C
https://drive.google.com/file/d/18y-pHiGn99dxXo4ZL78H9o0WPffv35jc/view?usp=share_link
Minutagem:
24:00/24:39
Link vídeo final:
https://drive.google.com/file/d/1_xvBPCOYN2ZJlhUdeM0HrWglbHLAnPsk/view?usp=share_link
Link alteração:
https://drive.google.com/file/d/1qTTDF3YLAJ87dBz5WTHGKHhztJMOP3kx/view?usp=share_link
Transcrição:
Quando a gente ganhava um contrato, que nem por exemplo a Embraer, como eu falei para você, só na planta da Faria Lima lá em São José era doze mil funcionários. É cara, então eu acho que isso é muito legal, assim para mim o grande exemplo de tudo isso que você contou, pô e é um modelo de quase quinze, vinte anos, é você escutar o cliente, é você escutar o mercado e você não se preocupar muito com quais são as barreiras operacionais que você tem hoje, porque a tecnologia, principalmente hoje, a gente hoje a gente está muito claro que essas barreiras tecnológicas elas vão ser rompidas e é um problema que você tem e os seus concorrentes  também têm. Então "Ah, eu não vou fazer porque isso não é escalável, eu não vou fazer isso porque é muito complexo." Assim, se você começar a fazer antes, você vai encontrar a solução antes e isso vai virar um diferencial competitivo.
</t>
  </si>
  <si>
    <t>Como garantir a excelência em novos mercados por meio de canais e parcerias</t>
  </si>
  <si>
    <t>1204187287484084</t>
  </si>
  <si>
    <t>A importância da adaptação dos modelos de canais e parcerias</t>
  </si>
  <si>
    <t>https://drive.google.com/file/d/1q7R4w8bomPOEXcfkfC_uSLmpk4kn2xq4/view?usp=share_link</t>
  </si>
  <si>
    <t>Aula:
Canais &amp; Parcerias - Mathias Costa - Processos B2B2C
https://drive.google.com/file/d/18y-pHiGn99dxXo4ZL78H9o0WPffv35jc/view?usp=share_link
Minutagem:
41:55/43:13
Link vídeo final:
https://drive.google.com/file/d/1bZtLV4YGHkG6o3xulfjFg6kBT3aAoaSY/view?usp=share_link
Transcrição:
📍  📍 Eu acho que tem um negócio cara, disso que você falou, especificamente esse caso da, tem uma loja em Catanduva, pegar um parceiro ali vai ser muito relevante, né? Então, acho que mostra como os modelos de parcerias eles precisam ir se adaptando para atender, óbvio, as grandes contas mas conseguir atender clientes pequenos de um modelo low touch, ou de um modelo com portal digital. Ou seja, você precisa criar uma forma de conseguir atender essas empresas menores, porque se não você vira um modelo meio excludente, se você quer virar um padrão de mercado você precisa ser inclusivo para todos esses tipos de empresa.</t>
  </si>
  <si>
    <t>1204351766961464</t>
  </si>
  <si>
    <t>Insight: Você vai errar muito até encontrar o caminho certo - paciência</t>
  </si>
  <si>
    <t xml:space="preserve">Aula:
Canais &amp; Parcerias - Cristiano Gregorius - Fusão de Programas de Canais Pós-M&amp;A
https://drive.google.com/file/d/1Hx_sKoh5HHbnjoIFYZTu3Q3-4PWNBya4/view?usp=share_link
Minutagem:
23:10/25:03
Link vídeo final:
https://drive.google.com/file/d/1Rd5m1A2KIqKtdIunB6zx-yBMgWBrEo5X/view?usp=share_link
Link alteração:
https://drive.google.com/file/d/1TBneX0K74ZSFWqq9zJ4LLyA55chiMCYO/view?usp=share_link
Transcrição:
Você vai errar muitas vezes até achar algum modelo que para em pé. Como é que eu faço que um canal que atua como um produto ou em uma vertical, também passe a atuar em uma outra? Cria plano de negócios, capacita, estrutura, põem pessoas dedicadas, a regra básica de onboarding que você tem quando você estrutura um modelo novo de canal. Basicamente, por mais que você tenha um canal que eventualmente já trabalha com você a cinco, dez, quinze anos. À medida que você amplia portifólio, você leva uma solução nova, é como se fosse um canal novo. É muito mais difícil do que um canal novo, porque um canal novo você está naquele momento da paixão, ele está super motivado, ele está super engajado em fazer, em cumprir os pré requisitos de onboarding.
Quando você fala de um canal maduro, o teu desafio é muito maior, porque você tem um canal maduro, que tem uma receita X e você diz assim, cara agora você tem a oportunidade para vender isso aqui também, legal, qual meu baseline? Por quanto que eu começo? Ah começa com zero, estou te desafiando a fazer isso, monte um plano de negócio,  estruture um time comercial, um time de serviços, uma estrutura dedicada para isso, isso vai gerar uma receita para ele praticamente irrisória perto do que ele já tem com um modelo tradicional e ele dificilmente vai enxergar um valor nisso.
</t>
  </si>
  <si>
    <t>1204187287484068</t>
  </si>
  <si>
    <t>Além de não praticar, é preciso combater o assédio!</t>
  </si>
  <si>
    <t>SDR`s,Gustavo Pagotto,Ana Nunes</t>
  </si>
  <si>
    <t>https://drive.google.com/file/d/1UpDdZGWeKhUWjwX6nyCGCCZNyjJAyMuj/view?usp=share_link</t>
  </si>
  <si>
    <t xml:space="preserve">Aula:
SDRs - Ana Nunes - Assédio não é normal, ok?
https://drive.google.com/file/d/10MJhgfee7MR92VYZH-_QxVbpwp87963T/view?usp=share_link
Minutagem:
3:32/4:55
Link vídeo final:
https://drive.google.com/file/d/1d9hZqwf856i6GM5qW91TDvm1TkcZkN2S/view?usp=share_link
Transcrição:
A gente vê muito as relações entre mulheres em vendas, interagindo com o prospect e com clientes e recebem esse tipo de assédio direto. Mas acho que é uma situação onde socialmente sempre foi aceito, né? Então isso passou a ser o normal e não é o normal, tem um impacto muito grande nisso, eu diria facilmente nos sete, oito últimos anos, onde eu venho começando a ler mais, entender mais sobre esse tema, eu começo a perceber que na verdade, a mudança desse comportamento ele passa muito mais sobre quem está nessas posições de dominância, como você falou, pô é o chefe, é o líder, é alguém que é mais sênior, de repreender e não só
"Ai, eu não vou falar isso." Você tem que repreender e inibir pessoas que têm esse tipo de comportamento.
Então acho que assim, infelizmente ainda isso acontece, eu vejo isso acontecendo muito. Eu tendo a ter cada vez mais uma posição muito mais ativa em relação a coibir esse tipo de fala do que simplesmente falar "Nossa que besteira que a pessoa falou."
</t>
  </si>
  <si>
    <t>1204187287484076</t>
  </si>
  <si>
    <t>3 maneiras para atuar contra o assédio na sua empresa</t>
  </si>
  <si>
    <t xml:space="preserve">Aula:
SDRs - Ana Nunes - Assédio não é normal, ok?
https://drive.google.com/file/d/10MJhgfee7MR92VYZH-_QxVbpwp87963T/view?usp=share_link
Minutagem:
19:40/22:10 
Link vídeo final:
https://drive.google.com/file/d/1_WMQVCc3sAVwS379O89G52LeNSwYJmBU/view?usp=share_link
Transcrição:
E aqui eu trouxe três maneiras que as empresas, elas podem estar atuando fortemente para que esse cenário ele vá cada vez mais diminuindo e que mulheres e homens consigam fazer o seu trabalho, se desenvolver, sem passar por essa situação tão indesejada, né?
E o primeiro passo é justamente ter um comitê de cultura de diversidade e inclusão, porque é justamente esse comitê vai trazer palestras, vai trazer um workshop, vai trazer aulas, vai ajudar realmente a manter e criar esse espaço para tratar sobre o assunto, para ser um canal de denúncias, onde vai acolher essa vítima, é a partir desse comitê que vem também esse despertar de que tipo, olha, aqui na empresa e nós aqui como xpto, a gente não admite assédio, assédio tem tal e tal consequência e nós estamos aqui para ajudar. Então, assim, ter essa postura das empresas é muito importante.
E aí o segundo passo também é essa educação e conscientização sempre, não somente no mês das mulheres, não somente em épocas específicas que a gente está falando de violência mas sempre. E, novamente, essa questão do Código de Ética, é muito importante realmente reforçar em um documento que a cada três meses, seis meses, seja assinado e que tenha lá, inclusive, o que a empresa, para ela, é inaceitável.
</t>
  </si>
  <si>
    <t>1204187287484074</t>
  </si>
  <si>
    <t>O que fazer para denunciar um caso de assédio?</t>
  </si>
  <si>
    <t xml:space="preserve">Aula:
SDRs - Ana Nunes - Assédio não é normal, ok?
https://drive.google.com/file/d/10MJhgfee7MR92VYZH-_QxVbpwp87963T/view?usp=share_link
Minutagem:
14:33/16:18
Link vídeo final:
https://drive.google.com/file/d/1NwjdFbZYt9itPwlA5pdoIlsquZEMeTbg/view?usp=share_link
Transcrição:
O que fazer enquanto vítima? Passei aí, infelizmente estava lá com meu chefe, o chefe me enchocou na parede, eu recebi uma mensagem da minha chefe pedindo para eu ir lá no outro dia na sala dela, pra gente ter uma conversinha, porque eu estava muito gostoso ou coisa do tipo.
A primeira coisa é você realmente romper com o silêncio, e o primeiro passo é você falar com alguém da sua confiança, é você reconhecer que você não tem essa culpa, e a partir desse momento ser voz. Mas o que a gente tem que fazer enquanto vítima é realmente não normalizar isso. Me senti desconfortável, não gostei, não é certo, é crime, eu vou ser voz.
E o segundo passo é justamente, não se culpar, procurar essa ajuda, não se intimidar e denunciar.
E ai vem algumas  orientações né? É importante realmente que você anote tudo o que  aconteceu o assédio, tudo o que você tiver de prova, seja o envio de uma mensagem, seja também de testemunhas, seja um acontecimento específico, desde que você registre ele no papel, tal e tal hora aconteceu tal e tal coisa, em tal lugar. Se porventura, existir alguma prova também de vídeo, é importante levar, você tem que guardar esses documentos e procurar ajuda.
</t>
  </si>
  <si>
    <t>1204073894803541</t>
  </si>
  <si>
    <t>https://drive.google.com/file/d/1iYCXzG0u18yzN-TESp_ERiGbdpDISfYN/view?usp=share_link</t>
  </si>
  <si>
    <t>Os critérios para escolha de um novo parceiro de vendas</t>
  </si>
  <si>
    <t>Canais e Parcerias,Camila Alonso</t>
  </si>
  <si>
    <t>Aula:
Canais &amp; Parcerias - Camila Alonso - Case TOTVS
https://drive.google.com/file/d/1-MObdK9H3NL7eViOu7jRgVNsHjAVUUtw/view?usp=share_link
Minutagem:
15:43/15:55 — 17:05/18:34
Link vídeo final:
https://drive.google.com/file/d/11ec03TS119ypzlSGC8fakLl5DHfFsePN/view?usp=share_link
Transcrição:
Quais são os critérios que você adota na hora de avaliar se faz sentido buscar um novo parceiro para TOTVS distribuir?
Hoje a gente recebe um volume insano de acionamento das empresas, mas a gente tem critérios muito claros e objetivos justamente para entender, da match de negócio, ou não? E o primeiro é realmente o fit estratégico, então a gente avalia, essa empresa é uma empresa que tem um portfólio, que tem um negócio, que tem um serviço financeiro, que traz novas capabilities para a companhia?
Ou a gente tem eventualmente, algum tipo de concorrência com produtos internos, sejam produtos ou feitos que já existem, ou sejam produtos que estejam no nosso hold map, a gente precisa estar conectado o tempo inteiro para entender justamente qual o caminho de crescimento de cada portfólio para encontrar esse match, então realmente precisa ser uma empresa que traga uma competência que hoje a gente não tem dentro da companhia e que complemente o nosso portfólio, fortaleça a nossa proposta de valor e que esteja obviamente alinhado com as expectativas que a gente busca de crescimento.</t>
  </si>
  <si>
    <t>1203951798592338</t>
  </si>
  <si>
    <t>A estrutura de Canais &amp; Parcerias da TOTVS</t>
  </si>
  <si>
    <t>Aula:
Canais &amp; Parcerias - Nara Guimarães - Modelos de Programas de Canais
https://drive.google.com/file/d/12nFgcrvx4hzQnpkfltYCJUtWh9uD8732/view?usp=share_link
Minutagem:
24:12/24:33 — 25:08/27:00
Link vídeo final:
https://drive.google.com/file/d/1zE0-u98IMpMTgjfLPmikzHldkbUb_DPJ/view?usp=share_link
Link alterações:
https://drive.google.com/file/d/1z1FCoVtoH0NiR4WPvlSEULagmnmdnFfC/view?usp=share_link
Transcrição:
Como é que eu avalio o potencial de cada um, porque as metas sempre vão crescendo, eu tenho uma rede de canais, quanto que eu sei que dá para tirar desses canais?
Quando a gente olha muitas vezes para o potencial de um canal, eu falo, eu quero que ele me traga lead, ele é um afiliado. Então o que ele precisa ter para trazer um bom lead? Não necessariamente ele precisa ter um super conhecimento da minha solução, mas ele precisa ter uma audiência grande ou ter uma influência, ele precisa ter algo que vá facilitar e tornar esse lead mais quente. Então a gente sempre divide aqui em critérios técnicos e critérios comerciais. Quando eu preciso que o meu canal tenha um entendimento maior da minha solução ou do mercado, ele precisa, se ele precisa ser um implementador, ou se ele precisa ser um revendedor, ele precisa entender tecnicamente aquilo que ele está ofertando no mercado ou ele precisa ter um conhecimento daquela indústria. Então ele vai trazer esse conhecimento técnico sobre o mercado, e ele vai ser um especialista naquilo. E o outro são os critérios comerciais quando eu falo de aquisição, aí eu estou falando de tamanho de audiência, a carteira de clientes, quando a gente pega ali, vai nos Youtubers, né? Puts, quanta audiência que você tem, quantos seguidores, você pode gerar demanda através daí? Então, essa credibilidade ela facilita o processo de critérios comerciais.</t>
  </si>
  <si>
    <t>Case: TOTVS</t>
  </si>
  <si>
    <t>Camila Alonso</t>
  </si>
  <si>
    <t>Alliances &amp; Partnerships Executive Manager</t>
  </si>
  <si>
    <t>1204351766960387</t>
  </si>
  <si>
    <t>Como tangibilizar o work-life balance?</t>
  </si>
  <si>
    <t>https://drive.google.com/file/d/1WbMeJjiJ57cM69wfVibJ3lYZD8UJe9i8/view?usp=share_link</t>
  </si>
  <si>
    <t xml:space="preserve">Aula:
Líderes de Vendas - Mauricio Schorsch - O papel da liderança no Work-Life Balance
https://drive.google.com/file/d/1JaVR8ctRWb0sQ_1UfGfW-iLh3oU-Cy70/view?usp=share_link
Minutagem:
31:59/32:28  — 33:37/35:30
Link vídeo final:
https://drive.google.com/file/d/1mPQflUYYKxvAts80rvgxzXuc66LV3K82/view?usp=share_link
Link alteração:
Transcrição:
Como que um líder pode reconhecer esse impacto positivo do work-life balance mais saudável?
Antes de você pensar em desenhar programas, ah o que é legal, ah vai ter um vale academia. Cara, antes de pensar qualquer coisa, escuta o time, né? O que é valor para os caras? Às vezes as coisas são muito mais simples do que parece.
Então, se você tem uma solução estruturada, ótimo, você tem uma política na companhia que faz isso. Se você não tem, basicamente a proximidade que você pode ter da sua equipe é saber também o que é legal para eles, né? Eu vire e mexe com o meu time, eu faço umas brincadeiras, né? "Galera olha, se a gente gerar tantos milhões em pipe esse mês nós vamos, cara, o que vocês querem fazer?" Ah, um dia escolheram "Vamos correr de kart?" Vamos correr de kart, pega um dia lá, uma tarde, cara, bloqueia a agenda e vamos correr de kart. Então eu acho que tem muito essa questão de também escutar o que é importante para o time, né? Então eu acho que vale aqui a dica simples, se vem uma coisa maluca, né? "Ah vamos pro Havaí?" Cara, eu também queria mas isso ai não vai dar.
</t>
  </si>
  <si>
    <t>1204187287484086</t>
  </si>
  <si>
    <t>Organização é essencial para um fluxo positivo de trabalho</t>
  </si>
  <si>
    <t xml:space="preserve">Aula:
Canais &amp; Parcerias - Mathias Costa - Processos B2B2C
https://drive.google.com/file/d/18y-pHiGn99dxXo4ZL78H9o0WPffv35jc/view?usp=share_link
Minutagem:
44:14/46:09
Link vídeo final:
https://drive.google.com/file/d/1CqaH6pc1g6Tgx5477IUy2RscEOnJkWvH/view?usp=share_link
Transcrição:
</t>
  </si>
  <si>
    <t>1204351766960381</t>
  </si>
  <si>
    <t>O papel da liderança para o bem-estar da equipe</t>
  </si>
  <si>
    <t>O caminho para uma parceria de sucesso</t>
  </si>
  <si>
    <t>https://drive.google.com/file/d/1G7Uh950XIJl0XGj5Xysv-Re0CbV9NPFJ/view?usp=share_link</t>
  </si>
  <si>
    <t xml:space="preserve">Aula:
Líderes de Vendas - Mauricio Schorsch - O papel da liderança no Work-Life Balance
https://drive.google.com/file/d/1JaVR8ctRWb0sQ_1UfGfW-iLh3oU-Cy70/view?usp=share_link
Minutagem:
13:10/14:31 — 18:20/21:30
Link vídeo final:
https://drive.google.com/file/d/1qgJoExjgtw486Q03yVe5S0zeYedySO03/view?usp=share_link
Link alteração:
Transcrição:
Eu sempre fui um cara que, pô pegava de domingo e estava lá dando uma zerada nos e-mails e já saia disparando coisa para todo mundo no domingo à noite. Tendo muita abertura com o meu time, o pessoal falava "Cara, quando você mandava um e-mail domingo à noite, a gente já tinha expectativa que a gente começasse a te responder no domingo à noite".
Cara, você tem o hábito de ler um e-mail antes de dormir, você está lá deitado, cara deixa eu dar uma zapeada aqui e se você responde ai é pior ainda, porque ai entra nisso que o Pagotto falou, né? Cara, você quer fazer isso? Você pode fazer, mas ai você tem truques. Como gestores, eu por exemplo, tudo o que eu respondo de e-mail fora do horário, eu coloco lá schedule, para soltar às oito da manhã no dia, na segunda.
A mensagem que a gente passa para a nossa equipe é, pô mano se meu chefe está mandando e-mail domingo, porque eu estou aqui assistindo a dança dos famosos? Tenho que responder cara,  porque se não que imagem que eu vou passar para a empresa? A gente trabalha fora do horário não vamos ser hipócritas, acontece, só que na posição de líder, liderança pelo exemplo, a gente tem que tomar muito cuidado com isso. Então, cara, se você precisar responder um milhão de e-mails para limpar sua caixa, coloca para soltar esses e-mals às oito horas da manhã do dia seguinte. Simples, fácil.
</t>
  </si>
  <si>
    <t>1204351766961422</t>
  </si>
  <si>
    <t>Insight: O profissionalismo pode ser a porta de entrada para um cliente</t>
  </si>
  <si>
    <t>SDR`s,Gustavo Pagotto,Bruna Craveiro</t>
  </si>
  <si>
    <t xml:space="preserve">Aula:
SDRs - Bruna Craveiro - Autogestão Baseada em Indicadores
https://drive.google.com/file/d/1uGjxtuW4-F1-jm_FE5I2n1S9cDPLt2L6/view?usp=share_link
Minutagem:
14:21/15:03
Link vídeo final:
https://drive.google.com/file/d/1zUmbHi3HwDDOD44w2cERYTn-0d5ZqNqw/view?usp=share_link
Link alteração:
Transcrição:
Esse profissionalismo impacta na conversão da cadeia como um todo. Quantas vezes eu já vi os meus times fecharem um contrato e o cliente no final falava "Pô, eu comecei a comprar de vocês no momento que o BRD, SDR que fez o primeiro contato comigo nosso, fiquei impressionado com o nível de profissionalismo".
O impacto inicial deste profissionalismo afeta também na conversão e na credibilidade. E uma coisa é difícil também, né? Você está em começo de carreira, você é um pré-vendedor, seu perfil no LinkedIn não tem muita bagagem ainda, né? A vezes você está no começo de carreira, ou você está prospectando lá, como é que você passa credibilidade?
O que você pode fazer é demonstrar isso através de profissionalismo.
</t>
  </si>
  <si>
    <t>1204073895481496</t>
  </si>
  <si>
    <t>Qual é a estrutura que antecede a meta de faturamento?</t>
  </si>
  <si>
    <t>Como funciona o onboarding de parceiros na TOTVS</t>
  </si>
  <si>
    <t xml:space="preserve">Aula:
Planejamento Comercial - Mauricio Zotarelli - Como criar área de planejamento comercial do zero?
https://drive.google.com/file/d/1GcOh2tKm17xZfPk9-A4IbZtl3GhAy7xP/view?usp=share_link
Minutagem:
23:01/23:15 — 23:30/25:33
Link vídeo final:
https://drive.google.com/file/d/1kNw24YT8bsdpR2dMwsyrAqQd3cQ62Psv/view?usp=share_link
Transcrição:
Quais são as coisas básicas que precisam ser estruturadas e como essas premissas podem ser definidas, para a gente errar o mínimo possível, sabendo que cara a gente vai errar um pouco, não tem como.
Vou puxar um ganchinho do que você falou, né? Antes da gente ter o número a gente precisa  saber para quem que a gente precisa vender. A partir daí a gente consegue, assim a gente precisa entender qual que é o momento que a empresa está?
Qual que é o objetivo? É X valor de faturamento, essa curva né do, vamos supor que é de zero para esse X, qual que é o X que faz sentido? Olhando o benchmark, olhando o setor, olhando o tipo do produto, para a gente buscar. E aí a gente vai entender o que vem antes disso, da onde que a gente gera a demanda, né? Qual que é a expectativa de geração de demanda que a gente tem, e aí para a gente conseguir conectar, para eu chegar a um faturamento que faz sentido para mim, se eu tenho um preço definido, um ticket definido, eu vou entender quantos clientes eu vou precisar gerar nesse período de tempo, né? Qual que é a curva de aumento de, essa curva né de clientes vendidos que eu vou precisar atingir ao longo do ano. E aí entender qual que é o valor que eu vou precisar gerar de demanda para conseguir converter esses clientes.
</t>
  </si>
  <si>
    <t>https://drive.google.com/file/d/1bjxihw2gYl16y5jpok4-GqWLgWMXop6H/view?usp=share_link</t>
  </si>
  <si>
    <t>1204187286981718</t>
  </si>
  <si>
    <t>Dica para fazer Forecast de Vendas que funcione</t>
  </si>
  <si>
    <t xml:space="preserve">Aula:
Planejamento Comercial - Livia Lima - Forecast de Vendas: Processos e Previsibilidade
https://drive.google.com/file/d/1GuALr5qZE8RaKy2Ox4APxpY_PngoNSwD/view?usp=share_link
Minutagem:
19:17/20:20
Link vídeo final:
https://drive.google.com/file/d/1othz8BfQKyHuaAFmxxcbsNsLMp88Eq0K/view?usp=share_link
Transcrição:
Eu acho assim, uma boa dica é tentar quebrar esses períodos de previsão de vendas em períodos menores, né? Eu acho que dessa forma a gente consegue diminuir a margem de erro e consegue dar um pouco mais de visibilidade. 
Então quando a gente pensa em estimativa anual, o ideal seria que a gente quebrasse, né? Esse ano em trimestres e depois em meses, para realmente identificar como que essa previsão, essa estimativa grande que eles dão, vão se traduzir nesses períodos mais palpáveis, eu acho que mais fáceis até de serem estimados. Eu acho que a gente tem uma boa oportunidade ai de diminuir a margem de erro e ter previsões mais pensadas, mais realistas. Mas eu queria falar também que esse processo "bottoms up" ele traz vários desafios, né?
</t>
  </si>
  <si>
    <t>1203789516121818</t>
  </si>
  <si>
    <t>https://drive.google.com/file/d/11ec03TS119ypzlSGC8fakLl5DHfFsePN/view?usp=share_link</t>
  </si>
  <si>
    <t>Canais e Parcerias,Vitor Nascimento</t>
  </si>
  <si>
    <t>Aula:
Canais &amp; Parcerias - Engajamento de Parceiros - Vitor Nascimento
https://drive.google.com/file/d/1rSG6mI38aeptXw3dRu2zDfyhmZU0bYkP/view?usp=share_link
Minutagem:
3:55/4:43
Link vídeo final:
https://drive.google.com/file/d/1R09oShRC27spb36ASL7nLBqxc_eV873o/view?usp=share_link
Alteração:
 https://drive.google.com/file/d/1cY-gN8Yx4O2dXtrcZxo6_Do7HoP916kO/view?usp=share_link
Transcrição:
Eu entrei na Conta Azul no time de inside sales, para compor o time do canal direto. Fiquei uma semana, basicamente, vendi uma conta só, então não deu para me provar assim. Mas tinha um projeto nascendo, que era a ideia de ter um. Não era, a gente nem falava programa de canais ainda na época. Aqui no Brasil ainda não era tão difundido, mas tinham outros mercados que já usavam o contador como uma porta de vendas.
E a gente não sabia que isso era um programa de canais, quando começou a rascunhar. Qual que era o nosso objetivo, né? A Conta Azul tinha um produto que tinha um potencial gigantesco, mas que a gente tinha dificuldade de chegar ainda na ponta, porque era um produto SaaS, ainda era novidade, a gente tinha muita dificuldade de falar que era um produto em nuvem, então tinha que explicar para o cara. "Pô, mas tu acessa o aplicativo do banco? Acesso.
Você usa o Instagram? Uso. Então é a mesma coisa". Mas era muito difícil fazer ele confiar. A gente tinha o objetivo de chegar lá em um milhão de clientes e como que a gente ia fazer isso, né? Na nossa cabeça, um time de cinco pessoas no comercial que tinha trazido até então três mil clientes, escalar isso parecia impossível ia ter que ter um batalhão de gente.
Foi aí que começou a nascer a ideia do programa de canais.</t>
  </si>
  <si>
    <t>1203831885482376</t>
  </si>
  <si>
    <t>3 características de um bom SDR</t>
  </si>
  <si>
    <t>O que um líder de parcerias vai avaliar para integrar um novo canal?</t>
  </si>
  <si>
    <r>
      <rPr>
        <rFont val="Arial"/>
      </rPr>
      <t xml:space="preserve">Aula:
SDRs "Estruturando - Operação de Pré-Vendas - Lucas Abrucezze
https://drive.google.com/file/d/1eobnzflRQV_JotskVb-7ac4aDCnoB0td/view?usp=share_link
Minutagem:
7:22/7:42 — 7:46/8:23 — 8:56/9:15 — 9:48/10:30 — 11:49/12:27 
Link vídeo final:
https://drive.google.com/file/d/1MGNpECyD-tVAY51SozjGSksdTdwmU63J/view?usp=share_link
Alteração:
</t>
    </r>
    <r>
      <rPr>
        <rFont val="Arial"/>
        <color rgb="FF1155CC"/>
        <u/>
      </rPr>
      <t>https://drive.google.com/file/d/1UCxsSsujoTeCIOmpaocSbVbe9aXrO1iJ/view?usp=share_link</t>
    </r>
    <r>
      <rPr>
        <rFont val="Arial"/>
      </rPr>
      <t xml:space="preserve">
</t>
    </r>
  </si>
  <si>
    <t>Camila Alonso/Gustavo Pagotto</t>
  </si>
  <si>
    <t>https://drive.google.com/file/d/1UF925raqVKTCBpAHyAwg06hWTgdj5IlN/view?usp=share_link</t>
  </si>
  <si>
    <t>Processos B2B2C</t>
  </si>
  <si>
    <t>Gustavo Pagotto / Mathias Costa</t>
  </si>
  <si>
    <t>https://drive.google.com/file/d/1bZtLV4YGHkG6o3xulfjFg6kBT3aAoaSY/view?usp=share_link</t>
  </si>
  <si>
    <t>1204073895481519</t>
  </si>
  <si>
    <t>O autoconhecimento é a chave para o desempenho do sucesso - conselhos</t>
  </si>
  <si>
    <t xml:space="preserve">Aula:
Executivos de Vendas - Borja Castelar - O melhor vendedor do mundo (no LinkedIn)
https://drive.google.com/file/d/1YdXvfWqYlPaQpZNd4aKAlkgAOwbyGaVj/view?usp=share_link
Minutagem:
26:15/27:53
Link vídeo final:
https://drive.google.com/file/d/1Wz36NP3c2McvuHty95G046B6bUv62q9O/view?usp=share_link
Alteração:
https://drive.google.com/file/d/1vWRuPkLQe1qvAVXAcHqc8htCESuwOtOf/view?usp=share_link
Transcrição:
"Descubra seus pontos fortes" é o nome do livro, eu super recomendo me ajudou muito. Eu sempre falo que os melhores profissionais de vendas e de qualquer profissão, são aqueles que conseguem usar as fortalezas, se focar nos pontos fortes dessas pessoas, quase esquecer dos pontos fracos, porque você vai ter incrementos muito pequenos do seu tempo. Em dançar por exemplo eu sou muito ruim dançando, eu sei que se eu colocar muito esforço dançando, vou melhorar um pouco e uma dedicação de um tempo para tão pouco retorno de investimento, que se eu colocasse isso em alguma coisa que faça melhor, eu ganharia muito mais, mais satisfação provavelmente e avançaria. Então é muito importante para mim descobrir e ter esse autoconhecimento, esse livro pode ajudar muito nessa viagem interminável de autoconhecimento.
</t>
  </si>
  <si>
    <t>1203669114757242</t>
  </si>
  <si>
    <t xml:space="preserve">Aula:
Canais e Parcerias - Caio Peres - Programa de Agentes Autônomos - XP Investimentos
https://drive.google.com/file/d/1rNmJQwxdo63nw_IjCAMbpGrcwbOL8JQl/view
Minutagem:
    57:34/ 58:24 — 58:48/59:00.
Link vídeo final:
https://drive.google.com/file/d/11zsZWHI1w1yAse_xhvXOlWpirvPQPUxn/view?usp=share_link
Link alteração:
Transcrição:
O treinamento é um negócio que assim, muitas vezes você sente que às vezes está dando um tiro na água, né? Porque você fala assim, pô treinei uma galera aqui, pô não estou vendo se o resultados subiu ou não, né? Então a gente tem que na verdade entregar o treinamento para quem precisa, no timing que ele precisa. Então não adianta você pegar ali o assessor, que já é bastante avançado e oferecer para ele produtos básicos, ele não quer. 
Ou pegar um cara que não gosta e não tem menor afinidade com renda variável e tentar ensinar renda variável para ele, ele não quer, ele não gosta, aquilo ali você vai treinar à toa, né? Então você tem que ter uma jogada aqui, de falar assim, olha o cara que entrou para ser assessor ele não era de mercado financeiro, ele tem que aprender isso, isso e aquilo, nessa trilha. Um gestor ultra experiente da XP aqui, pô pílula de treinamento para todo mundo, com tal perfil, live tal hora, vamos embora. Então você tem que ir entregando conteúdos para eles no timing que eles precisam e conteúdos que eles precisam naquele momento, né? Acho que isso é super importante para manter uma agenda de treinamento que faça sentido, que gere a alta de verdade.
</t>
  </si>
  <si>
    <t>https://drive.google.com/file/d/1qTTDF3YLAJ87dBz5WTHGKHhztJMOP3kx/view?usp=share_link</t>
  </si>
  <si>
    <t>1203793936194211</t>
  </si>
  <si>
    <t>o calculo de custo de oportunidade para ganhar tração na prospecção</t>
  </si>
  <si>
    <t>SDR`s,Ieza de Oliveira</t>
  </si>
  <si>
    <t xml:space="preserve">Aula:
SDRs - Ieza de Oliveira - Case de Vendas Gupy
https://drive.google.com/file/d/1LWKOfutp3qSp3hD5GfMg3cOePxzJSL7V/view?usp=share_link
Minutagem:
26:15/27:15
Link vídeo final:
https://drive.google.com/file/d/1zFpigh8basgmpjyLll3QmP4ELGuDQwgO/view?usp=share_link
Link alterações:
https://drive.google.com/file/d/1oMxW-4sTM9QsbltCBUTgyr4UI_vKQaPE/view?usp=share_link
Transcrição:
Uma conta que a gente gosta muito de fazer até para poder entender como que a gente está ganhando produtividade, é o custo de uma oportunidade para pré-vendas, sem contar ali marketing, sem contar os custos, a gente leva consideração claro, o custo de folha, então faz o custo de uma oportunidade soma ali os custos de folha, salário, variáveis e benefícios e etc, ferramentas e estratégias que a gente eventualmente faz, então a vamos aqui enviar kits de ABM para X's contas enterprise, quanto que custa esses kits? Quanto que custou essas oportunidades? Estão a gente gosta muito de fazer esse tipo de conta e ali a gente descobre, por exemplo, que o nosso custo de oportunidade outbound ele é muito menor do que o de inbound se a gente for levar em consideração a máquina de inbound. Então é onde a gente tem espaço para investir mais e porque a gente realmente traciona mais outbound.
Então é claro que é delicado, né? Porque também demanda um aumento de time, então não dá para a gente fazer isso sempre. Mas sempre que a gente quer entender ali, a onde que a gente quer ganhar tração em determinadas carteiras, a gente usa esse cálculo.
</t>
  </si>
  <si>
    <t>1203614403916473</t>
  </si>
  <si>
    <t>O que considerar na remuneração de um SDR/BDR</t>
  </si>
  <si>
    <t>Líderes,Juliane Garcia,Gustavo Pagotto</t>
  </si>
  <si>
    <t>https://drive.google.com/file/d/1AG8QgZnzszDn63FftGGizj1B5DVBd832/view?usp=share_link
Alteração Transição Vinheta:
https://drive.google.com/file/d/1o8xTPccEdwd0kODab7Cm5u2-h_EOrwmt/view?usp=share_link
Transcrição:
Eu entre pagar um valor fixo por op e ter uma meta. Eu gosto sempre de ter uma meta, porque quando você tem uma meta e remuneração variável, você consegue também ir brincando com essa meta ao longo do tempo, em geral ela sobe, mas às vezes a gente erra a mão e também diminui então, a pessoa do outro lado ela tem uma  perspectiva de quanto que ela vai ganhar de fixo e variável. Acho que, em geral, nesse nível de salário que a gente tem pagado para SDR e BDR, é uma galera que depende do variável, o cara depende do variável todo mês. Então não dá para  simplesmente falar, ah você se vira ai, gera as ops ai. Não, se não ele vai procurar emprego em outro lugar. Ai todo aquele esforço que você fez de recrutar e vender a pessoa vai embora, né?</t>
  </si>
  <si>
    <t>1203642713062924</t>
  </si>
  <si>
    <t>Bons incentivos são fundamentais para área de vendas - vendedores</t>
  </si>
  <si>
    <t>https://drive.google.com/file/d/1CqaH6pc1g6Tgx5477IUy2RscEOnJkWvH/view?usp=share_link</t>
  </si>
  <si>
    <t xml:space="preserve">Aula:
Sales Leaders com Alexandre Apendino - Integrando Equipes de Vendas pós M&amp;A
https://drive.google.com/file/d/1EvFOSNigOlRbcF_ZtOuDqkm6C969u4sX/view
Minutagem:
25:35/26:42
Link vídeo final:
https://drive.google.com/file/d/1giflGSNGw1Fz3bzj_TllTllTRobYJ5TQ/view?usp=share_link
Transcrição:
Eu sou da teoria que se não tiver dinheiro para área de vendas não tem venda, por mais que a gente tente tratar. E assim vai ter sempre alguém na companhia dizendo, pô os vendedores ganham muito, não sei quem que entrou. pô nós vamos ganhar mais que os diretores esse mês esse tipo de coisa, bem vindo ao jogo.
A área de vendas está aberta. A gente tem aqui mais de cem vagas na TOTVS de vendedor aberta. Qualquer funcionário dos nove mil poderiam se candidatar. Não é todo mundo que quer se candidatar não é fácil, né? Matar um leão todo mês, todo dia ter que visitar cliente, longe para caramba esse tipo de coisa. Então, se não tiver benefícios e comissão e dinheiro atrelado a área de vendas, a chance de uma aquisição dar errado é enorme, enorme. Você colocar lá e falar,
vamos aí, você vai ganhar estrelinha porque você vende isso, um ou outro vai vender para ganhar estrelinha, mas é um voo de galinha, ele é temporário e não vai dar certo. Então tem que ter incentivo sim, e os incentivos, se você quer que realmente o negócio cresça, as vezes o incentivo tem que ser maiores que os incentivos tradicionais.
</t>
  </si>
  <si>
    <t>1204073894803544</t>
  </si>
  <si>
    <t xml:space="preserve">A diferença entre o BDR e o Executivo de Vendas - papéis do SDR, BDR e do exec </t>
  </si>
  <si>
    <t>SDR`s,Patricia Ribeiro</t>
  </si>
  <si>
    <t xml:space="preserve">Aula:
SDRs - Patricia Ribeiro - Desafios do SDR que vira Vendedor
https://drive.google.com/file/d/1KsRGSaMFJd2XLFW7CCru4QTPfgW8L4Ob/view?usp=share_link
Minutagem:
7:58/9:17 —  11:01/11:42
Link vídeo final:
https://drive.google.com/file/d/1MgkMF__l6ZqgJwQn2F4HJc_mNZ6cZ2le/view?usp=share_link
Alteração:
https://drive.google.com/file/d/1w1PxwgmF2Thk97q9lQftcQfp1TFrgkRs/view?usp=share_link
Transcrição:
Como que você descreve o papel do pré vendedor, do BDR, do SDR em comparação com o papel de um executivo de vendas? Quais foram para você as principais diferenças quando você mudou dessa função e no seu caso até foi uma mudança gradual, né? Você pode compartilhar isso um pouco com a galera?
Sim, isso aconteceu na Creditas, então lá eu fiquei quase três anos, então eu fiquei na transição ali da aquisição da Creditú que era com foco em consignado, então lá eu entrei como SDR mas assim, dando um passo atrás, vale fazer essa diferenciação, explicar. Hoje existem SDR e BDR, enquanto que o SDR tem foco em qualificar os leads gerados por marketing, pessoas que levantam a mão, que entram em contato, o BDR ele faz a parte de hunting, o outbound. Então o SDR inbound e o BDR outbound ele faz essa.
Enquanto que o BDR encontrou a dor, o executivo vai tocar mais naquela dor, gerando uma urgência no seu prospect e não só tocar nessa dor, mostrar a solução, como que ele pode resolver isso. Basicamente o BDR ele dribla e depois toca a bola e aí o executivo vai fazer o gol.
</t>
  </si>
  <si>
    <t>1204290632144981</t>
  </si>
  <si>
    <t>As principais competências de um bom vendedor técnico</t>
  </si>
  <si>
    <t>https://drive.google.com/file/d/1iJxxiaeEMADpQXkY8mUpgX4tq3sVooeR/view?usp=share_link</t>
  </si>
  <si>
    <t xml:space="preserve">Aula:
Executivos de Vendas - Felipe Perve - Vendas Técnicas para Vendedores Generalistas 
https://drive.google.com/file/d/1_1a-Qag8dRzcIQSU97O9A9aS6ZAXzOBN/view?usp=share_link
Minutagem:
12:16/12:33 — 13:33/14:01 — 16:09/16:44 — 16:56/17:04
Link vídeo final:
https://drive.google.com/file/d/1fe0H5o-abassL9AxFxoxLwTgQZfRX7mN/view?usp=share_link
Link alteração:
Transcrição:
Quais são para você as principais habilidades e competências, quem é generalista e quer ver um produto altamente técnico, como que essa pessoa precisa se preparar e se desenvolver? 
Alguns atributos, assim o primeiro, tá gente? Uma pessoa estudiosa, então o estudo correlacionado com a curiosidade, né? Tem que ser uma pessoa comunicativa, eu vi esses dias uma matéria na Forbes, que 93% dos executivos acham que pessoas com uma habilidade de comunicação tendem a ser melhores vendedores. Isso eu acho um fato, né? 
A habilidade da escuta, e quando eu falo escuta é escuta ativa, não escutar para responder, eu acho importante só a diferença entre os dois itens, né? Você gostar de ouvir histórias e uma coisa que eu tenho trabalhado muito nas equipes que eu acho, é a pessoa que gosta de relacionamento. Então comunicação é uma coisa, o relacionamento é outro né, por que? A gente tem uma facilidade muito maior de comprar de pessoas das quais a gente já tem um relacionamento, já conhece.
Então, acho que esses quatro itens que são relacionamento e escuta, o estudo e a comunicação, são itens eu acho que melhoram um profissional para algo mais técnico da coisa.
</t>
  </si>
  <si>
    <t>1204187286981734</t>
  </si>
  <si>
    <t>A satisfação do cliente com a empresa está ligada ao vendedor?</t>
  </si>
  <si>
    <t xml:space="preserve">Aula:
Executivos de Vendas - Vanessa Pagotto - Construindo relacionamentos de confiança
https://drive.google.com/file/d/1jv5BjmU-pknBrAiDxp6Hih24NnzbRkFE/view?usp=share_link
Minutagem:
24:14/25:11 — 25:21/26:55 — 27:27/28:17
Link vídeo final:
https://drive.google.com/file/d/1Wq_aKxEe_uq8twVwmdsc-ph5a0NrALwi/view?usp=share_link
Transcrição:
 Você acha que a satisfação do cliente com a sua empresa está diretamente vinculado com a confiança que esse cliente tem em você, profissional de vendas? Como que o Executivo pode lidar com esse contexto de um cliente satisfeito? Eu acho que é legal também você comentar como mulher no mercado de tecnologia. Cara assim, a mulher vendedora no mercado de tecnologia, passa por muitas situações que cara, homens, brancos, héteros como eu não passam, né?
Assim, bom eu vivi várias situações desagradáveis ai nos dois contextos mas acho que o que você falou de você pegar clientes problemáticos, eu hoje vejo como uma grande oportunidade, né? Eu digo que o vendedor ele a voz do cliente dentro da empresa. Eu estudava muito os produtos que eu vendia, então eu praticamente virava a melhor amiga dos meus pré-vendas, e queria entender no detalhe.
Eles falavam "Vanessa, mas você não precisa entender essa parte." Eu falei, okay mas eu quero entender, porque quando o cara fizer essa pergunta na reunião eu quero ser a pessoa que responde, que vou responder, eu não quero que você responsa, eu quero mostrar para ele que eu tenho conhecimento, que eu estou vendendo um produto que eu sei, que eu conheço o produto. Você tem que demonstrar o quanto você conhece do que você está tentando vender para aquela pessoa, porque no fim vai impactar a vida dela no dia a dia.
</t>
  </si>
  <si>
    <t>1204290632144985</t>
  </si>
  <si>
    <t>https://drive.google.com/file/d/1k2rI7YGpeie-98O5Jp4WO8gh_rpWlOj0/view?usp=share_link</t>
  </si>
  <si>
    <t>A curiosidade pode ser a chave para vender melhor</t>
  </si>
  <si>
    <t>Executivo de Vendas,Gustavo Pagotto,Felipe Pervelli</t>
  </si>
  <si>
    <t>Aula:
Executivos de Vendas - Felipe Perve - Vendas Técnicas para Vendedores Generalistas 
https://drive.google.com/file/d/1_1a-Qag8dRzcIQSU97O9A9aS6ZAXzOBN/view?usp=share_link
Minutagem:
18:04/19:18
Link vídeo final:
https://drive.google.com/file/d/12t977BQbedhvfb9dx26zbgKY-gnbLfgf/view?usp=share_link
Link alteração:
Transcrição:
Quando você começa a vender um produto que você é totalmente ignorante em relação à ele. Eu vou dar o meu exemplo quando eu fui, eu tinha trabalhado a minha carreira inteira com software, com tecnologia e eu fui vender crédito. Gente, vender crédito é técnico, você precisa entender sobre taxa de juros, sobre FIDC. Como é que você faz pra aprender isso?
Você tem que estudar, você tem que ser curioso, você tem que perguntar, você tem que se interessar genuinamente pelo assunto. E porque às vezes a gente tem um bloqueio ou uma trava em relação a isso? Isso está muito mais ligado à nossa capacidade de investigar, porque pensa a pessoa que está do outro lado, do outro lado tem um ser humano, existe um ser humano que provalmente tem um chip na cabeça da mesma capacidade que vocês, é tão simples quanto o interesse de vocês de estudar, de perguntar, e no final as perguntas acabam sendo muito parecidas de todos os clientes, né?</t>
  </si>
  <si>
    <t>1204073895481515</t>
  </si>
  <si>
    <t>Toda experiência é válida para acrescentar em vendas</t>
  </si>
  <si>
    <t xml:space="preserve">Aula:
Executivos de Vendas - Borja Castelar - O melhor vendedor do mundo (no LinkedIn)
https://drive.google.com/file/d/1YdXvfWqYlPaQpZNd4aKAlkgAOwbyGaVj/view?usp=share_link
Minutagem:
5:20/6:35
Link vídeo final:
https://drive.google.com/file/d/1bjWRd--AjxRZHe0FVxhMaIYr_RjjDem1/view?usp=share_link
Transcrição:
Eu conversei com vários de vocês individualmente já, né? Nas mentorias que a gente tem marcado, e o que a gente percebe? Tem gente que vem de pô, os backgrounds de vocês são muito diferentes, usem isso a favor de vocês. A gente até tinha uma coluna dessa no nosso planejamento de vendas lá no LinkedIn, que a gente chamava de "wrap advantage" ou "a vantagem do vendedor".
Se você já trabalhou com RH e vende para o RH, pô você sabe muito bem como isso funciona, se você for uma pessoa que trabalhou muito com Excel, usa isso no seu planejamento. E é engraçado como essas coisa realmente se conectam, eu comecei a minha vida trabalhando em uma câmara de comércio, era uma associação que tinha grupos de troca de conhecimento, olha onde eu vim parar, abri uma empresa que é uma comunidade de troca de conhecimento, né? Então, acho que todas as experiências elas vão se somando.
</t>
  </si>
  <si>
    <t>1203614403916461</t>
  </si>
  <si>
    <t>Como se preparar para gerir canais de vendas</t>
  </si>
  <si>
    <t>Só os bons vendedores B2B irão prevalecer</t>
  </si>
  <si>
    <t xml:space="preserve">https://drive.google.com/file/d/1SgEp-AU0PyZHb0By1e37J3ulG_W7k4S1/view?usp=share_link
Alteração:
https://drive.google.com/file/d/1ywT2F8Pwhyst8kPl3mVNp6U7ioABVL9A/view?usp=share_link
Transcrição:
Fala um pouquinho de como que é esse processo de preparar-se como empresa e abordar outras empresas a começar a vender o seu produto, o que você considera que são os elementos importantes nesse momento? Um dos caminhos pode ser você buscar um canal que seja exclusivo seu, você tem que estabelecer algum tipo de benefício que possa diferenciar você para que o cara te aceite como canal exclusivo. Você tem que ter uma metodologia estruturada, pronta, você tem que ter um modelo de go to marketing estruturado, você tem que ter um modelo de geração de demanda estruturado, você precisa dar um comissionamento que seja absurdamente representativo em comparação aos demais, você tem que ter uma capacidade de fazer treinamento e capacitação dos funcionários desse seu canal.
Esse é um tipo de um tipo de modelo.
</t>
  </si>
  <si>
    <t>O que é preciso para se tornar um vendedor especialista</t>
  </si>
  <si>
    <t>Executivo de Vendas,Brunna Borghezan</t>
  </si>
  <si>
    <t xml:space="preserve">Aula:
Executivos de Vendas - Brunna Borghezan - O papel do Vendedor Especialista
https://drive.google.com/file/d/1cWYNV-r9bKl5wD32N96HQyiD-GuXQQZT/view?usp=share_link
Minutagem:
39:43/39:53 — 40:11/41:15 — 41:32/41:45
Link vídeo final:
https://drive.google.com/file/d/1S2IEhy1QtJcxkArzxFhwah4lzt87labY/view?usp=share_link
Transcrição:
Qual que é a sua estratégia para conseguir ter todo o conhecimento do potencial que as soluções podem levar para os seus clientes?
Eu acho que a gente precisa ser simplista e não esquecer do óbvio. Então, a primeira coisa para ser um vendedor especialista você precisa ter conhecimento, conhecimento é o que te da segurança, quando você tem isso arraiado as coisas se tornam mais simples.
Como que a gente adquire conhecimento? Não tem outra forma se não treinando, se certificando. Então, toda a parte de capacitação ela é indispensável é o ponto um, então fazer o treinamento necessário, obter certificação quando necessário de produto é fundamental.
Então aqui no caso, a gente tem uma trilha, né? Uma empresa totalmente autodidata, a gente tem uma trilha, acompanha, a gente recebe todos os notifications, eu tenho deadlines, eu tenho provas, eu preciso de níveis de certificação, inclusive para eu discutir a adoção de determinada coisa com o meu cliente ou até onde eu posso ir está relacionado ao nível de certificação que eu tenho.
Então esse é o ponto fundamental, a gente fazer sim leituras e estar atualizados constantemente com relação ao cliente da carteira que eu vou ser responsável.
Não menos importante, também a par de todas as pendências do setor. Então, se a gente realmente não tiver alinhado e atualizado sobre tudo que é referente a indústria, não adianta a gente só saber de produtos, a gente não vai ter pitch de negócio.
</t>
  </si>
  <si>
    <t>https://drive.google.com/file/d/1vHZK_2oQVfHnqLdMLah3dIu0nrMnUaZS/view?usp=share_link</t>
  </si>
  <si>
    <t>1204351766960389</t>
  </si>
  <si>
    <t>As qualidades essenciais em um bom pré-vendedor (SD)</t>
  </si>
  <si>
    <t xml:space="preserve">Aula:
SDRs - Bruna Craveiro - #35: Autogestão Baseada em Indicadores
https://drive.google.com/file/d/1uGjxtuW4-F1-jm_FE5I2n1S9cDPLt2L6/view?usp=share_link
Minutagem:
7:00/9:35
Link vídeo final:
https://drive.google.com/file/d/1WnFt4XadS0dxfKoI38pqD1-gsI-6kEAP/view?usp=share_link
Link alteração:
Transcrição:
  Eu acredito que um bom SD, um bom pré-vendas, ele precisa ser muito organizado, ele precisa saber priorizar o seu trabalho, e ele precisa também prospectar todos os dias. Quando a gente fala de organização, a gente passa por, vocês terem tanto virtualmente tanto um planner, né? Então assim, um calendário, sabendo quais são as atividades que vocês precisam fazer por dia, é muito importante vocês terem essa cadência.
Além de organização, e aí eu falo também muito a respeito da pontualidade, é muito importante vocês priorizarem o trabalho de vocês. É muito importante vocês terem slots de horários na agenda, através disso vocês vão sair do dia entendendo. Olha, hoje sai do dia terminando todos esses pontos e finalizando além da priorização, a gente chega no tema de prospecção aquele tema que infelizmente, se vocês me perguntarem "Bruna, você gosta de prospectar?". Não, não gosto de prospectar, mas é necessário. Como eu disse  para vocês, né? Tenho um pouquinho mais de dez anos ai de vendas, é muito importante prospectar todos os dias.
</t>
  </si>
  <si>
    <t>1203642713062882</t>
  </si>
  <si>
    <t>Estratégias para geração de demanda de serviços</t>
  </si>
  <si>
    <t>A tecnologia nas vendas B2B pode ultrapassar o papel do vendedor</t>
  </si>
  <si>
    <t xml:space="preserve">Aula:
Sales Leaders com Lelio Souza - Gestão de Vendas de Serviços
https://drive.google.com/file/d/1f1tKb11ooLBlJn-BcmY1aEm3_-JbU_Jv/view
Minutagem:
16:36/17:12 — 17:19/17:44
Link vídeo final:
https://drive.google.com/file/d/1YqmRMARAW_NN8rcuhSQyPRkoojJx2NIX/view?usp=share_link
Alteração:
https://drive.google.com/file/d/1MvtpCv9-wnd8mIDoZEy7BjQZxhteOmmf/view?usp=share_link
Transcrição:
📍 que você já viu de estratégia de geração de demanda, geração de Pipeline, e se você acha que é efetivo dentro do mundo de serviço? Você começou até se apresentando falando do  consultor que faz uma boa entrega e depois vende mais dentro da carteira. Isso é uma técnica muito conhecida, é Land and Expand de geração de demanda, muito de cross selling e up selling, é uma entrega bem feita, cliente todos eles tem infinitas dores. Então você cria ali, relacionamento e boa entrega te abre oportunidades.
Criação de conteúdo, reputação, né? Então as consultorias fazem muito isso, criação de whitepaper, qualquer consultoria ai, você assina newsletter e recebe toda semana conteúdo de determinados tópicos, quando você tiver aquela dor, você vai lembrar daquela consultoria. Pô já li um artigo, já vi um case.
Eu sei que fulano de tal faz isso.
</t>
  </si>
  <si>
    <t>https://drive.google.com/file/d/1KXzRSUdbmpCd3NhpT8rT2KcyTGOFBe_W/view?usp=share_link</t>
  </si>
  <si>
    <t>1203642713062884</t>
  </si>
  <si>
    <t>Projetos de serviços: Como vender?</t>
  </si>
  <si>
    <t xml:space="preserve">Aula:
Sales Leaders com Lelio Souza - Gestão de Vendas de Serviços
https://drive.google.com/file/d/1f1tKb11ooLBlJn-BcmY1aEm3_-JbU_Jv/view
Minutagem:
23:16/23:59 — 25:07/25:55
Link vídeo final:
https://drive.google.com/file/d/1vkEKVcK2ZMYpXfKoRJoXzGSoYPEmgD5M/view?usp=share_link
Transcrição:
Eu queria falar um pouquinho sobre negociação de venda de projetos de serviços. Muito bacana essa pergunta Pagotto. E aqui eu acho que vale uma reflexão de posicionamento no mercado, e sem querer fazer nenhum juízo de valor aqui. Existem empresas que elas já partem por natureza como estratégia, vender time share, vender body shop, né? Vender hora.
Então assim eu vou te alocar profissionais. de determinadas competências e você vai me remunerar por uma tabela horária, por competência. O outro modelo é um modelo onde ou vendo solução. Então a minha experiência e o que eu gosto. Estou resolvendo uma dor, estou resolvendo um problema, estou te vendendo a solução, então começa já na primeira abordagem.
Por isso eu acho muito importante o cliente reconhecer a dor, porque a sua proposta vai fugir um pouco da discussão de preços. Na hora que ele reconhece a dor. Se isso for bem feito, na hora que ele reconhece a solução, se você tiver credibilidade, falar esse cara sabe fazer. Ele já fez em outros lugares, ele tem credibilidade, tem reputação.
E eu preciso resolver essa dor. Você está fazendo uma venda baseada em valor e não em custo, em preço de hora, é valor.
</t>
  </si>
  <si>
    <t>1203642713062926</t>
  </si>
  <si>
    <t>Segure a sede de vender durante o processo de incorporação</t>
  </si>
  <si>
    <t>SDR`s,Alexandre Apendino</t>
  </si>
  <si>
    <t xml:space="preserve">Aula:
Sales Leaders com Alexandre Apendino - Integrando Equipes de Vendas pós M&amp;A
https://drive.google.com/file/d/1EvFOSNigOlRbcF_ZtOuDqkm6C969u4sX/view
Minutagem:
33:18/33:30 — 34:18/35:28 — 35:45/36:11.
Link vídeo final:
https://drive.google.com/file/d/1zMfzKwl9rrBY6MIWqe44pfxP6M4mmXoZ/view?usp=share_link
Alteração:
https://drive.google.com/file/d/1AJrewGcOvu728wS1xAbAeia3My7VSiJe/view?usp=share_link
</t>
  </si>
  <si>
    <t>1204009117663263</t>
  </si>
  <si>
    <t>Forçar uma venda ou deixar de vender?</t>
  </si>
  <si>
    <t>Executivo de Vendas,Thaisa Fausto</t>
  </si>
  <si>
    <t>Aula:
Executivos de Vendas - Thaisa Fausto - Estratégias de Negociação
https://drive.google.com/file/d/1nRY49bKvs483aFhX6_VfsBEQjwgy6CNA/view?usp=share_link
Minutagem:
29:49/31:04
Link vídeo final:
https://drive.google.com/file/d/1W6poCWvyGt3Jdv7VEyJ8c0vHS0eGNZZU/view?usp=share_link
Alteração:
Transcrição:
Hoje você vai ganhar muito menos com o seu cliente na primeira transação, você tem que escolher o momento certo de trazer aquele cliente, as vezes você traz o cliente no momento de mercado errado, no momento do seu produto errado, às vezes no contexto errado do cliente, na verdade você está construindo, você está cavando um buraco para matar uma grande oportunidade, às vezes você tem que esperar um pouco para fazer uma venda, onde você para você ter uma condição melhor de negociação, uma melhor condição comercial e na prática o que isso significa?  Significa que você deixa de fechar aquele contrato, se você está "engargalado" de pipelines, se você tem pouco pipelines e você tem que fechar aquele contrato de qualquer jeito para bater a sua meta, ai é aquela coisa ou eu não bato a minha meta e meu emprego está em risco e eu tenho que enforcar essa venda aqui para fechar. Se eu tenho muito pipeline eu estou tranquilo, eu tenho mais tempo para fazer uma negociação melhor, né? Então, tudo é uma estratégia que você tem por trás de ter esse pipeline mais longo.</t>
  </si>
  <si>
    <t>O método Jeff Bezos para vender mais com menos pessoas</t>
  </si>
  <si>
    <t>1203614404300129</t>
  </si>
  <si>
    <t>A tecnologia é a maior aliada do comercial!</t>
  </si>
  <si>
    <t>https://drive.google.com/file/d/19bI3QNBeg6LlFiDYzZnwCyQAsu2oYISn/view?usp=share_link</t>
  </si>
  <si>
    <t>SDR`s,Theo Orosco</t>
  </si>
  <si>
    <t xml:space="preserve">https://drive.google.com/file/d/1lybKOzcmWUW4iwPSORW500UnS9Y00nOg/view?usp=share_link
Alteração:
https://drive.google.com/file/d/1cqtv3ZojZ72nK2lCAbuKeD8o5pHkwnn-/view?usp=share_link
Transcrição:
Por isso que eu falo, quem não entender que a tecnologia vai vir sim automatizar muita coisa que você hoje faz na mão, e isso não vai tirar o teu valor, pelo contrário, vai incrementar o teu valor, você vai ganhar muito mais sabendo usar, porque não é todo mundo que vai saber usar isso. Então quem for prospectador e vendedor, e quer aprender a lidar com tecnologias e jogar com a tecnologia a seu favor fazer ela trabalhar por ti, é o cara que ganha muito dinheiro.
Então assim, a maioria não faz isso, a maioria fica querendo competir com tecnologia e se f***, essa é a brincadeira.
</t>
  </si>
  <si>
    <t>1204187287484088</t>
  </si>
  <si>
    <t>Em qual etapa a tecnologia pode ajudar o setor de vendas? - CRM</t>
  </si>
  <si>
    <t>Planejamento Comercial,Patricia Antonelli</t>
  </si>
  <si>
    <t xml:space="preserve">Aula:
Planejamento Comercial - Patricia Antonelli - Tecnologias para aumentar a produtivide
https://drive.google.com/file/d/1kWFUXA2jbMg3W-rP4IqNka57A8yOoecR/view?usp=share_link
Minutagem:
8:34/9:04 — 9:52/11:05
Link vídeo final:
https://drive.google.com/file/d/1md0dcbO0GZ1j-Pk7gdrb4SZTP-RkbtfV/view?usp=share_link
Transcrição:
Quais são as etapas do processo de vendas que cabe ser analisado, e onde a tecnologia pode entrar? E sabendo que esse processo é enorme, é gigantesco, existem centenas de milhares de ferramentas de vendas, antes de sair comprando qualquer ferramenta, como que vocês escolhem por onde começar, como é que você faz essas primeiras análises e por onde que você começa?
É que assim, dependendo da maturidade da empresa a gente tem uma ou outra ferramenta, que a gente acaba focando um pouco mais a energia, né? É natural uma empresa que está começando, você focar nas ferramentas que vão te proporcionar a prospecção, os novos contatos, os seus primeiros clientes. Já uma empresa ali que está um pouco mais madura, às vezes você ter um olhar mais de produtividade mesmo, então um Salesloft, uma ferramenta que vai controlar ali o número de ligações feitas, você ter mais visibilidade do seu time, de como que ele está executando, eu acho que faz a diferença.
A parte de analytics de dados, a gente precisa ter muito forte e eu acho que acaba as vezes ficando um pouco de lado.
Mas a base de tudo isso eu acho que é o ter também, assim, não adianta nada a gente fazer a prospecção, ou depois a gente controlar a produtividade e depois você ter uma parte analítica para olhar todos esses dados se você não tem o CRM. E aí eu acho que CRM é a base de tudo na verdade.
</t>
  </si>
  <si>
    <t>1204009117805649</t>
  </si>
  <si>
    <t>Primeiros passos para trabalhar uma carteira de clientes nova</t>
  </si>
  <si>
    <t>Executivo de Vendas,Talita Passos</t>
  </si>
  <si>
    <t>Aula:
Executivos de Vendas - Talita Passos - Cross-Selling e Up-Selling
https://drive.google.com/file/d/1ibZt276CeRw0AYS6zlAnUvGDKxO6xCgh/view?usp=share_link
Minutagem:
28:37/28:52 — 28:55/29:15 — 30:08/30:44 — 31:09/31:27
Link vídeo final:
https://drive.google.com/file/d/1Pnk0xfTcoWLeMVMkKhuJclW-eykjYbQH/view?usp=share_link
Transcrição:
Qual que é a sua recomendação para essa galera aqui que é farmer ou que é híbrido, recomendação de primeiros passos para quem vai começar a trabalhar uma carteira onde não conhece os clientes, onde ainda não tem relacionamento.
Acho que a primeira pergunta que um vendedor faz, ou em uma entrevista ou quando chega na empresa, qual é a minha carteira? Antes disso, é importante entender qual é o seu papel nesse processo, né?
O segundo ponto é justamente entender qual vem sendo o comportamento dessa carteira e como essa carteira se mostra ali. Quem são os clientes? O que eles compraram? Então, se você está em um venda multiprodutos, quais eles já compraram? Quem comprou, né? Quem é a buyer persona? Quem participou do processo? Por quanto tempo de contrato? Quais foram as condições comerciais, se fecharam dentro da margem, acima da margem, abaixo da margem?
Quando a gente analisa esses pontos, talvez alguns alertas sejam ligados. Acho que o que ajuda é clusterizar esses clientes, né? Agrupar os clientes que estão consumindo bem, agrupar os clientes que não estão consumindo ou clientes que estão ali na média, que tem um espaço para acelerar a adoção ou até encontrar outros casos de uso.
Se você vender um produto como serviço, é o consumo é muito importante para garantir, pelo menos o up-sell então.</t>
  </si>
  <si>
    <t>https://drive.google.com/file/d/1c6A0y1xPWWi2_veSSnVl5XHN4wud_GMz/view?usp=share_link</t>
  </si>
  <si>
    <t>1204073895481498</t>
  </si>
  <si>
    <t>Aula:
Canais &amp; Parcerias - Camila Alonso - Case TOTVS
https://drive.google.com/file/d/1-MObdK9H3NL7eViOu7jRgVNsHjAVUUtw/view?usp=share_link
Minutagem:
33:23/33:42 — 34:00/35:11
Link vídeo final:
https://drive.google.com/file/d/12oppY6vNqqSrzOTZcZAENK4r1BlUep-j/view?usp=share_link
Alteração:
https://drive.google.com/file/d/1WbMeJjiJ57cM69wfVibJ3lYZD8UJe9i8/view?usp=share_link
Transcrição:
Conta um pouco como que a estrutura do seu time e essas  outras  estruturas, quais são o papel dessas pessoas, porque se não tem alguém com a meta de fazer esse negócio vender, se perde.
Basicamente ela é dividida em duas frentes de atuação. Uma frente mais voltada ao desenvolvimento de negócio, então é um time de BizDev, que basicamente a gente está falando que olha a captação de negócios, então tem pessoas específicas com um perfil mais hunter, um perfil senior que conhecem muito o negócio, justamente para conduzir todas as negociações com novos parceiros, fazer as avaliações que a gente mencionou, dos critérios de match, fit cultural, etc.
À frente de BizDev e de Gestão, então uma vez que seja feita, finalizada a definição do modelo de negócio com essa parceria, a gente feche contrato, oferta já 100% definida, ali tem realmente uma passagem de bastão para o time de gestão, que também é um time senior mas que tem como compromisso o sucesso do parceiro dentro de casa.
Sucesso do parceiro é o parceiro vendendo e a gente vendendo e a gente atendendo bem os clientes, basicamente assim, em suma do ponto de vista quali é esse nosso objetivo.</t>
  </si>
  <si>
    <t>1203892930567545</t>
  </si>
  <si>
    <t>Carreira em vendas não é sobre ter sorte</t>
  </si>
  <si>
    <t xml:space="preserve">Aula:
Canais &amp; Parcerias - Daniela Spinardi - Internacionalização via Canais
https://drive.google.com/file/d/1iM15kaKIkKUaQ2NYqqNMtP7RZb5Tituq/view?usp=share_link
Minutagem:
33:03/33:33 — 33:40/34:37 — 34:43/35:13
Link vídeo final:
https://drive.google.com/file/d/1IrCc_5FIaLvyogfeUlJ5xQB2NXXImqwB/view?usp=share_link
Link alterações:
https://drive.google.com/file/d/1q7R4w8bomPOEXcfkfC_uSLmpk4kn2xq4/view?usp=share_link
Transcrição:
Mas essa questão do atendimento sempre é um dos pontos que vocês posicionam e entregam, né? Cada empresa busca seu diferencial de posicionamento. Quando você coloca a parte do atendimento que é uma coisa que muitas vezes o mercado brasileiro ele exige muito, né? Você ter um bom atendimento, que as pessoas no Brasil são acostumadas a ter serviço, a ter atendimento.
Quando você posiciona isso e entra em um outro mercado, você precisa entregar isso, né?
Um coisa que facilita para gente é quando a gente pega não só parceiros mas clientes, a Nuvemshop é muito forte em atendimento e suporte. Se a gente começa hoje em um país novo, a gente já vai pensar naquele país pensando no atendimento ao cliente, se for pensar em uma trajetória de como a gente aumenta o nível de serviço para o parceiro, no momento zero a gente vai aproveitar o time de suporte, que muitas das dúvidas vão ser, como trabalha com a plataforma, a gente tem muita documentação.
Suporte técnico, né? É suporte técnico que acaba aproveitando muito o que é o suporte do próprio lojista. Mas a gente adiciona CLAs bastante mais agressivos em termos de atendimento para aquele parceiro. Atendimento mais VIP dentro de um suporte, a gente pode tanto especializar esse suporte para parceiros, como ir trazendo pessoas que sejam o meio do caminho entre um suporte mais técnico, para relacionamento.
Até a gente ter uma, de fato um gerente de conta, de success e etc, que está acompanhando aquela trajetória. Então, dá para fazer de formas mais embrionárias e ainda garantir que a gente oferece aquele nível de serviço.
</t>
  </si>
  <si>
    <t>1203660138619837</t>
  </si>
  <si>
    <t>https://drive.google.com/file/d/1ULNdsZRWSI3Gp-KNVQKrqWdZHzbi3HG5/view?usp=share_link</t>
  </si>
  <si>
    <t xml:space="preserve">Aula:
Canais e Parcerias - Caio Peres - Programa de Agentes Autônomos - XP Investimentos
https://drive.google.com/file/d/1rNmJQwxdo63nw_IjCAMbpGrcwbOL8JQl/view
Minutagem:
    43:33/44:52
Link vídeo final:
https://drive.google.com/file/d/1CYzPnLzIbNB5U4kWGPuW4W4iIf7gCh1q/view?usp=share_link
Link alteração:
Transcrição:
A gente acha que assim, pô o cliente não tem dono, né? Assim, não é o cliente de um ou de outro, né? O cliente ele é um ser independente que ele vai para onde ele julga que é melhor para ele. Então, o nosso papel aqui é dar o melhor produto e serviço possível para os nossos clientes. Quando um assessor troca ou vindo para cá, ou indo para lá, ou leva ou traz uma parte desses investimentos e não todos eles de uma vez, ele não tomba de uma vez.
Ele convida o cara para abrir a conta no outro lugar ou quem é de fora que está entrando aqui, que foi o teu caso ali, né? O cara te convidou em algum momento para fala, olha, eu estou saindo dessa corretora A e estou indo para a XP, então vamos juntos aqui, se você quiser é isso, isso e isso que está acontecendo. Então tem uma relação que eu acho que é natural, e aí você tem competição nesse mercado.
Você tem bastante players engajados nesse tema hoje em dia. Então naturalmente você vai ter ai algumas pessoas trocando de placa. Esse movimento é super natural, acontecer isso lá fora também, isso acontece em outros tipos de mercado. Você tem que tentar fazer seu melhor sempre assim, o que é o melhor que você pode entregar para o cliente, o que é o melhor que você pode entregar para o assessor.
Ainda que você tenha amarrações contratuais ou coisas do tipo, você não deve se apoiar nisso você tem que se apoiar na verdade é em ser uma prisão sem muros onde você contrata tão bem ali que ele naturalmente não queira sair, não queira ir para outra placa.
</t>
  </si>
  <si>
    <t>1204187286981728</t>
  </si>
  <si>
    <t>O foco de um bom atendimento é a necessidade do cliente</t>
  </si>
  <si>
    <t xml:space="preserve">Aula:
Executivos de Vendas - Vanessa Pagotto - Construindo relacionamentos de confiança
https://drive.google.com/file/d/1jv5BjmU-pknBrAiDxp6Hih24NnzbRkFE/view?usp=share_link
Minutagem:
11:24/12:36
Link vídeo final:
https://drive.google.com/file/d/1HSJVOlsTPMmHtPHQC8ayqc2fCqeg24Nw/view?usp=share_link
Transcrição:
Quando você vai atender uma carteira de clientes, seja um cliente novo, ou seja, um cliente da base, o foco tem que ser muito grande em qual que é a urgência do cliente.
Eu estava nem uma reunião do Conselho Consultivo, que são meus clientes, né? Não deixam de ser meus clientes. O problema dos caras é a redução de headcount, esse é o problema do meu cliente. Toda a minha conversa, tudo o que estava acontecendo ali era relacionado ao foco do que tá acontecendo dentro dele e como eu ajudo ele a resolver esse problema e quais são as alternativas. Então, acho que a gente fala bastante aqui nas sessões. O foco é, cara o foco é no cliente, qual que é a dor do cliente, onde que eu resolvo o problema do cliente.
E acho que você reforçou um negócio aqui que é fundamental, é tudo menos o nosso produto, a nossa meta, as nossas métricas. Isso é uma consequência de fazer um bom trabalho junto a esse cliente. Ah, talvez não vai ser no timing que a gente gostaria? É, talvez não vai ser no timing que a gente gostaria, mas a gente precisa abrir essa porta.
</t>
  </si>
  <si>
    <t>1204187287484094</t>
  </si>
  <si>
    <t>Habilidades necessárias para alcançar cargos de liderança</t>
  </si>
  <si>
    <t>O especialista na ferramenta tem que estar dentro da empresa</t>
  </si>
  <si>
    <t xml:space="preserve">Aula:
Planejamento Comercial - Patricia Antonelli - Tecnologias para aumentar a produtivide
https://drive.google.com/file/d/1kWFUXA2jbMg3W-rP4IqNka57A8yOoecR/view?usp=share_link
Minutagem:
19:05/20:18
Link vídeo final:
https://drive.google.com/file/d/1rXaEus_J-L5iRd0iUeCz76zb0cgz6gr1/view?usp=share_link
Transcrição:
Quando você vai escolher uma ferramenta para ser implementada desde o processo inicial de mapeamento dessa ferramenta, análise, a comparação dos concorrentes, avaliação de preços, entender se vai ter um parceiro que vai ajudar na implementação, ou se precisa ter alguém dentro de casa, que é o responsável por ter 100% desse domínio e desse controle, porque se não isso vai cair na mão de vendas e vendas vai  fazer o que, vai bagunçar o negócio inteiro e você vai perder todo esse controle, para principalmente depois analisar os dados de como isso pode te retornar melhor, né?
Então, eu acho que isso conecta bastante com esse negócio que você falou de usar essa ferramenta na plenitude e não depender de fornecedores, né?
</t>
  </si>
  <si>
    <t>https://drive.google.com/file/d/1YRRz0xlqLCUt8GCIF40tJDsgDTi-ZDzB/view?usp=share_link</t>
  </si>
  <si>
    <t>1204187286981738</t>
  </si>
  <si>
    <t>O que é a análise de winn-loss?</t>
  </si>
  <si>
    <t xml:space="preserve">Aula:
Líderes de Vendas - Win-Loss Analysis - Caio Montagner da Live University
https://drive.google.com/file/d/1f9sLDaIhh5aOss7gbZ9nZMGVPPn4pk28/view?usp=share_link
Minutagem:
5:23/5:36 — 5:47/7:50 (dá pra cortar a parte que ele dá o exemplo do Palmeiras porque é apenas uma brincadeira)
Link vídeo final:
https://drive.google.com/file/d/1TKGzscYSeGiopz-RT5QNwyFfIUrhnSV9/view?usp=share_link
Transcrição:
O que é essa win-loss analysis e como que ela pode ser aplicado efetivamente para estruturas de vendas B2B?
Por mais que muitos vendedores e times comerciais sempre tentam mapear o que dentro da jornada do cliente, e hoje com os design thinkers na mesa, isso é bastante feito com frequência, mas nos anos 90 teve esse cavalheiro chamado Richard Schroder, que propôs esse sistema, e aí ele propôs na consultoria dele, chamada "A Nova", lá nos Estados Unidos e conseguiu aterrisar com uma ferramenta muito interessante, que se eu tivesse que resumir em uma frase, seria: É um guia pós decisão, em que a gente tem que entender com o cliente, porque ele comprou ou porque ele não comprou. E é maluco porque de maneira natural a gente imagina bom, estruturei aqui minha estratégia de vendas e se está dando resultado é porque eu estou certo, né? Será que até quando a gente acerta a gente sabe porque acertou? E tanto em venda B2B, quanto B2C, mas fiquem tranquilos que eu vou focar no B2B que é a ideia de vocês aqui, isso pode acontecer, eu posso ter montado um plano e porque ele está dando certo, eu acredito que todos os elementos envolvente desse plano são suficientes e estão corretas, quando na verdade simplesmente não.
O win-loss te propõe, nesse questionário de pós decisão, seja de win, seja de loss, que você entenda no detalhe, na visão do cliente, o que é que a gente fez de certo e o que é que a gente fez de errado.
</t>
  </si>
  <si>
    <t>Atitudes de um profissional de alta performance</t>
  </si>
  <si>
    <t>1203558703538554</t>
  </si>
  <si>
    <t>Qual é o papel da equipe de pré-vendas? - funil pré-vendas</t>
  </si>
  <si>
    <t>https://drive.google.com/file/d/1jmMMBOhDYkTCzVjEZdXRi2TlcG9x1_iB/view?usp=share_link</t>
  </si>
  <si>
    <t>SDR`s,Mariana Mello</t>
  </si>
  <si>
    <t>Os desafios da primeira vez como gerente</t>
  </si>
  <si>
    <t xml:space="preserve">Aula:
SDR`S - Mariana Mello - Case G4 Educação
https://drive.google.com/file/d/1TWVUFUjiTsnwUG8De6b24rzid22y9Lk0/view?usp=share_link
Minutagem:
Link vídeo final:
https://drive.google.com/file/d/1yutmI40yr6wOYo-TLC6NIAa7QoIXegMw/view?usp=share_link
Transcrição:
Então eu brinco aqui com time que o papel de pré-vendas, eles precisam entender que eles são o Waze do time comercial, eles vão receber. Eles têm toda a mecânica, eles sabem todas as regras para onde eles vão, o momento que viram para a direita, para a esquerda, dentro do nosso processo do nosso SLA, as regras que eles precisam
olhar para esses leads, dentro do processo de qualificação, o que eles precisam perguntar, o que eles precisam falar da empresa, os insights que eles precisam trazer para o time de venda, e aí ele vai direcionar. Amigo, você vai para esquerda, você vai para a direita, esse você conversa, esse vai ficar comigo e a gente precisa devolver para o marketing nutrir mais informação.
Encaminhar mais um conteúdo de forma orgânica. Ele não está pronto. Esse não tem o investimento e a gente vai para o online. Então o papel do time de pré-vendas é extremamente estratégico para operação comercial. Eu falo que não existe principalmente na velocidade de nosso ciclo de venda aqui no G4, que só é muito curto para vocês terem ideia.
A grande maioria das vendas que a gente realiza, o cliente faz investimento na hora, e a gente está falando de produtos de entrada, de formações de dez a quarenta mil reais, então não é uma formação barata se você de fato não entender o valor que ela vai gerar. As formações elas duram de dois a três dias. Não é um ano, dois anos igual uma faculdade convencional. Então se esse lead, ele não tiver no momento da compra, muito bem alinhado.
Se o time de pré-vendas não conseguir dentro desses três mil leads, que eles recebem direcionar para o time de vendas, aqueles que de fato tenha a dor mais latente, que está com interesse mais aguçado. A gente não iria conseguir quebrar os recordes que a gente vem quebrando de vendas de faturamento. Se esse Waze da área de pré-vendas, não estivesse funcionando muito bem.
</t>
  </si>
  <si>
    <t>1203747314667446</t>
  </si>
  <si>
    <t>Aprendizados de Inboud e Outbound</t>
  </si>
  <si>
    <t xml:space="preserve">Aula:
SDRs - Ieza de Oliveira - Case de Vendas Gupy
https://drive.google.com/file/d/1LWKOfutp3qSp3hD5GfMg3cOePxzJSL7V/view?usp=share_link
Minutagem:
21:15/22:22
Link vídeo final:
https://drive.google.com/file/d/1I8jf-EQpZkM1pGpWmteJ1ZjKeUZTgY5-/view?usp=share_link
Link alterações:
https://drive.google.com/file/d/1Ioh9RVYB--udTGyqZyIYU4xTdAuqeQ4M/view?usp=share_link
Transcrição:
Acho que o primeiro aprendizado que eu vejo aqui, vocês tinham uma fortaleza, que era o inbound. A Gupy vem investindo em inbound desde o dia que começou. Todo mundo fala. "Nossa, a Gupy é incrível, maravilhosa, referência em inbound, conteúdo para RH". Sim, mas um dia começou. O inbound para dar certo tem que começar um dia, se sua empresa não tem inbound, você tem que começar, e depois o outbound ele começa gradual, né? Não foi no dia um que vocês já tinham todo o stack de ferramentas, inteligência, prospect scoring, time de SDR, de BDR. Ou seja, no começo era uma lista na parede, com um foco bem específico em uma base de um concorrente. E é assim que começa para você começar, para você literalmente criar uma musculatura de como criar o processo de outbound, o que  funciona, o que o cliente quer, o que o cliente não quer, que é totalmente diferente essas duas máquinas
</t>
  </si>
  <si>
    <t>1204073894803532</t>
  </si>
  <si>
    <t>Testes são essenciais para vendas. Mas por onde começar? formas de teste</t>
  </si>
  <si>
    <t>Nelson Fagundes,Planejamento Comercial</t>
  </si>
  <si>
    <t>Aula:
Planejamento Comercial - NelsonaFagundes - Como mensurar testes no processo de vendas
https://drive.google.com/file/d/1cZNa2LMRj8jK3T8b1aBDVlcrJpoSbOp6/view?usp=share_link
Minutagem:
20:18/21:47
Link vídeo final:
https://drive.google.com/file/d/1yor8mM6C34izcHFpov_kqhrBDuWN95Rw/view?usp=share_link
Alteração:
https://drive.google.com/file/d/1n9PH-zEJJGo3GOhHN3DoULTYRs5zIfIQ/view?usp=share_link
Transcrição:
O que faz sentido testar de forma estruturada e como definir o que a gente quer testar primeiro?
Dá para testar como abordar, então o pitch de vendas, da para testar o quem abordar, então leads, né? Esse, aquele, então dá para fazer qualificação de leads também, testar de formas diferentes, da para testar o onde, então o território, da para testar sul, norte, enfim, capital, interior, acho que isso é super importante, dá para testar também o meio, então o canal de vendas que você vai executar e cara, estratégias de preços, a estratégia igual você comentou, a estratégia de preços, você vai medir a elasticidade do seu negócio, lógico que tem inúmeros outros testes mas eu acho que esses são os mais robustos de forma estruturada.</t>
  </si>
  <si>
    <t>https://drive.google.com/file/d/1xFm6LdB07544BVDls8DIbNaEe7JLmlVM/view?usp=share_link</t>
  </si>
  <si>
    <t>1204073895481486</t>
  </si>
  <si>
    <t xml:space="preserve">Insight: "E se o teste funcionar?" </t>
  </si>
  <si>
    <t>Aula:
Planejamento Comercial - Nelson Fagundes - Como mensurar testes no processo de vendas
https://drive.google.com/file/d/1cZNa2LMRj8jK3T8b1aBDVlcrJpoSbOp6/view?usp=share_link
Minutagem:
24:28/25:46
Link vídeo final:
https://drive.google.com/file/d/1NPvW-ktjC6LytZ2nm_lnAP71i59CB0YC/view?usp=share_link
Transcrição:
Você tem que priorizar os testes que movem seu ponteiro. Eu vejo um monte de gente testando um negócio, eu falo, cara tá e se der certo? O pessoal fala, a gente, vamos testar fazer visitas. Imagina que você tem uma operação em São Paulo, todo mundo presencial, todo mundo trabalhando remoto, mas está todo mundo presencial. Ah não agora nós vamos fazer o seguinte, agora nós vamos visitar os clientes, ah tá bom, vamos ver se aumenta a taxa de conversão.
Você está disposto a mandar todo mundo embora e contratar todo mundo em outros lugares? É uma possibilidade. Ou não, ao contrário, agora nós vamos testar insight sales, nós vamos trazer todo mundo para dentro, ou vamos terceirar a operação.
Quando você vai testar, você tem que ter certeza que aquilo ali é o que realmente move o seu ponteiro e vai levar para outro patamar, isso quando a gente está falando de testes estruturados, né? Pô, o vendedor todo dia ele tem que estar testando, ligo de manhã, ligo a tarde, falo grosso, falo fino, sou mais engraçado, sou menos, vou me adaptar mais. Os testes estruturados, que você vai parar uma área de planejamento, você vai deslocar uma parte da equipe para medir aqueles resultados por três meses vai impactar o seu capacity. Isso aí tem que ser coisas que efetivamente mudam o ponteiro, né?</t>
  </si>
  <si>
    <t>1203951798592342</t>
  </si>
  <si>
    <t>Se preparando para a liderança</t>
  </si>
  <si>
    <t>Aula:
Canais &amp; Parcerias - Nara Guimarães - Modelos de Programas de Canais
https://drive.google.com/file/d/12nFgcrvx4hzQnpkfltYCJUtWh9uD8732/view?usp=share_link
Minutagem:
35:59/36:09 — 36:15/37:57
Link vídeo final:
https://drive.google.com/file/d/1skh4kMUcfdiUHGGnGfDtwde2vv6dsrFb/view?usp=share_link
Link alterações:
https://drive.google.com/file/d/1ndsOXeTSfZ_BYgd9Bc20A1RX5Id4yGHf/view?usp=share_link
Transcrição:
Posso ter mais de um modelo operando simultaneamente, dá para eu exigir tudo isso dos nossos canais, e aí, dá ou não dá? Eu acho que assim, primeiro de uma forma sucinta dá, né? Mas aí eu acho que a gente tem que construir em passos, eu não aconselho vocês saírem atestando cinco modelos ao mesmo tempo. Então assim, vou começar, o que está doendo mais? A aquisição, é a  implementação? Não, eu quero testar um modelo mais completo, que me ajude a ter uma clareza maior da minha solução também, feedbacks para a minha solução. A gente tem duas coisas muito diferentes, duas dores muito diferentes, que não conflitam internamente na operação e nem na mensagem para o parceiro, eu posso começar com dois modelos. Por exemplo, afiliada, implementador, pô são dois testes  diferentes, né? São duas dores diferentes, eu vou ter responsável para tocar cada uma delas? Legal, dá para a gente fazer esse experimento. Então, assim comecem com a dor mais latente da operação, e aí vão pensando em quais são os próximos passos para complementar essa visão.</t>
  </si>
  <si>
    <t>https://drive.google.com/file/d/1n9Pn89tojz8xCibVlLqlWvMyPUIHTBZj/view?usp=share_link</t>
  </si>
  <si>
    <t>Como funciona a dinâmica de vendas em uma consultoria?</t>
  </si>
  <si>
    <t>Esqueça os esteriótipos sobre bons negociadores</t>
  </si>
  <si>
    <t xml:space="preserve">Aula:
Sales Leaders com Lelio Souza - Gestão de Vendas de Serviços
https://drive.google.com/file/d/1f1tKb11ooLBlJn-BcmY1aEm3_-JbU_Jv/view
Minutagem:
35:53/36:41 — 37;01/37:32
Link vídeo final:
https://drive.google.com/file/d/1-imvlPfh3Fgka-IWXSNvAYopeFfawEhY/view?usp=share_link
Alteração:
https://drive.google.com/file/d/1gvdIHAbG2Znt9OPiVDFkzEgLLpXDKhXg/view?usp=share_link
Transcrição:
Como que funciona ai o controle do Pipeline, das dinâmicas de vendas, dentro de uma consultoria que é completamente diferente dentro de uma empresa de software que você já, enfim, trabalhou muito tempo. Existe uma fase de prospecção, né? Clientes onde eu não tenho nenhuma penetração ainda eu preciso conquistar esses clientes, são clientes targets que eu quero entrar e você trabalha em relacionamento em várias esferas, sobretudo em grupos de relacionamento, eventos, fóruns, né? Hoje, LinkedIn, networking em comum você persegue no bom sentido, tá? Profissionais que você precisa criar relacionamentos. Você faz um Power Map. Existem empresas que só fazem isso inclusive, mas faz um Power Map ali de pessoas que você tem que chegar e você vai construir esse relacionamento, principalmente em clientes que são importantes.
Criou o relacionamento, você já tem reputação e etc.
Você vai desenvolvendo relacionamento, vai reconhecendo as dores, apresenta empresa, apresenta case, etc.
E entra, geralmente as consultorias, elas têm uma técnica de Land and Expand. Entrei, resolvi uma pequena dor, às vezes até um piloto, alguma coisa de graça, algum estudo e etc.
Criei confiança, vou expandindo, esse cara vai lembrar de mim. Vou começar a expandir dentro do cliente.
</t>
  </si>
  <si>
    <t>https://drive.google.com/file/d/1rS06Ga8ZT13z0S4mqfCecyqmSxKUVagc/view?usp=share_link</t>
  </si>
  <si>
    <t>1204187287484092</t>
  </si>
  <si>
    <t>Os prós e contras de plataformas de CRM</t>
  </si>
  <si>
    <t>A "fórmula mágica" para uma boa negociação existe?</t>
  </si>
  <si>
    <t>Aula:
Planejamento Comercial - Patricia Antonelli - Tecnologias para aumentar a produtivide
https://drive.google.com/file/d/1kWFUXA2jbMg3W-rP4IqNka57A8yOoecR/view?usp=share_link
Minutagem:
16:02/16:25 — 16:30/18:41
Link vídeo final:
https://drive.google.com/file/d/1rbVRM3hJpT7707ddzejRE7XN7gfXUOvS/view?usp=share_link
Qual que é a sua opinião entre trabalhar com um player principal de CRM, ou você trabalhar, que também tem as suas vantagens, de trabalhar com ferramentas que são especializadas, bem nichadas e que vão resolver pedaços bem específicos da sua operação.
Eu acho que o problema só às vezes é, o grande ele acaba exigindo o desenvolvimento. E hoje em dia, desenvolvedores para algumas das grandes ferramentas de CRM, é difícil encontrar no mercado. Mas eu acho que assim, hoje a gente tem que olhar bem para o nível de desenvolvimento que você vai precisar nessa plataforma. E aí isso vai te ditar ali um pouco de, vale a pena investir no grande ou no pequeno.
Dependendo do mercado, se ele não era muito maduro, as vezes eu estava com as menores primeiro, né? Essas iam funcionando bem, uma hora que o negócio ia começando a ficar muito grande, aí tinha que passar para uma grande plataforma. Então acho também está atrelado um pouco ao momento, eu acho que eu teria esses pontos de atenção, sabe? Na escolha da, se vai usar uma grande ou uma pequena.</t>
  </si>
  <si>
    <t>https://drive.google.com/file/d/1t8ByJkJt1-KKDmV5D8Vkrug1EM7vuMJI/view?usp=share_link</t>
  </si>
  <si>
    <t>1203642713059712</t>
  </si>
  <si>
    <t>Dificuldades dos SRDs na prospecção - pré vendas</t>
  </si>
  <si>
    <t>SDR`s,Sérgio Albuquerque</t>
  </si>
  <si>
    <t xml:space="preserve">Aula:
SDR`S - Sérgio Albuquerque - Aumento de Produtividade com ferramentas de Sales Engagement
https://drive.google.com/file/d/1E8fje2l-LJB69BiZpxF9RXfTkIEh6nad/view?usp=share_link
Minutagem:
04:27 - 05:45
Link vídeo final:
https://drive.google.com/file/d/11KFUV-Au4YbIwX9NLDMsNuioS3udALw_/view?usp=share_link
Transcrição:
Mas agora queria passar um pouco sobre as dificuldades gerais dos SDR`s na prospecção, então eu imagino que conecte um pouco com o que alguns de vocês passem ai no dia a dia. Primeiro, a maior parte das tentativas de contato não são respondidas, então, a cada dez ligações que vocês fazem umas quatro ai vão ser atendidas, seis, a maioria nem sequer são atendidas, cada dez e-mail que vocês mandam, nove não são nem respondidos. Muito difícil tentar contato com o lead. Por isso que agora a gente está vendo as coisas em tanta escala, você consegue uma escala maior, uma porcentagem pequena disso vai converter pra você conseguir contato. Então o mercado está ficando como eu disse cada vez mais difícil, cada vez mais multicanal, multicontato. Qual que é a visão geral então? As equipes de marketing das empresas que vocês trabalham até vocês mesmos gerando leads outbound ali, cara vocês estão gerando centenas de leads todos os meses, está tendo um gasto disso, um tempo nisso.
E de todo esse bolo de lead que vocês estão gerando, em média, setenta por cento deles, estão sendo perdidos sem nenhum contato efetivo com vocês, sem vocês conseguirem uma boa ligação telefônica ali para qualificar aquele cara, sem vocês conseguirem uma resposta no Whatsapp, uma resposta no Linkedin ou no e mail. Então a gente traz um dado da pesquisa que a gente faz aqui de inside sales
que mostra isso. Então a visão geral é essa, muito gasto de tempo dinheiro para vocês conseguirem gerar lead, e esses leads estão perdidos sem você ter um contato efetivo.
</t>
  </si>
  <si>
    <t>1203831885482362</t>
  </si>
  <si>
    <t>Mantenha um bom relacionamento com o account manager do seu cliente</t>
  </si>
  <si>
    <t>Como fazer uma boa negociação?</t>
  </si>
  <si>
    <t xml:space="preserve">Aula:
Executivos de Vendas - Brunna Borghezan - O papel do Vendedor Especialista
https://drive.google.com/file/d/1cWYNV-r9bKl5wD32N96HQyiD-GuXQQZT/view?usp=share_link
Minutagem:
47:54/48:20 — 48:25/48:50 — 49:13/50:12
Link vídeo final:
https://drive.google.com/file/d/18mY2DVaZS8BmxUdnzvGic8t8lT6grqMn/view?usp=share_link
Transcrição:
Qual que é o desafio dessa relação do vendedor especialista e vendedores account managers, farmers, gerentes de conta? O que funciona e quais são os do's and don'ts aí nessa relação? Porque, no final tudo é sobre pessoas, se você não tiver um bom relacionamento a pessoa vai colocar o investimento e vender outros tipos de soluções.
Eu acho que a primeira coisa assim que eu diria é procure ouvir sempre, né?
Acho que quando a gente está disposto a ouvir e escutar mais do que falar mais já facilita para esse papel de especialista, porque o gerente da conta ele sempre vai te trazer alguma informação útil. Escutar justamente para que você saiba quais são as metas e onde ele quer chegar, e aí sim junto em consenso consigam estabelecer um plano de território, depois do plano de território você vai refinando, você vai discutir um account planning.
E aí, junto com esse executivo, estabelecer os tiers porque é muito provável e acontece muito os executivos da conta terem várias contas e te encherem de oportunidades, e o especialista diferente de um executivo que é mais generalista ele não pode ficar sendo confundido, é aquilo que eu falei com o pré-venda.
Então as vezes você como especialista, que realmente deveria dar um foco e luz para algo que é uma raridade e transformar em um big deal, ele as vezes acaba sendo enxurrado de demandas. Então você precisa consensuar isso com o accounting, né? Definindo as prioridades.
</t>
  </si>
  <si>
    <t>https://drive.google.com/file/d/1EQHrcKMx3tnbPVJEtABRce5JM0q8nTvM/view?usp=share_link</t>
  </si>
  <si>
    <t>1203951798592326</t>
  </si>
  <si>
    <t>Os pontos fundamentais para encontrar clientes duradouros</t>
  </si>
  <si>
    <t>Líderes,Rafael Mussato</t>
  </si>
  <si>
    <t xml:space="preserve">Aula:
Líderes de Vendas - Land &amp; Expand - Rafael Mussato - Zendesk
https://drive.google.com/file/d/1a13hYYC3igUHrzYqbfqcWSwz6LLMEh-O/view?usp=share_link
Minutagem:
12:51/13:01 — 13:34/14:04 — 14:55/15:30 — 15:35/15:51 — 15:57/16:25
Link vídeo final:
https://drive.google.com/file/d/1p-ksFobcgoBQrPPpaZWvTNU4aCmUTTat/view?usp=share_link
Alteração:
https://drive.google.com/file/d/1gs1LtqccHb3g2_fe9udpB89L2jaw7YAr/view?usp=share_link
Transcrição:
O que você considera os pontos que são fundamentais na estratégia de aquisição de clientes para garantir que essas contas no futuro possam crescer de uma forma saudável?
Eu trabalhei com três modelos, tá? Um dos modelos que você conheceu bem, o hunter ele tinha o objetivo dele puro e simples. Ele estava preocupado em fazer novos negócios, não importava qual seria o ciclo de permanência desse cliente na empresa. Eu trabalhei em outro modelo onde o hunter ele era penalizado em 10% pelo churn ou pela eventual saída desse cliente ao longo de um ano. Contudo, entretanto, todavia, porém, tinham vendedores os hunters, aqueles que são mais hunters mesmo né na acepção da palavra e eles falam caca eu já faço minhas metas Rafa, pensando em 90%, então assim eu não penso que eu vou vender para aquele cliente 100%, eu já faço 90% porque se der churn já está contemplado nos meus números.
E tem um outro modelo, que é o que eu estou atualmente, que o hunter após a venda fica com esse cliente por três meses, então o cliente fica em carteirado digamos com o hunter por três meses, findados os três meses, esse cara se move para o farmer que faz toda a gestão do ciclo, dos três modelos, dos dois que eu comentei antes, eu acho que ele é o melhor, é onde eu vejo mais sinergia é onde eu vejo que o hunter tem mais preocupação na qualidade da venda, e é onde eu vejo que, uma palavra que para mim é fundamental para o land and expand que é confiança, estabelecer uma relação de confiança com o seu cliente ser o tal do trusted advisor, é onde esse modelo melhor se encaixa.
</t>
  </si>
  <si>
    <t>1203695764573067</t>
  </si>
  <si>
    <t>Elemento 2 de ABM: lista de contatos</t>
  </si>
  <si>
    <t>O que aprendi com a minha pior negociação</t>
  </si>
  <si>
    <t>Aula:
Líderes de Vendas - ABM - Account Based Marketing - Felipe Spina
https://drive.google.com/file/d/18WWzQjGBaw9q-oz33vvW2R7dqz37ZswL/view
Minutagem:
20:02/21:17
Link vídeo final:
https://drive.google.com/file/d/1JYxftjXzdUNrfO3PuuBGqZrIt92un-wY/view?usp=share_link
Alteração:
https://drive.google.com/file/d/1ui2epWANmb2H74r5pRYg1MjW22fC5YJZ/view?usp=share_link
Transcrição:
Então hoje, na média dos nossos clientes para fechar uma venda, a gente precisa pelo menos falar com nove pessoas. Às vezes até mais, mas isso é o mínimo hoje. A vai passar pelo compliance, vai passar pelos jurídicos, o responsável é da área de compras, vai passar por decisores das outras áreas, é uma venda complexa,
é um ticket alto, então não é um budget de somente uma área. E aí eu preciso trabalhar mais pessoas. Por isso que dentro do nosso processo de ABM (Account-Based Marketing), ao invés da gente focar em só nove pessoas. a gente pega uma lista de cinquenta, trinta, quarenta pessoas. Então a gente consegue mapear mais pessoas para a gente construir esse awareness e aumentar o nosso relacionamento, né?
Então, quando eu já tenho uma lista de contatos, eu começo ali pensando, quais são as informações pessoais? Quais são os atributos físicos e psicológicos dessas pessoas? Qual a dor? Como eu resolvo o problema?  Porque eu não estou fazendo uma mensagem genérica para todo o mundo. A dor de um diretor de inovação é diferente do CEO, do gerente de RH, da CFO, do gerente de TI. Então, cada um vai ter uma dor diferente, uma KPI, que eu posso personalizar a minha mensagem. Eu não vou sair disparando mensagem para a empresa inteira, porque não vai conectar, talvez ele nem tenha essa sensibilidade.</t>
  </si>
  <si>
    <t>1203789659146652</t>
  </si>
  <si>
    <t>https://drive.google.com/file/d/1gIUtkraPrRNlqsFcCanOp8k8KsBPAQ-U/view?usp=share_link</t>
  </si>
  <si>
    <t>O WhatsApp pode ser uma ótima ferramenta de vendas</t>
  </si>
  <si>
    <t>Líderes,Jose Martim Juacida</t>
  </si>
  <si>
    <t xml:space="preserve">Aula:
Líderes de Vendas - WhatsApp para Acelerar Vendas - Jose Martim Juacida
https://drive.google.com/file/d/1_qC-zuVCyk2C4dxRKdkQa3q_0CYDbhiA/view?usp=share_link
Minutagem:
16:05/17:10
Link vídeo final:
https://drive.google.com/file/d/15bGwyA_OPOvsP7VqaEdKFjRiOTRv3E3d/view?usp=share_link
Transcrição:
Agora só para vocês terem uma ideia, esses são dados curiosos, que eu gosto de mostrar para vocês terem um pouco da visão de como que o WhatsApp é usado, né? Então principalmente  para vendas, a gente que trabalhou no LinkedIn, quem trabalhou ai principalmente o Pagotto, o Rafa ai já trabalhou, a gente sempre falou muito de, pô na hora de você vender, você precisa encontrar qual é o canal que o cliente gosta de usar e qual é o principal momento do dia que ele usa.
E aí a gente olhou os canais que tem aqui, onde as pessoas têm a sua atenção nas mídias, né? Então a gente pegou aqui TV aberta, sites com as nossas duas outras plataformas, Facebook e Instagram, TV paga, rádio e assim por diante. E gente, durante o dia inteiro, tá? Isso foi durante o Covid, durante o dia inteiro, em qualquer momento do dia o WhatsApp é o aplicativo mais usado, é onde tem, as pessoas mais estão acessando e onde elas estão conectadas. Então a atenção do seu cliente está lá, isso traduz no final das contas, no quão premium é esse canal do Whatsapp e isso a gente vai falar um pouco mais para frente também.
</t>
  </si>
  <si>
    <t>1204187286981722</t>
  </si>
  <si>
    <t>A importância da análise de dados para o planejamento de Forecast de Vendas</t>
  </si>
  <si>
    <t xml:space="preserve">Aula:
Planejamento Comercial - Livia Lima - Forecast de Vendas: Processos e Previsibilidade
https://drive.google.com/file/d/1GuALr5qZE8RaKy2Ox4APxpY_PngoNSwD/view?usp=share_link
Minutagem:
25:28/25:45 — 25:57/27:58
Link vídeo final:
https://drive.google.com/file/d/1Gfv9fkN41aT5_FWyFCuk_hJGLecCsCvo/view?usp=share_link
Transcrição:
Como que a área de planejamento comercial, Sales Ops, Sales Strategy, pode usar os dados que vocês já têm para fazer uma projeção de forecast mais efetiva ou até validar as informações que acabam vindo dos próprios vendedores?
Como eu disse é essencial que a gente não se apoie somente nesse processo qualitativo ali, né? Dos os vendedores.
Idealmente a gente tem que trabalhar com mais de um modelo e como o Gustavo falou, usar esses dois modelos, essas duas informações para confrontar um com o outro, gerenciar os erros e realmente ir aprimorando o sucesso desses processos para futuros períodos também.
Eu acho assim, a primeira coisa que faz sentido e que é importante ser feita é realmente mapear quais são os indicadores principais do seu negócio.
Então assim, é ideal que a gente tenha clareza de quais são as métricas de resultados relevantes e que podem né de forma efetiva, realmente refletir o status e o progresso do business. Uma vez que a gente tem essa clareza, a gente pode começar a definir com que frequência a gente quer trackear isso, porque tem dados que vão precisar de uma certa, um certo tempo de maturação, né? Então é importante que a gente também tenha essa clareza né, o que olhar e quando olhar.
</t>
  </si>
  <si>
    <t>Thaisa Fausto/Gustavo Pagotto</t>
  </si>
  <si>
    <t>1204073895481484</t>
  </si>
  <si>
    <t>Como demonstrar os resultados dos testes executados?</t>
  </si>
  <si>
    <t>https://drive.google.com/file/d/1W6poCWvyGt3Jdv7VEyJ8c0vHS0eGNZZU/view?usp=share_link</t>
  </si>
  <si>
    <t>Aula:
Planejamento Comercial - Nelson Fagundes - Como mensurar testes no processo de vendas
https://drive.google.com/file/d/1cZNa2LMRj8jK3T8b1aBDVlcrJpoSbOp6/view?usp=share_link
Minutagem:
27:33/28:14 — 28:21/29:58
Link vídeo final:
https://drive.google.com/file/d/1LWfa65x51-Y2_WOrh2Z4VQGhVdlsN9kt/view?usp=share_link
Transcrição:
O que na sua experiência é preciso fazer para organizar um teste corretamente, ter respostas relevantes para o negócio? Como é que você, depois de sair esse teste você chega lá na mesa do vice presidente, e fala "cara, fizemos isso, isso e isso e chegou nesse resultado".
Primeiro, acho que tem que ter uma hipótese muito clara. A gente acredita que ter isso daqui, vai trazer tudo isso de resultado.
Uma outra coisa muito importante é o KPI de sucesso, se você escolher métricas erradas vai te complicar, então tem que escolher as métricas certas e apresentar, olha, a gente vai testar essa hipótese e a gente tem esse KPI que a gente pretende melhorar.
Uma outra coisa muito, muito importante também, acho que tanto quanto as outras, é ter um grupo controle adequado. A gente faz um teste, ai depois se não consegue comparar, e aí o teste vai ficar invalidado, quantas vezes a gente não passa por isso e se não tem um grupo controle complica.
Se você não tem o controle direto, da para controlar, por exemplo, sei lá com um outro produto, um outro segmento, ou mesmo um método, né? Mas tem que ter algo que você vá comparar antes de você começar o teste, tem que reservar isso, né? Então acho que esse é importante para você ter as respostas relevantes ali, sabe?</t>
  </si>
  <si>
    <t>1203831885482384</t>
  </si>
  <si>
    <t>Quais são os indicadores de resultados em pré-vendas?</t>
  </si>
  <si>
    <t>Conselho para vendas em 2023</t>
  </si>
  <si>
    <t xml:space="preserve">Aula:
SDRs "Estruturando - Operação de Pré-Vendas - Lucas Abrucezze
https://drive.google.com/file/d/1eobnzflRQV_JotskVb-7ac4aDCnoB0td/view?usp=share_link
Minutagem:
29:57/30:11 — 30:35/31:35 — 32:14/32:29 — 33:38/33:49 — 34:04/34:13 — 34:15/34:25
Link vídeo final:
https://drive.google.com/file/d/1M0hH0AUP__Ku-wSKqyX4bns4HsJ3_bBr/view?usp=share_link
Transcrição:
Quais são as métricas que você olha para um pré-vendedor, um SDR ou BDR para poder dizer se está no caminho certo em relação ao atingimento de resultado? 
Eu sempre olho quando está dando certo, pô porque que está dando certo e o que da pra ser melhor? E quando não está dando certo quando a pessoa não está batendo meta, quais são os pontos principais que ela precisa melhorar para evoluir para lá?
Então eu gosto sempre de olhar pela metodologia ORK. Na metodologia OKR a gente tem um objetivo que acho que está para a maioria dos pré-vendedores o objetivo é oportunidades validadas, né? Acho que a maioria das empresas trabalha com oportunidade validada, se não é oportunidade validada, é reunião agendada ou reunião realizada.
E aí as métricas que eu olho atrás que são os resultados chave, vão muito na linha do que eu posso controlar? Da para controlar meu esforço, esse é o primeiro. Então o número de atividades que a pessoa está fazendo no mínimo trinta ligações por dia, tentativa de ligação não quer dizer que eu consegui falar, ligações efetivas eu conto pelo menos, se for outbound pelo menos cinco, taxas de no-show sempre abaixo de 20%, tempo médio de ligação, esse é um ponto muito importante. Existe um estudo que nos primeiro segundos seja um encontro com uma pessoa, em videoconferência, presencialmente ou em uma ligação, o subconsciente  da pessoa já define se ela vai confiar em você ou não, e quem não consegue fazer esse rapport no começo da ligação normalmente o tempo médio de ligação é muito menor comparado ao dos outros.
</t>
  </si>
  <si>
    <t>O que levar do cargo de SDR para a cadeira de Executivo de Vendas</t>
  </si>
  <si>
    <t>https://drive.google.com/file/d/1TziVGz12KNC38dfUTTCZ6DwWwEhvH4fM/view?usp=share_link</t>
  </si>
  <si>
    <t>Aula:
SDRs - Patricia Ribeiro - Desafios do SDR que vira Vendedor
https://drive.google.com/file/d/1KsRGSaMFJd2XLFW7CCru4QTPfgW8L4Ob/view?usp=share_link
Minutagem:
26:18/27:23
Link vídeo final:
https://drive.google.com/file/d/1Sm_L_7nyszzgGifo0CGLZW6DpFieMU9k/view?usp=share_link
Transcrição:
E aí, como BD, Business Development Executive, eu tenho que prospectar para mim mesma e fechar. E aí a minha experiência de BDR eu trago para a experiência de hoje, porque eu prospecto para mim, mas eu trago uma experiência hoje de BDR nessa minha atividade. Então lá no começo eu falei, entender o segmento do seu prospect, da empresa que você quer abordar e fazer as perguntas de acordo com o que você tem.
Então, o que eu fazia como BDR, essa parte da prospecção, fazer perguntas, adaptar a abordagem hoje eu trago para a minha atividade de executiva de vendas.</t>
  </si>
  <si>
    <t>1204073894803538</t>
  </si>
  <si>
    <t>Qual é a base para começar um planejamento comercial? - planejamento de crescimento</t>
  </si>
  <si>
    <t xml:space="preserve">Aula:
Planejamento Comercial - Mauricio Zotarelli - Como criar área de planejamento comercial do zero?
https://drive.google.com/file/d/1GcOh2tKm17xZfPk9-A4IbZtl3GhAy7xP/view?usp=share_link
Minutagem:
20:11/20:28 — 20:30/21:51
Link vídeo final:
https://drive.google.com/file/d/1rzbWdYapH7RZ2zvZZ8B1cEe5WzYvQi9d/view?usp=share_link
Alteração:
https://drive.google.com/file/d/1xGuzwfmT0Is4IrNxt8ASfBpCP0eP3rtL/view?usp=share_link
Transcrição:
Você atuou inicialmente em algumas empresas que estavam em fases bem iniciais e bastante desestruturadas em relação ao planejamento comercial, né? Cara, antes de montar um super plano, o que a empresa precisa ter definido antes de começar a pensar em planejamento comercial?
A gente precisa entender qual que é o produto, né? Qual que é o produto que a gente quer trazer ao mercado, né?
A gente usa aquele termo "Go to market". Para gente ir para um mercado, o que a gente precisa saber, a gente precisa ter um produto bem empacotado, levando em consideração a personas que a gente quer atingir, né? Com esse produto, levando em  consideração quais os diferenciais que esse produto tem em relação aos concorrentes pra gente conseguir também ganhar uma base para entender como é que a gente vai precificar de forma inteligente para conseguir penetrar no mercado.
E aí sim, tendo essas premissas claras, ai a gente tem a base para começar a pensar né em planejar, entender qual que é o voo da empresa para aquele período. Movimento de encaixar as pecinhas, para que o racional se mantenha de pé e que não seja só um sonho de distante, que a gente consiga dar aquela base firme para o meio do caminho para a gente conseguir buscar, conseguir direcionar bem a energia para buscar as metas e alcançar o objetivo da empresa.
</t>
  </si>
  <si>
    <t>1203642713062904</t>
  </si>
  <si>
    <t>Agregue valor ao seu produto e à sua venda</t>
  </si>
  <si>
    <t>O melhor crescimento nem sempre é o mais rápido</t>
  </si>
  <si>
    <t>https://drive.google.com/file/d/1338oONCzREOWu-TP6rLFkAlmx3b64dPd/view?usp=share_link</t>
  </si>
  <si>
    <r>
      <rPr>
        <rFont val="Poppins"/>
        <b/>
        <color rgb="FFFFFFFF"/>
      </rPr>
      <t xml:space="preserve">FERRAMENTA DE CADASTRO </t>
    </r>
    <r>
      <rPr>
        <rFont val="Poppins"/>
        <b/>
        <color rgb="FFFFFFFF"/>
        <sz val="18.0"/>
      </rPr>
      <t xml:space="preserve">
BIBLIOTECA DE CONTEÚDOS</t>
    </r>
  </si>
  <si>
    <t xml:space="preserve">Aula:
Sales Leaders com Tiago Tadeu - Demissões e Layoffs
https://drive.google.com/file/d/1UABLCHFdaYgNmYbUju_EQsUIClh7B9Lu/view
Minutagem:
37:28/38:32
Link vídeo final:
https://drive.google.com/file/d/1cOv-EQbhELNmuVffnCOPBPAqbD93Zql2/view?usp=share_link
Alteração:
https://drive.google.com/file/d/1__dMOsGXCWQCye61ZnyPty_21fiqn5QF/view?usp=share_link
É normal essas empresas que, tipo não julgo a Cora, né? Viram um caminho onde estão, porque viram um caminho de cara, lead scale e vamos embora, o que da mais crescimento? Só que olhando um tipo de crescimento, que é a base, né? E base do cliente é uma métrica importante e que vinha sendo muito olhada. Eu cheguei com um mindset muito daquilo que eu falei que eu faria diferente na Intuit, que é cara o Dynamic Economics, então. Esse negócio para de pé, né? Esse neócio para de pé? Legal vocês estão trazendo, cara, cem mil clientes mas qual a rentabilidade deles? Como é que a gente está analisando. A gente está batendo palma pelo que assim? Estamos trazendo o cliente certo? É o cliente certo? Não é nem sobre. Ah mas a gente não quer ganhar só qualidade, a gente precisa escalar. Tudo bem, mas qual que é o ponto de equilíbrio? Como que cada canal contribui? São perguntas que a galera fala meu, sei lá, esse cara é louco, da onde ele veio? Mas que de verdade, olhando um pouco o que eu faria diferente na Intuit, eu acredito que isso é o certo.
Isso é o que vai levar a gente para um lugar melhor, pode demorar, pode levar a gente talvez não por um caminho mais rápido de crescimento, mas para o melhor crescimento.
</t>
  </si>
  <si>
    <t>1203789659146646</t>
  </si>
  <si>
    <t>O planejamento é essencial para o ciclo de venda funcionar</t>
  </si>
  <si>
    <t>Executivo de Vendas,Alan Schulte</t>
  </si>
  <si>
    <t xml:space="preserve">Aula:
Executivos de Vendas - Alan Schulte - Vendas para Grandes Contas
https://drive.google.com/file/d/1vnfHe2Qc17gdbznuDxlH5jIdn-ZshXnK/view?usp=share_link
Minutagem:
38:58/39:15 — 40:35/42:11
Link vídeo final:
https://drive.google.com/file/d/1fikUBNVgiqFR7hrWYDfAHo5mrbcyqwae/view?usp=share_link
Transcrição:
Eu queria que você comentasse um pouquinho de como que você se planejava em grandes contas e como que você montava uma estratégia para superar a meta dentro desse contexto, sabendo que ciclos às vezes duram mais do que um ano fiscal.
Uma vez eu estava no LinkedIn, em contas globais e a gente tinha um cliente enorme, uma multinacional americana enorme, que passou por uma reestruturação muito grande e eles passaram de sessenta mil funcionários para vinte mil funcionários no mundo, ou seja, demitiram uma galera e venderam uma série de unidades de negócios ai mundo afora.
Para a gente que vendia solução para recrutamento, marca empregadora.
Acabou tiro na água, né? Isso em fevereiro, e aquele determinado contrato ele renovava em dezembro. Então, como a gente começou a trabalhar com o time? Então primeiro a gente absorveu a informação, entendeu o quanto se poderia defender daquele contrato e comunicou a organização. Olha, esse ano aqui nessa conta vai dar água, logo, nesse podium aqui também vai da água não vamos atender a meta.
E em fevereiro daquele ano a gente começou a se preparar para dezembro do outro ano, ou seja, a gente está falando aí de vinte e dois meses  de ciclo de vendas. E aí finalmente então conseguimos organizar e entender qual que era o fôlego ou ambição da organização e no final do ano seguinte a gente conseguiu trazer esse outro contrato para o mesmo nível aceitável.
Entender essas diferenças é muito importante, ter esse canal aberto de comunicação com o teu cliente para falar disso também é fundamental.
</t>
  </si>
  <si>
    <t>1203642713062954</t>
  </si>
  <si>
    <t>o processo facilita o alcance dos objetivos</t>
  </si>
  <si>
    <t>Líderes,Lívia Alves</t>
  </si>
  <si>
    <t xml:space="preserve">Aula:
Líderes de Vendas "Criando uma cultura de alta performance" com Lívia Alves
https://drive.google.com/file/d/1v_mR9a82GoyKW71JQSrlPG1u93p-fuqF/view
Minutagem:
35:11/36:20 — 36:24/37:23
Link vídeo final:
https://drive.google.com/file/d/1dZTPW5YgnaoqXLDNwMIrIopm8VYTYPi-/view?usp=share_link
Link alterações:
https://drive.google.com/file/d/1Y_1IpY-mdVN_5Fr1kEYU441baczDGbRp/view?usp=share_link
Transcrição:
A gente falou de gestão, né? Do quanto à gestão, ela faz com que tudo isso aconteça, mas sem processo também não dá. Processos de vendas eles servem justamente para facilitar as atividades da empresa. São os processos que vão indicar o caminho a ser seguido e que vai ser conduzido mais facilmente ao objetivo.
Imagina em um time, sem processos onde cada vendedor faz à sua maneira, onde o gestor não consegue mensurar dados, não consegue entender quais são as melhores práticas, não consegue replicar, e nem treinar o time ao caminho certo. E aí, que existe um nosso playbook de vendas. Eu acho que alguns anos atrás a gente nem imaginava que ia ser tão falado em playbook, porque muitas vezes era, senta aqui e trabalha, faz. E aí não era escrito, o processo não era colocado no papel, e aquele vendedor  que era um vendedor muito bom, ele saía da empresa. E aí? Como é que eu vou fazer agora? Então o processo ele vem justamente para que, quando aconteça de a gente ter um vendedor que queira sair da equipe, ou que a gente precisa desligar, a gente possa contratar outro e replicar o processo.
</t>
  </si>
  <si>
    <t>Se prepare para alcançar o sucesso</t>
  </si>
  <si>
    <t>1203558703538552</t>
  </si>
  <si>
    <t>Qual é o papel do funil comercial?</t>
  </si>
  <si>
    <t>Nome do título do vídeo</t>
  </si>
  <si>
    <t>https://drive.google.com/file/d/1HEGp4h8eQqkgU3CsfX4NFkV_GhGwsshD/view?usp=share_link</t>
  </si>
  <si>
    <t>Aula:
SDR`S - Mariana Mello - Case G4 Educação
https://drive.google.com/file/d/1TWVUFUjiTsnwUG8De6b24rzid22y9Lk0/view?usp=share_link
Minutagem:
Link vídeo final:
https://drive.google.com/file/d/1sHvs7EjFs9QrZIAMnlVi9MvfkhAsZUZV/view?usp=share_link
Transcrição:
O papel de um funil comercial, ele tem três grandes objetivos. Gerar demanda, transformar demanda em oportunidade, converter essa oportunidade em receita. Então imagina, quem é a responsável por gerar demanda na grande maioria das vezes? O nosso time de Marketing, quem vai transformar essa demanda em oportunidade é o time de pré-vendas.
E quem vai transformar essa oportunidade em receita seria o nosso time de vendas. Independente do que você vai fazer dentro desse funil, as regras, os SLA`s, que são as regrinhas de passagem entre essas áreas. O funil ele tem esses três grandes objetivos. E a área de pré vendas, ela atua aqui dentro, estão transformando essa demanda em oportunidade.
E isso pode ser desde uma loja física. Então imagina uma loja de roupa, quando o dono dessa loja, ele vai estudar onde ele vai abrir, em qual lugar físico ele vai abrir essa loja. Então para quem é de São Paulo, imagina que ele tem a oportunidade de pelo mesmo preço de abrir ou na 25 de março, que é um centro comercial,
super movimentado ou, por exemplo, em uma loja no bairro em Pinheiros, que têm menos movimento, em uma rua de bairro que tem menos movimento. Não existe certo e errado, mas existem estratégias completamente diferentes. Estão em uma vinte e cinco de março, ele tem uma demanda, então o fluxo que vai passar na porta da loja dele é muito maior do que uma rua mais tranquila de bairro.</t>
  </si>
  <si>
    <t>Membro</t>
  </si>
  <si>
    <t>Empresa Membro</t>
  </si>
  <si>
    <t>1204073895481504</t>
  </si>
  <si>
    <t>Canais e Parcerias,Gustavo Pagotto,Camila Alonso</t>
  </si>
  <si>
    <t>Link</t>
  </si>
  <si>
    <t>Aula:
Canais &amp; Parcerias - Camila Alonso - Case TOTVS
https://drive.google.com/file/d/1-MObdK9H3NL7eViOu7jRgVNsHjAVUUtw/view?usp=share_link
Minutagem:
23:55/25:08
Link vídeo final:
https://drive.google.com/file/d/1UF925raqVKTCBpAHyAwg06hWTgdj5IlN/view?usp=share_link
Transcrição:
O que ela vai avaliar é, se isso é complementar ao portfólio, se está dentro da estratégia, se ela não tem uma capability dentro da empresa, se ela não têm esse know how dentro da empresa para levar esse novo tipo de solução, se tem um fit, tem um match entre as empreas, se vai trabalhar direito, ou seja, existe já muita experiência ali do que não dá certo e obviamente se é um negócio que para em pé economicamente.
Então, isso a gente quando está buscando canais, se eu estivesse aqui buscando uma  parceria com a TOTVS ou com qualquer outra empresa, a gente tem que olhar essa dimensão, ou seja, será que para outra empresa que já existe por outro motivo, a gente estava falando aqui, 95% dessa empresa vive do seu próprio portfólio e toda empresa já vive com o seu próprio portfólio de alguma forma.
Então é entender quais são os fatores que o meu produto pode complementar dentro dessa empresa, desse meu parceiro, desse meu canal de distribuição para moldar a minha oferta, se não eu fico olhando para o meu umbigo, o meu produto é lindo e maravilhoso, se a TOTVS vender dez milhões de reais para mim por ano animal, representa 50% da minha receita mas será que elas efetivamente vão querer? Então acho que isso é muito relevante.</t>
  </si>
  <si>
    <t>D1</t>
  </si>
  <si>
    <t>1203660138619833</t>
  </si>
  <si>
    <t xml:space="preserve">Aula:
Canais e Parcerias - Caio Peres - Programa de Agentes Autônomos - XP Investimentos
https://drive.google.com/file/d/1rNmJQwxdo63nw_IjCAMbpGrcwbOL8JQl/view
Minutagem:
    34:55/36:14
Link vídeo final:
https://drive.google.com/file/d/14u2IhcF4oEJDdvzJOMQE2foUV7BTL358/view?usp=share_link
Transcrição:
O que acontece, né? Assim, ao longo do tempo é natural, assim, você criou várias marcas todas elas te representam. Chega um momento em que uma olha para outra eles se conhecem, a gente foi criando essas conexões entre eles para a troca de boas práticas para que eles, assim, pô o fulano faz isso bem vai lá visitar o fulano.
Então a medida que essa coisa foi acontecendo a gente foi pintando com eles, algumas fusões. Então existe uma estratégia possível de crescimento para eles que é através da consolidação de algum player que gere mais escala de alguma forma. Então vamos supor que eu tenha um time de agentes autônomos que seja muito bom de renda variável, tem um outro que é ruim de renda variável mas capta bastante. Pô, se juntar os dois aqui provavelmente tem sinergias. Então essas fusões, elas acontecem muito baseado nessas sinergias. Escala mesmo em termos de custo é irrelevante nesse business, então é muito mais por conseguir alçar novos voos e conseguir ficar maior.
Algumas dessas das empresas chegaram em um estágio de maturidade muito avançado, então tem gente que tem cinquenta, quarenta bi de investimentos sobre custódia.
Isso é maior do que muitos dos nossos concorrentes aqui.
</t>
  </si>
  <si>
    <t xml:space="preserve">A satisfação do cliente é essencial para o Up Selling? </t>
  </si>
  <si>
    <t>1203614403916469</t>
  </si>
  <si>
    <t>É possível formar parceria com concorrentes?</t>
  </si>
  <si>
    <t xml:space="preserve">https://drive.google.com/file/d/1d_cgBnYlE5tIcnZcpn3-Z4_scudS-z6n/view?usp=share_link
Alteração:
https://drive.google.com/file/d/1RPMhpJh-b0jS4A5jwmonk3vgvOs2gajX/view?usp=share_link
Transcrição:
Se o produto ele é um produto concorrente, e se você está no processo de coopetição, a forma mais fácil de você saber é quanto que ele está gerando de receitas no final de cada ano fiscal. Coopetição é importante, porque se ele está disposto a fazer coopetição com a sua empresa, é porque de alguma forma, você tem algum tipo de diferencial que ele não tem. A palavra coopetição ela parte do pressuposto que em algumas áreas vocês vão competir e vão se m4t4r. É esse o jogo, em algum momento, vocês vão entrar no campo de batalha, vão se retalhar se matar ali e do outro lado vocês estão fazendo espada, estão fazendo o canhão junto. O ponto é, no final quando vocês vão para a batalha, alguém tem que sair um pouco melhor desse negócio, tá certo? No mínimo empatar, mas se vocês conseguiram juntos matar trinta exércitos, que vocês não conseguiriam matar sozinhos e conseguiram ter pouco dano entre vocês dois, beleza. Agora, se essa proporção não for assim, então ai esquece.
</t>
  </si>
  <si>
    <t>https://drive.google.com/file/d/1kfabPJEjfOcCAy_fcmTtnSNDTYQkWQaR/view?usp=share_link</t>
  </si>
  <si>
    <t>1203695764573095</t>
  </si>
  <si>
    <t xml:space="preserve">Aula:
Canais &amp; Parcerias - Samir Carlton - Case: Mercado Pago
https://drive.google.com/file/d/1OQhj281BDkd8AQ1w32dTIdQDhf7vPiB8/view?usp=share_link
Minutagem:
6:17/8:32 (tem cortes no meio)
Link vídeo final:
https://drive.google.com/file/d/1eTMxDKPkgHJMiwpt2naHik708Js7-ARb/view?usp=share_link
Transcrição:
Me conta um pouco da estrutura de vendas de vocês, principalmente focado no B2B? E como que é o papel de canais? O que é canais de fato ai dentro para vocês?
Bom, quando a gente olha para a unidade de sellers, né? Dentro do Mercado Pago, você tem estruturas que atendem o mundo online e estruturas que atendem o mundo físico,
e ai dentro de cada uma dessas estruturas, você tem os canais de venda. Então, por exemplo, quando você pensa em mundo físico, que você está falando de maquininha, QR code, link de pagamento. Você tem alguns canais específicos e também um canal de parcerias ali voltado para fechar parcerias que possam amplificar a distribuição desse produto no mundo físico.
Para o mundo online funciona de forma semelhante. Você tem estruturas de aquisição, desde a questão massificada através de comunicação online, através de um televendas, até uma estrutura de hunting, focada, segmentada em tipos, em perfis de clientes, por tamanho de cliente. Então você tem um especialista que vai falar com o long tail, você tem um especialista que vai falar com o SMB, você tem o especialista que vai falar com uma empresa de médio e grande porte e você tem um especialista que vai falar com uma empresa, uma large corporation, por exemplo. São esses os canais de venda e a forma como a gente se divide aqui dentro.
</t>
  </si>
  <si>
    <t>1203695764573071</t>
  </si>
  <si>
    <t>Elemento 4 de ABM: campanhas personalizadas - Marketing</t>
  </si>
  <si>
    <t>Como fazer um Land &amp; Expand bem sucedido</t>
  </si>
  <si>
    <t>Aula:
Líderes de Vendas - ABM - Account Based Marketing - Felipe Spina
https://drive.google.com/file/d/18WWzQjGBaw9q-oz33vvW2R7dqz37ZswL/view
Minutagem:
28:30/30:29
Link vídeo final:
https://drive.google.com/file/d/1AqmI8PqbKBKIRM2Oj20Cts5Bos31lli3/view?usp=share_link
Alteração:
https://drive.google.com/file/d/1A_i5a_8w3uyP_QGVzsE0p6bkWiT9pvIF/view?usp=share_link
Transcrição:
Se eu sei o meu cliente, se eu já sei a lista, o dossiê, já montei a estratégia de como personalizar esse tipo de conteúdo, agora eu monto essas campanhas. O que a gente chama de campanha de ABM (Account-Based Marketing)? A gente chama de orquestração, orquestração basicamente uma campanha de ABM que tem vários touchpoints, que são os pontos de contato, toda a campanha de ABM (Account-Based Marketing) ela tem um objetivo, seja marcar a primeira reunião, fazer uma venda, um upsell, um cross-sell, levar o cliente  no evento, fazer uma awareness. Então dentro dessa campanha eu tenho vários touchpoints, então basicamente por exemplo, aqui eu mandei um vídeo personalizado no LinkedIn depois eu mandei aquele estudo de caso que eu acabei de apresentar, depois eu mandei um e-mail de gift card de iFood de R$20,00. Não, R$20,00 não, R$20,00 você não compra nada no iFood,
um workshop exclusivo. Fazer um workshop dentro da empresa não um Webinar aberto com outras empresas, mas é um workshop dentro daquela companhia e aqui o ponto de, aqui eu vou dar uma sacada para vocês, aqui eu vou dar uma dica que funciona muito, olha Pagotto, a principal take away. Todo mundo me pergunta qual ponto de contato, que funciona melhor? Quando o cliente entra dentro do produto.
Ninguém compra um apartamento no escuro, ninguém entra em uma comunidade, se não testa. Então eu acho que quando faz o projeto piloto, ele visualiza aquela PoC. Nossa eu estou criando essa play de ABM (Account-Based Marketing), e estou indo até o final, e estou alinhando com o meu marketing e vendas. Ele começa a sentir, cara é isso, esse é o touchpoint que é hero assim, para nós.</t>
  </si>
  <si>
    <t>Dificuldades de conciliar escala e conversão</t>
  </si>
  <si>
    <t>https://drive.google.com/file/d/1ytFu1JyCEFdhSvOn_PrVAQMTJfbM_Ozl/view?usp=share_link</t>
  </si>
  <si>
    <t xml:space="preserve">Aula:
SDR`S - Sérgio Albuquerque - Aumento de Produtividade com ferramentas de Sales Engagement
https://drive.google.com/file/d/1E8fje2l-LJB69BiZpxF9RXfTkIEh6nad/view?usp=share_link
Minutagem:
10: 59 - 12:26
Link vídeo final:
https://drive.google.com/file/d/1jLl3sTfw9hmQC8-wNOY5M8Ys_kOx5i9M/view?usp=share_link
Transcrição:
Então a gente vê que era uma grande  dificuldade do pessoal conciliar esses processos de escala e conversão. Sales Engagement é algo que começou nos Estados Unidos e a intenção dele é ter uma capacidade de conversão alta e uma escala alta, o que são as outras soluções que a gente geralmente vê. Planilha, ou uma tabela manual, cara, muito trabalho manual, você tem que ficar entrando dado em uma planilha.
Tem SDR eu imagino que já prospectou por planilha antes de ter uma conta no CRM, por exemplo. Muito trabalho manual, você tem escala zero quase, tem que ficar registrando tudo para cada lead. Um CRM com as cadências mistas ali, um CRM que você já consegue fazer cadência, você consegue ter uma boa conversão, mas se perde um pouco de escala daquele processo que você teve de ficar agendando tarefa, ficar se programando ali para saber como organizar teu funil, o que você vai fazer com cada lead.
E a ferramenta de disparo de email também é sempre uma ótima opção porque você tem muita escala, consegue pegar e falar, cara, eu vou enviar 500 email por dia, mas agora imagina a sua persona ai um CEO, CMO, que seja a tua persona, imagina a caixa de entrada deles hoje, são oito e dezesseis da manhã, eles já devem ter pelo menos uns cinco a dez e-mails lá.
Então ao longo do dia isso vai se empilhando. E é por isso que a gente mostrou aquela métrica ali de nove a cada dez e-mails não são respondidos. Então aqui você consegue muito escala, mas a conversão é bem baixa. Plataforma de Sales Engagement veio para conciliar escala e conversão.
</t>
  </si>
  <si>
    <t>1203642713059716</t>
  </si>
  <si>
    <t>O que é um software de sales engagement</t>
  </si>
  <si>
    <t>D2</t>
  </si>
  <si>
    <t>depoimento João Bevilacqua</t>
  </si>
  <si>
    <t xml:space="preserve">Aula:
SDR`S - Sérgio Albuquerque - Aumento de Produtividade com ferramentas de Sales Engagement
https://drive.google.com/file/d/1E8fje2l-LJB69BiZpxF9RXfTkIEh6nad/view?usp=share_link
Minutagem:
08:18 - 09:4
Link vídeo final:
https://drive.google.com/file/d/17uN1TFDD3RRnmO8iOyPIYYAMvT9D1Q3t/view?usp=share_link
Transcrição:
O que é um software de Sales Engagement? São ferramentas que ajudam SDR`s e vendedores, geralmente SDR`s porque é quem tem mais a dor ali na prospecção e fazem muita atividade. A aumentarem a sua a sua conexão com os leads, isso é feito por meio de cadência de prospecção, imagino que vocês já estão familiarizados com o termo, e o workflow. Então onde é que se encaixam Sales Engagement no processo comercial? Você vai ter a tua geração de lead ou tua automação de marketing, pode ser lead que vem do inbound ali por uma RD Station, por um HubSpot, por anúncio no Google, por exemplo, no Facebook, ou pode ser lead que vocês  mesmo, talvez gerem na plataforma de geração de lista, com uma Neoway, uma Ramper, uma Speed, um Apollo, enfim, esses leads vão para a Meetime, é o lugar que você vai fazer as cadências 
vai dar vazão nesses contatos, acelerar esses contatos para gerar oportunidades, que é geralmente o que o SDR é compensado em cima. Outro resultado final, hoje imagino que agendamento de reunião, uma reunião agendada, isso vai para o funil do teu vendedor no CRM. Pipedrive, Hubspot, Zoho, Salesforce, enfim, então esse é todo o fluxo. A geração do lead, tratamento desse lead, você conseguir contato o com ele, o engajamento em vendas e depois ele vira uma oportunidade, para o vendedor no CRM.
</t>
  </si>
  <si>
    <t>Diretor de SDR</t>
  </si>
  <si>
    <t>1203789659146656</t>
  </si>
  <si>
    <t>Zendesk LATAM</t>
  </si>
  <si>
    <t>Os desafios na implementação de tecnologia em vendas</t>
  </si>
  <si>
    <t>https://drive.google.com/file/d/1qEHTmZJgJpf8k4__sxn0OFdqT4Ggy36r/view?usp=sharing</t>
  </si>
  <si>
    <t xml:space="preserve">Aula:
Líderes de Vendas - WhatsApp para Acelerar Vendas - Jose Martim Juacida
https://drive.google.com/file/d/1_qC-zuVCyk2C4dxRKdkQa3q_0CYDbhiA/view?usp=share_link
Minutagem:
52:21/53:03
Link vídeo final:
https://drive.google.com/file/d/1kxvqD2_XIwLhTf7dE9Q0tFc1wXNr9-eC/view?usp=share_link
Transcrição:
Eu tenho um conselho para dar, e esse conselho assim é muito, é muito da dor do crescimento do canal do WhatsApp que os clientes tem, então os clientes investiram demais no Whatsapp, talvez não se organizaram e hoje tem esses problemas. A grande questão é a governança, é quem vai cuidar disso e de que forma vai ser escalado?
Então tudo que a gente está falando aqui Pagotto. Pô a gente vai, então usar um CRM? Vamos usar um CRM, qual que é? É esse.
Nós queremos fazer a aquisição de clientes, qual é o produto do WhatsApp, que a gente pode usar para aquisição de clientes? Mas entender tudo o que o Whatsapp pode trazer mas pensar e direcionar isso em um único time que possa estar conversando transversal na empresa para não ter esses problemas de governança e de bagunça que a gente falou lá no começo, que é o que a gente vê muito hoje, né? Então isso é um negócio cara, gritante, que a gente vê hoje com os nossos clientes, uma grande dificuldade de organizar.
É, isso é muito comum, ou seja, quando você vai implementar qualquer tecnologia na área de vendas, seja Whatsapp, seja o CRM, seja qualquer planilha que vai aumentar a sua produtividade.
Precisa ter alguém ou uma área que está olhando para fazer a gestão da produtividade e a governança desse sistema. Se não ao longo do tempo, começa a virar uma colcha de retalho, não têm documentação, não tem uma estratégia, e aí o negócio se perde, enfim, esse é um ponto muito relevante e eu vejo muitas empresas que no começo saem na frente, ganham essa vantagem competitiva, mas depois como é desorganizado, como não tem documentos, como não tem um dono, o negócio se perde.
</t>
  </si>
  <si>
    <t>Estude sua carteira de clientes!</t>
  </si>
  <si>
    <t>1203642713059726</t>
  </si>
  <si>
    <t>Principais métricas de Sales Engagement</t>
  </si>
  <si>
    <t>https://drive.google.com/file/d/12smIgGeaa6V4HLy3GzlPlfUOQcCFEhT7/view?usp=share_link</t>
  </si>
  <si>
    <t xml:space="preserve">Aula:
SDR`S - Sérgio Albuquerque - Aumento de Produtividade com ferramentas de Sales Engagement
https://drive.google.com/file/d/1E8fje2l-LJB69BiZpxF9RXfTkIEh6nad/view?usp=share_link
Minutagem:
3:59 - 15:09
Link vídeo final:
https://drive.google.com/file/d/17zERt95zSX8MjjWiZ6Imja-FkMROPe4S/view?usp=share_link
Transcrição:
Algumas das métricas que geralmente o pessoal olha em Sales Engagement, que é o volume de oportunidades, o resultado final do SDR, o número de agendamentos ali então, volume de oportunidades. Quantos leads foram finalizados, é basicamente cara, quantos leads foram finalizados no mês, é quantas empresas, quantos contatos, você falou no mês? Falei com duzentas empresas, vou ter uma taxa de conversão pode ser 10% e esse gerou vinte oportunidades.
Então, ter ideia de quantos contatos você falou, qual foi tua taxa de  conversão, e ai você vai ter o seu volume de oportunidades, depois das atividades diárias ali, quantas atividades de prospecção você está fazendo, o tempo de resposta, que  é algo muito  importante para inbound, vou até mostrar um pouco do que a gente trabalha nisso em Sales Engagement.
Então, se vocês fazem bom inbound é importante que se um lead, pediu um contato ali cara, para  tudo o que você está fazendo e aborda ele, aborda ele dentro de uma hora que a operação, por exemplo, imagino que vocês já viram conteúdos de empresas como por exemplo, o Growth Machine, que tem um peso muito nesse tempo de resposta, alguns conteúdos sobre isso também. Então, caiu um lead inbound, entra em contato rápido. Motivo de perda também, entender porque tua prospecção não está avançando.
</t>
  </si>
  <si>
    <t>1204009117663273</t>
  </si>
  <si>
    <t>O momento em que os bons vendedores se diferenciam da média</t>
  </si>
  <si>
    <t>Aula:
Executivos de Vendas - Talita Passos - Cross-Selling e Up-Selling
https://drive.google.com/file/d/1ibZt276CeRw0AYS6zlAnUvGDKxO6xCgh/view?usp=share_link
Minutagem:
24:38/26:24
Link vídeo final:
https://drive.google.com/file/d/1ZdyiJy0HujY4plaHObWAL4lPWtm9P8e2/view?usp=share_link
Alteração:
https://drive.google.com/file/d/1sDkLzrL2YJgXJWy6SSB_wrbBkpcuowct/view?usp=share_link
Transcrição:
Cara sabe que nessa história de vender, de vender na base e encontrar clientes que estão em uma situação crítica, que estão com problemas, que estão p*to da vida com você, o que normalmente acontece é o cliente te liga, o seu telefone toca e você sabe que está dando merda no cliente. O que a maioria dos vendedor faz? Deixa no silencioso, não atende. Esse é um momento que os bons vendedores se diferenciam dos vendedores normais. Qual que é um ponto? Se você atende rápido o seu cliente, entende o problema dele e busca uma solução para o problema do cliente, esse cara vai te considerar uma pessoa confiável, porque às vezes o problema não tem a ver com você vendedor, o problema tem a ver com a sua empresa, com o mercado. Agora, você como vendedor, tem que ser um aliado do seu cliente. Se você fizer isso e você conseguir ter uma conversa muito profissional. Você vai se sair muito bem com o seu cliente, porque ele sabe que o dia que der problema, você está ali para resolver o problema dele. É isso, você começa a entender quando é um bom comprador, quando esse cara me fala, como é que funciona a resolução de problemas?
O dia que der problema eu ligo para quem? Essa história de lidar com o problema é o primeiro caminho para conseguir evoluir e ter uma boa relação dentro da conta.</t>
  </si>
  <si>
    <t>D3</t>
  </si>
  <si>
    <t xml:space="preserve">depoimento talita passos </t>
  </si>
  <si>
    <t>1204073895481521</t>
  </si>
  <si>
    <t xml:space="preserve">Talita Passos </t>
  </si>
  <si>
    <t xml:space="preserve">Head of Sales </t>
  </si>
  <si>
    <t>Aprendizados de vendas que estão fora do manual</t>
  </si>
  <si>
    <t xml:space="preserve">CAJU </t>
  </si>
  <si>
    <t>https://drive.google.com/file/d/1MT8C-oOM-MsAMqOJPr5VO2J0aKSyWGnO/view?usp=share_link</t>
  </si>
  <si>
    <t xml:space="preserve">Aula:
Executivos de Vendas - Borja Castelar - O melhor vendedor do mundo (no LinkedIn)
https://drive.google.com/file/d/1YdXvfWqYlPaQpZNd4aKAlkgAOwbyGaVj/view?usp=share_link
Minutagem:
23:19/26:11 (dá pra cortar as partes que ele repete as mesmas coisas e que ele interage com o entrevistado) 
Link vídeo final:
https://drive.google.com/file/d/1GrA9Y_hhfAYDLPLX4VRBuYaTxXxlLIcX/view?usp=share_link
Transcrição:
Quanto mais cliente você prospecta, aí eu era do perfil quando eu era vendedor eu era do perfil que prospectava muito, prospectava mal, mas de tanto que eu falei com tanto clientes acho que eu aprendi a fazer uma boa reunião e me interessar genuinamente por ele, porque quanto mais você executa, mais você treina e quanto mais você está treinando, melhor você fica.
A gente tem que saber quais são as nossas limitações e todo mundo tem as suas limitações. Eu por exemplo, eu quando prestei a faculdade, eu prestei para fazer administração de empresas porque eu sabia que eu não ia passar em engenharia, quando eu pleiteei para um programa de trainee de vendas, pô eu sabia que eu podia ser trainee de vendas e podia ser um bom vendedor ali.
Então a gente tem que saber o que a gente sabe fazer bem, o que a gente não entende para potencializar o que a gente faz bem e entender que o que a gente não faz bem, se isso puxa a gente para baixo, ou beleza é uma área aqui onde eu não vou investir tanto conhecimento e vocês precisam  saber isso, vocês precisam reconhecer.
E aí não é para você ficar se vangloriando, ficar se achando ou não, é muito mais para você saber onde que você coloca suas fichas para esse negócio poder avançar.
</t>
  </si>
  <si>
    <t>Os desafios da previsibilidade de vendas no cenário atual</t>
  </si>
  <si>
    <t xml:space="preserve">Aula:
Planejamento Comercial - Livia Lima - Forecast de Vendas: Processos e Previsibilidade
https://drive.google.com/file/d/1GuALr5qZE8RaKy2Ox4APxpY_PngoNSwD/view?usp=share_link
Minutagem:
20:33/22:34
Link vídeo final:
https://drive.google.com/file/d/1MqUGrD_km-RFecn-PVN8NrES6Yzalzz2/view?usp=share_link
Transcrição:
Então tem muito cliente que ainda está planejando o ano de 2023, então assim, mesmo que o vendedor queira, que ele esteja lá batendo na porta do cliente todo dia, super contato, próximo e tal, tem hora que ele não vai ter visibilidade porque o cliente não vai abrir, o cliente não sabe, né? Então assim, esse é o desafio.
O segundo é, você tem no seu time diferentes perfis de vendedores, né? Você tem aquele vendedor que é super conservador, que sempre acha que vai fazer 80% da meta, que nunca consegue dar ali uma previsibilidade de fechar aquele negócio antes de estar completamente confirmado em casa e tal, você vai ter o outro vendedor que é super otimista que acha que sempre vai bater 175% da meta, que tudo vai fechar, que ele vai "pitchar" todo mundo em sei lá cem milhões.
E o outro ponto ali que realmente é um desafio é que existe uma tendência, né? Todo mundo que é vendedor, ou já trabalhou com vendedores sabe disso, é muito claro, de ter uma atitude mais protetiva ali em relação a sua projeção, o seu forecast de vendas, né? Todo mundo quer bater bem a meta e todo mundo quer tentar, obviamente ganhar mais bônus, chegar em uma performance mais alta e tal.
</t>
  </si>
  <si>
    <t>D4</t>
  </si>
  <si>
    <t>1203660138619843</t>
  </si>
  <si>
    <t>depoimento samira frança</t>
  </si>
  <si>
    <t xml:space="preserve">Samira França </t>
  </si>
  <si>
    <t xml:space="preserve">SDR </t>
  </si>
  <si>
    <t>https://drive.google.com/file/d/1sDkLzrL2YJgXJWy6SSB_wrbBkpcuowct/view?usp=share_link</t>
  </si>
  <si>
    <t>Barte Brasil</t>
  </si>
  <si>
    <t>https://drive.google.com/file/d/1R1BiIfqhCucHKEsg-BDq9ufQPo9QBcK2/view?usp=share_link</t>
  </si>
  <si>
    <t xml:space="preserve">Aula:
Canais e Parcerias - Caio Peres - Programa de Agentes Autônomos - XP Investimentos
https://drive.google.com/file/d/1rNmJQwxdo63nw_IjCAMbpGrcwbOL8JQl/view
Minutagem:
    46:01/46:30 — 48:55/50:28
Link vídeo final:
https://drive.google.com/file/d/1jh_aI5BFfomA-qYe0OoylJTEB0CkfeSc/view?usp=share_link
Link alteração:
https://drive.google.com/file/d/1v1OACtbZ9VzG71Lg9EQx7oqACHufrv2w/view?usp=share_link
Transcrição:
Em nenhum momento aqui você tocou em um ponto que em geral é chave nessas discussões de canal de distribuição, que é a remuneração desse canal, como que é essa dinâmica dentro do segmento de vocês? As remunerações elas são padronizadas ou não?
Sobre remunerações, as nossas remunerações, assim na média elas são muitos altas, se você pegar tudo o que a gente distribui de comissão para esses caras, dividir pelo número de agentes autônomos que existe, isso da na média, entre R$15.000 a R$20.000 por mês. Você tem os caras lá em cima ganhando muito e como toda a distribuição um paredão aqui de pessoas que entraram agora ou não performam e etc. Essa remuneração ela vai para o CNPJ, o CNPJ lá decide quanto que vai para o assessor.
Então vamos supor, gerou R$100,00 de receita em um produto X, vamo dizer que R$50,00 fica com a XP e R$50,00 fica com o escritório. 
O escritório vai olhar para o cara que fez essa receita e vai definir a política própria de remuneração. Ele pode falar, cara, dos R$50,00 que eu recebi, fica com R$40,00 e beleza minha margem é espremidinha.
O que vai dar para ele pouca margem de manobra para oferecer serviços e produtos para esse cara. Ou ele pode falar, dos R$50,00 você fica com R$25,00 e eu fico com R$25,00. Mas eu vou te dar uma mesa de renda fixa, um assistente, ou isso, ou aquilo, ou aquilo outro. Então é uma questão de quanto fica para você turbinar o negócio e quanto você repassa para maximizar a sua competitividade comercial.
</t>
  </si>
  <si>
    <t>Como avaliar o desempenho da equipe?</t>
  </si>
  <si>
    <t xml:space="preserve">Aula:
SDR`S - Mariana Mello - Case G4 Educação
https://drive.google.com/file/d/1TWVUFUjiTsnwUG8De6b24rzid22y9Lk0/view?usp=share_link
Minutagem:
Link vídeo final:
Transcrição:
Alguns insights para se estruturar uma área comercial para que você consiga de fato entender o bom desempenho ou mau desempenho da sua operação. Ela diz respeito ao seu processo. Ou seja, o que você está escrevendo de SLA, o que você tá colocando de regras, o que você está desenhado dentro do seu funil, ou se é o seu time que é de fato, tem um desempenho muito fora da curva.
Como é que você faz assim, de forma bem resumida, para ter essa avaliação? Você tem que gerar a mesma oportunidade para seu time, então a mesma oportunidade de quantidade e de qualidade para o seu time de pré-vendas trabalhar. Então, hoje todos os SDR`s, a gente segmenta eles por canal, então lembra que eu falei que hoje a gente tem um canal formulário completo, incompleto, chat.
Então eu segmento eles por canal, porque a abordagem é diferente. Então eles precisam ter um insight de abordagem diferente mais no final do mês eu preciso garantir que todos eles têm recebido a mesma quantidade de leads, para conseguir bater as metas individuais.
</t>
  </si>
  <si>
    <t>D5</t>
  </si>
  <si>
    <t>depoimento galdino</t>
  </si>
  <si>
    <t>1204073895481494</t>
  </si>
  <si>
    <t>A meta tem impacto direto na moral do time de vendas</t>
  </si>
  <si>
    <t xml:space="preserve">Luis Galdino </t>
  </si>
  <si>
    <t>https://drive.google.com/file/d/12Fv_gcsjTACsMvhYUa7ZuL71SMr7bCIR/view?usp=share_link</t>
  </si>
  <si>
    <t xml:space="preserve">Aula:
Planejamento Comercial - Mauricio Zotarelli - Como criar área de planejamento comercial do zero?
https://drive.google.com/file/d/1GcOh2tKm17xZfPk9-A4IbZtl3GhAy7xP/view?usp=share_link
Minutagem:
26:36/27:44
Link vídeo final:
https://drive.google.com/file/d/10v2SyYD7jVjMcirap4zgih7TcuxH1EEe/view?usp=share_link
Transcrição:
Eu acho que tem cara um ponto muito interessante nisso que você falou, né? A definição das metas e do planejamento, ele tem um impacto direto sobre a moral do time comercial. Então, quando você começa a montar, assim é óbvio cara, quando você montou o Business Plan lá, uma startup que foi capturar dinheiro ou, no meu caso aqui na PipeLovers, hoje a gente é totalmente Bootstrap, cara a gente tem uma meta de quanto que a gente quer entregar de receita, né cara? Quanto que eu preciso de receita para manter todo mundo aqui, pagando salário da galera, quanto que eu preciso para pagar minhas contas, eu tenho uma meta, beleza para eu bater a minha meta eu preciso entender, voltar para trás, cara quanto que eu tenho de taxa de conversão e de taxa de conversão quanto que eu preciso gerar de demanda.
Por isso, quando estou aqui do lado de quem está em vendas, o nosso trabalho é conseguir gerar o máximo possível de demanda, quanto mais canais de aquisição você tem, quanto mais esses canais têm previsibilidade é o topo do funil, sua conversão idealmente sempre vai aumentar e disso o seu ticket médio potencialmente também, você vai chegar no quanto você vai ter de receita e depois você vai começar a pensar o que mais nessa questão em relação à remuneração, a qualidade de headcounts, como você escala toda essa brincadeira.
</t>
  </si>
  <si>
    <t>1203789659146636</t>
  </si>
  <si>
    <t>https://drive.google.com/file/d/1Pnk0xfTcoWLeMVMkKhuJclW-eykjYbQH/view?usp=share_link</t>
  </si>
  <si>
    <t>D6</t>
  </si>
  <si>
    <t xml:space="preserve">Depoimento Karina Gomes </t>
  </si>
  <si>
    <t>Karina Gomes</t>
  </si>
  <si>
    <t xml:space="preserve">Farmer </t>
  </si>
  <si>
    <t>Aula:
Canais &amp; Parcerias - Engajamento de Parceiros - Vitor Nascimento
https://drive.google.com/file/d/1rSG6mI38aeptXw3dRu2zDfyhmZU0bYkP/view?usp=share_link
Minutagem:
21:15/21:27 — 24:05/26:10.
Link vídeo final:
https://drive.google.com/file/d/1sbVhBTdGe1sglXzPhu-frCNR8c5aRcra/view?usp=share_link
Alteração:
 https://drive.google.com/file/d/16-HrohnH9842U73zJyjmSZn0DN0GrXcJ/view?usp=share_link
Transcrição:
Quais eram os principais ritos de gestão desses parceiros? Qual que era o objetivo de cada um? Como que eles impactavam nessa construção e principalmente nos resultados e no crescimento?
Tentando organizar minhas ideias aqui, né? Primeiro, nós nos posicionamos como a liderança da transformação do mercado contábil, a construção dos níveis de parceria ao longo do tempo, ela foi mudando muito, mas ajudou bastante nesse movimento também. A gente começou a emponderar o mercado falando assim. "O contador que chegou no nível diamante da Conta Azul do programa de parceria da Conta Azul. Ele é a referência para vocês, então comecem a segui-lo, comecem a se espalhar nele."
Isso trouxe autoridade para o parceiro, para nós e esse senso de comunidades também. A gente falava para o mercado que o programa de parceria da Conta Azul é a melhor forma de você traduzir o seu momento tecnológico, ou o quanto você está adaptado a contabilidade digital, dependia do ano a gente mudava um pouquinho esse slogan, mas fazia com que o mercado entendesse, pô se eu não estou ali, tem alguma coisa errada.
Tô ficando para trás. Então, os níveis de parceria também ajudavam bastante nisso. Para construir os ritos com o mercado, ao longo do tempo a gente errou bastante no perfil, tá? Mas o gerente de conta ele foi o grande agente de mudança, para o mercado contábil. Tem contadores que falam. "Meu gerente de conta da Conta Azul é um sócio do meu negócio.
Se eu vou mudar o nome de escritório, eu vou perguntar para ele antes, se eu for demitir alguém eu vou perguntar para ele antes, se eu for contratar alguém, eu vou perguntar para ele antes." Por quê? Eu consegui transformar o gerente de conta, em um cara que tinha o benchmark que ele precisava. Então assim, pô, ele é meu gerente de conta, me atende, me da direcionamento, e ele faz a mesma coisa para outros cem escritórios, eu vou consultar ele antes para saber o que resto da galera está fazendo.</t>
  </si>
  <si>
    <t xml:space="preserve">Gupy </t>
  </si>
  <si>
    <t>D7</t>
  </si>
  <si>
    <t>1204073895481502</t>
  </si>
  <si>
    <t>D8</t>
  </si>
  <si>
    <t>Aula:
Canais &amp; Parcerias - Camila Alonso - Case TOTVS
https://drive.google.com/file/d/1-MObdK9H3NL7eViOu7jRgVNsHjAVUUtw/view?usp=share_link
Minutagem:
25:16/26:30 — 26:35/27:48
Link vídeo final:
https://drive.google.com/file/d/1bjxihw2gYl16y5jpok4-GqWLgWMXop6H/view?usp=share_link
Transcrição:
Como que é o processo de fazer o onboarding dessas parcerias? Conta um pouco como que é esse onboarding, de um novo parceiro para vocês e se existe um playbook para ser aplicado, você falou um pouco de playbooks, né? Ou se isso é caso a caso.
Tem o onboarding em duas óticas, então eu tenho o onboarding do parceiro, então a gente discute muito com o parceiro não só integração sistêmica, ai tem uma questão muito mais técnica de produto, mas integração no ecossistema da TOTVS, então no meu time hoje antecipando um pouco, eu tenho uma estrutura de BizDev de captação e BizDev de gestão.
Então a gente faz, literalmente, uma passagem de bastão do time de captação para o time de gestão, onde a gente faz um onboarding estruturado desse parceiro para apresentar para ele quais são os gatilhos de funcionamento dentro da TOTVS, o que é importante ele conhecer, questões como presença, ele precisa ter presença na matriz, nas unidades de venda, então tem um onboarding literalmente um playbook muito estruturado, pautado no onboarding do parceiro para ele ter uma relação saudável com a TOTVS. Mais do que neste momento, não é uma relação mais com o VP, com o CEO dessa empresa, a gente está falando cara com um focal point, que é o batidão do dia a dia da vida como ela é, então a gente tem esse onboarding bem playbook, definido padrão para todos os parceiros.</t>
  </si>
  <si>
    <t>1203614404300131</t>
  </si>
  <si>
    <t>Como conseguir parceiros de negócio</t>
  </si>
  <si>
    <t>SMB &amp; StartUps Sales Director LATAM</t>
  </si>
  <si>
    <t>https://drive.google.com/file/d/1fikUBNVgiqFR7hrWYDfAHo5mrbcyqwae/view?usp=share_link</t>
  </si>
  <si>
    <t xml:space="preserve">https://drive.google.com/file/d/1IcyGLjN9YKDIUmlVyxn5e1mDHWwPIwH6/view?usp=share_link
Alteração:
https://drive.google.com/file/d/1UriwJfnCo5RXgm0B96DhpgmuiN_hwLjI/view?usp=share_link
Transcrição:
📍  📍 Pegar ex-funcionários que, já de alguma forma, já tiveram acesso a sua tecnologia ou ao seu tipo de produto, e que de alguma forma ou porque trabalharam em empresas terceiras, as quais utilizavam seu produto, ou porque de alguma forma trabalharam na sua empresa, mas saíram e foram vivenciar outras coisas, ou que trabalharam na concorrência que tem produtos similares é sensacional, entendeu? Porque aí você já cria na largada, a fidelidade. Então, por exemplo, você pega a IBM, grande parte dos canais IBM foram ex-funcionários da IBM. O cara saiu, o cara já tinha um baita de um skill, já tinha um baita de um diferencial, ele tinha uma veia empreendedora, pô ele sai já para poder fazer.
A mesma coisa da Microsoft, é a mesma coisa da Google e daí por diante. Se ele não veio do próprio fabricante, ele veio de um canal relativo. Então essa é uma outra forma, porque você cria a fidelidade baseado no background de conhecimento que este cara já tem e às vezes ele tem o skill técnico, mas ele não tem a capacitação de uma gestão de canal, de vendas e dai por diante.
Então aí é que você entra com todo o trabalho. E aí eu costumo dizer que assim, não tem, ou co-marketing ou go-to-market, ou área técnica ou comissão, você tem que ter um go-to-market  estabelecido, enquanto o provedor que estava buscando canal, você tem que ter. É "e", né? Sempre somando, né? Você tem que ter uma estrutura bem elaborada, de capacitação, você precisa ter um comissionamento diferenciado. Você precisa ter uma estrutura de reporte bem estabelecida para que você possa medir a evolução desses caras e penalizar se ele não entrega para que você possa ter um ganha ganha, então isso é fundamental.
</t>
  </si>
  <si>
    <t>D9</t>
  </si>
  <si>
    <t>1204009117663261</t>
  </si>
  <si>
    <t>D10</t>
  </si>
  <si>
    <t>Aula:
Executivos de Vendas - Thaisa Fausto - Estratégias de Negociação
https://drive.google.com/file/d/1nRY49bKvs483aFhX6_VfsBEQjwgy6CNA/view?usp=share_link
Minutagem:
24:53/25:09 — 25:17/28:06
Link vídeo final:
https://drive.google.com/file/d/1gIUtkraPrRNlqsFcCanOp8k8KsBPAQ-U/view?usp=share_link
Transcrição:
Conta aí qual foi a pior negociação que você fez na sua vida, e que impactos que ela teve?Quando eu tinha acabado de me jogar em vendas, né? Também já em digital, já em pagamentos a gente estava atirando para tudo que é lugar, né? E era uma marca muito legal que estava meio que estreando no digital, mas não estreiando tanto assim porque já tinha site, já estava tudo rodando, e aí ele falou assim, cara vamos lá, e pela marca o que eu fiz?
Eu já vou com preço matador de cara e na empresa que eu trabalhava o cliente era seu até que ele atingisse um certo volume para passar para o time de gestores de conta, ai eu falei, puts demorou, ai coloquei um preção, óbvio que eu fechei, né? Estava com o preço muito bacana, cara a hora que o cara entra, você vê que não tinha nenhuma condição de fechar com a gente naquela época, não tinha equipe para tocar, não conhecia os processos, até falando mais tecnicamente, reconciliação, conversão de site.
Aí assim eu fiquei sem brincadeira, uns seis meses de inferno tentando fazer a conta desenrolar e não tive payback nenhum, e aconteceu ainda perdi o cliente que depois de seis meses, ai ele falou, cara está muito complexo aí eu vou fechar com o player padrãozão, arroz com feijão, porque assim, não dá. E ai a mensagem é vendemos para os melhores clientes. Não existe pressa em vendas, se não você vai perder o seu tempo e jogar desconto no ar jamais, isso não se faz.</t>
  </si>
  <si>
    <t>1203642713062902</t>
  </si>
  <si>
    <t>O valor do networking e dos relacionamentos</t>
  </si>
  <si>
    <t xml:space="preserve">Prospectar o CEO é um caminho para entrar em grandes contas? </t>
  </si>
  <si>
    <t xml:space="preserve">Aula:
Sales Leaders com Tiago Tadeu - Demissões e Layoffs
https://drive.google.com/file/d/1UABLCHFdaYgNmYbUju_EQsUIClh7B9Lu/view
Minutagem:
34:26/35:35
Link vídeo final:
https://drive.google.com/file/d/1nPEfmZ4ajbwCKX75x0sFDZY5PzNjP9Vp/view?usp=share_link
Transcrição:
Como que são os relacionamentos neste momento. Em alguns desses, alguns desses layoffs cara, alguns amigos me procuraram e cara, é nessas horas que o valor do networking dos relacionamentos ele ajuda muito né cara? Porque derrepente é de uma hora para outra que entra cara, uma baceada de gente muito boa no mercado.
Eu lembro quando teve o layoff do LinkedIn, cara, assim foi muito maluco como teve muita gente, cara, como era um lugar que ninguém queria sair, raramente as pessoas saiam do Linkedin. Naquela época a galera que saiu os caras arrumaram empregos, tipo na mesma semana. Era uma briga, foi uma briga no mercado, todo mundo queria contratar os caras, e a galera arrumou para ganhar o dobro, o cara foi demitido, ganhou um pacote e aí a briga dos caras era, porque eles tinham que ficar acho que mais um mês ou mais quarenta e cinco dias. E a negociação era tipo, cara não mas eu tenho que ficar aqui até mais tanto para ganhar o benefício do layoff, mas eu já aceitei uma outra offer.
Então, cara era umas coisas de louco, que no final é muito positivo, porque se você tem um bom relacionamento no marcado, tem muita gente que ia querer te puxar.
</t>
  </si>
  <si>
    <t>1204009117663265</t>
  </si>
  <si>
    <t>https://drive.google.com/file/d/16D3rE6t9iq8NoecmCv41lFT2B5i5NRYS/view?usp=share_link</t>
  </si>
  <si>
    <t>Aula:
Executivos de Vendas - Thaisa Fausto - Estratégias de Negociação
https://drive.google.com/file/d/1nRY49bKvs483aFhX6_VfsBEQjwgy6CNA/view?usp=share_link
Minutagem:
32:15/32:27 — 33:34/33:56 — 34:36/35:33
Link vídeo final:
https://drive.google.com/file/d/1S4voaOEm4VLJxmv12d5KyS3rlSDAhPzj/view?usp=share_link
Alteração:
https://drive.google.com/file/d/1EQHrcKMx3tnbPVJEtABRce5JM0q8nTvM/view?usp=share_link
Transcrição:
Qual que é a sua linha de raciocínio hoje, para ter uma boa negociação?
Produto que a gente vende hoje, que é de meio de pagamento como um todo. Ele está cada vez mais virando uma commodity, o que dificulta ainda mais a negociação porque acaba preço. Ah, eu tenho esse e você tem esse, acabou, qual que é a diferença? Então a primeira coisa que eu sempre olho antes de até de como você falou da prospecção, o que é que eu tenho para oferecer para aquele cara, que ele vai justificar, ele assinar comigo ou querer trocar o que ele tem?
Porque às vezes dá na mesma, certo? Se não for ter nada de mais, porque? Ainda mais com clientes maiores. que tem uma ampla abordagem. Óbvio que o networking é importante, ter alguém que já te conhece, até para que vai te abrir uma porta para você levar uma conversa para outros níveis dentro das empresas são importantes, e sempre asso, o que é que eu vou entregar de valor?
E aí tem um ponto muito chave, que é muito importante para tocar a empresa grande, que é o account plan. Estude a empresa que você vai fechar antes de fazer cold call, o cold e-mail, o que for é fácil de achar gente google, não tem muito mistério, entra no site do cara, vê como é que está o concorrente teu que está lá usando, se dá para você identificar, tem um monte de ferramenta aí gente, facinho. E aí, com sei lá, uma hora, duas horas, que você investe estudando esse cliente você já cria um entendimento melhor, um pitch melhor, uma abordagem.</t>
  </si>
  <si>
    <t>1204073895481512</t>
  </si>
  <si>
    <t>Como se preparar para ocupar o cargo de Executivo de Vendas</t>
  </si>
  <si>
    <t>Aula:
SDRs - Patricia Ribeiro - Desafios do SDR que vira Vendedor
https://drive.google.com/file/d/1KsRGSaMFJd2XLFW7CCru4QTPfgW8L4Ob/view?usp=share_link
Minutagem:
14:49/16:44
Link vídeo final:
https://drive.google.com/file/d/12miBVx4OlEpopth1b0Kh9SS1OU2ozejy/view?usp=share_link
Transcrição:
Agora, como que foi para se preparar para assumir o papel de executivo de vendas, né? E quais foram as coisas que você precisaou aprender para se tornar bem sucedida nessa função de executiva aí?
Como eu falei, já era um desejo meu me tornar executiva, então quando eu podia, estava ali okay com os meus números, eu assistia as reuniões dos vendedores, e depois que terminava a reunião a gente discutia sobre aquilo, mas o cara falou X, mas porque você falou dessa forma? Ah por isso. Ah entendi.
E isso é a prática mas também o conhecimento teórico auxiliado, então eu procurava conteúdos na internet, lia conteúdos, também claro participar de comunidades tal como a gente está aqui, aprender com outras pessoas, pegar insights, isso é importante. Então acho que nessa linha foi bem legal.</t>
  </si>
  <si>
    <t>1204073895481508</t>
  </si>
  <si>
    <t>Os melhores Executivos de Vendas do mundo foram pré-vendedores</t>
  </si>
  <si>
    <t>A motivação de um líder é o desejo de ajudar pessoas</t>
  </si>
  <si>
    <t>Aula:
SDRs - Patricia Ribeiro - Desafios do SDR que vira Vendedor
https://drive.google.com/file/d/1KsRGSaMFJd2XLFW7CCru4QTPfgW8L4Ob/view?usp=share_link
Minutagem:
28:02/28:48
Link vídeo final:
https://drive.google.com/file/d/17i_24nZ41kgx00GYG9XCY_LjMS3mtkZJ/view?usp=share_link
Transcrição:
Nas maiores empresas de tecnologia do mundo, os melhores executivos de vendas são aqueles executivos que começaram como pré-vendedores. Cara a habilidade de prospectar, a habilidade de caçar é fundamental, mesmo quando você recebe uma oportunidade através de inbound, através de um parceiro, você tem que prospectar dentro da conta.
Então cara assim, é igual cachorro de apartamento, né? Você não está com as garras e os dentes afiados, você não consegue pegar o osso. Cara, é muito importante essa habilidade, todas as habilidades desenvolvidas como pré-vendedor, para conseguir performar muito bem como executivo.</t>
  </si>
  <si>
    <t>1204073895481514</t>
  </si>
  <si>
    <t>https://drive.google.com/file/d/12Y5O_Ftq6oIuEc3_qvYttp_Akk1fEU-C/view?usp=share_link</t>
  </si>
  <si>
    <t>As habilidades necessárias para conquistar a cadeira de Executivo de Vendas</t>
  </si>
  <si>
    <t>Aula:
SDRs - Patricia Ribeiro - Desafios do SDR que vira Vendedor
https://drive.google.com/file/d/1KsRGSaMFJd2XLFW7CCru4QTPfgW8L4Ob/view?usp=share_link
Minutagem:
12:02/12:20 — 12:31/13:57
Link vídeo final:
https://drive.google.com/file/d/1rjibj0-54PzFv9kb6R-l5HEHzGQAnN-N/view?usp=share_link
Transcrição:
Como você desenvolveu as suas habilidades para sentar nessa cadeira de vendedora, enquanto você era pré-vendedora?
Como BDR eu tinha que ter essa capacidade de fazer as perguntas certas, afinal eu estava prospectando, o prospect estava ali confortável com a solução dele, o que for, a gente BDR que está ali batendo na porta, caçando oportunidade.
Ao mesmo tempo uma escuta ativa, sem que a gente tenha aquela ânsia de gerar oportunidade, marcar reunião e bater meta, mas a gente também tem que praticar a escuta ativa, porque a gente tem que fazer esse filtro, será mesmo que essa dor que ele tem a gente pode ajudar? E aí ele  vai falando, ai você vai conectando os pontos.
E para gerar as habilidades de executiva, que eu já tinha esse desejo de me tornar executiva de vendas, eu pedia aos vendedores, dos quais eu marcava as reuniões para acompanhar essas reuniões, e acho que as lições valiosas que ficam é isso, o saber fazer as perguntas certas e particar a escuta ativa, querendo ou não, não só na nossa profissão, na nossa área mas em nosso meio isso é importante.</t>
  </si>
  <si>
    <t>1204009117663269</t>
  </si>
  <si>
    <t>Comece o processo da venda pensando no contato com o decision maker</t>
  </si>
  <si>
    <t>Aula:
Executivos de Vendas - Thaisa Fausto - Estratégias de Negociação
https://drive.google.com/file/d/1nRY49bKvs483aFhX6_VfsBEQjwgy6CNA/view?usp=share_link
Minutagem:
40:02/40:15 — 40:22/40/41 — 42:07/44:14
Link vídeo final:
https://drive.google.com/file/d/1x1DUkqZxM9qUDKviHdtYFOeqpkzqi9Nz/view?usp=share_link
Alteração:
https://drive.google.com/file/d/1t8ByJkJt1-KKDmV5D8Vkrug1EM7vuMJI/view?usp=share_link
Transcrição:
Como é que você aprendeu e se você se especializou mais nesse tema? Você acha que existe um "By The Book"? Tem uma fórmula mágica para fazer isso? Todo mundo está esperando a fórmula mágica tá? Então conta ai para a galera, se vira com esse problema.
Cara não tem né? Não existe, não existe. No meu caso específico, eu sou uma menina que eu gosto de estudar, sabe? Uma vez dentro de vendas já tinha uma bagagenzinha que eu já vinha estudando, agora que a gente comentou não tem nada que bata a experiência. Você ir lá e errar na prospecção, você passar prospectando clientes que não fazem derrepente ideal seu, ou você vai ver então isso não é legal. Você mesmo acertar o seu pitch de elevador, está cheio de empresa ai querendo pasteurizar esses pitchs, cara cada um tem o seu, tem o estilo, a fluidez faz o negócio acontecer.
Estar junto de pessoas mais experientes da sua própria empresa, como que ele vende, né? Como que ele desenha a estratégia dele de preço? Como que ele desenha estratégia de valor dele? Lembrando que o vendedor bom não é o mais tempo de casa não, cara, o vendedor bom é aquele que se prepara, e ele pode ser mais novo que você inclusive.
Se o cara já tem essa pegada, ele já tem o perfil, gente se apoiem nesses caras que vão te ajudar, busquem ajuda, chamem a gente no chat, olha tem essa conta aqui, o que eu acho, o que vocês acham disso? E criem sua própria redezinha de suporte, né? Isso constrói relacionamentos de verdade e ajuda muito na venda.</t>
  </si>
  <si>
    <t>1204009117663255</t>
  </si>
  <si>
    <t>Aula:
Executivos de Vendas - Thiago Reis - Carreira &amp; Crescimento para Executivos de Vendas B2B
https://drive.google.com/file/d/1x_1lq7oyVeljhqZZRAOOEGYWmMmQ2j5G/view?usp=share_link
Minutagem:
20:22/21:48
Link vídeo final:
https://drive.google.com/file/d/19bI3QNBeg6LlFiDYzZnwCyQAsu2oYISn/view?usp=share_link
Transcrição:
Eu uso o Bezos muito como referência para tentar tomar decisão e pensar em estratégias. E o Bezos cara, é um cara que defende há mais de seis anos, o emprego universal, porque? Por que ele acredita, cara o Bezos entrou no mercado alimentício, começou a comprar supermercado nos Estados Unidos. Ele pega o mercado que opera com quatrocentos funcionários e leva esse mercado para vinte.
E tem mercado que está rodando com cinco já, então assim, tem uma tendência natural, com  ganho de tecnologia, com automação, com reconhecimento facial, essa necessidade diminuir. Agora, por outro lado, eu estava conversando com uma empresa ontem, cara a gente fez uma conta muito simples, um e-commerce B2B, bunda mole, ela percebeu que 80% dos pedidos dela não necessitariam de transação humana, ou seja, são produtos recorrentes que se repetem um mês depois do outro, o cara com dois cliques consegue trazer.
Você conseguir eliminar cara, vamos supor que ele não consegue chegar nos 70% mas que ele consegue eliminar 50% ele já vai pegar uma força comercial de setenta pessoas e levar para trinta e cinco, de cara assim.
O que ele gasta por mês em folha de pagamento com os trinta e cinco que ele vai tirar, paga dois anos de projeto de e-commerce B2B.</t>
  </si>
  <si>
    <t>1204009117805651</t>
  </si>
  <si>
    <t>Aula:
Executivos de Vendas - Talita Passos - Cross-Selling e Up-Selling
https://drive.google.com/file/d/1ibZt276CeRw0AYS6zlAnUvGDKxO6xCgh/view?usp=share_link
Minutagem:
33:36/34:56 ou 35:45
Link vídeo final:
https://drive.google.com/file/d/12smIgGeaa6V4HLy3GzlPlfUOQcCFEhT7/view?usp=share_link
Transcrição:
Muitas dicas legais e acho que você falou muito de um ponto que é bastante relevante quando a gente fala de receber uma carteira, que é estudar a carteira. Tem galera que recebe a carteira e sai fazendo coisas, né? Eu falo muito de você tem que gastar como vendedor 10% a 15% do seu tempo, planejando o que você vai fazer e 200% do seu tempo executando. Clusterizando, fazendo uma análise de white spaces, ou seja, quais são as possibilidades de novos produtos que eu tenho para vender, ou seja, mapeando tudo o que dá para fazer, quem são clientes que estão felizes, que estão tristes, que estão consumindo, que não estão consumindo, que tem ticket no suporte, ou seja, tudo que eu puder analisar desses clientes e principalmente, acho que tem um ponto aqui que eu aprendi muito legal no LinkedIn que eles chamavam lá de red advantage ou a vantagem do vendedor.
E aí vou dar um exemplo, que seria, imagina que chego em uma empresa, eu sou um vendedor e eu chego na carteira tem a TOTVS como cliente. De todos os meus clientes eu tenho uma vantagem muito grande de trabalhar essa conta, e a gente sabe batendo o nome dos clientes que você tem vantagem em alguns. Então, as vezes a gente tem que levar a nossa experiência como vendedor, como diferencial nessa hora de priorizar.</t>
  </si>
  <si>
    <t>1203695764573115</t>
  </si>
  <si>
    <t>https://drive.google.com/file/d/1Eibp01u9H821nlITQ5_k-8IC5exU8R_L/view?usp=share_link</t>
  </si>
  <si>
    <t>Como fazer a mensuração de resultados em grandes players</t>
  </si>
  <si>
    <t>Aula:
Sales Leaders - Michelle Schneider - Vendas no Mercado de Midia e Advertising
https://drive.google.com/file/d/1v-ZcUlrF70LsQ7Yq26sRe2Oog22fQLHp/view?usp=share_link
Minutagem:
32:12/33:58
Link vídeo final:
https://drive.google.com/file/d/1b_ZMBNaIwYNQeoH7MBtoy3TT8RyFYksz/view?usp=share_link
Transcrição:
Conhecer bem o seu cliente é você entender o objetivo de negócio. Quando você fala objetivo de negócio, é a métrica do conselho. Normalmente no varejo era faturamento, então eu tenho que crescer meu faturamento de X para Y, ai ele falava,
tem que aumentar a receita do digital de X para Y, e eu tenho que ter X mil novos usuários.
Eu sabia de cabeça, no início do ano, quais eram CBO`s que a gente chamava, né? "Customer Business Objective", do meu cliente. Começava lá em cima, aí eu tinha que descer para o objetivo de marketing. Então tá, o objetivo do CEO é esse. Qual que é o objetivo do CMO? O objetivo de marketing é crescer em X pontos
o share of mind, né? E eu vou mensurar isso através do tal Instituto de pesquisa, então lá no Google quando a gente ia montar um plano você tinha que saber o número dos CBO's do cliente, depois dos MO's que a gente chamava dos "Marketing Objectives". Ai a gente descia para o nível da mídia. Então, como é que o time de mídia, vai ser mensurado.
E daí a gente descia para como que a campanha vai ser mensurada. E essa foi uma escola que eu tive no Google, porque até então, quando eu era do LinkedIn, o meu nível de conversa, ficava sempre da campanha. O que você vai mensurar nessa campanha? A essa campanha vou mensurar leads. Era muito rasa as conversas, quando você vai para um Google, para grandes contas, são muito profundas.</t>
  </si>
  <si>
    <t>1203695764573061</t>
  </si>
  <si>
    <t xml:space="preserve">O que é o "Account-Based Marketing"? </t>
  </si>
  <si>
    <t xml:space="preserve">Aula:
Líderes de Vendas - ABM - Account Based Marketing - Felipe Spina
https://drive.google.com/file/d/18WWzQjGBaw9q-oz33vvW2R7dqz37ZswL/view
Minutagem:
9:14/11:18 (prestar atenção nesse pra tirar partes no meio do corte, por exemplo quando ele é prolixo) 
Link vídeo final:
https://drive.google.com/file/d/1rqjihWGJ-xMZPA98dmNQoWgA81HUl_mB/view?usp=share_link
Transcrição:
📍E ai eu entro com vocês, o que é o ABM, né? Muita gente fala assim, né?Dentro do inbound, que eu trabalhava dentro dessa metodologia da RD, né? A gente trabalhava muito no inbound, e é uma metodologia que funciona, que a gente basicamente, a gente coloca nossa landing page, as pessoas baixam, preenchem o formulário, e a gente qualifica em um processo de marketing para virar uma MQL, depois uma SAL, uma SQL, entra em um processo, mas antes disso eu posso jogar a rede para pegar esses peixes. Ah, eu lancei minha landing page, jogo nas redes sociais, faço ADS, jogo por e-mail, faço um monte de coisa. Mas nem sempre vem as empresas que eu quero trabalhar, quem daqui nunca preencheu um formulário errado para baixar material? E às vezes, o cara, quanto maior o cargo de decisão, mais difícil essa pessoa baixar o material. E no ABM, a gente já sabe as empresas que a gente quer trabalhar, é basicamente que a gente fosse mirar ali, com o arpão para ganhar mais profundidade, qualidade, relacionamento. Então, basicamente a gente pega um funil invertido, de atrair pessoas para o site, ela preenche o material, nutre com automação, isso no processo inbound e qualifica as empresas que são para a gente trabalhar com vendas, isso é para virar um MQL, uma SAL, entre em um processo. E no ABM a gente já sabe as empresas que a gente quer trabalhar e a gente trabalha em uma MQA, né? Um Marketing Qualified Account, de como engajar com campanhas personalizadas e construir esse relacionamento para virar uma oportunidade.
</t>
  </si>
  <si>
    <t>1203789659146644</t>
  </si>
  <si>
    <t>como estar preparado para vender para grandes contas</t>
  </si>
  <si>
    <t xml:space="preserve">Aula:
Executivos de Vendas - Alan Schulte - Vendas para Grandes Contas
https://drive.google.com/file/d/1vnfHe2Qc17gdbznuDxlH5jIdn-ZshXnK/view?usp=share_link
Minutagem:
32:50/36:16
Link vídeo final:
https://drive.google.com/file/d/1Vh4x7ZZxaYKAE1AY6Nwo4EnnJp1ubRgt/view?usp=share_link
Link alterações:
https://drive.google.com/file/d/1JfvHRXBQS7U22V_EGXXOkiUVLAUmoCHP/view?usp=share_link
Transcrição:
Como que você educa o seu time, seus executivos de vendas, para ter essas competências e atender os grandes clientes no futuro, eles que estão se desenvolvendo? 
Primeiro é, vendas, talento ajuda mas treinar é fundamental. Metodologias e modelos de vendas existem milhares, mas essas não são bíblias, ou seja, são algumas metodologias que tem uma ciência por trás e a ideia é que você pegue algumas partes dessas metodologias e adeque ao seu estilo. Hoje em dia entender mercado, como eu comentei antes, e não falar de funcionalidade de produtos e sim dos problemas específicos daquela empresa ou do seu cliente e como a sua organização ajuda a resolver aquele determinado problema ou cria uma solução ou gera mais retorno, isso é fundamental.
Os meus times de vendas eu me preocupo muito em trabalhar algumas questões, primeiro deles é o planejamento de território, ou seja, dada a sua carteira, definir uma premissa para onde a gente vai. E ai tem aquela máxima que você, ou você ganha ou você aprende.
Depois você tem uma questão de organização. Quando você vai ligar, para quem você vai ligar, para que você vai falar ou para qual material, como você se prepara para uma reunião.
Eu tenho uma armadilha muito importante, que quando a gente fala em repertório muitas vezes as pessoas elas pensam em, tem aquela questão do, eu preciso saber tanto quanto ou mais do mercado que aquele determinado cliente ele atua e da empresa dele, e isso não é verdade.
</t>
  </si>
  <si>
    <t>1204009117805653</t>
  </si>
  <si>
    <t>https://drive.google.com/file/d/1JfvHRXBQS7U22V_EGXXOkiUVLAUmoCHP/view?usp=share_link</t>
  </si>
  <si>
    <t>O papel do vendedor especialista dentro de uma equipe</t>
  </si>
  <si>
    <t>https://drive.google.com/file/d/1_0CHmpBBLQUtIJ7M-EQgSShD9xDFqN45/view?usp=share_link</t>
  </si>
  <si>
    <t>O vendedor especialista precisa entender do negócio</t>
  </si>
  <si>
    <t>https://drive.google.com/file/d/1vxL2EIzyyKvNbUjDh03N8VBDg7a037Rl/view?usp=share_link</t>
  </si>
  <si>
    <t>Aula:
Executivos de Vendas - Talita Passos - Cross-Selling e Up-Selling
https://drive.google.com/file/d/1ibZt276CeRw0AYS6zlAnUvGDKxO6xCgh/view?usp=share_link
Minutagem:
37:13/38:27
Link vídeo final:
https://drive.google.com/file/d/1ytFu1JyCEFdhSvOn_PrVAQMTJfbM_Ozl/view?usp=share_link
Transcrição:
E um dos conceitos que a galera mais aplica quando a gente fala de up-sell e cross-sell é o famoso "Land &amp; Expand" que em termos, traduzindo para o português é, você pousa um novo cliente e depois você expande as suas vendas dentro dessa base. Para isso ser bem sucedido eu acho que tem dois fatores aqui que são bem importantes, né? Primeiro é as vendas bem alinhadas, né? Como que eu faço uma boa primeira venda para construir aquela boa relação com o cliente, construir a confiança? E o segundo é definir um roadmap em conjunto com esse cliente, o que ele vai poder ir construindo ao longo do tempo para ele já entender qual que é todo o potencial, as vezes você pega empresa que tem vários produtos e o cliente nem sabe.
A empresa tem cinco, seis, sete, oito, dez produtos que o cliente não conhece, né? E às vezes a gente fica consumindo conteúdo na internet, a pô ouvi fulano falar lá de Land &amp; Exapand a gente tem que fazer isso, não é tão simples, né? É difícil na prática conseguir executar.</t>
  </si>
  <si>
    <t>1203642713059702</t>
  </si>
  <si>
    <t>Sabe quando insistir ou aceitar que não é para ser seu cliente mesmo</t>
  </si>
  <si>
    <t xml:space="preserve">As habilidades de um vendedor especialista </t>
  </si>
  <si>
    <t>https://drive.google.com/file/d/1Kvt-izf3fux38zyRvC5SgON5u1UMXAGH/view?usp=share_link</t>
  </si>
  <si>
    <t>SDR`s,Bianca Junqueira</t>
  </si>
  <si>
    <t>Aula:
SDRs com Bianca Junqueira - SPIN Selling na Prospecção
https://drive.google.com/file/d/1szENYTf9OoG4O68JR2F79nEJNfkmgqG3/view?usp=share_link
Minutagem:
35:47 - 37:04
Link vídeo final:
https://drive.google.com/file/d/11c0Ipn97bT6RuN1X1NJz9pcD6TK_MBDX/view?usp=share_link
Alteração:
https://drive.google.com/file/d/1Y0Z_gRxwrLzqFvrLGeHMFVUDO6WsXODr/view?usp=share_link
Link alterações:
https://drive.google.com/file/d/1ZVHVBDyAkjdGHdoRja93WrhrhkOqJadp/view?usp=share_link
Transcrição:
Tem duas coisas assim, se eu for dar meus dois cenários. A primeira é que ter um pouco de mentalidade, da gente entender que acho que principalmente em cold call que é bem difícil que a gente está ali para ajudar e para mostrar uma solução para o problema da pessoa. Tem uma certa resistência, principalmente quando a pessoa é mais seca ali.
A outra é uma questão de você até insistir um pouco, mas tem uma outra questão de que nem todo mundo é o seu cliente também. Então, quando você vai fazendo o SPIN, e realmente tem que ser uma conversa e não um interrogatório, porque se não fica difícil realmente ir para a frente. E mostra que é que 90% é sobre a pessoa que
está falando e que você realmente está ali para solucionar uma dor dela. O objetivo é ela gostar da conversa, o objetivo é ela sair dali vendo que ela tem um problema e você ajudou ela no final do dia, usando ou não sua solução você ajudou ela. Mas também tem a parte de que nem todo mundo é para ser cliente seu e a pessoa vai falar, vai ser chata, ou falar não.
E o não é melhor que o talvez já também, então melhor a pessoa que fala não do que a pessoa educada demais.</t>
  </si>
  <si>
    <t>1203695764573089</t>
  </si>
  <si>
    <t>https://drive.google.com/file/d/1S2IEhy1QtJcxkArzxFhwah4lzt87labY/view?usp=share_link</t>
  </si>
  <si>
    <t>Marcell Rosa,Executivo de Vendas</t>
  </si>
  <si>
    <t>Aula:
Executivos de Vendas - Marcell Rosa - De Vendedor a VP de Vendas
https://drive.google.com/file/d/1qnC33ni2Sol5uVJkmO4CUsDCx-KqX-e-/view?usp=share_link
Minutagem:
34:55/36:04 — 36:46/38:02 (tem cortes no meio dessa última minutagem — repetição de palavras)
Link vídeo final:
https://drive.google.com/file/d/17fukEn6hN6pMiwnKl7ARMnFL16RO0763/view?usp=share_link
Alteração:
https://drive.google.com/file/d/1n9Pn89tojz8xCibVlLqlWvMyPUIHTBZj/view?usp=share_link
Transcrição:
Por que você almejava uma posição de liderança? E como que você se preparou para chegar nessas posições de liderança? Cara, no começo assim, eu lembro na faculdade, sentado com os meus amigos, e falando. "Não, quando eu virar gerente e contar o salário eu estou bem". Quando você começa a estar inserido no mundo corporativo, vendas, e eu tinha uma função lá no Linkedin principalmente que eu já era meio que o líder funcional da estrutura porque eu era o cara mais antigo, era o cara que tinha mais sucesso, era o cara que mais vendia, e aí eu comecei a sentir mais prazer em ajudar e ver o sucesso dos outros do que quando eu fazia. Como eu me preparei? Cara, eu falo que se eu tivesse mil vidas, para escolher a primeira empresa para eu virar gerente de pessoas pela primeira vez, mil vidas escolho o LinkedIn, mas que nem eu falei, eu tenho sede de conhecimento.
Então, mesmo antes de virar gerente eu tinha muitos mentores. Então assim eu tinha mentores, o Pagotto para quem não sabe o Pagotto me ajudou muito nesse processo, porque ele tinha mais experiência do que eu em gestão de pessoas e também tinham outros conteúdos que eu também conseguia, que eu conseguia absorver, tipo livros, muito mais audiobooks, né? Então eu acabava consumindo muitos conteúdos, mas muito atrelado ao meu autodesenvolvimento.</t>
  </si>
  <si>
    <t>1203642713062958</t>
  </si>
  <si>
    <t>O líder é o responsável pelo desempenho da equipe</t>
  </si>
  <si>
    <t xml:space="preserve">Aula:
Líderes de Vendas "Criando uma cultura de alta performance" com Lívia Alves
https://drive.google.com/file/d/1v_mR9a82GoyKW71JQSrlPG1u93p-fuqF/view
Minutagem:
41:40/42:03 — 43:21/44:35
Link vídeo final:
https://drive.google.com/file/d/1m3oRF2YKtRD525pGnTga6mXjSlg7OAdy/view?usp=share_link
Transcrição:
Você falou de comunicação, você falou de transparência, você falou de acessibilidade, você falou de liderar com exemplos, acho que a grande dificuldade talvez seja aqui de muita gente que está ouvindo, é como tangibilizar ou como se organizar em relação a isso? Você tem alguma, ainda se aprofundando nessa questão de pessoas, você consegue dar alguns exemplos de como que você faz isso de uma forma intencional?
Essa é muito simples, porque eu poderia trazer várias matrizes que a gente tem de gestão. Mas eu acho que se você tem uma agenda, e você tem os compromissos na agenda eu tenho. Eu tenho sete pessoas diretas que respondem para mim. Eu tenho um one a one com essas pessoas religiosamente toda semana, eu não deixo de fazer.
Então, é algo que não dá para negociar, então eu tenho um compromisso e eu cumpro esse compromisso. Então é muito da constância e da proximidade que você cria com essas pessoas. Eu tenho religiosamente com eles esse one a one semanal para  que a gente crie essa proximidade, para que eles também tenham a cultura de fazer a mesma coisa com o time deles.
Então o gerente com o coordenador, o coordenador com o vendedor, para que eles cumpram. Então eu sou a primeira a fazer isso, eu não negocio, está marcado, está marcado. Não aconteça nada no meu dia que me tire o compromisso de falar com eles semanalmente, então isso é para mim o mais importante.
</t>
  </si>
  <si>
    <t>https://drive.google.com/file/d/18mY2DVaZS8BmxUdnzvGic8t8lT6grqMn/view?usp=share_link</t>
  </si>
  <si>
    <t>1203695764573093</t>
  </si>
  <si>
    <t xml:space="preserve">Aula:
Executivos de Vendas - Marcell Rosa - De Vendedor a VP de Vendas
https://drive.google.com/file/d/1qnC33ni2Sol5uVJkmO4CUsDCx-KqX-e-/view?usp=share_link
Minutagem:
42:13/44:18
Link vídeo final:
https://drive.google.com/file/d/1xFm6LdB07544BVDls8DIbNaEe7JLmlVM/view?usp=share_link
Transcrição:
Como que foi essa transição para você e qual que foi seu grande aprendizado? Como a gente gosta de falar do first time manager, ou a pessoa que é gerente pela primeira vez? Cara, assim, virar gerente pela primeira vez no time que você é par é muito frustrante, assim, de alguma forma, porque você tem pessoas muito diferentes de você, você tem o respeito de alguma forma.
Mas existe uma tendência do gerente pela primeira vez de você querer de alguma forma, 100% fazer com que as pessoas façam igual você fazia quando você era vendedor, e para mim esse foi o maior erro, que eu cometi e é por isso que eu ficava frustrado. E aí teve um cara que está aqui na live comigo me falou o seguinte. "Meu você tem que focar no resultado final, não no como o cara vai fazer".
Se esse cara, se você quer que o cara faça vinte reuniões no dia. Não importa se esse cara vai fazer porta a porta, se esse cara vai pegar uma lista telefônica, se esse cara vai ligar para os amigos dele. O como esse cara vai fazer, deixa o cara ter a habilidade dele, deixa o cara ter a autonomia dele para conseguir.
Esse cara tem que te entregar dez reuniões na semana, então assim, uma coisa que eu aprendi foi como é que você faz um balanço entre, o que eu falo inglês, né? Que é o hardline e o guideline, o hardline é tipo, você vai fazer assim e esse é o caminho, só tem um caminho. O guideline, você tem que chegar no final, o como vamos aprender juntos, vamos fazer juntos.
Eu tenho a minha forma, talvez o time vai ter outras formas, mas no final do dia a gente vai ter que entregar aquele resultado final.
</t>
  </si>
  <si>
    <t>1203558769349606</t>
  </si>
  <si>
    <t>Exemplos de perguntas para fazer no GPCT</t>
  </si>
  <si>
    <t>SDR`s,Gabriel Baeta</t>
  </si>
  <si>
    <t xml:space="preserve">Aula:
SDR`S - Gabriel Baeta - Modelo GPCT
https://drive.google.com/file/d/16LStcljn_Wv6pYAinwzqXbVpdAwYResj/view?usp=share_link
Minutagem:
Link vídeo final:
https://drive.google.com/file/d/1jDFnIz74WGjZZ7wabI0rSm2bvtlucEBa/view?usp=share_link
Alteração:
https://drive.google.com/file/d/120TAXBlhi9CpHeQwuCC-ZMTnR6SEvw_S/view?usp=share_link
Transcrição:
Quais perguntas que dá para fazer para cada uma dessas, para mapear os objetivos, as metas, os planos, os desafios e time, tem alguns exemplos que você consegue dar pra galera? A gente pode pegar um entre cada uma das letras do GPCT, o objetivo é muito simples. Então, essa pergunta de, cara qual o motivo do seu contato? O que te motivou a falar com a gente? Ou você já adianta a pergunta.
Cara, geralmente quem procura a gente está com o problema tal, é isso? Que ai você acelera também. Porque se você tem muito volume e você ficar perguntando coisa demais você não vai atender tanto lead, e ai você perde tração. Agora, se você tem menos volume, ai você já pode ter mais calma,  conversar mais com o lead, entender um pouco mais. Agora indo para o P de plano, a eu tenho pouco volume.
Você já pode avançar um pouquinho. Beleza cara, e que tipo de plano você está fazendo por aí hoje para atingir esse seu objetivo? Aí geralmente o lead, o lead bom já vai te falar cara, é por isso que eu estou entrando em contato, eu não sei o que fazer. Você já tem a faca e o queijo na hora para marcar a reunião, então perfeito cara, o meu especialista vai poder te mostrar o que você pode fazer para resolver esse seu objetivo.
Ai você não precisa  prolongar, então acho que muito SDR as vezes também faz esse excesso de perguntas, então vocês tem que tomar cuidado nesse sentido. Vocês não precisam perguntar tudo, e às vezes eu já havia alguns processos onde o SDR tem uma lista de perguntas, sendo que na terceira ele já poderia parar e marcar a reunião.
</t>
  </si>
  <si>
    <t>1203642713062944</t>
  </si>
  <si>
    <t>como o líder impacta na cultura do time comercial</t>
  </si>
  <si>
    <t>https://drive.google.com/file/d/1GrA9Y_hhfAYDLPLX4VRBuYaTxXxlLIcX/view?usp=share_link</t>
  </si>
  <si>
    <t>Aula:
Líderes de Vendas "Criando uma cultura de alta performance" com Lívia Alves
https://drive.google.com/file/d/1v_mR9a82GoyKW71JQSrlPG1u93p-fuqF/view
Minutagem:
22:45/23:10 — 23:45/24:17 — 24:34/25:00
Link vídeo final:
https://drive.google.com/file/d/1pmBRJ6Qejr7CSVKsWLJLl9HZjGwPleII/view?usp=share_link
Link alterações:
https://drive.google.com/file/d/1g9H1IBfOkWV8L5E4hVl-TZmyNt95BwHm/view?usp=share_link
Transcrição:
Mas eu queria ouvir de você pontos positivos e negativos que o líder pode impactar dentro dessa cultura e onde ele deveria focar, quais os pontos principais você acha que deveria focar? E quais pontos principalmente evitar para garantir que não contamine uma organização? Que a gente sabe que as vezes para contaminar é uma gotinha de óleo na água você contamina tudo.
Então, se eu pudesse falar de impactos do gestor na construção da cultura é justamente, o gestor é o principal responsável pela cultura do time. Ele não deve ser só o guardião da cultura da empresa, mas aqui eu estou falando da cultura do time de vendas, nós enquanto líderes de time de vendas temos que criar a nossa cultura do nosso time de vendas.
Se o gestor não for exemplo, a equipe não vai ter performance, se os gestores não se desenvolvem o time não vai se desenvolver. Então o gestor ele tem que ser muito genuíno, ao direcionar as pessoas, ao extrair o melhor delas, ao inspirar essas pessoas, ao assumir responsabilidades. 
Então eu sou bastidor quando a equipe bate meta, quando a equipe não bate meta eu sou protagonista. Então eu sou a responsável, eu assumo essa responsabilidade. É claro que em times comerciais sempre tem competição. Competição é legal, é saudável, mas sem passar por cima de ninguém, sem ser tóxico dentro da equipe. Então esse é um dos valores que para mim, enquanto líder de equipes comerciais é inegociável.</t>
  </si>
  <si>
    <t>1203951798592334</t>
  </si>
  <si>
    <t>Como trabalhar com um cliente insatisfeito?</t>
  </si>
  <si>
    <t>Aula:
Líderes de Vendas - Land &amp; Expand - Rafael Mussato - Zendesk
https://drive.google.com/file/d/1a13hYYC3igUHrzYqbfqcWSwz6LLMEh-O/view?usp=share_link
Minutagem:
43:24/45:43
Link vídeo final:
https://drive.google.com/file/d/1gXVfnyA31gHYrdCZNAZ6k0uLCn70_dbG/view?usp=share_link
Alteração:
https://drive.google.com/file/d/1iOeF7JwDsKpqKyfBNCN73KKviBKvI9Ac/view?usp=share_link
Transcrição:
Estabelecimento de confiança é fundamental para você vender e vender mais. Se você recebeu a conta truncada, você tem pouca relação com esse cliente, você não resolveu os problemas dele, esquece que esse cara não vai comprar de você. Ai eu acho que entram duas análises super importantes, um exemplo aqui do meu caso, a gente não é medido por retenção só por expansão, uma análise super enviesada, digamos sem relevo de uma situação como essa poderia ser, se o cara for embora o cliente eu sinto muito seu cliente espero que você volte um dia, tchau vou vender.
Mas isso não é land and expand, porque se eu mantiver esse cliente, se eu mantiver esse cliente satisfeito, muito provavelmente daqui seis meses é o cara que vai vir comprar e vai vim comprar grande comigo, exemplo, o cara está com um problema técnico em uma questão XPTO e eu posso trabalhar com o parceiro, eu sei quem é o parceiro que tem conhecimento desse problema XPTO, cara vamos botar um parceiro nessa conta, a gente vai fazer um give and get depois com esse parceiro. Então usar essas alavancas e o ecossistema, eu acho que é fundamental para você.
É como se você fosse um orquestrador, sabe? Você é o meio de campo ali, fala puts aqui eu vou nesse set de contas vai ser os solutions consultant, aqui vai ser o CSM, aqui eu vou assignar para parceiro, aqui vai ser eu mesmo que vou tocar, é como se você tivesse resolvendo, dando atenção para aquele cliente que vai comprar daqui 6 meses mas sem necessariamente estar desprendendo todo o tempo que aquela resolução demandaria.</t>
  </si>
  <si>
    <t>1204009117663271</t>
  </si>
  <si>
    <t>A satisfação do cliente é essencial para o Up Selling?</t>
  </si>
  <si>
    <t>https://drive.google.com/file/d/1bjWRd--AjxRZHe0FVxhMaIYr_RjjDem1/view?usp=share_link</t>
  </si>
  <si>
    <t>Aula:
Executivos de Vendas - Talita Passos - Cross-Selling e Up-Selling
https://drive.google.com/file/d/1ibZt276CeRw0AYS6zlAnUvGDKxO6xCgh/view?usp=share_link
Minutagem:
21:23/21/34 — 21:42/23:24
Link vídeo final:
https://drive.google.com/file/d/1k49oe2gMYE-MouW45wZ9f-mmfgYi9vNL/view?usp=share_link
Alteração:
https://drive.google.com/file/d/1kfabPJEjfOcCAy_fcmTtnSNDTYQkWQaR/view?usp=share_link
Transcrição:
Será que para fazer up-sell e cross-sell, só dá para vender mais dentro da conta se o cliente estiver satisfeito?
Eu acho que como muita coisa na vida essa resposta é, depende. Tem muitos produtos que a gente consome que se assemelham muito a uma commodity, ou são uma commodity, né? Às vezes, operadoras de Telecom, por exemplo, tem só uma que só atende aquela região.
Então, mesmo que o cliente não esteja super satisfeito, se ele precisar fazer um upgrade do volume de internet, ele vai ter que acabar crescendo com aquele fornecedor mesmo. Então acho que nesse caso não. A gente sempre tem um concorrente e um diferencial e os nossos concorrentes também tem seus diferenciais.
Então eu já vivi situações de o cliente fazer up-sell porque ele não tinha tempo de fazer um processo licitatório, uma RFP, mas não necessariamente porque ele estava super satisfeito. Então ele faz ali um up-sell temporário para atender aquela demanda, mas nada impede, talvez a gente possa impedi-lo, convencendo de não abrir esse RFP no mercado, mas pode acontecer. Agora se um produto que a gente vende tem uma outra empresa vendendo algo parecido e faz sentido olhar para essa empresa, pode acontecer do nosso cliente estar olhando, então idealmente, a gente deveria ter uma base de clientes satisfeitos para fazer up-sell ali, acho que é muito mais provável.</t>
  </si>
  <si>
    <t>1203695764573111</t>
  </si>
  <si>
    <t xml:space="preserve">Aula:
Canais &amp; Parcerias - Samir Carlton - Case: Mercado Pago
https://drive.google.com/file/d/1OQhj281BDkd8AQ1w32dTIdQDhf7vPiB8/view?usp=share_link
Minutagem:
30:30/31:44
Link vídeo final:
https://drive.google.com/file/d/13azy-W-fTsEo4SXzbIzRGCc5ch6YE-NM/view?usp=share_link
Alteração:
https://drive.google.com/file/d/1_bvuOJhdEbKHo7b6OnTEFQWvYXlaYYYu/view?usp=share_link
Transcrição:
Tem um aprendizado aqui, pelo menos para mim isso sempre foi muito válida. A área de canais, a galera acha que a gente é milagreiro, né? Você colocar uma pessoa para cuidar, cuida ai, desses 150 canais e faz eles produzirem. E aí o diretor comercial, quer que produza mais, fala, vai lá no canal, manda ele produzir 30% a mais.
Eu acho que essa análise que você falou, essa matriz de impacto versus potencial, e a entrega é muito importante para conseguir justificar ter mais recurso, né? Assim, acho que na minha experiência, a gente viu isso muito lá na Creditas né? O time de parceria saiu de 10 pessoas para 40 e tantas pessoas, e a gente saiu de produzir 2% do resultado da empresa para 20% em 9 meses.
Mas porque tinha gente, você precisa de gente conversando com os parceiros, movendo esses parceiros, criando essa rede de apoio que envolve, geração de demanda, envolve enablement, envolve operação, envolve questões técnicas como você falou. Então acho que o número de head counts, o número de pessoas que você tem dedicado para atender e suportar os seus parceiros é muito importante.
</t>
  </si>
  <si>
    <t>https://drive.google.com/file/d/1NmWUsYqaoTHZ7c32jVM6uxaATX_WPpbe/view?usp=share_link</t>
  </si>
  <si>
    <t>A ferramenta vizinha sempre vai parecer melhor</t>
  </si>
  <si>
    <t>Líderes,Gabriela Uekita</t>
  </si>
  <si>
    <t>Aula:
Líderes de Vendas - CRM Hubspot - Melhores Práticas - Gabriela Uekita
https://drive.google.com/file/d/1ya2Fj8SaJKmqabgRqFz6V-nLQ7XXsDAP/view?usp=share_link
Minutagem:
23:01/24:25
Link vídeo final:
https://drive.google.com/file/d/19xCnUncLy6lUbzYhjqELDTigyWjvIMMR/view?usp=share_link
Alteração:
https://drive.google.com/file/d/1DQurYaE-5BMOy0Xxdi8teLSxZXOY-zM2/view?usp=share_link
Transcrição:
 A gente na Pipelovers está com cinco, seis pessoas e a gente já começa a ter essas discussões. A gente já usa uma ferramenta aqui para nossa ferramente de automação de marketing, o disparo de e-mail marketing é em outro, o CRM é em outro, e aí todo o mundo olha sempre a grama mais verde da ferramenta vizinha, a não, porque a outra ferramenta tem dashboards melhores, porque a outra ferramenta tem aplicativo mobile.
Tá, mas espera aí, por algum motivo a gente tem a nossa operação rodando hoje com algumas soluções aqui, tem um volume gigante de CRMs que são os CRMs que já nascem integrados com os ERPs. Vocês provalmente em algum momento vão chegar nessa  discussão entre, pô será que a gente vai ter implementado um SAP, um TOTVS, um Oracle, e a gente vai querer que o nosso CRM já esteja nativamente integrado com o que a gente precisa emitir de nota fiscal, para o nosso cliente.
Essa análise no momento de implementar um CRM do que é a missão crítica para você como empresa e depois comparar isso com a ferramenta que você já está aí, com a ferramenta futuro, às vezes é um trade off, que as vezes você tem coisas que funcionam e você abre mão, e você vai atrás de coisas novas que vão te incrementar mas não necessariamente resolveu total o problema.</t>
  </si>
  <si>
    <t>1204073894803529</t>
  </si>
  <si>
    <t>Quem pode fazer a implantação de um CRM</t>
  </si>
  <si>
    <t>Aula:
Líderes de Vendas - CRM Hubspot - Melhores Práticas - Gabriela Uekita
https://drive.google.com/file/d/1ya2Fj8SaJKmqabgRqFz6V-nLQ7XXsDAP/view?usp=share_link
Minutagem:
15:13/16:48
Link vídeo final:
https://drive.google.com/file/d/1K1Oih3KyGRE85Kp4zsLrD4puvGRWEHzd/view?usp=share_link
Alteração:
https://drive.google.com/file/d/1BEuBgWC0pg3OBA6hAwNeQ1Sh6UCr-C7-/view?usp=share_link
Transcrição:
Quando a gente trouxe o Hubspot para cá, a gente estava com uma pessoa que era especialista em Hubspot aqui dentro, só que essa pessoa acabou saindo da Pipo, e aí na época o Thi e a Manu perguntaram para mim se eu achava que a gente deveria trazer uma consultoria externa para fazer a implementação, e eu dei para eles a mesma resposta que eu dei em outros cenário em que a gente precisava fazer implementação de ferramenta.
Eu acho que a gente pode ter ajuda, mas eu não acho que a gente deve entregar a implementação na mão de uma empresa terceira, eu acho que devem ter consultorias ótimas, eu acho que devem ter experts ótimos em CRM e tudo mais, mas existe uma condição que é dentro de uma startup você está construindo constantemente o seu processo.
E aí a questão era, como a gente precisa sempre estar mudando e adaptando o nosso processo, não fazia sentido a gente desacelerar as nossas alterações porque a gente está com um terceiro envolvido. Então eu falei, pode ser doloroso, vai ser, mas a gente precisa desenvolver as pessoas dentro da Pipo para que elas tenham conhecimento do nosso processo dentro do CRM, para que elas tenham a capacidade de fazer as alterações quando a gente precisar.</t>
  </si>
  <si>
    <t>Uma experiência de transição de carreira</t>
  </si>
  <si>
    <t>1204073894803548</t>
  </si>
  <si>
    <t>https://drive.google.com/file/d/1mO4mceQBxgxMPbC5EXyd0I12UuwLkaqj/view?usp=share_link</t>
  </si>
  <si>
    <t>A realidade do processo de implementação de um novo CRM</t>
  </si>
  <si>
    <t>Aula:
Líderes de Vendas - CRM Hubspot - Melhores Práticas - Gabriela Uekita
https://drive.google.com/file/d/1ya2Fj8SaJKmqabgRqFz6V-nLQ7XXsDAP/view?usp=share_link
Minutagem:
24:36/24:58 — 26:10/28:37
Link vídeo final:
https://drive.google.com/file/d/1jOU_9Rp7FrdTZv58I2DFUPO9gk5SrAO0/view?usp=share_link
Transcrição:
Quais foram para você, os passos da implementação dessa nova ferramenta e que pessoas que foram envolvidas?
Fazendo um retrospecto, a gente deveria ter envolvido mais pessoas neste momento para a gente conseguir planejar melhor.
O dia a dia, basicamente era assim. Sentava eu e algumas outras pessoas que estavam envolvidas em outros times, em processos, e a gente falava beleza, como é que os eu processo funciona hoje? Vamos desenhar. Como é que a gente pode colocar isso dentro da ferramenta? Vamos desenhar.
E aí no fim do dia é, vai e implementa esse negócio aqui e vamos. Como as pessoas estavam pouco envolvidas, quando a gente "rolloutou" para as pessoas fazerem os testes, para elas sentirem se aquilo que estava funcionando para elas ou não, eu acho que ela se sentiam um pouco descoladas do processo.
Ela falava "cara mas eu não entendo exatamente porque eu tenho que fazer isso aqui". E aí elas acabavam se distanciando, e aí não tanto sobre o conteúdo, mas porque elas estavam se sentindo distantes daquilo elas não davam tanto valor para aquele momento de teste. E aí quando a gente foi de fato lançar, nossa só tomamos na cabeça.
É basicamente como se não tivesse testado, sabe? "Não, eu não sabia que isso aqui tinha que ser desse jeito". E tudo mais.
A implementação do CRM tem que ser prioridade para todo mundo, né? É uma coisa que é nível empresa, se a empresa não estiver alinhada que aquilo é uma prioridade, aquilo não vai sair da melhor forma que pode sair naquele momento.</t>
  </si>
  <si>
    <t>1204073894803554</t>
  </si>
  <si>
    <t xml:space="preserve">O autoconhecimento é a chave para o desempenho do sucesso - conselhos </t>
  </si>
  <si>
    <t>O responsável pela implementação e gestão do CRM</t>
  </si>
  <si>
    <t>https://drive.google.com/file/d/1vWRuPkLQe1qvAVXAcHqc8htCESuwOtOf/view?usp=share_link</t>
  </si>
  <si>
    <t>Aula:
Líderes de Vendas - CRM Hubspot - Melhores Práticas - Gabriela Uekita
https://drive.google.com/file/d/1ya2Fj8SaJKmqabgRqFz6V-nLQ7XXsDAP/view?usp=share_link
Minutagem:
17:10/18:05
Link vídeo final:
https://drive.google.com/file/d/1TXeIHIdUh4Mb_yxV3su_-UzZZsjlatWI/view?usp=share_link
Alteração:
https://drive.google.com/file/d/1w4r3hO94jzDcQ8hKRrnVycO9jsMgvZzm/view?usp=share_linka
Transcrição:
Todas as empresas que tem um bom uso de CRM, elas tem alguém que domina esse produto dentro de casa, né? Vocês tinham uma pessoa que acabou saindo, você teve que assumir esse papel de virar a nova especialista em Hubspot.
Isso para mim é caminho crítico, se os líderes da implementação, as pessoas dentro da empresa não tiverem conhecimento de todo o potencial daquele produto que eles estão utilizando você vai estar definitivamente sub utilizando uma tecnologia que normalmente você está pagando uma graninha razoável e eu também sou bastante dessa opinião, tem muita gente "Ah, vou contratar uma consultoria que vai fazer a implementação aqui para mim e o  cara se vira". E aí no final em geral reclama "Ah, a consultoria era ruim, não fez exatamente o que eu queria". Mas nem você entende totalmente o potencial do produto para poder discutir junto com a consultoria como fazer.
Então eu gosto muito do modelo que vocês fizeram, obviamente dói mais, porque você bate um pouco de cabeça. As vezes ter alguma consultoria que ajude a cortar caminhos é muito legal.</t>
  </si>
  <si>
    <t>1203695764573107</t>
  </si>
  <si>
    <t>Construindo realacionamento de confiança com o cliente</t>
  </si>
  <si>
    <t>Sales Operations</t>
  </si>
  <si>
    <t>https://drive.google.com/file/d/1Wq_aKxEe_uq8twVwmdsc-ph5a0NrALwi/view?usp=share_link</t>
  </si>
  <si>
    <t xml:space="preserve">Aula:
Canais &amp; Parcerias - Samir Carlton - Case: Mercado Pago
https://drive.google.com/file/d/1OQhj281BDkd8AQ1w32dTIdQDhf7vPiB8/view?usp=share_link
Minutagem:
13:45/15:43
Link vídeo final:
https://drive.google.com/file/d/1mXpKGcFe6TZYjya_srwBwA7j21H5Yu6-/view?usp=share_link
Alteração:
https://drive.google.com/file/d/1qeiNcps1N9OxN7jFW9BBEUd5wHa3J_SD/view?usp=share_link
</t>
  </si>
  <si>
    <t>1203951798592336</t>
  </si>
  <si>
    <t>Aula:
Canais &amp; Parcerias - Nara Guimarães - Modelos de Programas de Canais
https://drive.google.com/file/d/12nFgcrvx4hzQnpkfltYCJUtWh9uD8732/view?usp=share_link
Minutagem:
14:37/14:44 — 15:25/15:41 — 15:55/16:26 — 17:01/17:39 — 17:47/18:11 — 18:20/19:36 — 20:08/20:13
Link vídeo final:
https://drive.google.com/file/d/1FzFndaz81FNoVTn_eCeMbR_-o4sBjsbR/view?usp=share_link
Link alterações:
https://drive.google.com/file/d/1xUL5q95cIgGoUr-ld3r154oq86rpAfVv/view?usp=share_link</t>
  </si>
  <si>
    <t>https://drive.google.com/file/d/1TbqULkTDX8AajyBrYH_iAQKf4Km6Im3r/view?usp=share_link</t>
  </si>
  <si>
    <t>1204073895481488</t>
  </si>
  <si>
    <t>Nem todo teste é realizável</t>
  </si>
  <si>
    <t>Aula:
Planejamento Comercial - Nelson Fagundes - Como mensurar testes no processo de vendas
https://drive.google.com/file/d/1cZNa2LMRj8jK3T8b1aBDVlcrJpoSbOp6/view?usp=share_link
Minutagem:
22:58/23:40
Link vídeo final:
https://drive.google.com/file/d/1QTgnMtBZWknlp3vv4QPgw8k3YCFTdAuY/view?usp=share_link
Transcrição:
Uma pergunta que eu sempre faço para quando a gente vai testar alguma coisa, se é escalável e se tem como medir. Então você é comercial, quando a gente estava lá era comercial, a gente ouve muita sugestão, não só do comercial mas da companhia toda e se não tem algo que é escalável ou se não tem como medir, você tem que questionar se de fato o teste precisa ser feito, as vezes é uma ideia legal mas não necessariamente vai ser possível escalar ou mesmo medir.
Enfim, tem inúmeros exemplos ai que a gente poderia falar, poderia trazer um outro aqui, mas eu acho que isso é importante saber também.</t>
  </si>
  <si>
    <t xml:space="preserve">O passo a passo da construção de um relacionamento </t>
  </si>
  <si>
    <t>1204073894803556</t>
  </si>
  <si>
    <t>Quais os elementos para fazer testes bem sucedidos?</t>
  </si>
  <si>
    <t>O início de um bom relacionamento com o cliente</t>
  </si>
  <si>
    <t>Aula:
Planejamento Comercial - Nelson Fagundes - Como mensurar testes no processo de vendas
https://drive.google.com/file/d/1cZNa2LMRj8jK3T8b1aBDVlcrJpoSbOp6/view?usp=share_link
Minutagem:
32:16/32:37 — 33:24/34:20 — 36:44/37:18
Link vídeo final:
https://drive.google.com/file/d/1jz5-NEEtYZbbJRpBs9ijC3hI8wxEEYgq/view?usp=share_link
Transcrição:
Quais são os elementos que você considera importante para ter em conta na hora do teste para garantir que ela vai ser o mínimo enviesada possível?
No final, chegar no momento do teste e evitar ter resultados ali enviesados, né? É muito importante você perguntar se é o melhor momento para o teste. Puts, vou fazer um teste no mês de dezembro, que a galera vai entrar em férias coletiva de um produto que é super sazonal e dezembro nunca acontece nada.
Será que é, de fato a melhor maneira, o melhor momento de se fazer um teste, né? Pode até fazer, mas você tem que ter clareza em como recortar os fatores externos, né? Eu acho que isso é bem importante.
E cara, por fim, para não enviesar testes, o registro de dados, mas se você não tiver ali uma maneira fácil, rápida, ágio de registro de atividades de dados dos testes, você pode perder também ou, e aí você enviesar seu teste em algum momento, né?
Então é importante cobrir tudo isso também, de onde vai estar os dados, como vão ser consultados antes de começar a execução em si.</t>
  </si>
  <si>
    <t>https://drive.google.com/file/d/1HSJVOlsTPMmHtPHQC8ayqc2fCqeg24Nw/view?usp=share_link</t>
  </si>
  <si>
    <t>1203558769349608</t>
  </si>
  <si>
    <t>Como fazer perguntas assertivas na prospecção</t>
  </si>
  <si>
    <t xml:space="preserve">Vendas técnicas para vendedores generalistas </t>
  </si>
  <si>
    <t xml:space="preserve">Aula:
SDR`S - Gabriel Baeta - Modelo GPCT
https://drive.google.com/file/d/16LStcljn_Wv6pYAinwzqXbVpdAwYResj/view?usp=share_link
Minutagem:
Link vídeo final:
https://drive.google.com/file/d/14sXPMYo4_CLBS7_F1YwiJna8_P7BONT5/view?usp=share_link
Alteração:
https://drive.google.com/file/d/1Q19jpIrtaQWvCZOAYl-jiKXXc8KGxP0Y/view?usp=share_link
</t>
  </si>
  <si>
    <t>https://drive.google.com/file/d/1U-KOj3pGt4qpqZoFG4cNzf69EXqfzQoQ/view?usp=share_link</t>
  </si>
  <si>
    <t>1203558703538562</t>
  </si>
  <si>
    <t>Como avaliar o desempenho da empresa segmentada em produtos?</t>
  </si>
  <si>
    <t>anaduccini@gmail.com</t>
  </si>
  <si>
    <t>Aula:
SDR`S - Mariana Mello - Case G4 Educação
https://drive.google.com/file/d/1TWVUFUjiTsnwUG8De6b24rzid22y9Lk0/view?usp=share_link
Minutagem:
Link vídeo final:
https://drive.google.com/file/d/1rAeS9gaHBsulXShBnYE8WktNUeXTBJvx/view?usp=share_link</t>
  </si>
  <si>
    <t>1203558769349604</t>
  </si>
  <si>
    <t>Perguntas no GPCT</t>
  </si>
  <si>
    <t xml:space="preserve">Aula:
SDR`S - Gabriel Baeta - Modelo GPCT
https://drive.google.com/file/d/16LStcljn_Wv6pYAinwzqXbVpdAwYResj/view?usp=share_link
Minutagem:
Link vídeo final:
https://drive.google.com/file/d/1vPMr258g4975dGNWiGMgbyyQYxPVqUJL/view?usp=share_link
Link alterações:
https://drive.google.com/file/d/1JXVDHb4o23rRMyYvMvgflIQ8C41OH0U-/view?usp=share_link
</t>
  </si>
  <si>
    <t>1203831885482378</t>
  </si>
  <si>
    <t>Como motivar um time de SDR</t>
  </si>
  <si>
    <t xml:space="preserve">Aula:
SDRs "Estruturando - Operação de Pré-Vendas - Lucas Abrucezze
https://drive.google.com/file/d/1eobnzflRQV_JotskVb-7ac4aDCnoB0td/view?usp=share_link
Minutagem:
14:47/15:13 — 15:25/15:45 — 15:54/16:00 — 16:04/16:41 — 19:38/20:29
Link vídeo final:
https://drive.google.com/file/d/1iVqTk8AGgzKiD9Y8Uazybj4nCzTRCNcz/view?usp=share_link
</t>
  </si>
  <si>
    <t>1203614404300121</t>
  </si>
  <si>
    <t>Futuro do mercado de prospecção</t>
  </si>
  <si>
    <t xml:space="preserve">https://drive.google.com/file/d/1P1fCs8T3Y5rVh3Xdq2_GukmB1UPHDGOO/view?usp=share_link
Alteração:
https://drive.google.com/file/d/19hIQ2Poc8Kw-yPWsLN7L-9rnl9ZfSpIY/view?usp=share_link
</t>
  </si>
  <si>
    <t>1203642713059718</t>
  </si>
  <si>
    <t>As diferenças entre um software para pré-vendas e vendas</t>
  </si>
  <si>
    <t xml:space="preserve">Aula:
SDR`S - Sérgio Albuquerque - Aumento de Produtividade com ferramentas de Sales Engagement
https://drive.google.com/file/d/1E8fje2l-LJB69BiZpxF9RXfTkIEh6nad/view?usp=share_link
Minutagem:
09:48 - 10:58
Link vídeo final:
https://drive.google.com/file/d/1k6CJHU2sx9OVpOKFGygEnYNl5fF5rs41/view?usp=share_link
</t>
  </si>
  <si>
    <t>1204073894803552</t>
  </si>
  <si>
    <t>Os critérios para a escolha de um novo CRM</t>
  </si>
  <si>
    <t>https://drive.google.com/file/d/1QNEliCJJa_DOhFzmx1XMD2c04SJFjeUf/view?usp=share_link</t>
  </si>
  <si>
    <t>Aula:
Líderes de Vendas - CRM Hubspot - Melhores Práticas - Gabriela Uekita
https://drive.google.com/file/d/1ya2Fj8SaJKmqabgRqFz6V-nLQ7XXsDAP/view?usp=share_link
Minutagem:
18:22/18:43 — 19:05/19:19 — 19:51/20:30 — 20:37/21:55
Link vídeo final:
https://drive.google.com/file/d/1pVVDg86h_yxuPUmgcK7-zlznrPxl1n4b/view?usp=share_link
Transcrição:
Quais foram os critérios que vocês adotaram para selecionar essa nova ferramenta, dado que vocês já tinham trocado, tudo bem a primeira vez ali, nem conta muito mas o que vocês analisaram de outras ferramentas, quais foram outros produtos e o que pesou na decisão final de vocês por selecionar o Hubspot?
A gente precisava que as coisas tivessem mais acessíveis, a gente estava com um grande problema de conseguir desenhar a jornada inteira do cliente dentro da Pipo, acabou que naquele momento o marketing já usava o Hubspot dentro da Pipo, e aí quando as pessoas foram analisar quais eram as coisas relevantes ali, o Hubspot pareceu englobar bastante essa situação, então como a gente já tinha uma perna dele dentro da Pipo, optar por colocar ele no restante da Pipo não foi tão difícil assim.
Mas existem alguns problemas que a gente teve no nosso processo aqui de escolha da ferramenta, que vale muito a pena compartilhar, normalmente a mudança por um CRM acho que principalmente nas startups é muito movimentado pelo time comercial, mas a decisão não pode ficar limitada ao time comercial, é importante você trazer outras equipes, outras pessoas que cuidem de processos no restante da empresa e principalmente as pessoas que cuidam do CRM na sua empresa hoje para decidir, porque essas pessoas são as pessoas que tem o conhecimento sobre quais são as features que você tem hoje na ferramenta que você tem hoje, para você conseguir ver se na sua nova ferramenta você não está encontrando somente aquilo que não tem na ferramenta que você tem hoje, mas também que tem o que você tem hoje e você precisa para rodar a sua operação.</t>
  </si>
  <si>
    <t>1203642713062964</t>
  </si>
  <si>
    <t xml:space="preserve">Aula:
Canais e Parcerias - Caio Peres - Programa de Agentes Autônomos - XP Investimentos
https://drive.google.com/file/d/1rNmJQwxdo63nw_IjCAMbpGrcwbOL8JQl/view
Minutagem:
29:29/30:38
Link vídeo final:
https://drive.google.com/file/d/17x1VLx_G96k0VmFrtArjcCq2jfITR5eo/view?usp=share_link
Link alteração:
https://drive.google.com/file/d/107w264uWO1zJe6N5bYQdJuMaRCX7B5cx/view?usp=share_link
</t>
  </si>
  <si>
    <t>1203951798696355</t>
  </si>
  <si>
    <t>Os 4 principais incentivos para Canais &amp; Parcerias</t>
  </si>
  <si>
    <t xml:space="preserve">Aula:
Canais &amp; Parcerias - Nara Guimarães - Modelos de Programas de Canais
https://drive.google.com/file/d/12nFgcrvx4hzQnpkfltYCJUtWh9uD8732/view?usp=share_link
Minutagem:
42:30/42:38 — 46:43/47:50 — 51:50/52:34 — 52:48/53:12 — 53:28 — 54:02 — 55:37/56:23
Link vídeo final:
https://drive.google.com/file/d/1DMpc9Uorp6R1HbCSDgQ9z3xgj_bkr3bn/view?usp=share_link
Link alterações:
https://drive.google.com/file/d/1bbSvYN9hBrsZAgLY41lNtDe83p3oAIvx/view?usp=share_link
</t>
  </si>
  <si>
    <t>https://drive.google.com/file/d/1856pTGhWhqSVuwyLljlgmUXbyNeUs2FY/view?usp=share_link</t>
  </si>
  <si>
    <t>Aula:
Canais &amp; Parcerias - Camila Alonso - Case TOTVS
https://drive.google.com/file/d/1-MObdK9H3NL7eViOu7jRgVNsHjAVUUtw/view?usp=share_link
Minutagem:
32:29/33:11
Link vídeo final:
https://drive.google.com/file/d/1G7Uh950XIJl0XGj5Xysv-Re0CbV9NPFJ/view?usp=share_link
Transcrição:
Precisa ter uma pessoa do lado de lá que não é o VP da empresa, que está responsável por fazer com que essa parceria funcione do lado de lá. Isso para mim é uma das coisas mais importantes quando você quer trabalhar com canais e com parcerias.
Tem alguém na sua própria empresa que está gerindo um outro parceiro e que aquela pessoa vive daquela parceria dar certo?
Tem muita empresa que tem uma área de parcerias. A gente aqui está criando nossa área de parcerias, vamos buscar parceiros, assinamos um contrato e o seu mesmo time de vendas diretas vai lá e também ajuda a fazer vendas dentro de um parceiro e digo mais a ainda, dentro de um parceiro estratégico.
Isso cara, é o primeiro caminho para dar tudo errado.</t>
  </si>
  <si>
    <t>1203831885482364</t>
  </si>
  <si>
    <t>As habilidades de um vendedor especialista</t>
  </si>
  <si>
    <t xml:space="preserve">Aula:
Executivos de Vendas - Brunna Borghezan - O papel do Vendedor Especialista
https://drive.google.com/file/d/1cWYNV-r9bKl5wD32N96HQyiD-GuXQQZT/view?usp=share_link
Minutagem:
53:33/53:51 — 54:11/55:37
Link vídeo final:
https://drive.google.com/file/d/1Kvt-izf3fux38zyRvC5SgON5u1UMXAGH/view?usp=share_link
</t>
  </si>
  <si>
    <t>https://drive.google.com/file/d/12t977BQbedhvfb9dx26zbgKY-gnbLfgf/view?usp=share_link</t>
  </si>
  <si>
    <t>1203695764573059</t>
  </si>
  <si>
    <t>Personalizar mensagens pode ser o segredo para entrar em grandes contas.</t>
  </si>
  <si>
    <t>Aula:
Líderes de Vendas - ABM - Account Based Marketing - Felipe Spina
https://drive.google.com/file/d/18WWzQjGBaw9q-oz33vvW2R7dqz37ZswL/view
Minutagem:
5:40/6:50
Link vídeo final:
https://drive.google.com/file/d/17SX8t-Sb0M_WrciqtBgmLjl2t6BN2y8B/view?usp=share_link
Alteração:
https://drive.google.com/file/d/1RPnvc2c8y_42SMdS3lVJyicBBl9mZ-7_/view?usp=share_link</t>
  </si>
  <si>
    <t xml:space="preserve">As principais competências de um bom vendedor técnico </t>
  </si>
  <si>
    <t>1203642713062916</t>
  </si>
  <si>
    <t>https://drive.google.com/file/d/1fe0H5o-abassL9AxFxoxLwTgQZfRX7mN/view?usp=share_link</t>
  </si>
  <si>
    <t>A ambição deve andar junto com a maturidade</t>
  </si>
  <si>
    <t xml:space="preserve">Aula:
Sales Leaders com Alexandre Apendino - Integrando Equipes de Vendas pós M&amp;A
https://drive.google.com/file/d/1EvFOSNigOlRbcF_ZtOuDqkm6C969u4sX/view
Minutagem:
06:01/06:38.
Link vídeo final:
https://drive.google.com/file/d/1AZF6DVNXrQhjrJctfYR6dWtYOgfP3zdd/view?usp=share_link
</t>
  </si>
  <si>
    <t>1203951798592332</t>
  </si>
  <si>
    <t>A efetividade do seu produto é a chave para o vínculo com o cliente</t>
  </si>
  <si>
    <t>Aula:
Líderes de Vendas - Land &amp; Expand - Rafael Mussato - Zendesk
https://drive.google.com/file/d/1a13hYYC3igUHrzYqbfqcWSwz6LLMEh-O/view?usp=share_link
Minutagem:
36:44/38:02
Link vídeo final:
https://drive.google.com/file/d/18pyijWoiMc1fXW4CNN3Rr5PSgYL6smO1/view?usp=share_link</t>
  </si>
  <si>
    <t>1203558703539766</t>
  </si>
  <si>
    <t>Quanto cresceu a área de Customer Success no Brasil?</t>
  </si>
  <si>
    <t xml:space="preserve">Ciro Falcão </t>
  </si>
  <si>
    <t>Líderes,Mateus Pestana</t>
  </si>
  <si>
    <t>Aula:
Mateus Pestana "Estratégias de Customer Success"
Minutagem:
Link vídeo final:
https://drive.google.com/file/d/1qIhe2A4GryIwc7AMasEcRV6umZDySCDv/view?usp=share_link
Alteração:
https://drive.google.com/file/d/1eNJ0EmHgHi3K_5oLB5kWwHEds2UT2Dzd/view?usp=share_link</t>
  </si>
  <si>
    <t>https://drive.google.com/file/d/1luNleeAOAFZMoxXjfQMoDjsIml_zq0_r/view?usp=share_link</t>
  </si>
  <si>
    <t>1203614404300149</t>
  </si>
  <si>
    <t>Primeiros passos para estruturar uma área de customer success</t>
  </si>
  <si>
    <t xml:space="preserve">https://drive.google.com/file/d/13vsvfBOyx0CPI2OGIQepDuBL-yIoqXRI/view?usp=share_link
Alteração Transição Vinheta:
https://drive.google.com/file/d/1mSrifiCrf81tntFI3DQbcO-ficDCaasq/view?usp=share_link
</t>
  </si>
  <si>
    <t>1203642713062936</t>
  </si>
  <si>
    <t>O que é alta performance?</t>
  </si>
  <si>
    <t xml:space="preserve">Aula:
Líderes de Vendas "Criando uma cultura de alta performance" com Lívia Alves
https://drive.google.com/file/d/1v_mR9a82GoyKW71JQSrlPG1u93p-fuqF/view
Minutagem:
13:33/13:38 — 13:42/14:26
Link vídeo final:
https://drive.google.com/file/d/1aH8OTrS7CaA4kk9ITtXOhXdzprTPkGjw/view?usp=share_link
Link alterações:
https://drive.google.com/file/d/1QxMCAQsGyL05rG1yWJau5JGoMQEuAIlI/view?usp=share_link
</t>
  </si>
  <si>
    <t>https://drive.google.com/file/d/1eXKOHNvuABvHqz0aYbjLQ__43RYbgaEm/view?usp=share_link</t>
  </si>
  <si>
    <t>1203789659146648</t>
  </si>
  <si>
    <t>Os 2 fatores mais importantes para um vendedor</t>
  </si>
  <si>
    <t xml:space="preserve">Aula:
Líderes de Vendas - WhatsApp para Acelerar Vendas - Jose Martim Juacida
https://drive.google.com/file/d/1_qC-zuVCyk2C4dxRKdkQa3q_0CYDbhiA/view?usp=share_link
Minutagem:
2:57/3:38
Link vídeo final:
https://drive.google.com/file/d/1r5zqq2zxGhjZwaiOaioRoRLCyUrVXbSV/view?usp=share_link
</t>
  </si>
  <si>
    <t>1203642713062956</t>
  </si>
  <si>
    <t>o papel do líder no onboarding do vendedor</t>
  </si>
  <si>
    <t xml:space="preserve">Aula:
Líderes de Vendas "Criando uma cultura de alta performance" com Lívia Alves
https://drive.google.com/file/d/1v_mR9a82GoyKW71JQSrlPG1u93p-fuqF/view
Minutagem:
37:37/37:54 — 38:07/38:19 — 38:28/38:45 — 39:07/39:58
Link vídeo final:
https://drive.google.com/file/d/1MUuFEc2yFzdio7XCbIip72MYrmhCDyjI/view?usp=share_link
Link alterações:
https://drive.google.com/file/d/1lcRk4I85nelCb4GgLY4hqSY9GlJgdzbP/view?usp=share_link
</t>
  </si>
  <si>
    <t>1203825109686312</t>
  </si>
  <si>
    <t>https://drive.google.com/file/d/1e9juyox0zvXsHiLvimrGxirgwHx0k_IA/view?usp=share_link</t>
  </si>
  <si>
    <t>Executivo de Vendas,Ricardo Dellova,Gustavo Pagotto</t>
  </si>
  <si>
    <t xml:space="preserve">Aula:
Executivos de Vendas - Ricardo Dellova - Vendendo Produtos Líderes de Mercado
https://drive.google.com/file/d/1w0D3Z3JWdjKFTIcJmoWEG1v-v7yHJ8ix/view?usp=share_link
Minutagem:
30:47/31:21 — 32:02/32:05
Link vídeo final:
https://drive.google.com/file/d/1HEGp4h8eQqkgU3CsfX4NFkV_GhGwsshD/view?usp=share_link
</t>
  </si>
  <si>
    <t>1204009117663267</t>
  </si>
  <si>
    <t>Aula:
Executivos de Vendas - Thaisa Fausto - Estratégias de Negociação
https://drive.google.com/file/d/1nRY49bKvs483aFhX6_VfsBEQjwgy6CNA/view?usp=share_link
Minutagem:
36:42/37:45 (cortar a parte que ele fala "cara de retardado)
Link vídeo final:
https://drive.google.com/file/d/1rS06Ga8ZT13z0S4mqfCecyqmSxKUVagc/view?usp=share_link
Transcrição:
Porque quando a gente fala de fazer uma boa negociação, as pessoas acham que você tem que ser aquele cara lobo de wall street, ah me vende essa caneta, né? Cara, não tem nada a ver com isso. Cara, eu nunca me esqueço uma época na TOTVS, eu não vou citar nomes, mas cara, um cara fechou um, a gente tinha um produto, esse produto a gente podia, a gente tinha escalabilidade de preços dele muito grande, o ticket médio do produto era vinte mil reais, teve um verdedor o cara vendeu esse produto por dezessete milhões de reais, um produto que custava vinte mil reais.
Porque que o cara fez isso? Porque desde a primeira reunião, ele fez um nível de personalização em relação ao problema do cliente. O problema do cliente, imagina se ele pagou dezessete milhões para resolver qual que era o tamanho do problema desse cliente. O cara sabia resolver, ele sabia qual que era o tamanho do problema daquele cara.</t>
  </si>
  <si>
    <t>1204009117663257</t>
  </si>
  <si>
    <t>Aula:
Executivos de Vendas - Thiago Reis - Carreira &amp; Crescimento para Executivos de Vendas B2B
https://drive.google.com/file/d/1x_1lq7oyVeljhqZZRAOOEGYWmMmQ2j5G/view?usp=share_link
Minutagem:
23:29/24:08 — 24:12/25:00
Link vídeo final:
https://drive.google.com/file/d/1KXzRSUdbmpCd3NhpT8rT2KcyTGOFBe_W/view?usp=share_link
Transcrição:
Hoje tá galera, dentro da operação da Growth, eu com três vendedores eu vendo mais do que eu vendia com vinte e cinco vendedores na empresa que eu fui diretor de vendas no passado, pô o cara é ineficiente? Não, mas é porque o que eu consigo fazer hoje com o nível de automação, processos de nutrição e estratégias que buscam encurtar o ciclo de venda, cara, eu não preciso mais de um time tão grande. E a gente está com uma meta de faturar ano que vem, tem uma discussão entre vinte e sete e quarenta milhões, tem uma variável ali e eu vou terminar o ano com seis vendedores para fazer esse número.
É muito maluco isso assim, e aí a gente, você começou a falar da Amazon, mas eu vou te falar de um cliente meu, está aqui em Atibaia, ele tem cinco vendedores, ele está faturando quarenta milhões vendendo acessórios para instalação de energia eólica e cara, ele acabou de implementar um portal de vendas B2B, eu fui lá semana passada e ele falou, cara eu não sei o que eu faço com os vendedores, porque o cliente faz o pedido sozinho, ou seja, a realidade é que se os vendedores não se adaptarem, cara, vai morrer.
E o que eu mais vi durante a pandemia foi uma galera que não quer ir para o escritório, que não quer visitar o cliente presencial, que não quer fazer networking, que não quer se conectar no mercado, esses caras vão morrer. Então, se você quiser continuar como vendedor só tirando pedido, provavelmente seu emprego vai acabar mais rápido do que você imagina.</t>
  </si>
  <si>
    <t>1204009117663253</t>
  </si>
  <si>
    <t>Os prós e contras dos cargos de gestão</t>
  </si>
  <si>
    <t>Aula:
Executivos de Vendas - Thiago Reis - Carreira &amp; Crescimento para Executivos de Vendas B2B
https://drive.google.com/file/d/1x_1lq7oyVeljhqZZRAOOEGYWmMmQ2j5G/view?usp=share_link
Minutagem:
19:10/20:15 — 22:49/23:28
Link vídeo final:
https://drive.google.com/file/d/1vHZK_2oQVfHnqLdMLah3dIu0nrMnUaZS/view?usp=share_link
Transcrição:
A pandemia mudou o jogo em vendas B2B, o vendedor, todo mundo que está aqui nessa live, ficou mais preguiçoso, até eu que não sou muito preguiçoso fiquei mais preguiçoso. Porque? O vendedor não quer mais fazer visita, só quer lead inbound, só quer fazer reunião virtual, quer uma porrada de automação e do outro lado do lado do cliente, que antes não queria fazer reunião virtual, agora está fazendo, o comprador está cada vez mais comprando através de um e-commerce, o e-commerce B2B está crescendo. Então cara, a realidade é o seguinte o número de vendedores B2B vai diminuir ao longo do tempo, só os bons vendedores vão sobreviver. Você está vendo essa tendência de diminuição do número de vendedores B2B nas empresas?
Tem um estudo da Gartner que mostra, que pegando um funil de vendas, as vendas fechadas no ciclo inferior a vinte e cinco dias, 70% dessas vendas são vendas transnacionais, que são clientes que tomaram a decisão e conseguiram chegar nessa informação sem a ajuda de um Salesapp.
Dentro desse cenário gente, não dá para você ser um tirador de pedido, não dá para você ser o cara que só manda o contrato e muda os campos básicos, né? Hoje em dia com dois cliques sai a proposta, precisa de um vendedor a menos.</t>
  </si>
  <si>
    <t>https://drive.google.com/file/d/1hlJUA1ppZ5j-6e5iF7lNhNQjZE2s-rLz/view?usp=share_link</t>
  </si>
  <si>
    <t>O upsell começa no onboarding do cliente</t>
  </si>
  <si>
    <t>Aula:
Líderes de Vendas - Land &amp; Expand - Rafael Mussato - Zendesk
https://drive.google.com/file/d/1a13hYYC3igUHrzYqbfqcWSwz6LLMEh-O/view?usp=share_link
Minutagem:
32:03/32:29 — 33:05/34:48
Link vídeo final:
https://drive.google.com/file/d/1OZdTr7hMOiN5l_ozudIPSkHRceT6Yrx-/view?usp=share_link</t>
  </si>
  <si>
    <t>1203614404300143</t>
  </si>
  <si>
    <t>A mentalidade que empresas em desenvolvimento deveriam ter</t>
  </si>
  <si>
    <t>https://drive.google.com/file/d/1PDqxOXyZViteyV1GZk58RcpCv6slgoy2/view?usp=share_link</t>
  </si>
  <si>
    <t>https://drive.google.com/file/d/170LVws8CxOG-VZKUhbVKFhrtuKUfy3dc/view?usp=share_link
Alteração Transição Vinheta:
https://drive.google.com/file/d/164gaBwKIn53XukRtpXUT8qqjAsERTt_8/view?usp=share_link</t>
  </si>
  <si>
    <t>O valor da empresa pequena</t>
  </si>
  <si>
    <t xml:space="preserve">Aula:
Sales Leaders com Alexandre Apendino - Integrando Equipes de Vendas pós M&amp;A
https://drive.google.com/file/d/1EvFOSNigOlRbcF_ZtOuDqkm6C969u4sX/view
Minutagem:
13:00/13:56
Link vídeo final:
https://drive.google.com/file/d/15z3rQyVkDzBuIH-PeZ5_Xu6jftdONTNg/view?usp=share_link
</t>
  </si>
  <si>
    <t>Ferramentas para uma boa gestão de time de prospecção</t>
  </si>
  <si>
    <t>1203642713062946</t>
  </si>
  <si>
    <t>Como vender um novo produto</t>
  </si>
  <si>
    <t xml:space="preserve">Aula:
Líderes de Vendas "Criando uma cultura de alta performance" com Lívia Alves
https://drive.google.com/file/d/1v_mR9a82GoyKW71JQSrlPG1u93p-fuqF/view
Minutagem:
 28:44/29:52
Link vídeo final:
https://drive.google.com/file/d/1-VX4Oo7J9PuxmiB22dcpN14KvYg5zD96/view?usp=share_link
</t>
  </si>
  <si>
    <t>A importância de segmentar o time comercial</t>
  </si>
  <si>
    <t>1203695764573125</t>
  </si>
  <si>
    <t>Por que e como gerar listas de prospecção</t>
  </si>
  <si>
    <t>Pré-vendas também é área de teste e implementação</t>
  </si>
  <si>
    <t xml:space="preserve">Aula:
SDRs - Ieza de Oliveira - Case de Vendas Gupy
https://drive.google.com/file/d/1LWKOfutp3qSp3hD5GfMg3cOePxzJSL7V/view?usp=share_link
Minutagem:
9:22/10:27
Link vídeo final:
https://drive.google.com/file/d/1Rx2PpSzb6QjB8cNMCepl49YVuImotlbz/view?usp=share_link
</t>
  </si>
  <si>
    <t>1203642713062948</t>
  </si>
  <si>
    <t>A importância de conhecer o segmento em que vai vender</t>
  </si>
  <si>
    <t>O papel do líder durante o lançamento de um novo produto</t>
  </si>
  <si>
    <t xml:space="preserve">Aula:
Líderes de Vendas "Criando uma cultura de alta performance" com Lívia Alves
https://drive.google.com/file/d/1v_mR9a82GoyKW71JQSrlPG1u93p-fuqF/view
Minutagem:
 29:58/31:02
Link vídeo final:
https://drive.google.com/file/d/1FYLdUhtR5Km-I3kCCoeGmlngTrvXhRh8/view?usp=share_link
</t>
  </si>
  <si>
    <t>1203642713062896</t>
  </si>
  <si>
    <t>O real papel do Customer Success</t>
  </si>
  <si>
    <t>É preciso ter cuidado com empresas estrangeiras</t>
  </si>
  <si>
    <t xml:space="preserve">Aula:
Sales Leaders com Tiago Tadeu - Demissões e Layoffs
https://drive.google.com/file/d/1UABLCHFdaYgNmYbUju_EQsUIClh7B9Lu/view
Minutagem:
15:49/16:55
Link vídeo final:
https://drive.google.com/file/d/1EEhHF1sOgF1VRwOpK13sXBxfL-XXvWQY/view?usp=share_link
</t>
  </si>
  <si>
    <t>O Farmer vende ou entrega sucesso pros clientes da sua carteira</t>
  </si>
  <si>
    <t>1203695764573087</t>
  </si>
  <si>
    <t>A relação B2B tem que ser de longo prazo</t>
  </si>
  <si>
    <t>Aula:
Executivos de Vendas - Marcell Rosa - De Vendedor a VP de Vendas
https://drive.google.com/file/d/1qnC33ni2Sol5uVJkmO4CUsDCx-KqX-e-/view?usp=share_link
Minutagem:
29:04/29:21 — 29:40/30:45 — 30:54/31:15
Link vídeo final:
https://drive.google.com/file/d/1-6iAwqJEFIR7BSPGpWIuSFI9iy9ubqj_/view?usp=share_link
Alteração:
https://drive.google.com/file/d/1jmMMBOhDYkTCzVjEZdXRi2TlcG9x1_iB/view?usp=share_link</t>
  </si>
  <si>
    <t>Como montar uma máquina de vendas escalável?</t>
  </si>
  <si>
    <t>Aula:
Ludmilla Fernandes "Escalando Operações de Vendas para PMEs"
Minutagem:
Link vídeo final:
https://drive.google.com/file/d/14XKJBpU232m4bESxz4ZSzB44BWpokEH_/view?usp=share_link
Alteração:
https://drive.google.com/file/d/1TL8kXCQqnAl_84vuO_bI08T5BItGrT15/view?usp=share_link</t>
  </si>
  <si>
    <t>1203892934088139</t>
  </si>
  <si>
    <t xml:space="preserve">Aula:
Canais &amp; Parcerias - Daniela Spinardi - Internacionalização via Canais
https://drive.google.com/file/d/1iM15kaKIkKUaQ2NYqqNMtP7RZb5Tituq/view?usp=share_link
Minutagem:
37:00/38:18
Link vídeo final:
https://drive.google.com/file/d/1lVSQArjZcYdMMY0iRI5FXRL14wGAtcxU/view?usp=share_link
</t>
  </si>
  <si>
    <t>1203642713059704</t>
  </si>
  <si>
    <t>O relacionamento é importante mas não é tudo</t>
  </si>
  <si>
    <t>O ponto principal em qualquer ligaçäo de prospecçâo</t>
  </si>
  <si>
    <t>Aula:
SDRs com Bianca Junqueira - SPIN Selling na Prospecção
https://drive.google.com/file/d/1szENYTf9OoG4O68JR2F79nEJNfkmgqG3/view?usp=share_link
Minutagem:
Link vídeo final:
https://drive.google.com/file/d/1w_YHyJTHHf6l4vQs5AU0afRxv9F22iRn/view?usp=share_link</t>
  </si>
  <si>
    <t>1203614404300141</t>
  </si>
  <si>
    <t xml:space="preserve">https://drive.google.com/file/d/1WEh-PT39ZcoM6fR-1gw0w0yi8nRaG8_A/view?usp=share_link
Alteração Transição Vinheta:
https://drive.google.com/file/d/12r-vgw31WhB3FpGykPNEb9qI6pprvV1w/view?usp=share_link
</t>
  </si>
  <si>
    <t>1203614404300147</t>
  </si>
  <si>
    <t>https://drive.google.com/file/d/1GujRqb_l54wRRhN6Q3fSZGcVL0WOsLEs/view?usp=share_link
Alteração Transição Vinheta:
https://drive.google.com/file/d/1VZKUCiA6SZJCZTsIOjlxamfbkYkbGeXm/view?usp=share_link</t>
  </si>
  <si>
    <t>1203642713059724</t>
  </si>
  <si>
    <t>Os 5 elementos de um fluxo de cadência</t>
  </si>
  <si>
    <t xml:space="preserve">Aula:
SDR`S - Sérgio Albuquerque - Aumento de Produtividade com ferramentas de Sales Engagement
https://drive.google.com/file/d/1E8fje2l-LJB69BiZpxF9RXfTkIEh6nad/view?usp=share_link
Minutagem:
13:07 - 13:58
Link vídeo final:
https://drive.google.com/file/d/1IqEVk9_4E81vWjheFTGM3X-PbSVKXpYx/view?usp=share_link
</t>
  </si>
  <si>
    <t>1203695764573129</t>
  </si>
  <si>
    <t>LDR como ferramenta de inteligência de outbound</t>
  </si>
  <si>
    <t xml:space="preserve">Aula:
SDRs - Ieza de Oliveira - Case de Vendas Gupy
https://drive.google.com/file/d/1LWKOfutp3qSp3hD5GfMg3cOePxzJSL7V/view?usp=share_link
Minutagem:
17:09/18:29
Link vídeo final:
https://drive.google.com/file/d/1k6uVAWnpOIcFZJE_w61QeQYSITkcXBXw/view?usp=share_link
</t>
  </si>
  <si>
    <t>1203614404300119</t>
  </si>
  <si>
    <t>Como coletar e usar dados dos leads na hora de prospectar</t>
  </si>
  <si>
    <t xml:space="preserve">https://drive.google.com/file/d/1_xo6repx7BayCpVSdRYArUcQXjmdYYyj/view?usp=share_link
Alteração:
https://drive.google.com/file/d/1IOIyO_8jZX97Plq-Hki26tSOH1_nwTaw/view?usp=share_link
</t>
  </si>
  <si>
    <t>1203614404300135</t>
  </si>
  <si>
    <t>Líderes,Juliane Garcia</t>
  </si>
  <si>
    <t>https://drive.google.com/file/d/1PE-gkebivp1NMscnSyCTxvjE1M3vus52/view?usp=share_link
Alteração Transição Vinheta:
https://drive.google.com/file/d/1UOVVgUia0nTA908V1r_3Yzqt4mMHnGwO/view?usp=share_link</t>
  </si>
  <si>
    <t>1203789659146654</t>
  </si>
  <si>
    <t>Todo contato com o cliente é uma oportunidade de venda</t>
  </si>
  <si>
    <t xml:space="preserve">Aula:
Líderes de Vendas - WhatsApp para Acelerar Vendas - Jose Martim Juacida
https://drive.google.com/file/d/1_qC-zuVCyk2C4dxRKdkQa3q_0CYDbhiA/view?usp=share_link
Minutagem:
25:27/26:00
Link vídeo final:
https://drive.google.com/file/d/1JpA3EF5M0lIuSSjP8nxr8SwYgE3cR7ob/view?usp=share_link
</t>
  </si>
  <si>
    <t>A relação das empresas com a tecnologia</t>
  </si>
  <si>
    <t xml:space="preserve">Aula:
Líderes de Vendas - WhatsApp para Acelerar Vendas - Jose Martim Juacida
https://drive.google.com/file/d/1_qC-zuVCyk2C4dxRKdkQa3q_0CYDbhiA/view?usp=share_link
Minutagem:
8:56/10:36
Link vídeo final:
https://drive.google.com/file/d/1oIql5Yf5qpc0RLLEHwMsCOjC33aI7JyA/view?usp=share_link
</t>
  </si>
  <si>
    <t>Lélio Sousa</t>
  </si>
  <si>
    <t>Vp Digital Services na Afya</t>
  </si>
  <si>
    <t>AFYA</t>
  </si>
  <si>
    <t xml:space="preserve"> Como funciona a dinâmica de vendas em uma consultoria?</t>
  </si>
  <si>
    <t>1203831885482358</t>
  </si>
  <si>
    <t xml:space="preserve">Aula:
Executivos de Vendas - Brunna Borghezan - O papel do Vendedor Especialista
https://drive.google.com/file/d/1cWYNV-r9bKl5wD32N96HQyiD-GuXQQZT/view?usp=share_link
Minutagem:
37:45/38:34
Link vídeo final:
https://drive.google.com/file/d/1vxL2EIzyyKvNbUjDh03N8VBDg7a037Rl/view?usp=share_link
</t>
  </si>
  <si>
    <t>1203831885482356</t>
  </si>
  <si>
    <t xml:space="preserve">Aula:
Executivos de Vendas - Brunna Borghezan - O papel do Vendedor Especialista
https://drive.google.com/file/d/1cWYNV-r9bKl5wD32N96HQyiD-GuXQQZT/view?usp=share_link
Minutagem:
35:33/36:42
Link vídeo final:
https://drive.google.com/file/d/1_0CHmpBBLQUtIJ7M-EQgSShD9xDFqN45/view?usp=share_link
</t>
  </si>
  <si>
    <t>Executivo de Vendas,Ricardo Dellova</t>
  </si>
  <si>
    <t xml:space="preserve">Aula:
Executivos de Vendas - Ricardo Dellova - Vendendo Produtos Líderes de Mercado
https://drive.google.com/file/d/1w0D3Z3JWdjKFTIcJmoWEG1v-v7yHJ8ix/view?usp=share_link
Minutagem:
26:56/29:00 — 29:28/30:00
Link vídeo final:
https://drive.google.com/file/d/1338oONCzREOWu-TP6rLFkAlmx3b64dPd/view?usp=share_link
</t>
  </si>
  <si>
    <t>Relacionamento é tudo para quem deseja vender serviços</t>
  </si>
  <si>
    <t>O estímulo necessário para o vendedor correr riscos</t>
  </si>
  <si>
    <t>Preço X Valor: por que o cliente escolhe pagar mais?</t>
  </si>
  <si>
    <t xml:space="preserve">Aula:
Líderes de Vendas "Criando uma cultura de alta performance" com Lívia Alves
https://drive.google.com/file/d/1v_mR9a82GoyKW71JQSrlPG1u93p-fuqF/view
Minutagem:
31:58/33:05
Link vídeo final:
https://drive.google.com/file/d/1hWLU-HhKTRFhqzS9oHB7WTVBTWmQGj9F/view?usp=share_link
</t>
  </si>
  <si>
    <t>A reputação é essencial na venda de serviços consultivos</t>
  </si>
  <si>
    <t>1203622957518902</t>
  </si>
  <si>
    <t>Minha primeira missão para vender na Petrobrás foi ganhar um crachá</t>
  </si>
  <si>
    <t>https://drive.google.com/file/d/1OQv_AdSQd3V7Ngcq3WKbbUk6hzrvPMQR/view?usp=share_link</t>
  </si>
  <si>
    <t>Como pensar em uma estratégia de abordagem?</t>
  </si>
  <si>
    <t>Quem vende mais é quem se interessa pelo cliente</t>
  </si>
  <si>
    <t>1203614404300109</t>
  </si>
  <si>
    <t>Você sabe porque está ligando para o seu prospect?</t>
  </si>
  <si>
    <t xml:space="preserve">https://drive.google.com/file/d/1S_bGCGRjlW52v6enWwiAUygu91z9Gt_i/view?usp=share_link
Alteração:
https://drive.google.com/file/d/14kGDy_JRatKlhvdW8j5CHK_VXu0nSs15/view?usp=share_link
</t>
  </si>
  <si>
    <t>1203695750912584</t>
  </si>
  <si>
    <t xml:space="preserve">Aula:
Canais &amp; Parcerias - Barbara Luchese - Case: Alelo
https://drive.google.com/file/d/1eSIV5fkLxGHvGGbSZ2J6-aUk7LI9MNBd/view?usp=share_link
Minutagem:
13:58/14:10 — 15:09/15:49 — 16:03/16:34
Link vídeo final:
https://drive.google.com/file/d/1HE5q8C0DO7gfz14Yo2c-vbtlM7Ab1WN1/view?usp=share_link
Alteração:
https://drive.google.com/file/d/1Hui9fnVgSpbG9yRaAkeuiwTVCM_Ijg_E/view?usp=share_link
</t>
  </si>
  <si>
    <t>1203789659146642</t>
  </si>
  <si>
    <t xml:space="preserve">Aula:
Executivos de Vendas - Alan Schulte - Vendas para Grandes Contas
https://drive.google.com/file/d/1vnfHe2Qc17gdbznuDxlH5jIdn-ZshXnK/view?usp=share_link
Minutagem:
30:44/31:35
Link vídeo final:
https://drive.google.com/file/d/1Eibp01u9H821nlITQ5_k-8IC5exU8R_L/view?usp=share_link
</t>
  </si>
  <si>
    <t>Executive Vice-President</t>
  </si>
  <si>
    <t>1203789516121824</t>
  </si>
  <si>
    <t>A virada de chave inovadora da Conta Azul dentro do mercado de canais</t>
  </si>
  <si>
    <t>Aula:
Canais &amp; Parcerias - Engajamento de Parceiros - Vitor Nascimento
https://drive.google.com/file/d/1rSG6mI38aeptXw3dRu2zDfyhmZU0bYkP/view?usp=share_link
Minutagem:
13:21/14:26
Link vídeo final:
https://drive.google.com/file/d/1EbNPumay1XluQoMTayCsBJhabZAm-HKi/view?usp=share_link
Alteração:
 https://drive.google.com/file/d/1XKxP9xOLo9XNrpKJk-D6QOg6qTSgzmf6/view?usp=share_link</t>
  </si>
  <si>
    <t>1203614403916467</t>
  </si>
  <si>
    <t>O segredo para conquistar boas parcerias</t>
  </si>
  <si>
    <t>Use seu feeling de vendedor</t>
  </si>
  <si>
    <t xml:space="preserve">https://drive.google.com/file/d/1FXlvKF4F8fdWfRMY75wHItwuaErd2v9i/view?usp=share_link
Alteração:
https://drive.google.com/file/d/1svrAiFYhr4vP7029GhlMiHYmgw_LLCw4/view?usp=share_link
</t>
  </si>
  <si>
    <t xml:space="preserve"> O valor da empresa pequena</t>
  </si>
  <si>
    <t xml:space="preserve">Aula:
Canais &amp; Parcerias - Engajamento de Parceiros - Vitor Nascimento
https://drive.google.com/file/d/1rSG6mI38aeptXw3dRu2zDfyhmZU0bYkP/view?usp=share_link
Minutagem:
6:35/7:39
Link vídeo final:
https://drive.google.com/file/d/1_wmdAjptFyoHX0g9Bgs-Sm5s--m_d_kq/view?usp=share_link
</t>
  </si>
  <si>
    <t>1203695764573091</t>
  </si>
  <si>
    <t>A prospecção é o coração de uma empresa</t>
  </si>
  <si>
    <t>Aula:
Executivos de Vendas - Marcell Rosa - De Vendedor a VP de Vendas
https://drive.google.com/file/d/1qnC33ni2Sol5uVJkmO4CUsDCx-KqX-e-/view?usp=share_link
Minutagem:
40:13/41:28
Link vídeo final:
https://drive.google.com/file/d/1MYMK2RTqUG8ybFuDO0DxaN11BbLfhiho/view?usp=share_link
Alteração:
https://drive.google.com/file/d/1YRRz0xlqLCUt8GCIF40tJDsgDTi-ZDzB/view?usp=share_link</t>
  </si>
  <si>
    <t xml:space="preserve">No mundo de tecnologia existem 2 tipos de empresa - área comercial </t>
  </si>
  <si>
    <t>1203642713062942</t>
  </si>
  <si>
    <t>A gestão é o pilar do time de vendas</t>
  </si>
  <si>
    <t xml:space="preserve">Aula:
Líderes de Vendas "Criando uma cultura de alta performance" com Lívia Alves
https://drive.google.com/file/d/1v_mR9a82GoyKW71JQSrlPG1u93p-fuqF/view
Minutagem:
18:17/19:09 — 19:41/20:02
Link vídeo final:
https://drive.google.com/file/d/1ZH7eZEY8ruxKIEL9Uc48O-lHdcEk70Yd/view?usp=share_link
</t>
  </si>
  <si>
    <t>1203789659146638</t>
  </si>
  <si>
    <t xml:space="preserve">Aula:
Executivos de Vendas - Alan Schulte - Vendas para Grandes Contas
https://drive.google.com/file/d/1vnfHe2Qc17gdbznuDxlH5jIdn-ZshXnK/view?usp=share_link
Minutagem:
27:06/28:32
Link vídeo final:
https://drive.google.com/file/d/12Y5O_Ftq6oIuEc3_qvYttp_Akk1fEU-C/view?usp=share_link
</t>
  </si>
  <si>
    <t>1203614404300123</t>
  </si>
  <si>
    <t>https://drive.google.com/file/d/1FWPjTo7zVVSYDwl07TsuopwUYDKcYjHW/view?usp=share_link
Alteração Transição Vinheta:
https://drive.google.com/file/d/14BK-sROG45eRRdyoBc4R2aJaTc8s2P31/view?usp=share_link</t>
  </si>
  <si>
    <t>1203642713062892</t>
  </si>
  <si>
    <t xml:space="preserve">Aula:
Sales Leaders com Lelio Souza - Gestão de Vendas de Serviços
https://drive.google.com/file/d/1f1tKb11ooLBlJn-BcmY1aEm3_-JbU_Jv/view
Minutagem:
40:31/41:20
Link vídeo final:
https://drive.google.com/file/d/1BqHJUdAlxMArtzibZM8N7PtGaDaqJhJW/view?usp=share_link
Alteração:
https://drive.google.com/file/d/1e5fkZoieNFVzMaQM-McKx7bjCPHxsfbR/view?usp=share_link
</t>
  </si>
  <si>
    <t>1203614404300113</t>
  </si>
  <si>
    <t xml:space="preserve"> Erros e acertos ao realizar um M&amp;A - Recomendações </t>
  </si>
  <si>
    <t>A importância de Processos, Pessoas e Ferramentas na área comercial</t>
  </si>
  <si>
    <t xml:space="preserve">https://drive.google.com/file/d/1rHLWQWwa6WLo9gxuWtt-QvMEJQ2htuKj/view?usp=share_link
Alteração:
https://drive.google.com/file/d/19yH6F-Zsn7qJqrqb5YttLup-xuqapfeJ/view?usp=share_link
</t>
  </si>
  <si>
    <t xml:space="preserve">A operação de vendas pós M&amp;A - Recomendações </t>
  </si>
  <si>
    <t>1203614404300139</t>
  </si>
  <si>
    <t>Concentre todas as informações do processo de vendas em uma só plataforma</t>
  </si>
  <si>
    <t xml:space="preserve">https://drive.google.com/file/d/1TtrhOEZrTmilQH0BvvdHiRcdMQkaU4FI/view?usp=share_link
Alteração:
https://drive.google.com/file/d/1thIH9IBh4SoIP0JaR3ZIhRrvykENY4IU/view?usp=share_link
</t>
  </si>
  <si>
    <t xml:space="preserve">Recomendações para as empresas que participam do M&amp;A - Recomendações </t>
  </si>
  <si>
    <t>1203642713062938</t>
  </si>
  <si>
    <t>Construir boas metas é fundamental para um time de alta performance</t>
  </si>
  <si>
    <t xml:space="preserve">Aula:
Líderes de Vendas "Criando uma cultura de alta performance" com Lívia Alves
https://drive.google.com/file/d/1v_mR9a82GoyKW71JQSrlPG1u93p-fuqF/view
Minutagem:
14:37/15:48
Link vídeo final:
https://drive.google.com/file/d/1cX09zzgJLiqC8NJNdFmKzBJLFreTWU4d/view?usp=share_link
</t>
  </si>
  <si>
    <t>1203590263547893</t>
  </si>
  <si>
    <t>Como prospectar em grandes empresas?</t>
  </si>
  <si>
    <t>SDR`s,Tatiane Pimenta</t>
  </si>
  <si>
    <t xml:space="preserve">Aula:
SDRs com Tatiana Pimenta - Prospectando Grandes Contas
https://drive.google.com/file/d/1X2_DBzj0FsvQnM4IFCE7e7mnfISR3Rxk/view?usp=share_link
Minutagem:
32:43 à  34:01
Link vídeo final:
https://drive.google.com/file/d/1E9N1NUwt7evs_APYP2W666MXWE9XtAQ5/view?usp=share_link
</t>
  </si>
  <si>
    <t>1203695764573057</t>
  </si>
  <si>
    <t>https://drive.google.com/file/d/1EEhHF1sOgF1VRwOpK13sXBxfL-XXvWQY/view?usp=share_link</t>
  </si>
  <si>
    <t xml:space="preserve">Aula:
Minutagem:
35:58/37:31
Link vídeo final:
https://drive.google.com/file/d/1Uw1btI3PYyL4BZIqzLjLbT4tFiqZxT22/view?usp=share_link
Alteração:
https://drive.google.com/file/d/1M6qMOS5m-1kHY6nnLMn8fO5oTnF-4NoE/view?usp=share_link
</t>
  </si>
  <si>
    <t>Prospectar o CEO é um caminho para entrar em grandes contas?</t>
  </si>
  <si>
    <t xml:space="preserve">Aula:
Executivos de Vendas - Alan Schulte - Vendas para Grandes Contas
https://drive.google.com/file/d/1vnfHe2Qc17gdbznuDxlH5jIdn-ZshXnK/view?usp=share_link
Minutagem:
28:55/29:50
Link vídeo final:
https://drive.google.com/file/d/16D3rE6t9iq8NoecmCv41lFT2B5i5NRYS/view?usp=share_link
</t>
  </si>
  <si>
    <t>1203614404300133</t>
  </si>
  <si>
    <t>Qual é o momento certo para escalar</t>
  </si>
  <si>
    <t xml:space="preserve">https://drive.google.com/file/d/1K0x8SrAN8FvU7JlVF5jl9vFMq85lm6rc/view?usp=share_link
Alteração:
https://drive.google.com/file/d/1g3MvS-ctoShBIqkZrWbmQGpi1bNPXlIo/view?usp=share_link
</t>
  </si>
  <si>
    <t>1203614404300151</t>
  </si>
  <si>
    <t>Atenção- o seu ICP pode variar</t>
  </si>
  <si>
    <t>https://drive.google.com/file/d/1lSe2k4ZcbnZIxZmi799pK6hfQk5tLRqY/view?usp=share_link
Alteração:
https://drive.google.com/file/d/1SzxkC-Xk8QeiI7KHfcMeZ2HouaMnyC43/view?usp=share_link</t>
  </si>
  <si>
    <t>https://drive.google.com/file/d/1nPEfmZ4ajbwCKX75x0sFDZY5PzNjP9Vp/view?usp=share_link</t>
  </si>
  <si>
    <t>1203614404300157</t>
  </si>
  <si>
    <t>Teste, erre rápido, mas aprenda mais rápido ainda</t>
  </si>
  <si>
    <t xml:space="preserve">https://drive.google.com/file/d/1-icUyf2RdxnF4PxxdlNeCYQefWfp2YH1/view?usp=share_link
Alteração:
https://drive.google.com/file/d/1yPCDprT5hi9n8dUVirFuH0bYYO9dJ3-i/view?usp=share_link
</t>
  </si>
  <si>
    <t>1203614403916455</t>
  </si>
  <si>
    <t>Essas duas pessoas estão na contramão da crise</t>
  </si>
  <si>
    <t>SDR`s,Maucir Nascimento</t>
  </si>
  <si>
    <t>https://drive.google.com/file/d/1TX6HQpVJYU5gTfIeABqmfKtJS4LB8s9W/view?usp=share_link
Alteração:
https://drive.google.com/file/d/1MUhZGJ95_7MoDd6f2lAavlOUurnaQAld/view?usp=share_link</t>
  </si>
  <si>
    <t>1203695764573127</t>
  </si>
  <si>
    <t>https://drive.google.com/file/d/1U-UGQeboY2SWM7-pFAabNUZ4u94XAUq7/view?usp=share_link</t>
  </si>
  <si>
    <t>As lições que 2020 deixou para equipes de vendas</t>
  </si>
  <si>
    <t xml:space="preserve">Aula:
SDRs - Ieza de Oliveira - Case de Vendas Gupy
https://drive.google.com/file/d/1LWKOfutp3qSp3hD5GfMg3cOePxzJSL7V/view?usp=share_link
Minutagem:
13:10/14:17
Link vídeo final:
https://drive.google.com/file/d/1Ic8KweFE9v31NMOIBjsAcUJLez8EwF-Y/view?usp=share_link
</t>
  </si>
  <si>
    <t>1203825109686314</t>
  </si>
  <si>
    <t xml:space="preserve">Aula:
Executivos de Vendas - Ricardo Dellova - Vendendo Produtos Líderes de Mercado
https://drive.google.com/file/d/1w0D3Z3JWdjKFTIcJmoWEG1v-v7yHJ8ix/view?usp=share_link
Minutagem:
34:23/34:39 — 34:47/34:56 — 35:33/35:44  — 36:11/36:27
Link vídeo final:
https://drive.google.com/file/d/1TziVGz12KNC38dfUTTCZ6DwWwEhvH4fM/view?usp=share_link
</t>
  </si>
  <si>
    <t>1203614403916457</t>
  </si>
  <si>
    <t>Competição saudável no time comercial</t>
  </si>
  <si>
    <t>https://drive.google.com/file/d/159LbFNoZjfJTmZBW03Dw9T3PCIWY21gF/view?usp=share_link</t>
  </si>
  <si>
    <t xml:space="preserve">https://drive.google.com/file/d/1T8hOXW5rPC2YncdN2i2eOZVx4OG4q9pw/view?usp=share_link
Alteração:
https://drive.google.com/file/d/1udQTzxDqlDkLUHCicrDR5Zo8XPYwqHRa/view?usp=share_link
</t>
  </si>
  <si>
    <t>1203642713062934</t>
  </si>
  <si>
    <t>As práticas que destroem uma cultura de vendas</t>
  </si>
  <si>
    <t xml:space="preserve">Aula:
Líderes de Vendas "Criando uma cultura de alta performance" com Lívia Alves
https://drive.google.com/file/d/1v_mR9a82GoyKW71JQSrlPG1u93p-fuqF/view
Minutagem:
09:14/09:19 — 10:04/10:52.
Link vídeo final:
https://drive.google.com/file/d/18s1EbLpwtTsr4i46TFijfxSyz-5fqo3F/view?usp=share_link
</t>
  </si>
  <si>
    <t>1203614403916475</t>
  </si>
  <si>
    <t>O maior erro na hora de prospectar clientes</t>
  </si>
  <si>
    <t>SDR`s,João Luis Olivério</t>
  </si>
  <si>
    <t>https://drive.google.com/file/d/1YaQS8Qi4YMJ5XoMzBaY74D2z4YomC7E-/view?usp=share_link
Alteração:
https://drive.google.com/file/d/1ODATRradTRWBA-FAavNYCxTASKvCj9DW/view?usp=share_link</t>
  </si>
  <si>
    <t xml:space="preserve"> Recomendações para um bom layoff</t>
  </si>
  <si>
    <t xml:space="preserve">Aula:
Canais &amp; Parcerias - Barbara Luchese - Case: Alelo
https://drive.google.com/file/d/1eSIV5fkLxGHvGGbSZ2J6-aUk7LI9MNBd/view?usp=share_link
Minutagem:
32:43/33:24
Link vídeo final:
https://drive.google.com/file/d/1Ld-3hcxnIsWrJ-1WqxhZcxMH_vtrLMT9/view?usp=share_link
Alteração:
https://drive.google.com/file/d/1K-3Bizh5390c3nj_0IuH47wduEKzEyjD/view?usp=share_link
</t>
  </si>
  <si>
    <t>https://drive.google.com/file/d/1MvZW86oxDcTnSQ5Y9wzN7o1CvFeGz7FS/view?usp=share_link</t>
  </si>
  <si>
    <t>1203614404300125</t>
  </si>
  <si>
    <t>A importância do trabalho de inteligência de mercado</t>
  </si>
  <si>
    <t xml:space="preserve">https://drive.google.com/file/d/1tB_mAARcOP0O76huILo0n9R02NnHuVgz/view?usp=share_link
Alteração:
https://drive.google.com/file/d/1DA8v8CveflNq6Y-zZaZYMiq11vZcfwn2/view?usp=share_link
</t>
  </si>
  <si>
    <t>1203789659146634</t>
  </si>
  <si>
    <t xml:space="preserve">Aula:
Canais &amp; Parcerias - Engajamento de Parceiros - Vitor Nascimento
https://drive.google.com/file/d/1rSG6mI38aeptXw3dRu2zDfyhmZU0bYkP/view?usp=share_link
Minutagem:
17:33/19:10
Link vídeo final:
https://drive.google.com/file/d/1cRUnxF5ikeAMn4ulB1qlIVRAwWMOcOJm/view?usp=share_link
</t>
  </si>
  <si>
    <t>1203789516121822</t>
  </si>
  <si>
    <t>https://drive.google.com/file/d/1__dMOsGXCWQCye61ZnyPty_21fiqn5QF/view?usp=share_link</t>
  </si>
  <si>
    <t xml:space="preserve">Aula:
Canais &amp; Parcerias - Engajamento de Parceiros - Vitor Nascimento
https://drive.google.com/file/d/1rSG6mI38aeptXw3dRu2zDfyhmZU0bYkP/view?usp=share_link
Minutagem:
9:43/11:20
Link vídeo final:
https://drive.google.com/file/d/14G31WI0pI30PCLO9MFbbq3ggNcaz9e-k/view?usp=share_link
</t>
  </si>
  <si>
    <t>1203614404300105</t>
  </si>
  <si>
    <t>Quem é o SDR de alta performance?</t>
  </si>
  <si>
    <t xml:space="preserve">https://drive.google.com/file/d/1CSXLKv0LJhU6UrgWnoUqTndDoHwR2Jmi/view?usp=share_link
Alteração:
https://drive.google.com/file/d/1A56HzPwAVK2azZIRpBpBFo_q2MDbyMba/view?usp=share_link
</t>
  </si>
  <si>
    <t xml:space="preserve"> Critérios de layoff</t>
  </si>
  <si>
    <t>1203695764573085</t>
  </si>
  <si>
    <t>https://drive.google.com/file/d/1QKGqOeUOzJRP3cSAOZuq1glHwDX_VJ7x/view?usp=share_link</t>
  </si>
  <si>
    <t>Aula:
Executivos de Vendas - Marcell Rosa - De Vendedor a VP de Vendas
https://drive.google.com/file/d/1qnC33ni2Sol5uVJkmO4CUsDCx-KqX-e-/view?usp=share_link
Minutagem:
16:02/ 17:36
Link vídeo final:
https://drive.google.com/file/d/1jVeLEWQa6gGgfHDchnSRK6xza2eG4EkM/view
Alteração:
https://drive.google.com/file/d/1ULNdsZRWSI3Gp-KNVQKrqWdZHzbi3HG5/view?usp=share_link</t>
  </si>
  <si>
    <t>1203590263544665</t>
  </si>
  <si>
    <t>Como saber se é a hora de virar gerente?</t>
  </si>
  <si>
    <t>SDR`s,Angelita Oliveira</t>
  </si>
  <si>
    <t>Aula:
SDRs com Angelita Oliveira - Carreira e Mulheres em Vendas
https://drive.google.com/file/d/1wxmCR46a1VJNwgxL4RxHFEom2WBV6plJ/view?usp=share_link
Minutagem:
22:27 à 23:52
Link vídeo final:
https://drive.google.com/file/d/1k0uebhsPAFkuDUNVFOJnofEy-xnFiQpc/view?usp=share_link
Alteração:
https://drive.google.com/file/d/1nIRdfD4ak3J4uVq3GldIfXx_uLJPp3Cx/view?usp=share_link</t>
  </si>
  <si>
    <t>1203695764573123</t>
  </si>
  <si>
    <t>Confiar no processo faz parte de uma carreira de sucesso</t>
  </si>
  <si>
    <t xml:space="preserve">Aula:
SDRs - Ieza de Oliveira - Case de Vendas Gupy
https://drive.google.com/file/d/1LWKOfutp3qSp3hD5GfMg3cOePxzJSL7V/view?usp=share_link
Minutagem:
5:28/6:20
Link vídeo final:
https://drive.google.com/file/d/1LKX5vIEwuviwiaxefA4QzZFsiEfobpwY/view?usp=share_link
</t>
  </si>
  <si>
    <t>1203558769349597</t>
  </si>
  <si>
    <t>Quando não usar o GPTC?</t>
  </si>
  <si>
    <t xml:space="preserve">Aula:
SDR`S - Gabriel Baeta - Modelo GPCT
https://drive.google.com/file/d/16LStcljn_Wv6pYAinwzqXbVpdAwYResj/view?usp=share_link
Minutagem:
Link vídeo final:
https://drive.google.com/file/d/1JJ4MarZKftu5u1rvRthYbtPK9wZD8SrY/view?usp=share_link
Alteração:
https://drive.google.com/file/d/1z5yF5bqFAObe4zr2kzmQlFzZieqllhB8/view?usp=share_link
</t>
  </si>
  <si>
    <t>1203614404300145</t>
  </si>
  <si>
    <t>Principal Latin America Build Labs Leader</t>
  </si>
  <si>
    <t>IBM LATAM</t>
  </si>
  <si>
    <t>https://drive.google.com/file/d/14YXQUjdX_aORAY9lmIqyfH9BKCA8PhOQ/view?usp=share_link
Alteração Transição Vinheta:
https://drive.google.com/file/d/1erstEGiGKh-m56rMK5sLbjuqFHKburtl/view?usp=share_link</t>
  </si>
  <si>
    <t>1203614404300117</t>
  </si>
  <si>
    <t>Diferença entre ecossistema de vendas brasileiro do americano</t>
  </si>
  <si>
    <t xml:space="preserve">https://drive.google.com/file/d/1Y-3chB-9RuegGYeoG69KjRvF6JP_nS4K/view?usp=share_link
Alteração:
https://drive.google.com/file/d/1Dun42nxKDUslaM_hKU-p1L97xOkxIvJv/view?usp=share_link
</t>
  </si>
  <si>
    <t>1203622957518908</t>
  </si>
  <si>
    <t>Quando escolher o modelo de Indicação?</t>
  </si>
  <si>
    <t>https://drive.google.com/file/d/1jSrI-oHimHRe-bdV1UNM-AgC1JbVdA7Z/view?usp=share_link
Alteração:
https://drive.google.com/file/d/1WCGbVDDqjThUOrA_x_bz-pO9GZM9KYgT/view?usp=share_link</t>
  </si>
  <si>
    <t>Estratégias de Customer Success</t>
  </si>
  <si>
    <t>1203558769349614</t>
  </si>
  <si>
    <t>Não tenha medo de perder o lead!</t>
  </si>
  <si>
    <t xml:space="preserve">Aula:
SDR`S - Gabriel Baeta - Modelo GPCT
https://drive.google.com/file/d/16LStcljn_Wv6pYAinwzqXbVpdAwYResj/view?usp=share_link
Minutagem:
Link vídeo final:
https://drive.google.com/file/d/14bLC2697Kai_n-46w-UEpY7TQ2PXkchy/view?usp=share_link
Alteração:
https://drive.google.com/file/d/1GyQxNLOWhG5gXUmrC5ThQPGk_Eg5Cwkq/view?usp=share_link
</t>
  </si>
  <si>
    <t>1203614404300107</t>
  </si>
  <si>
    <t>Técnica para não ser ignorado pelo lead na prospecção</t>
  </si>
  <si>
    <t xml:space="preserve">https://drive.google.com/file/d/165bRW8qDKh70eQvzfx0e8lFDAR7tCcxX/view?usp=share_link
Alteração:
https://drive.google.com/file/d/1pykS-FsosYzc_qI-z71jyu2bW8HGHAx9/view?usp=share_link
</t>
  </si>
  <si>
    <t>1203793936194217</t>
  </si>
  <si>
    <t>Em vendas, quem não planta não colhe</t>
  </si>
  <si>
    <t>É você que está vendendo ou seu cliente que está comprando?</t>
  </si>
  <si>
    <t xml:space="preserve">Aula:
SDRs - Ieza de Oliveira - Case de Vendas Gupy
https://drive.google.com/file/d/1LWKOfutp3qSp3hD5GfMg3cOePxzJSL7V/view?usp=share_link
Minutagem:
31:12/32:24
Link vídeo final:
https://drive.google.com/file/d/1KAfXDekq2Kg9tyqO7Jatvzbr71ndyhQ7/view?usp=share_link
</t>
  </si>
  <si>
    <t>1203558703538565</t>
  </si>
  <si>
    <t>O que um lider precisa saber para montar um time de prospecção?</t>
  </si>
  <si>
    <t xml:space="preserve">Aula:
Mateus Pestana "Estratégias de Customer Success"
Minutagem:
Link vídeo final:
https://drive.google.com/file/d/1ayaxXrD-_aSxIqeTg8ydplDFrJQMeYzc/view?usp=share_link
Alteração:
https://drive.google.com/file/d/1P8O131bAr96XZQnJVcPd-27zee-wK7W1/view?usp=share_link
</t>
  </si>
  <si>
    <t>Comunidade</t>
  </si>
  <si>
    <t>A diferença entre aliança e canal</t>
  </si>
  <si>
    <t>1203590263547887</t>
  </si>
  <si>
    <t>Competência específica</t>
  </si>
  <si>
    <t>60% dos clientes querem saber logo o preço. Esteja preparado e use a técnica "teaching and learning".</t>
  </si>
  <si>
    <t>Formato</t>
  </si>
  <si>
    <t>Aula:
SDRs com Bianca Junqueira - SPIN Selling na Prospecção
https://drive.google.com/file/d/1szENYTf9OoG4O68JR2F79nEJNfkmgqG3/view?usp=share_link
Minutagem:
43:55 à 45:16
Link vídeo final:
https://drive.google.com/file/d/1-wqebvmPeOdWdnWclXXWyWxf3cZ2UYz3/view?usp=share_link
Alteração:
https://drive.google.com/file/d/1yiWOhd-NQwTdMr4wvHvYcseIgcJgBaan/view?usp=share_link</t>
  </si>
  <si>
    <t>Acompanhamento, mentoria e Feedbacks</t>
  </si>
  <si>
    <t>1203558769349616</t>
  </si>
  <si>
    <t>Sessão</t>
  </si>
  <si>
    <t>Gerando senso de urgência nos leads</t>
  </si>
  <si>
    <t>Adaptabilidade e Flexibilidade</t>
  </si>
  <si>
    <t>Cortes</t>
  </si>
  <si>
    <t xml:space="preserve">Aula:
SDR`S - Gabriel Baeta - Modelo GPCT
https://drive.google.com/file/d/16LStcljn_Wv6pYAinwzqXbVpdAwYResj/view?usp=share_link
Minutagem:
Link vídeo final:
https://drive.google.com/file/d/1LAVNX2fF6BTVyalPK3g8XqfemElatI_-/view?usp=share_link
Alteração:
https://drive.google.com/file/d/1gL6_n2Z4hnBr_kbH5WfbjTh01M11_5u5/view?usp=share_link
</t>
  </si>
  <si>
    <t>Conhecimento do Produto e Negócio</t>
  </si>
  <si>
    <t>Alinhamento de expectativa</t>
  </si>
  <si>
    <t>Análise de Dados e Cenários</t>
  </si>
  <si>
    <t>1203642713059728</t>
  </si>
  <si>
    <t>Gestão do tempo e de informação</t>
  </si>
  <si>
    <t>Antecipação de tendências do mercado</t>
  </si>
  <si>
    <t>Como analisar quantos toques valem a pena?</t>
  </si>
  <si>
    <t>Aprender com os erros</t>
  </si>
  <si>
    <t xml:space="preserve">Aula:
SDR`S - Sérgio Albuquerque - Aumento de Produtividade com ferramentas de Sales Engagement
https://drive.google.com/file/d/1E8fje2l-LJB69BiZpxF9RXfTkIEh6nad/view?usp=share_link
Minutagem:
37:09 - 38:45
Link vídeo final:
https://drive.google.com/file/d/1YXOSguN-Aoiml0sBMMtRMvm_cVy3wPhn/view?usp=share_link
</t>
  </si>
  <si>
    <t>Autogestão e organização</t>
  </si>
  <si>
    <t>Autogestão Emocional</t>
  </si>
  <si>
    <t>1203614404300127</t>
  </si>
  <si>
    <t>Boas práticas de áreas de suporte a vendas</t>
  </si>
  <si>
    <t>Capacidade investigativa</t>
  </si>
  <si>
    <t>https://drive.google.com/file/d/1oQDNpoVQwGMNir1XmvVvQLXqFy_1qF-w/view?usp=share_link
Alteração Transição Vinheta:
https://drive.google.com/file/d/1aZAyBz7y50L9AbyhvYO9gs9qM1LaRADC/view?usp=share_link</t>
  </si>
  <si>
    <t>Capacitação de Equipes: Onboarding e Ongoing</t>
  </si>
  <si>
    <t>Colaboração</t>
  </si>
  <si>
    <t>1203793936194208</t>
  </si>
  <si>
    <t>Comunicação clara e direta</t>
  </si>
  <si>
    <t>Ferramentas de vendas da Gupy</t>
  </si>
  <si>
    <t>Comunicação oral e escrita clara</t>
  </si>
  <si>
    <t>Conhecimento da cadeia de valor da sua indústria</t>
  </si>
  <si>
    <t>Conhecimento de mercado, concorrentes e o posicionamento do seu produto</t>
  </si>
  <si>
    <t xml:space="preserve">Aula:
SDRs - Ieza de Oliveira - Case de Vendas Gupy
https://drive.google.com/file/d/1LWKOfutp3qSp3hD5GfMg3cOePxzJSL7V/view?usp=share_link
Minutagem:
23:43/24:58
Link vídeo final:
https://drive.google.com/file/d/150xpzQgWHoiElX-8pWnw8umvcHXJarU8/view?usp=share_link
</t>
  </si>
  <si>
    <t>Conhecimento de processos internos</t>
  </si>
  <si>
    <t>Conhecimento de tecnologias e ferramentas de vendas</t>
  </si>
  <si>
    <t>1203695764573119</t>
  </si>
  <si>
    <t>Conversas difíceis</t>
  </si>
  <si>
    <t>Curiosidade e busca por aprendizado</t>
  </si>
  <si>
    <t>Desaprender e reaprender</t>
  </si>
  <si>
    <t>Disciplina</t>
  </si>
  <si>
    <t xml:space="preserve">Aula:
Sales Leaders - Michelle Schneider - Vendas no Mercado de Midia e Advertising
https://drive.google.com/file/d/1v-ZcUlrF70LsQ7Yq26sRe2Oog22fQLHp/view?usp=share_link
Minutagem:
39:49/40:59
Link vídeo final:
https://drive.google.com/file/d/1_-VhhSbmbdcohMT7ScKU2B7fn9Mj4-Ng/view?usp=share_link
</t>
  </si>
  <si>
    <t xml:space="preserve"> Como vender um novo produto</t>
  </si>
  <si>
    <t>Empatia</t>
  </si>
  <si>
    <t>Engajamento e Retenção de Vendedores</t>
  </si>
  <si>
    <t>Entendimento dos seus diferenciais de produto e oferta</t>
  </si>
  <si>
    <t>Escuta ativa</t>
  </si>
  <si>
    <t>Estruturação e avaliação de testes de hipótese</t>
  </si>
  <si>
    <t xml:space="preserve">Aula:
Sales Leaders com Lelio Souza - Gestão de Vendas de Serviços
https://drive.google.com/file/d/1f1tKb11ooLBlJn-BcmY1aEm3_-JbU_Jv/view
Minutagem:
12:19/12:58
Link vídeo final:
https://drive.google.com/file/d/1i59ZzRLvauc_pPDhk8dfVU_V-h-N3orV/view?usp=share_link
</t>
  </si>
  <si>
    <t>Ferramentas de Vendas B2B</t>
  </si>
  <si>
    <t>Gestão de Crises</t>
  </si>
  <si>
    <t>Gestão de Indicadores</t>
  </si>
  <si>
    <t>1203642713062886</t>
  </si>
  <si>
    <t>Gestão de indicadores individuais</t>
  </si>
  <si>
    <t>Gestão de marca pessoal</t>
  </si>
  <si>
    <t xml:space="preserve">Aula:
Sales Leaders com Lelio Souza - Gestão de Vendas de Serviços
https://drive.google.com/file/d/1f1tKb11ooLBlJn-BcmY1aEm3_-JbU_Jv/view
Minutagem:
28:32/30:11
Link vídeo final:
https://drive.google.com/file/d/1KpeLp5cq87lOqZzSPrGT5ZeYHoCFdUe_/view?usp=share_link
</t>
  </si>
  <si>
    <t>Gestão de Performance e Desligamentos</t>
  </si>
  <si>
    <t>Gestão de Processos</t>
  </si>
  <si>
    <t>Gestão de Stakeholders</t>
  </si>
  <si>
    <t>1203558769349612</t>
  </si>
  <si>
    <t>Gestão do conhecimento</t>
  </si>
  <si>
    <t>Como contornar objeção de falta de tempo do lead</t>
  </si>
  <si>
    <t>Gestão do tempo individual e de time</t>
  </si>
  <si>
    <t>Influência positiva dentro de um time</t>
  </si>
  <si>
    <t>Interpretação de dados</t>
  </si>
  <si>
    <t xml:space="preserve">Aula:
SDR`S - Gabriel Baeta - Modelo GPCT
https://drive.google.com/file/d/16LStcljn_Wv6pYAinwzqXbVpdAwYResj/view?usp=share_link
Minutagem:
Link vídeo final:
https://drive.google.com/file/d/1rj9jqoUgupWmEz7XaHRIPVIcWmdFzjn-/view?usp=share_link
Alteração:
https://drive.google.com/file/d/1pmNE03AVFmu7OUjma0v9XTZfxEZ-orLT/view?usp=share_link
</t>
  </si>
  <si>
    <t>Negociação</t>
  </si>
  <si>
    <t xml:space="preserve">Elemento 4 de ABM: campanhas personalizadas </t>
  </si>
  <si>
    <t>Oferecer feedback e sugestões</t>
  </si>
  <si>
    <t xml:space="preserve">Felipe Spina </t>
  </si>
  <si>
    <t>Cofounder and CEO</t>
  </si>
  <si>
    <t>1203614403916459</t>
  </si>
  <si>
    <t>Planejamento de Carreira</t>
  </si>
  <si>
    <t>Planejamento estratégico de resultado individual</t>
  </si>
  <si>
    <t>Priorização e planejamento</t>
  </si>
  <si>
    <t>https://drive.google.com/file/d/1VrLUHLJ2N_Myge1oZs_YZHGNcRp_DlEX/view?usp=share_link
Alteração Transição Vinheta:
https://drive.google.com/file/d/1nq9w8EelmgJiI4PB34_NsXLIGagHK6ZE/view?usp=share_link</t>
  </si>
  <si>
    <t>Protagonismo e Adaptabilidade</t>
  </si>
  <si>
    <t>Raciocínio Lógico</t>
  </si>
  <si>
    <t>Receber e absorver feedback</t>
  </si>
  <si>
    <t>1203614403916471</t>
  </si>
  <si>
    <t>Recrutamento e construção de times</t>
  </si>
  <si>
    <t>Resolução de Problemas</t>
  </si>
  <si>
    <t>https://drive.google.com/file/d/1znsPJDQrIZFTH6NOjYDmk82u3hN8FiI_/view?usp=share_link
Alteração Transição Vinheta:
https://drive.google.com/file/d/1V5W-O1Jkz7JXyOIk-JVAXcX6xFSK2v3d/view?usp=share_link</t>
  </si>
  <si>
    <t>Resolução de problemas com cliente</t>
  </si>
  <si>
    <t>Rituais de Gestão</t>
  </si>
  <si>
    <t>Saber pedir ajuda</t>
  </si>
  <si>
    <t>1203642713062888</t>
  </si>
  <si>
    <t>Técnicas de Vendas B2B</t>
  </si>
  <si>
    <t>Tomada de decisão</t>
  </si>
  <si>
    <t>Visão de futuro</t>
  </si>
  <si>
    <t xml:space="preserve">Aula:
Sales Leaders com Lelio Souza - Gestão de Vendas de Serviços
https://drive.google.com/file/d/1f1tKb11ooLBlJn-BcmY1aEm3_-JbU_Jv/view
Minutagem:
31:28/32:04
Link vídeo final:
https://drive.google.com/file/d/11tmXYtDhO5tFLybjBIbntHLNxb2vmSMJ/view?usp=share_link
</t>
  </si>
  <si>
    <t xml:space="preserve">Os 5 elementos da estratégia de Account-Based Marketing (ABM) - Marketing </t>
  </si>
  <si>
    <t>1203614403916463</t>
  </si>
  <si>
    <t>https://drive.google.com/file/d/1vQ-F1GBwsbONgSh6EYgz8_fu53YpGSeB/view?usp=share_link
Alteração Transição Vinheta:
https://drive.google.com/file/d/1235_Ik2zUMmkPELKLbR1tCyXfificHX9/view?usp=share_link</t>
  </si>
  <si>
    <t>Grupo Meta</t>
  </si>
  <si>
    <t>A importância do interesse genuíno na hora de atender o cliente</t>
  </si>
  <si>
    <t xml:space="preserve">Aula:
SDR`S - Gabriel Baeta - Modelo GPCT
https://drive.google.com/file/d/16LStcljn_Wv6pYAinwzqXbVpdAwYResj/view?usp=share_link
Minutagem:
Link vídeo final:
https://drive.google.com/file/d/1H5e9rT_agH-rydYd3BqGDi94JRexmRZm/view?usp=share_link
Alteração:
https://drive.google.com/file/d/1FVhPMw832mJqqWG8nvVmTn8lAWJuL-3G/view?usp=share_link
</t>
  </si>
  <si>
    <t>José Martin Juacida</t>
  </si>
  <si>
    <t>Strategic Client Sales Latam - Business Messaging</t>
  </si>
  <si>
    <t>1203558769349593</t>
  </si>
  <si>
    <t>O que é GPCT?</t>
  </si>
  <si>
    <t xml:space="preserve">Aula:
SDR`S - Gabriel Baeta - Modelo GPCT
https://drive.google.com/file/d/16LStcljn_Wv6pYAinwzqXbVpdAwYResj/view?usp=share_link
Minutagem:
Link vídeo final:
https://drive.google.com/file/d/1U5PJ98UlO80XMa9_nIsiRnP-mBLr2uy4/view?usp=share_link
Alteração:
https://drive.google.com/file/d/1GyG79x7ksnDhzBzMhU1UFS2dz0pBiUit/view?usp=share_link
</t>
  </si>
  <si>
    <t>1203642713062932</t>
  </si>
  <si>
    <t xml:space="preserve">Aula:
Sales Leaders com Alexandre Apendino - Integrando Equipes de Vendas pós M&amp;A
https://drive.google.com/file/d/1EvFOSNigOlRbcF_ZtOuDqkm6C969u4sX/view
Minutagem:
 50:49/51:47
Link vídeo final:
https://drive.google.com/file/d/1lzQAYETGDJVbpsXgptm3FhHIpSj33vYH/view?usp=share_link
</t>
  </si>
  <si>
    <t xml:space="preserve">Aula:
Canais &amp; Parcerias - Barbara Luchese - Case: Alelo
https://drive.google.com/file/d/1eSIV5fkLxGHvGGbSZ2J6-aUk7LI9MNBd/view?usp=share_link
Minutagem:
50:03/51:17 — 51:38/51:43
Link vídeo final:
https://drive.google.com/file/d/1V1N7AoxoWgJHwsrAFGHCcxAYR4da4YPb/view?usp=share_link
</t>
  </si>
  <si>
    <t>1203622949570165</t>
  </si>
  <si>
    <t>https://drive.google.com/file/d/1tRYQ8OFs340XElXampnZWWPPkgXMQIHC/view?usp=share_link</t>
  </si>
  <si>
    <t>1203695750912588</t>
  </si>
  <si>
    <t xml:space="preserve">Aula:
Canais &amp; Parcerias - Barbara Luchese - Case: Alelo
https://drive.google.com/file/d/1eSIV5fkLxGHvGGbSZ2J6-aUk7LI9MNBd/view?usp=share_link
Minutagem:
22:22/23:30
Link vídeo final:
https://drive.google.com/file/d/1KTBb6dHFQMxFydaj9W2Bq3q5CC2MWiQG/view?usp=share_link
</t>
  </si>
  <si>
    <t>1203558703538556</t>
  </si>
  <si>
    <t>Como é a estrutura comercial do G4?</t>
  </si>
  <si>
    <t xml:space="preserve">Aula:
SDR`S - Mariana Mello - Case G4 Educação
https://drive.google.com/file/d/1TWVUFUjiTsnwUG8De6b24rzid22y9Lk0/view?usp=share_link
Minutagem:
Link vídeo final:
https://drive.google.com/file/d/17cQh8WETU2mu-brTN4D_Gl8hKXWqo-jx/view?usp=share_link
</t>
  </si>
  <si>
    <t>1203590263544651</t>
  </si>
  <si>
    <t>O elemento que não pode faltar em uma ligação de prospecção</t>
  </si>
  <si>
    <t>Aula:
SDRs com Bianca Junqueira - SPIN Selling na Prospecção
https://drive.google.com/file/d/1szENYTf9OoG4O68JR2F79nEJNfkmgqG3/view?usp=share_link
Minutagem:
38:01 à 39:24
Link vídeo final:
https://drive.google.com/file/d/154ONpoiUpJn62qSLzixBjoX_84mkkBWD/view?usp=share_link</t>
  </si>
  <si>
    <t>Revenue Operations</t>
  </si>
  <si>
    <t>1203614403916477</t>
  </si>
  <si>
    <t>Você é SDR ou um robô?</t>
  </si>
  <si>
    <t>https://drive.google.com/file/d/1CFCaIz3PxsUM_8OhJf5NAzS67wLYxWko/view?usp=share_link</t>
  </si>
  <si>
    <t>1203558769349589</t>
  </si>
  <si>
    <t>O erro mais comum que vendedores em início de carreira cometem</t>
  </si>
  <si>
    <t>Aula:
SDR`S - Gabriel Baeta - Modelo GPCT
https://drive.google.com/file/d/16LStcljn_Wv6pYAinwzqXbVpdAwYResj/view?usp=share_link
Minutagem:
Link vídeo final:
https://drive.google.com/file/d/1Af8h5w-9uZSl0JFMTIxOp0fZYUe4UWqe/view?usp=share_link</t>
  </si>
  <si>
    <t>1203642713059732</t>
  </si>
  <si>
    <t>Como usar a automação da forma certa</t>
  </si>
  <si>
    <t>Diretor de Desenvolvimento de Negócios</t>
  </si>
  <si>
    <t>SDR`s,Marcelo Silva</t>
  </si>
  <si>
    <t xml:space="preserve">Aula:
SDR`S com Marcelo Silva "Automações Produtivas para SDRs
https://drive.google.com/file/d/1D3G_m5HWrxA1gy1nJXnjU3y_o6fHi9Xy/view?usp=share_link
Minutagem:
48:24 - 49:20
Link vídeo final:
https://drive.google.com/file/d/1F8kUESZ9dVoUBveZY6swt7HdeecYl9UD/view?usp=share_link
</t>
  </si>
  <si>
    <t>1203695750912586</t>
  </si>
  <si>
    <t>Takeoff Founder</t>
  </si>
  <si>
    <t>Canary</t>
  </si>
  <si>
    <t xml:space="preserve">Aula:
Canais &amp; Parcerias - Barbara Luchese - Case: Alelo
https://drive.google.com/file/d/1eSIV5fkLxGHvGGbSZ2J6-aUk7LI9MNBd/view?usp=share_link
Minutagem:
17:09/17:59 — 19:05/19:42
Link vídeo final:
https://drive.google.com/file/d/1V9oaJj9KNhry8j863wJyIh-Pxg1cHxqU/view?usp=share_link
</t>
  </si>
  <si>
    <t>Sales Director Latam</t>
  </si>
  <si>
    <t>1203642713062874</t>
  </si>
  <si>
    <t>Saia da caixa no momento de prospectar</t>
  </si>
  <si>
    <t xml:space="preserve">Aula:
SDRs com Tatiana Pimenta - Prospectando Grandes Contas
https://drive.google.com/file/d/1X2_DBzj0FsvQnM4IFCE7e7mnfISR3Rxk/view?usp=share_link
Minutagem:
Link vídeo final:
https://drive.google.com/file/d/16c2Sc1ghxDoSLju0LTGTFJ9ZHzRzm9Vl/view?usp=share_link
</t>
  </si>
  <si>
    <t xml:space="preserve">Head Educacional </t>
  </si>
  <si>
    <t>1203642713062894</t>
  </si>
  <si>
    <t xml:space="preserve">Aula:
Sales Leaders com Lelio Souza - Gestão de Vendas de Serviços
https://drive.google.com/file/d/1f1tKb11ooLBlJn-BcmY1aEm3_-JbU_Jv/view
Minutagem:
48:54/49:37
Link vídeo final:
https://drive.google.com/file/d/1leRBVcU_FYsLpM6jNplG0gh8hD1X6pSj/view?usp=share_link
</t>
  </si>
  <si>
    <t>1203642713062912</t>
  </si>
  <si>
    <t xml:space="preserve">Quais métricas são tiradas de uma análise de win-loss? </t>
  </si>
  <si>
    <t>Critérios de layoff</t>
  </si>
  <si>
    <t xml:space="preserve">Aula:
Sales Leaders com Tiago Tadeu - Demissões e Layoffs
https://drive.google.com/file/d/1UABLCHFdaYgNmYbUju_EQsUIClh7B9Lu/view
Minutagem:
55:01/56:01
Link vídeo final:
https://drive.google.com/file/d/1QKGqOeUOzJRP3cSAOZuq1glHwDX_VJ7x/view?usp=share_link
</t>
  </si>
  <si>
    <t>1203590263547891</t>
  </si>
  <si>
    <t>Como assumir o protagonismo na sua carreira</t>
  </si>
  <si>
    <t>Aula:
SDRs com Angelita Oliveira - Carreira e Mulheres em Vendas
https://drive.google.com/file/d/1wxmCR46a1VJNwgxL4RxHFEom2WBV6plJ/view?usp=share_link
Minutagem:
47:26 à 48:46
Link vídeo final:
https://drive.google.com/file/d/1x5kcZ3s8E3Fko0kib17PoAGq4UtaEeJU/view?usp=share_link</t>
  </si>
  <si>
    <t>Claudio Bessa</t>
  </si>
  <si>
    <t xml:space="preserve">IBM TECHNOLY </t>
  </si>
  <si>
    <t>Escalando Vendas e Ganhando Market Share</t>
  </si>
  <si>
    <t>Thiago Letra
Jessica Bortolato</t>
  </si>
  <si>
    <t>Head of Sales &amp; Business Development
Sales Director and Partner</t>
  </si>
  <si>
    <t>TotalPass
Gupy</t>
  </si>
  <si>
    <t xml:space="preserve">O CRM é essencial para o desenvolvimento de uma equipe de vendas - CRM </t>
  </si>
  <si>
    <t>Gustavo Pagotto/Patricia Antonelli</t>
  </si>
  <si>
    <t>Executive Manager of eBusiness and Business Intelligence</t>
  </si>
  <si>
    <t xml:space="preserve">Livia Lima </t>
  </si>
  <si>
    <t>Head of Sales Strategy &amp; Ops</t>
  </si>
  <si>
    <t>Qual é a base para começar um planejamento comercial?</t>
  </si>
  <si>
    <t>O maior erro do planejamento comercial</t>
  </si>
  <si>
    <t xml:space="preserve">Nem todo teste é realizável </t>
  </si>
  <si>
    <t xml:space="preserve">Em qual etapa a tecnologia pode ajudar o setor de vendas? - CRM </t>
  </si>
  <si>
    <t>Bromélia</t>
  </si>
  <si>
    <t xml:space="preserve">Angelita Oliveira </t>
  </si>
  <si>
    <t>Partner &amp; Head of Growth at Harpoon</t>
  </si>
  <si>
    <t>Harpoon</t>
  </si>
  <si>
    <t xml:space="preserve">Bianca Junqueira </t>
  </si>
  <si>
    <t>ClearSale</t>
  </si>
  <si>
    <t>https://drive.google.com/file/d/1WnFt4XadS0dxfKoI38pqD1-gsI-6kEAP/view?usp=share_link</t>
  </si>
  <si>
    <t>Carmen Beretti</t>
  </si>
  <si>
    <t>Alinea Health</t>
  </si>
  <si>
    <t xml:space="preserve">Aprendizados de Inbound e Outbound </t>
  </si>
  <si>
    <t xml:space="preserve">João Luis Olivério </t>
  </si>
  <si>
    <t>Founding Board Member</t>
  </si>
  <si>
    <t>Sales As A System</t>
  </si>
  <si>
    <t xml:space="preserve">Julio Ramone </t>
  </si>
  <si>
    <t xml:space="preserve">Como motivar um time de SDR </t>
  </si>
  <si>
    <t>Por quê os leads não respondem</t>
  </si>
  <si>
    <r>
      <rPr>
        <rFont val="Nunito"/>
        <color rgb="FF434343"/>
        <sz val="10.0"/>
      </rPr>
      <t xml:space="preserve">Portão 3 
</t>
    </r>
    <r>
      <rPr>
        <rFont val="Nunito"/>
        <color rgb="FF1155CC"/>
        <sz val="10.0"/>
        <u/>
      </rPr>
      <t>Runrun.it</t>
    </r>
  </si>
  <si>
    <t>Bnex</t>
  </si>
  <si>
    <t>Mariana Mello</t>
  </si>
  <si>
    <t>Mimo Live Sales</t>
  </si>
  <si>
    <t xml:space="preserve">Qual é o papel da equipe de pré-vendas? </t>
  </si>
  <si>
    <t>Speed IO</t>
  </si>
  <si>
    <t>Executiva de Desenvolvimento de Negócios</t>
  </si>
  <si>
    <t>Como Construir o seu Playbook de SDR</t>
  </si>
  <si>
    <t xml:space="preserve">Rafael Follador </t>
  </si>
  <si>
    <t xml:space="preserve">Dificuldades de conciliar escala e conversão </t>
  </si>
  <si>
    <t xml:space="preserve">Como analisar quantos toques valem a pena?  </t>
  </si>
  <si>
    <t xml:space="preserve">Os 5 elementos de um fluxo de cadência </t>
  </si>
  <si>
    <t xml:space="preserve">O que é um software de sales engagement </t>
  </si>
  <si>
    <t>Aumento de Produtividade com ferramentas de Sales Engageme</t>
  </si>
  <si>
    <t>Dificuldades dos SRDs na prospecção</t>
  </si>
  <si>
    <t>Tatiane Pimenta</t>
  </si>
  <si>
    <t>Coordenadora administrativa</t>
  </si>
  <si>
    <t>Instituto Filadelfia de Londrina</t>
  </si>
  <si>
    <t xml:space="preserve">Como prospectar em grandes empresas? </t>
  </si>
  <si>
    <t>Coordenadora de vendas</t>
  </si>
  <si>
    <t>Deskfy</t>
  </si>
  <si>
    <t xml:space="preserve">Theo Orosco </t>
  </si>
  <si>
    <t xml:space="preserve">Thiago Reis </t>
  </si>
  <si>
    <t>https://drive.google.com/file/d/1SQrnhXtxMuGsCeRJlG5OVRXcEX0b8vFp/view?usp=share_link</t>
  </si>
  <si>
    <t>https://drive.google.com/file/d/1R0-EBHb-HnC-4232U4h0FLcvjf9iVSQD/view?usp=share_link</t>
  </si>
  <si>
    <t>SoftPlan</t>
  </si>
  <si>
    <t>https://drive.google.com/file/d/1hwsATbn4KRuuHmiTp3NkQDgV-ka6Mm5s/view?usp=share_link</t>
  </si>
  <si>
    <t>https://drive.google.com/file/d/1H0BS4UifkVr3bILm5pDXxttA7CDltNDv/view?usp=share_link</t>
  </si>
  <si>
    <t>https://drive.google.com/file/d/1nbWGOl-jTzDNx3UqQ-sUh59uj83wWpB1/view?usp=share_link</t>
  </si>
  <si>
    <t>https://drive.google.com/file/d/14pRNTXDOutIVGZpv9WrWEoJyrnwCH2Br/view?usp=share_link</t>
  </si>
  <si>
    <t xml:space="preserve">Insight: Você vai errar muito até encontrar o caminho certo - paciência </t>
  </si>
  <si>
    <t>https://drive.google.com/file/d/1TBneX0K74ZSFWqq9zJ4LLyA55chiMCYO/view?usp=share_link</t>
  </si>
  <si>
    <t>https://drive.google.com/file/d/19Stzjgl4EfKqgf4HnmKZ--1ta6bJz4pZ/view?usp=share_link</t>
  </si>
  <si>
    <t>https://drive.google.com/file/d/1R58Ell0Z6ajIelgFFV9tx0KOCs_JCcjw/view?usp=share_link</t>
  </si>
  <si>
    <t>https://drive.google.com/file/d/1zUmbHi3HwDDOD44w2cERYTn-0d5ZqNqw/view?usp=share_link</t>
  </si>
  <si>
    <t>https://drive.google.com/file/d/1qC8Q1YAg74k3VPzZGSYcFvpZxE3snq3s/view?usp=share_link</t>
  </si>
  <si>
    <t>Equipes de Vendas Sem Comissão</t>
  </si>
  <si>
    <t xml:space="preserve">Luiz Gaziri </t>
  </si>
  <si>
    <t xml:space="preserve">Professor e FAE </t>
  </si>
  <si>
    <t>UNICAMP e Business School</t>
  </si>
  <si>
    <t>https://drive.google.com/file/d/1JqsZhE4o2vxM9lHbsTSwURRuCyyIIYMX/view?usp=share_link</t>
  </si>
  <si>
    <t xml:space="preserve">Insight: Na prática a teoria funciona? </t>
  </si>
  <si>
    <t>https://drive.google.com/file/d/1J7tiFcR7C8HKmhcWhCPTLuOPNID-F2DV/view?usp=share_link</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</si>
</sst>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d/mm/yyyy"/>
    <numFmt numFmtId="166" formatCode="d/m/yyyy"/>
    <numFmt numFmtId="167" formatCode="yyyy-mm-dd"/>
    <numFmt numFmtId="168" formatCode="dd/MM/yyyy HH:mm:ss"/>
  </numFmts>
  <fonts count="478">
    <font>
      <sz val="10.0"/>
      <color rgb="FF000000"/>
      <name val="Calibri"/>
      <scheme val="minor"/>
    </font>
    <font>
      <b/>
      <sz val="11.0"/>
      <color rgb="FFFFFFFF"/>
      <name val="Calibri"/>
    </font>
    <font>
      <sz val="10.0"/>
      <color theme="1"/>
      <name val="Nunito"/>
    </font>
    <font>
      <color theme="1"/>
      <name val="Calibri"/>
      <scheme val="minor"/>
    </font>
    <font>
      <b/>
      <sz val="21.0"/>
      <color rgb="FFFFFFFF"/>
      <name val="Poppins"/>
    </font>
    <font/>
    <font>
      <sz val="11.0"/>
      <color rgb="FF1D1C1D"/>
      <name val="Slack-Lato"/>
    </font>
    <font>
      <b/>
      <color rgb="FFFFFFFF"/>
      <name val="Nunito"/>
    </font>
    <font>
      <b/>
      <sz val="21.0"/>
      <color rgb="FFFFFFFF"/>
      <name val="Nunito"/>
    </font>
    <font>
      <color theme="1"/>
      <name val="Nunito"/>
    </font>
    <font>
      <b/>
      <u/>
      <sz val="10.0"/>
      <color rgb="FFFFFFFF"/>
      <name val="Poppins"/>
    </font>
    <font>
      <b/>
      <sz val="10.0"/>
      <color rgb="FFFFFFFF"/>
      <name val="Nunito"/>
    </font>
    <font>
      <color rgb="FF000000"/>
      <name val="Calibri"/>
      <scheme val="minor"/>
    </font>
    <font>
      <color rgb="FFFFFFFF"/>
      <name val="Nunito"/>
    </font>
    <font>
      <sz val="10.0"/>
      <color rgb="FFFFFFFF"/>
      <name val="Nunito"/>
    </font>
    <font>
      <u/>
      <sz val="10.0"/>
      <color rgb="FF0000FF"/>
      <name val="Nunito"/>
    </font>
    <font>
      <u/>
      <sz val="10.0"/>
      <color rgb="FF0000FF"/>
      <name val="Nunito"/>
    </font>
    <font>
      <u/>
      <sz val="10.0"/>
      <color rgb="FF0000FF"/>
      <name val="Nunito"/>
    </font>
    <font>
      <u/>
      <sz val="10.0"/>
      <color rgb="FF0000FF"/>
      <name val="Nunito"/>
    </font>
    <font>
      <u/>
      <color rgb="FF1155CC"/>
      <name val="Nunito"/>
    </font>
    <font>
      <u/>
      <sz val="10.0"/>
      <color rgb="FF0000FF"/>
      <name val="Nunito"/>
    </font>
    <font>
      <color theme="1"/>
      <name val="Arial"/>
    </font>
    <font>
      <u/>
      <sz val="10.0"/>
      <color rgb="FF0000FF"/>
      <name val="Nunito"/>
    </font>
    <font>
      <u/>
      <color rgb="FF1155CC"/>
      <name val="Nunito"/>
    </font>
    <font>
      <u/>
      <color rgb="FF1155CC"/>
      <name val="Nunito"/>
    </font>
    <font>
      <u/>
      <sz val="10.0"/>
      <color theme="1"/>
      <name val="Nunito"/>
    </font>
    <font>
      <u/>
      <sz val="10.0"/>
      <color theme="1"/>
      <name val="Nunito"/>
    </font>
    <font>
      <u/>
      <color rgb="FF1155CC"/>
      <name val="Nunito"/>
    </font>
    <font>
      <u/>
      <color rgb="FF1155CC"/>
      <name val="Nunito"/>
    </font>
    <font>
      <u/>
      <sz val="10.0"/>
      <color theme="1"/>
      <name val="Nunito"/>
    </font>
    <font>
      <u/>
      <sz val="10.0"/>
      <color theme="1"/>
      <name val="Nunito"/>
    </font>
    <font>
      <u/>
      <sz val="10.0"/>
      <color theme="1"/>
      <name val="Nunito"/>
    </font>
    <font>
      <u/>
      <sz val="10.0"/>
      <color theme="1"/>
      <name val="Nunito"/>
    </font>
    <font>
      <u/>
      <sz val="10.0"/>
      <color theme="1"/>
      <name val="Nunito"/>
    </font>
    <font>
      <u/>
      <sz val="10.0"/>
      <color rgb="FF0000FF"/>
      <name val="Nunito"/>
    </font>
    <font>
      <u/>
      <color rgb="FF1155CC"/>
      <name val="Nunito"/>
    </font>
    <font>
      <u/>
      <sz val="10.0"/>
      <color rgb="FF0000FF"/>
      <name val="Nunito"/>
    </font>
    <font>
      <u/>
      <sz val="10.0"/>
      <color rgb="FF0000FF"/>
      <name val="Nunito"/>
    </font>
    <font>
      <u/>
      <sz val="10.0"/>
      <color rgb="FF0000FF"/>
      <name val="Nunito"/>
    </font>
    <font>
      <u/>
      <sz val="10.0"/>
      <color rgb="FF0000FF"/>
      <name val="Nunito"/>
    </font>
    <font>
      <u/>
      <color rgb="FF1155CC"/>
      <name val="Nunito"/>
    </font>
    <font>
      <u/>
      <color rgb="FF1155CC"/>
      <name val="Nunito"/>
    </font>
    <font>
      <u/>
      <sz val="10.0"/>
      <color rgb="FF0000FF"/>
      <name val="Nunito"/>
    </font>
    <font>
      <u/>
      <color rgb="FF1155CC"/>
      <name val="Nunito"/>
    </font>
    <font>
      <u/>
      <sz val="10.0"/>
      <color rgb="FF0000FF"/>
      <name val="Nunito"/>
    </font>
    <font>
      <u/>
      <color rgb="FF1155CC"/>
      <name val="Nunito"/>
    </font>
    <font>
      <u/>
      <sz val="10.0"/>
      <color theme="1"/>
      <name val="Nunito"/>
    </font>
    <font>
      <u/>
      <sz val="10.0"/>
      <color theme="1"/>
      <name val="Nunito"/>
    </font>
    <font>
      <u/>
      <sz val="10.0"/>
      <color theme="1"/>
      <name val="Nunito"/>
    </font>
    <font>
      <u/>
      <sz val="10.0"/>
      <color theme="1"/>
      <name val="Nunito"/>
    </font>
    <font>
      <u/>
      <sz val="10.0"/>
      <color theme="1"/>
      <name val="Nunito"/>
    </font>
    <font>
      <u/>
      <sz val="10.0"/>
      <color theme="1"/>
      <name val="Nunito"/>
    </font>
    <font>
      <u/>
      <sz val="10.0"/>
      <color theme="1"/>
      <name val="Nunito"/>
    </font>
    <font>
      <u/>
      <sz val="10.0"/>
      <color theme="1"/>
      <name val="Nunito"/>
    </font>
    <font>
      <u/>
      <sz val="10.0"/>
      <color theme="1"/>
      <name val="Nunito"/>
    </font>
    <font>
      <u/>
      <sz val="10.0"/>
      <color theme="1"/>
      <name val="Nunito"/>
    </font>
    <font>
      <u/>
      <color rgb="FF1155CC"/>
      <name val="Nunito"/>
    </font>
    <font>
      <u/>
      <color rgb="FF0000FF"/>
      <name val="Arial"/>
    </font>
    <font>
      <u/>
      <sz val="10.0"/>
      <color rgb="FF0000FF"/>
      <name val="Nunito"/>
    </font>
    <font>
      <u/>
      <sz val="10.0"/>
      <color theme="1"/>
      <name val="Nunito"/>
    </font>
    <font>
      <u/>
      <sz val="10.0"/>
      <color rgb="FF0000FF"/>
      <name val="Nunito"/>
    </font>
    <font>
      <u/>
      <color rgb="FF1155CC"/>
      <name val="Nunito"/>
    </font>
    <font>
      <color rgb="FF000000"/>
      <name val="Nunito"/>
    </font>
    <font>
      <u/>
      <sz val="10.0"/>
      <color rgb="FF0000FF"/>
      <name val="Nunito"/>
    </font>
    <font>
      <u/>
      <sz val="10.0"/>
      <color rgb="FF0000FF"/>
      <name val="Nunito"/>
    </font>
    <font>
      <u/>
      <sz val="10.0"/>
      <color rgb="FF0000FF"/>
      <name val="Nunito"/>
    </font>
    <font>
      <u/>
      <sz val="10.0"/>
      <color rgb="FF0000FF"/>
      <name val="Nunito"/>
    </font>
    <font>
      <u/>
      <sz val="10.0"/>
      <color rgb="FF0000FF"/>
      <name val="Nunito"/>
    </font>
    <font>
      <u/>
      <sz val="10.0"/>
      <color rgb="FF0000FF"/>
      <name val="Nunito"/>
    </font>
    <font>
      <u/>
      <sz val="10.0"/>
      <color rgb="FF0000FF"/>
      <name val="Nunito"/>
    </font>
    <font>
      <u/>
      <sz val="10.0"/>
      <color rgb="FF0000FF"/>
      <name val="Nunito"/>
    </font>
    <font>
      <u/>
      <color rgb="FF1155CC"/>
      <name val="Nunito"/>
    </font>
    <font>
      <u/>
      <sz val="10.0"/>
      <color rgb="FF0000FF"/>
      <name val="Nunito"/>
    </font>
    <font>
      <u/>
      <color rgb="FF0000FF"/>
    </font>
    <font>
      <u/>
      <color rgb="FF1155CC"/>
      <name val="Nunito"/>
    </font>
    <font>
      <u/>
      <sz val="10.0"/>
      <color rgb="FF0000FF"/>
      <name val="Nunito"/>
    </font>
    <font>
      <u/>
      <color rgb="FF1155CC"/>
      <name val="Nunito"/>
    </font>
    <font>
      <u/>
      <color rgb="FF0000FF"/>
      <name val="Nunito"/>
    </font>
    <font>
      <u/>
      <color rgb="FF1155CC"/>
      <name val="Nunito"/>
    </font>
    <font>
      <u/>
      <sz val="10.0"/>
      <color rgb="FF1155CC"/>
      <name val="Nunito"/>
    </font>
    <font>
      <u/>
      <sz val="10.0"/>
      <color rgb="FF1155CC"/>
      <name val="Nunito"/>
    </font>
    <font>
      <u/>
      <sz val="10.0"/>
      <color rgb="FF0000FF"/>
      <name val="Nunito"/>
    </font>
    <font>
      <u/>
      <sz val="10.0"/>
      <color rgb="FF1155CC"/>
      <name val="Nunito"/>
    </font>
    <font>
      <u/>
      <sz val="10.0"/>
      <color rgb="FF1155CC"/>
      <name val="Nunito"/>
    </font>
    <font>
      <u/>
      <sz val="10.0"/>
      <color rgb="FF1155CC"/>
      <name val="Nunito"/>
    </font>
    <font>
      <u/>
      <sz val="10.0"/>
      <color rgb="FF0000FF"/>
      <name val="Nunito"/>
    </font>
    <font>
      <u/>
      <color rgb="FF1155CC"/>
      <name val="Nunito"/>
    </font>
    <font>
      <u/>
      <sz val="10.0"/>
      <color rgb="FF0000FF"/>
      <name val="Nunito"/>
    </font>
    <font>
      <u/>
      <color rgb="FF1155CC"/>
      <name val="Nunito"/>
    </font>
    <font>
      <u/>
      <sz val="10.0"/>
      <color rgb="FF0000FF"/>
      <name val="Nunito"/>
    </font>
    <font>
      <u/>
      <sz val="10.0"/>
      <color rgb="FF0000FF"/>
      <name val="Nunito"/>
    </font>
    <font>
      <u/>
      <color rgb="FF1155CC"/>
      <name val="Nunito"/>
    </font>
    <font>
      <u/>
      <sz val="10.0"/>
      <color rgb="FF1155CC"/>
      <name val="Nunito"/>
    </font>
    <font>
      <u/>
      <sz val="10.0"/>
      <color rgb="FF1155CC"/>
      <name val="Nunito"/>
    </font>
    <font>
      <u/>
      <sz val="10.0"/>
      <color rgb="FF1155CC"/>
      <name val="Nunito"/>
    </font>
    <font>
      <u/>
      <color rgb="FF1155CC"/>
      <name val="Nunito"/>
    </font>
    <font>
      <u/>
      <color rgb="FF1155CC"/>
      <name val="Nunito"/>
    </font>
    <font>
      <u/>
      <sz val="10.0"/>
      <color rgb="FF0000FF"/>
      <name val="Nunito"/>
    </font>
    <font>
      <u/>
      <sz val="10.0"/>
      <color rgb="FF0000FF"/>
      <name val="Nunito"/>
    </font>
    <font>
      <u/>
      <sz val="10.0"/>
      <color rgb="FF1155CC"/>
      <name val="Nunito"/>
    </font>
    <font>
      <u/>
      <sz val="10.0"/>
      <color rgb="FF1155CC"/>
      <name val="Nunito"/>
    </font>
    <font>
      <u/>
      <color rgb="FF1155CC"/>
      <name val="Nunito"/>
    </font>
    <font>
      <u/>
      <color rgb="FF0000FF"/>
      <name val="Nunito"/>
    </font>
    <font>
      <u/>
      <sz val="10.0"/>
      <color rgb="FF0000FF"/>
      <name val="Nunito"/>
    </font>
    <font>
      <u/>
      <sz val="10.0"/>
      <color rgb="FF0000FF"/>
      <name val="Nunito"/>
    </font>
    <font>
      <u/>
      <sz val="10.0"/>
      <color theme="1"/>
      <name val="Nunito"/>
    </font>
    <font>
      <u/>
      <sz val="10.0"/>
      <color theme="1"/>
      <name val="Nunito"/>
    </font>
    <font>
      <u/>
      <color rgb="FF1155CC"/>
      <name val="Nunito"/>
    </font>
    <font>
      <u/>
      <color rgb="FF1155CC"/>
      <name val="Nunito"/>
    </font>
    <font>
      <u/>
      <color rgb="FF1155CC"/>
      <name val="Nunito"/>
    </font>
    <font>
      <u/>
      <color rgb="FF1155CC"/>
      <name val="Nunito"/>
    </font>
    <font>
      <u/>
      <sz val="10.0"/>
      <color rgb="FF0000FF"/>
      <name val="Nunito"/>
    </font>
    <font>
      <u/>
      <color rgb="FF1155CC"/>
      <name val="Nunito"/>
    </font>
    <font>
      <u/>
      <color rgb="FF1155CC"/>
      <name val="Nunito"/>
    </font>
    <font>
      <u/>
      <color rgb="FF1155CC"/>
      <name val="Nunito"/>
    </font>
    <font>
      <u/>
      <sz val="10.0"/>
      <color rgb="FF1155CC"/>
      <name val="Nunito"/>
    </font>
    <font>
      <u/>
      <color rgb="FF1155CC"/>
      <name val="Nunito"/>
    </font>
    <font>
      <u/>
      <color rgb="FF1155CC"/>
      <name val="Nunito"/>
    </font>
    <font>
      <u/>
      <sz val="10.0"/>
      <color rgb="FF0000FF"/>
      <name val="Nunito"/>
    </font>
    <font>
      <u/>
      <color rgb="FF1155CC"/>
      <name val="Nunito"/>
    </font>
    <font>
      <u/>
      <sz val="10.0"/>
      <color rgb="FF0000FF"/>
      <name val="Nunito"/>
    </font>
    <font>
      <u/>
      <sz val="10.0"/>
      <color rgb="FF0000FF"/>
      <name val="Nunito"/>
    </font>
    <font>
      <u/>
      <sz val="10.0"/>
      <color rgb="FF0000FF"/>
      <name val="Nunito"/>
    </font>
    <font>
      <u/>
      <sz val="10.0"/>
      <color rgb="FF0000FF"/>
      <name val="Nunito"/>
    </font>
    <font>
      <u/>
      <sz val="10.0"/>
      <color rgb="FF0000FF"/>
      <name val="Nunito"/>
    </font>
    <font>
      <u/>
      <color rgb="FF1155CC"/>
      <name val="Nunito"/>
    </font>
    <font>
      <u/>
      <sz val="10.0"/>
      <color rgb="FF0000FF"/>
      <name val="Nunito"/>
    </font>
    <font>
      <u/>
      <sz val="10.0"/>
      <color rgb="FF0000FF"/>
      <name val="Nunito"/>
    </font>
    <font>
      <u/>
      <sz val="10.0"/>
      <color rgb="FF0000FF"/>
      <name val="Nunito"/>
    </font>
    <font>
      <u/>
      <color rgb="FF0000FF"/>
    </font>
    <font>
      <color theme="1"/>
      <name val="Calibri"/>
    </font>
    <font>
      <u/>
      <color rgb="FF0000FF"/>
      <name val="Nunito"/>
    </font>
    <font>
      <u/>
      <color rgb="FF0000FF"/>
      <name val="Nunito"/>
    </font>
    <font>
      <u/>
      <sz val="10.0"/>
      <color theme="1"/>
      <name val="Nunito"/>
    </font>
    <font>
      <u/>
      <color rgb="FF1155CC"/>
      <name val="Nunito"/>
    </font>
    <font>
      <u/>
      <sz val="10.0"/>
      <color theme="1"/>
      <name val="Nunito"/>
    </font>
    <font>
      <u/>
      <sz val="10.0"/>
      <color theme="1"/>
      <name val="Nunito"/>
    </font>
    <font>
      <u/>
      <sz val="10.0"/>
      <color theme="1"/>
      <name val="Nunito"/>
    </font>
    <font>
      <u/>
      <color rgb="FF0000FF"/>
      <name val="Nunito"/>
    </font>
    <font>
      <u/>
      <color rgb="FF1155CC"/>
      <name val="Nunito"/>
    </font>
    <font>
      <u/>
      <color rgb="FF0000FF"/>
      <name val="Nunito"/>
    </font>
    <font>
      <u/>
      <color rgb="FF0000FF"/>
      <name val="Arial"/>
    </font>
    <font>
      <u/>
      <sz val="10.0"/>
      <color rgb="FF1155CC"/>
      <name val="Nunito"/>
    </font>
    <font>
      <u/>
      <color rgb="FF0000FF"/>
      <name val="Nunito"/>
    </font>
    <font>
      <u/>
      <color rgb="FF0000FF"/>
      <name val="Nunito"/>
    </font>
    <font>
      <u/>
      <sz val="10.0"/>
      <color rgb="FF0000FF"/>
      <name val="Nunito"/>
    </font>
    <font>
      <u/>
      <color rgb="FF0000FF"/>
      <name val="Nunito"/>
    </font>
    <font>
      <u/>
      <color rgb="FF1155CC"/>
      <name val="Nunito"/>
    </font>
    <font>
      <u/>
      <color rgb="FF0000FF"/>
      <name val="Nunito"/>
    </font>
    <font>
      <u/>
      <color rgb="FF0000FF"/>
      <name val="Nunito"/>
    </font>
    <font>
      <sz val="10.0"/>
      <color theme="1"/>
      <name val="Calibri"/>
    </font>
    <font>
      <u/>
      <color rgb="FF1155CC"/>
      <name val="Nunito"/>
    </font>
    <font>
      <u/>
      <color rgb="FF0000FF"/>
      <name val="Nunito"/>
    </font>
    <font>
      <u/>
      <sz val="10.0"/>
      <color rgb="FF0000FF"/>
      <name val="Nunito"/>
    </font>
    <font>
      <u/>
      <sz val="10.0"/>
      <color rgb="FF0000FF"/>
      <name val="Nunito"/>
    </font>
    <font>
      <u/>
      <color rgb="FF0000FF"/>
      <name val="Nunito"/>
    </font>
    <font>
      <u/>
      <color rgb="FF0000FF"/>
    </font>
    <font>
      <u/>
      <sz val="10.0"/>
      <color rgb="FF0000FF"/>
      <name val="Nunito"/>
    </font>
    <font>
      <u/>
      <sz val="10.0"/>
      <color rgb="FF0000FF"/>
      <name val="Nunito"/>
    </font>
    <font>
      <u/>
      <color rgb="FF1155CC"/>
      <name val="Nunito"/>
    </font>
    <font>
      <u/>
      <color rgb="FF0000FF"/>
      <name val="Nunito"/>
    </font>
    <font>
      <u/>
      <sz val="10.0"/>
      <color rgb="FF1155CC"/>
      <name val="Nunito"/>
    </font>
    <font>
      <u/>
      <color rgb="FF1155CC"/>
      <name val="Nunito"/>
    </font>
    <font>
      <u/>
      <color rgb="FF1155CC"/>
      <name val="Nunito"/>
    </font>
    <font>
      <u/>
      <color rgb="FF1155CC"/>
      <name val="Nunito"/>
    </font>
    <font>
      <u/>
      <color rgb="FF0000FF"/>
      <name val="Arial"/>
    </font>
    <font>
      <u/>
      <sz val="10.0"/>
      <color rgb="FF0000FF"/>
      <name val="Nunito"/>
    </font>
    <font>
      <u/>
      <sz val="10.0"/>
      <color rgb="FF0000FF"/>
      <name val="Nunito"/>
    </font>
    <font>
      <u/>
      <color rgb="FF1155CC"/>
      <name val="Nunito"/>
    </font>
    <font>
      <u/>
      <color rgb="FF0000FF"/>
      <name val="Arial"/>
    </font>
    <font>
      <u/>
      <sz val="10.0"/>
      <color rgb="FF0000FF"/>
      <name val="Nunito"/>
    </font>
    <font>
      <u/>
      <sz val="10.0"/>
      <color rgb="FF0000FF"/>
      <name val="Nunito"/>
    </font>
    <font>
      <color theme="1"/>
      <name val="Poppins"/>
    </font>
    <font>
      <u/>
      <color rgb="FF1155CC"/>
      <name val="Nunito"/>
    </font>
    <font>
      <u/>
      <color rgb="FF1155CC"/>
      <name val="Nunito"/>
    </font>
    <font>
      <u/>
      <color rgb="FF1155CC"/>
      <name val="Nunito"/>
    </font>
    <font>
      <u/>
      <sz val="10.0"/>
      <color rgb="FF0000FF"/>
      <name val="Nunito"/>
    </font>
    <font>
      <u/>
      <color rgb="FF0000FF"/>
      <name val="Nunito"/>
    </font>
    <font>
      <u/>
      <color rgb="FF1155CC"/>
      <name val="Nunito"/>
    </font>
    <font>
      <u/>
      <color rgb="FF1155CC"/>
      <name val="Nunito"/>
    </font>
    <font>
      <u/>
      <color rgb="FF1155CC"/>
      <name val="Nunito"/>
    </font>
    <font>
      <u/>
      <color rgb="FF1155CC"/>
      <name val="Nunito"/>
    </font>
    <font>
      <u/>
      <color rgb="FF1155CC"/>
      <name val="Nunito"/>
    </font>
    <font>
      <u/>
      <sz val="10.0"/>
      <color rgb="FF1155CC"/>
      <name val="Nunito"/>
    </font>
    <font>
      <u/>
      <sz val="10.0"/>
      <color rgb="FF1155CC"/>
      <name val="Nunito"/>
    </font>
    <font>
      <u/>
      <color rgb="FF4285F4"/>
      <name val="Nunito"/>
    </font>
    <font>
      <u/>
      <sz val="10.0"/>
      <color theme="1"/>
      <name val="Nunito"/>
    </font>
    <font>
      <u/>
      <color rgb="FF4285F4"/>
      <name val="Nunito"/>
    </font>
    <font>
      <u/>
      <color rgb="FF4285F4"/>
      <name val="Nunito"/>
    </font>
    <font>
      <u/>
      <color rgb="FF1155CC"/>
      <name val="Nunito"/>
    </font>
    <font>
      <u/>
      <color rgb="FF000000"/>
      <name val="Nunito"/>
    </font>
    <font>
      <u/>
      <color rgb="FF1155CC"/>
      <name val="Nunito"/>
    </font>
    <font>
      <u/>
      <color rgb="FF1155CC"/>
      <name val="Nunito"/>
    </font>
    <font>
      <u/>
      <color rgb="FF000000"/>
      <name val="Nunito"/>
    </font>
    <font>
      <u/>
      <color rgb="FF0000FF"/>
      <name val="Nunito"/>
    </font>
    <font>
      <u/>
      <color rgb="FF0000FF"/>
      <name val="Arial"/>
    </font>
    <font>
      <u/>
      <color rgb="FF1155CC"/>
      <name val="Calibri"/>
    </font>
    <font>
      <u/>
      <sz val="10.0"/>
      <color rgb="FF1155CC"/>
      <name val="Calibri"/>
    </font>
    <font>
      <u/>
      <color rgb="FF0000FF"/>
      <name val="Nunito"/>
    </font>
    <font>
      <u/>
      <color rgb="FF4285F4"/>
      <name val="Nunito"/>
    </font>
    <font>
      <sz val="10.0"/>
      <color theme="1"/>
      <name val="Arial"/>
    </font>
    <font>
      <u/>
      <color rgb="FF0000FF"/>
      <name val="Nunito"/>
    </font>
    <font>
      <u/>
      <sz val="10.0"/>
      <color rgb="FF1155CC"/>
      <name val="Calibri"/>
    </font>
    <font>
      <u/>
      <color rgb="FF1155CC"/>
      <name val="Arial"/>
    </font>
    <font>
      <u/>
      <color rgb="FF1155CC"/>
      <name val="Arial"/>
    </font>
    <font>
      <u/>
      <sz val="10.0"/>
      <color rgb="FF1155CC"/>
      <name val="Arial"/>
    </font>
    <font>
      <u/>
      <sz val="10.0"/>
      <color rgb="FF1155CC"/>
      <name val="Arial"/>
    </font>
    <font>
      <u/>
      <color rgb="FF0000FF"/>
      <name val="Nunito"/>
    </font>
    <font>
      <u/>
      <color rgb="FF0000FF"/>
      <name val="Nunito"/>
    </font>
    <font>
      <u/>
      <sz val="10.0"/>
      <color theme="1"/>
      <name val="Nunito"/>
    </font>
    <font>
      <u/>
      <color rgb="FF0000FF"/>
      <name val="Poppins"/>
    </font>
    <font>
      <u/>
      <sz val="10.0"/>
      <color theme="1"/>
      <name val="Nunito"/>
    </font>
    <font>
      <u/>
      <sz val="10.0"/>
      <color theme="1"/>
      <name val="Nunito"/>
    </font>
    <font>
      <sz val="10.0"/>
      <color theme="1"/>
      <name val="Poppins"/>
    </font>
    <font>
      <u/>
      <color rgb="FF1155CC"/>
      <name val="Nunito"/>
    </font>
    <font>
      <u/>
      <color rgb="FF0000FF"/>
      <name val="Poppins"/>
    </font>
    <font>
      <u/>
      <color rgb="FF1155CC"/>
      <name val="Nunito"/>
    </font>
    <font>
      <u/>
      <sz val="10.0"/>
      <color rgb="FF0000FF"/>
      <name val="Nunito"/>
    </font>
    <font>
      <u/>
      <color rgb="FF0000FF"/>
      <name val="Nunito"/>
    </font>
    <font>
      <u/>
      <sz val="10.0"/>
      <color rgb="FF1155CC"/>
      <name val="Nunito"/>
    </font>
    <font>
      <u/>
      <sz val="10.0"/>
      <color rgb="FF0000FF"/>
      <name val="Nunito"/>
    </font>
    <font>
      <u/>
      <color rgb="FF1155CC"/>
      <name val="Nunito"/>
    </font>
    <font>
      <u/>
      <sz val="10.0"/>
      <color rgb="FF0000FF"/>
      <name val="Nunito"/>
    </font>
    <font>
      <u/>
      <color rgb="FF4285F4"/>
      <name val="Arial"/>
    </font>
    <font>
      <u/>
      <color rgb="FF4285F4"/>
      <name val="Arial"/>
    </font>
    <font>
      <u/>
      <color rgb="FF1155CC"/>
      <name val="Nunito"/>
    </font>
    <font>
      <u/>
      <color rgb="FF1155CC"/>
      <name val="Nunito"/>
    </font>
    <font>
      <u/>
      <color rgb="FF1155CC"/>
      <name val="Nunito"/>
    </font>
    <font>
      <u/>
      <sz val="10.0"/>
      <color rgb="FF0000FF"/>
      <name val="Nunito"/>
    </font>
    <font>
      <u/>
      <sz val="10.0"/>
      <color rgb="FF4285F4"/>
      <name val="Arial"/>
    </font>
    <font>
      <u/>
      <sz val="10.0"/>
      <color rgb="FF4285F4"/>
      <name val="Arial"/>
    </font>
    <font>
      <u/>
      <color rgb="FF1155CC"/>
      <name val="Nunito"/>
    </font>
    <font>
      <u/>
      <color rgb="FF1155CC"/>
      <name val="Nunito"/>
    </font>
    <font>
      <u/>
      <color rgb="FF1155CC"/>
      <name val="Nunito"/>
    </font>
    <font>
      <u/>
      <color rgb="FF4285F4"/>
      <name val="Arial"/>
    </font>
    <font>
      <u/>
      <color rgb="FF1155CC"/>
      <name val="Nunito"/>
    </font>
    <font>
      <u/>
      <color rgb="FF4285F4"/>
      <name val="Arial"/>
    </font>
    <font>
      <u/>
      <color rgb="FF4285F4"/>
      <name val="Arial"/>
    </font>
    <font>
      <u/>
      <sz val="10.0"/>
      <color rgb="FF0000FF"/>
      <name val="Nunito"/>
    </font>
    <font>
      <u/>
      <sz val="10.0"/>
      <color rgb="FF0000FF"/>
      <name val="Nunito"/>
    </font>
    <font>
      <u/>
      <sz val="10.0"/>
      <color rgb="FF0000FF"/>
      <name val="Nunito"/>
    </font>
    <font>
      <u/>
      <sz val="10.0"/>
      <color rgb="FF0000FF"/>
      <name val="Nunito"/>
    </font>
    <font>
      <u/>
      <sz val="10.0"/>
      <color rgb="FF0000FF"/>
      <name val="Nunito"/>
    </font>
    <font>
      <u/>
      <color rgb="FF1155CC"/>
      <name val="Nunito"/>
    </font>
    <font>
      <u/>
      <sz val="10.0"/>
      <color rgb="FF0000FF"/>
      <name val="Nunito"/>
    </font>
    <font>
      <u/>
      <color rgb="FF1155CC"/>
      <name val="Nunito"/>
    </font>
    <font>
      <u/>
      <sz val="10.0"/>
      <color rgb="FF0000FF"/>
      <name val="Nunito"/>
    </font>
    <font>
      <u/>
      <sz val="10.0"/>
      <color rgb="FF0000FF"/>
      <name val="Nunito"/>
    </font>
    <font>
      <u/>
      <color rgb="FF1155CC"/>
      <name val="Nunito"/>
    </font>
    <font>
      <u/>
      <color rgb="FF1155CC"/>
      <name val="Nunito"/>
    </font>
    <font>
      <u/>
      <color rgb="FF1155CC"/>
      <name val="Nunito"/>
    </font>
    <font>
      <u/>
      <sz val="10.0"/>
      <color rgb="FF1155CC"/>
      <name val="Nunito"/>
    </font>
    <font>
      <u/>
      <color rgb="FF1155CC"/>
      <name val="Nunito"/>
    </font>
    <font>
      <u/>
      <sz val="10.0"/>
      <color rgb="FF1155CC"/>
      <name val="Nunito"/>
    </font>
    <font>
      <u/>
      <color rgb="FF1155CC"/>
      <name val="Nunito"/>
    </font>
    <font>
      <u/>
      <color rgb="FF0000FF"/>
      <name val="Nunito"/>
    </font>
    <font>
      <u/>
      <color rgb="FF1155CC"/>
      <name val="Nunito"/>
    </font>
    <font>
      <sz val="11.0"/>
      <color theme="1"/>
      <name val="Nunito"/>
    </font>
    <font>
      <u/>
      <color rgb="FF1155CC"/>
      <name val="Nunito"/>
    </font>
    <font>
      <u/>
      <color rgb="FF1155CC"/>
      <name val="Nunito"/>
    </font>
    <font>
      <u/>
      <color rgb="FF1155CC"/>
      <name val="Nunito"/>
    </font>
    <font>
      <u/>
      <color rgb="FF1155CC"/>
      <name val="Nunito"/>
    </font>
    <font>
      <u/>
      <sz val="10.0"/>
      <color rgb="FF0000FF"/>
      <name val="Nunito"/>
    </font>
    <font>
      <u/>
      <color rgb="FF0000FF"/>
      <name val="Arial"/>
    </font>
    <font>
      <u/>
      <sz val="10.0"/>
      <color rgb="FF0000FF"/>
      <name val="Nunito"/>
    </font>
    <font>
      <u/>
      <color rgb="FF1155CC"/>
      <name val="Arial"/>
    </font>
    <font>
      <u/>
      <color rgb="FF4285F4"/>
      <name val="Nunito"/>
    </font>
    <font>
      <u/>
      <color rgb="FF4285F4"/>
      <name val="Nunito"/>
    </font>
    <font>
      <u/>
      <color rgb="FF4285F4"/>
      <name val="Nunito"/>
    </font>
    <font>
      <u/>
      <color rgb="FF4285F4"/>
      <name val="Nunito"/>
    </font>
    <font>
      <u/>
      <color rgb="FF4285F4"/>
      <name val="Nunito"/>
    </font>
    <font>
      <u/>
      <sz val="10.0"/>
      <color rgb="FF0000FF"/>
      <name val="Nunito"/>
    </font>
    <font>
      <u/>
      <color rgb="FF0000FF"/>
      <name val="Nunito"/>
    </font>
    <font>
      <u/>
      <color rgb="FF1155CC"/>
      <name val="Nunito"/>
    </font>
    <font>
      <u/>
      <color rgb="FF0000FF"/>
      <name val="Nunito"/>
    </font>
    <font>
      <u/>
      <color rgb="FF1155CC"/>
      <name val="Nunito"/>
    </font>
    <font>
      <u/>
      <color rgb="FF1155CC"/>
      <name val="Nunito"/>
    </font>
    <font>
      <u/>
      <color rgb="FF1155CC"/>
      <name val="Nunito"/>
    </font>
    <font>
      <u/>
      <sz val="10.0"/>
      <color rgb="FF0000FF"/>
      <name val="Nunito"/>
    </font>
    <font>
      <u/>
      <color rgb="FF1155CC"/>
      <name val="Nunito"/>
    </font>
    <font>
      <u/>
      <color rgb="FF1155CC"/>
      <name val="Nunito"/>
    </font>
    <font>
      <u/>
      <sz val="10.0"/>
      <color rgb="FF0000FF"/>
      <name val="Nunito"/>
    </font>
    <font>
      <u/>
      <sz val="10.0"/>
      <color rgb="FF0000FF"/>
      <name val="Nunito"/>
    </font>
    <font>
      <u/>
      <color rgb="FF1155CC"/>
      <name val="Nunito"/>
    </font>
    <font>
      <u/>
      <color rgb="FF0000FF"/>
    </font>
    <font>
      <u/>
      <sz val="10.0"/>
      <color rgb="FF0000FF"/>
      <name val="Nunito"/>
    </font>
    <font>
      <u/>
      <color rgb="FF1155CC"/>
      <name val="Nunito"/>
    </font>
    <font>
      <u/>
      <color rgb="FF0000FF"/>
      <name val="Nunito"/>
    </font>
    <font>
      <u/>
      <color rgb="FF1155CC"/>
      <name val="Nunito"/>
    </font>
    <font>
      <u/>
      <color rgb="FF0000FF"/>
      <name val="Nunito"/>
    </font>
    <font>
      <u/>
      <sz val="10.0"/>
      <color rgb="FF0000FF"/>
      <name val="Nunito"/>
    </font>
    <font>
      <u/>
      <color rgb="FF1155CC"/>
      <name val="Nunito"/>
    </font>
    <font>
      <u/>
      <color rgb="FF1155CC"/>
      <name val="Nunito"/>
    </font>
    <font>
      <u/>
      <color rgb="FF1155CC"/>
      <name val="Nunito"/>
    </font>
    <font>
      <u/>
      <color rgb="FF0000FF"/>
      <name val="Nunito"/>
    </font>
    <font>
      <u/>
      <color rgb="FF0000FF"/>
      <name val="Nunito"/>
    </font>
    <font>
      <u/>
      <color rgb="FF0000FF"/>
      <name val="Nunito"/>
    </font>
    <font>
      <u/>
      <color rgb="FF1155CC"/>
      <name val="Nunito"/>
    </font>
    <font>
      <color rgb="FF000000"/>
      <name val="Arial"/>
    </font>
    <font>
      <u/>
      <color rgb="FF000000"/>
      <name val="Nunito"/>
    </font>
    <font>
      <u/>
      <color rgb="FF000000"/>
      <name val="Nunito"/>
    </font>
    <font>
      <u/>
      <color rgb="FF000000"/>
      <name val="Nunito"/>
    </font>
    <font>
      <u/>
      <color rgb="FF000000"/>
      <name val="Nunito"/>
    </font>
    <font>
      <u/>
      <color rgb="FF0000FF"/>
      <name val="Calibri"/>
    </font>
    <font>
      <u/>
      <color rgb="FF0000FF"/>
      <name val="Nunito"/>
    </font>
    <font>
      <u/>
      <sz val="10.0"/>
      <color rgb="FF0000FF"/>
      <name val="Nunito"/>
    </font>
    <font>
      <u/>
      <color rgb="FF0000FF"/>
      <name val="Poppins"/>
    </font>
    <font>
      <u/>
      <color rgb="FF0000FF"/>
      <name val="Nunito"/>
    </font>
    <font>
      <u/>
      <sz val="10.0"/>
      <color rgb="FF0000FF"/>
      <name val="Nunito"/>
    </font>
    <font>
      <u/>
      <color rgb="FF0000FF"/>
      <name val="Nunito"/>
    </font>
    <font>
      <u/>
      <color rgb="FF0000FF"/>
      <name val="Nunito"/>
    </font>
    <font>
      <u/>
      <sz val="10.0"/>
      <color rgb="FF0000FF"/>
      <name val="Nunito"/>
    </font>
    <font>
      <u/>
      <color rgb="FF1155CC"/>
      <name val="Nunito"/>
    </font>
    <font>
      <u/>
      <sz val="10.0"/>
      <color rgb="FF0000FF"/>
      <name val="Nunito"/>
    </font>
    <font>
      <u/>
      <color rgb="FF4285F4"/>
      <name val="Nunito"/>
    </font>
    <font>
      <u/>
      <color rgb="FF1155CC"/>
      <name val="Nunito"/>
    </font>
    <font>
      <u/>
      <color rgb="FF0000FF"/>
      <name val="Nunito"/>
    </font>
    <font>
      <u/>
      <color rgb="FF1155CC"/>
      <name val="Nunito"/>
    </font>
    <font>
      <u/>
      <color rgb="FF0000FF"/>
      <name val="Poppins"/>
    </font>
    <font>
      <u/>
      <color rgb="FF1155CC"/>
      <name val="Nunito"/>
    </font>
    <font>
      <color rgb="FF18181B"/>
      <name val="Nunito"/>
    </font>
    <font>
      <u/>
      <color rgb="FF0000FF"/>
      <name val="Nunito"/>
    </font>
    <font>
      <u/>
      <sz val="10.0"/>
      <color rgb="FF0000FF"/>
      <name val="Nunito"/>
    </font>
    <font>
      <u/>
      <color rgb="FF1155CC"/>
      <name val="Nunito"/>
    </font>
    <font>
      <u/>
      <color rgb="FF0000FF"/>
      <name val="Nunito"/>
    </font>
    <font>
      <u/>
      <color theme="1"/>
      <name val="Nunito"/>
    </font>
    <font>
      <u/>
      <color rgb="FF0000FF"/>
      <name val="Nunito"/>
    </font>
    <font>
      <u/>
      <sz val="10.0"/>
      <color rgb="FF0000FF"/>
      <name val="Nunito"/>
    </font>
    <font>
      <u/>
      <color rgb="FF0000FF"/>
      <name val="Nunito"/>
    </font>
    <font>
      <u/>
      <color theme="1"/>
      <name val="Nunito"/>
    </font>
    <font>
      <u/>
      <sz val="10.0"/>
      <color rgb="FF1155CC"/>
      <name val="Nunito"/>
    </font>
    <font>
      <u/>
      <sz val="10.0"/>
      <color rgb="FF1155CC"/>
      <name val="Nunito"/>
    </font>
    <font>
      <u/>
      <sz val="10.0"/>
      <color rgb="FF1155CC"/>
      <name val="Nunito"/>
    </font>
    <font>
      <u/>
      <sz val="10.0"/>
      <color rgb="FF1155CC"/>
      <name val="Nunito"/>
    </font>
    <font>
      <u/>
      <color rgb="FF1155CC"/>
      <name val="Nunito"/>
    </font>
    <font>
      <u/>
      <sz val="10.0"/>
      <color rgb="FF1155CC"/>
      <name val="Nunito"/>
    </font>
    <font>
      <u/>
      <color rgb="FF1155CC"/>
      <name val="Nunito"/>
    </font>
    <font>
      <u/>
      <sz val="10.0"/>
      <color rgb="FF1155CC"/>
      <name val="Nunito"/>
    </font>
    <font>
      <u/>
      <color rgb="FF1155CC"/>
      <name val="Nunito"/>
    </font>
    <font>
      <u/>
      <color rgb="FF1155CC"/>
      <name val="Nunito"/>
    </font>
    <font>
      <u/>
      <color rgb="FF0000FF"/>
    </font>
    <font>
      <u/>
      <color rgb="FF1155CC"/>
      <name val="Nunito"/>
    </font>
    <font>
      <u/>
      <color rgb="FF1155CC"/>
      <name val="Nunito"/>
    </font>
    <font>
      <u/>
      <sz val="10.0"/>
      <color theme="1"/>
      <name val="Nunito"/>
    </font>
    <font>
      <u/>
      <sz val="10.0"/>
      <color theme="1"/>
      <name val="Nunito"/>
    </font>
    <font>
      <u/>
      <color rgb="FF0000FF"/>
      <name val="Nunito"/>
    </font>
    <font>
      <u/>
      <color rgb="FF0000FF"/>
      <name val="Nunito"/>
    </font>
    <font>
      <u/>
      <color rgb="FF1155CC"/>
      <name val="Nunito"/>
    </font>
    <font>
      <u/>
      <color rgb="FF1155CC"/>
      <name val="Nunito"/>
    </font>
    <font>
      <u/>
      <sz val="10.0"/>
      <color theme="1"/>
      <name val="Nunito"/>
    </font>
    <font>
      <u/>
      <sz val="10.0"/>
      <color rgb="FF0000FF"/>
      <name val="Nunito"/>
    </font>
    <font>
      <u/>
      <color rgb="FF1155CC"/>
      <name val="Nunito"/>
    </font>
    <font>
      <u/>
      <sz val="10.0"/>
      <color theme="1"/>
      <name val="Nunito"/>
    </font>
    <font>
      <u/>
      <sz val="10.0"/>
      <color theme="1"/>
      <name val="Nunito"/>
    </font>
    <font>
      <u/>
      <sz val="10.0"/>
      <color rgb="FF1155CC"/>
      <name val="Nunito"/>
    </font>
    <font>
      <u/>
      <sz val="10.0"/>
      <color rgb="FF0000FF"/>
      <name val="Nunito"/>
    </font>
    <font>
      <u/>
      <color rgb="FF1155CC"/>
      <name val="Nunito"/>
    </font>
    <font>
      <u/>
      <sz val="10.0"/>
      <color theme="1"/>
      <name val="Nunito"/>
    </font>
    <font>
      <u/>
      <sz val="10.0"/>
      <color theme="1"/>
      <name val="Nunito"/>
    </font>
    <font>
      <u/>
      <sz val="10.0"/>
      <color rgb="FF1155CC"/>
      <name val="Nunito"/>
    </font>
    <font>
      <b/>
      <u/>
      <sz val="10.0"/>
      <color rgb="FFFFFFFF"/>
      <name val="Poppins"/>
    </font>
    <font>
      <color rgb="FFFFFFFF"/>
      <name val="Arial"/>
    </font>
    <font>
      <u/>
      <color rgb="FF1155CC"/>
      <name val="Nunito"/>
    </font>
    <font>
      <u/>
      <color rgb="FF1155CC"/>
      <name val="Nunito"/>
    </font>
    <font>
      <u/>
      <sz val="10.0"/>
      <color theme="1"/>
      <name val="Nunito"/>
    </font>
    <font>
      <u/>
      <color rgb="FF0000FF"/>
      <name val="Poppins"/>
    </font>
    <font>
      <u/>
      <color rgb="FF1155CC"/>
      <name val="Nunito"/>
    </font>
    <font>
      <u/>
      <color rgb="FF0000FF"/>
    </font>
    <font>
      <u/>
      <color rgb="FF0000FF"/>
      <name val="Poppins"/>
    </font>
    <font>
      <u/>
      <color rgb="FF1155CC"/>
      <name val="Nunito"/>
    </font>
    <font>
      <u/>
      <color rgb="FF0000FF"/>
    </font>
    <font>
      <u/>
      <color theme="1"/>
      <name val="Calibri"/>
      <scheme val="minor"/>
    </font>
    <font>
      <u/>
      <sz val="10.0"/>
      <color rgb="FF0000FF"/>
      <name val="Nunito"/>
    </font>
    <font>
      <u/>
      <sz val="10.0"/>
      <color rgb="FF0000FF"/>
      <name val="Nunito"/>
    </font>
    <font>
      <u/>
      <color rgb="FF1155CC"/>
      <name val="Nunito"/>
    </font>
    <font>
      <u/>
      <color rgb="FF0000FF"/>
      <name val="Nunito"/>
    </font>
    <font>
      <u/>
      <color rgb="FF0000FF"/>
      <name val="Nunito"/>
    </font>
    <font>
      <u/>
      <sz val="10.0"/>
      <color theme="1"/>
      <name val="Nunito"/>
    </font>
    <font>
      <u/>
      <sz val="10.0"/>
      <color rgb="FF0000FF"/>
      <name val="Nunito"/>
    </font>
    <font>
      <u/>
      <color rgb="FF1155CC"/>
      <name val="Nunito"/>
    </font>
    <font>
      <u/>
      <color rgb="FF4285F4"/>
      <name val="Nunito"/>
    </font>
    <font>
      <u/>
      <color rgb="FF1155CC"/>
      <name val="Nunito"/>
    </font>
    <font>
      <u/>
      <color rgb="FF0000FF"/>
      <name val="Arial"/>
    </font>
    <font>
      <u/>
      <color rgb="FF4285F4"/>
      <name val="Nunito"/>
    </font>
    <font>
      <u/>
      <color rgb="FF4285F4"/>
      <name val="Nunito"/>
    </font>
    <font>
      <u/>
      <color rgb="FF4285F4"/>
      <name val="Nunito"/>
    </font>
    <font>
      <u/>
      <color rgb="FF4285F4"/>
      <name val="Nunito"/>
    </font>
    <font>
      <b/>
      <color rgb="FFFFFFFF"/>
      <name val="Poppins"/>
    </font>
    <font>
      <u/>
      <color rgb="FF4285F4"/>
      <name val="Nunito"/>
    </font>
    <font>
      <sz val="10.0"/>
      <color rgb="FF434343"/>
      <name val="Nunito"/>
    </font>
    <font>
      <u/>
      <color rgb="FF1155CC"/>
      <name val="Nunito"/>
    </font>
    <font>
      <u/>
      <sz val="10.0"/>
      <color rgb="FF0000FF"/>
      <name val="Nunito"/>
    </font>
    <font>
      <u/>
      <sz val="10.0"/>
      <color rgb="FF0000FF"/>
      <name val="Nunito"/>
    </font>
    <font>
      <u/>
      <sz val="10.0"/>
      <color rgb="FF0000FF"/>
      <name val="Nunito"/>
    </font>
    <font>
      <u/>
      <color rgb="FF1155CC"/>
      <name val="Nunito"/>
    </font>
    <font>
      <u/>
      <color rgb="FF1155CC"/>
      <name val="Nunito"/>
    </font>
    <font>
      <u/>
      <color rgb="FF1155CC"/>
      <name val="Nunito"/>
    </font>
    <font>
      <u/>
      <sz val="10.0"/>
      <color theme="1"/>
      <name val="Nunito"/>
    </font>
    <font>
      <u/>
      <sz val="10.0"/>
      <color theme="1"/>
      <name val="Nunito"/>
    </font>
    <font>
      <u/>
      <sz val="10.0"/>
      <color rgb="FF1155CC"/>
      <name val="Nunito"/>
    </font>
    <font>
      <u/>
      <sz val="10.0"/>
      <color theme="1"/>
      <name val="Nunito"/>
    </font>
    <font>
      <u/>
      <sz val="10.0"/>
      <color theme="1"/>
      <name val="Nunito"/>
    </font>
    <font>
      <u/>
      <sz val="10.0"/>
      <color theme="1"/>
      <name val="Nunito"/>
    </font>
    <font>
      <u/>
      <sz val="10.0"/>
      <color rgb="FF0000FF"/>
      <name val="Nunito"/>
    </font>
    <font>
      <u/>
      <color rgb="FF0000FF"/>
      <name val="Arial"/>
    </font>
    <font>
      <u/>
      <sz val="10.0"/>
      <color rgb="FF1155CC"/>
      <name val="Nunito"/>
    </font>
    <font>
      <u/>
      <sz val="10.0"/>
      <color rgb="FF1155CC"/>
      <name val="Nunito"/>
    </font>
    <font>
      <u/>
      <sz val="10.0"/>
      <color rgb="FF0000FF"/>
      <name val="Nunito"/>
    </font>
    <font>
      <u/>
      <color rgb="FF0000FF"/>
      <name val="Nunito"/>
    </font>
    <font>
      <u/>
      <color rgb="FF0000FF"/>
    </font>
    <font>
      <u/>
      <sz val="10.0"/>
      <color theme="1"/>
      <name val="Nunito"/>
    </font>
    <font>
      <u/>
      <sz val="10.0"/>
      <color theme="1"/>
      <name val="Nunito"/>
    </font>
    <font>
      <u/>
      <sz val="10.0"/>
      <color theme="1"/>
      <name val="Nunito"/>
    </font>
    <font>
      <u/>
      <sz val="10.0"/>
      <color theme="1"/>
      <name val="Nunito"/>
    </font>
    <font>
      <u/>
      <sz val="10.0"/>
      <color rgb="FF0000FF"/>
      <name val="Nunito"/>
    </font>
    <font>
      <u/>
      <color rgb="FF0000FF"/>
    </font>
    <font>
      <u/>
      <color rgb="FF1155CC"/>
      <name val="Nunito"/>
    </font>
    <font>
      <u/>
      <color rgb="FF1155CC"/>
      <name val="Nunito"/>
    </font>
    <font>
      <u/>
      <color rgb="FF1155CC"/>
      <name val="Arial"/>
    </font>
    <font>
      <u/>
      <color rgb="FF1155CC"/>
      <name val="Nunito"/>
    </font>
    <font>
      <u/>
      <color rgb="FF1155CC"/>
      <name val="Nunito"/>
    </font>
    <font>
      <u/>
      <sz val="10.0"/>
      <color rgb="FF434343"/>
      <name val="Nunito"/>
    </font>
    <font>
      <u/>
      <color rgb="FF0000FF"/>
    </font>
    <font>
      <u/>
      <color rgb="FF1155CC"/>
      <name val="Nunito"/>
    </font>
    <font>
      <u/>
      <color rgb="FF1155CC"/>
      <name val="Nunito"/>
    </font>
    <font>
      <u/>
      <color rgb="FF0000FF"/>
      <name val="Nunito"/>
    </font>
    <font>
      <u/>
      <color rgb="FF0000FF"/>
      <name val="Nunito"/>
    </font>
    <font>
      <u/>
      <color rgb="FF0000FF"/>
      <name val="Nunito"/>
    </font>
    <font>
      <u/>
      <sz val="10.0"/>
      <color rgb="FF0000FF"/>
      <name val="Nunito"/>
    </font>
    <font>
      <u/>
      <color rgb="FF0000FF"/>
      <name val="Nunito"/>
    </font>
    <font>
      <u/>
      <color rgb="FF0000FF"/>
      <name val="Nunito"/>
    </font>
    <font>
      <u/>
      <color rgb="FF0000FF"/>
      <name val="Nunito"/>
    </font>
    <font>
      <u/>
      <color rgb="FF0000FF"/>
    </font>
    <font>
      <u/>
      <color rgb="FF1155CC"/>
      <name val="Nunito"/>
    </font>
    <font>
      <u/>
      <color rgb="FF0000FF"/>
    </font>
    <font>
      <u/>
      <sz val="10.0"/>
      <color rgb="FF0000FF"/>
      <name val="Nunito"/>
    </font>
    <font>
      <u/>
      <sz val="10.0"/>
      <color rgb="FF0000FF"/>
      <name val="Nunito"/>
    </font>
    <font>
      <u/>
      <color rgb="FF4285F4"/>
      <name val="Nunito"/>
    </font>
    <font>
      <u/>
      <color rgb="FF1155CC"/>
      <name val="Calibri"/>
    </font>
    <font>
      <u/>
      <color rgb="FF0000FF"/>
      <name val="Nunito"/>
    </font>
    <font>
      <u/>
      <color rgb="FF4285F4"/>
      <name val="Nunito"/>
    </font>
    <font>
      <u/>
      <sz val="10.0"/>
      <color rgb="FF0000FF"/>
      <name val="Nunito"/>
    </font>
    <font>
      <u/>
      <sz val="10.0"/>
      <color rgb="FF0000FF"/>
      <name val="Nunito"/>
    </font>
    <font>
      <u/>
      <sz val="10.0"/>
      <color rgb="FF0000FF"/>
      <name val="Nunito"/>
    </font>
    <font>
      <u/>
      <sz val="10.0"/>
      <color rgb="FF0000FF"/>
      <name val="Nunito"/>
    </font>
    <font>
      <u/>
      <sz val="10.0"/>
      <color rgb="FF0000FF"/>
      <name val="Nunito"/>
    </font>
    <font>
      <u/>
      <sz val="10.0"/>
      <color rgb="FF0000FF"/>
      <name val="Nunito"/>
    </font>
    <font>
      <u/>
      <sz val="10.0"/>
      <color rgb="FF0000FF"/>
      <name val="Nunito"/>
    </font>
    <font>
      <u/>
      <color rgb="FF0000FF"/>
    </font>
    <font>
      <u/>
      <sz val="10.0"/>
      <color rgb="FF0000FF"/>
      <name val="Nunito"/>
    </font>
    <font>
      <u/>
      <sz val="10.0"/>
      <color rgb="FF0000FF"/>
      <name val="Nunito"/>
    </font>
    <font>
      <u/>
      <sz val="10.0"/>
      <color rgb="FF0000FF"/>
      <name val="Nunito"/>
    </font>
    <font>
      <u/>
      <color rgb="FF1155CC"/>
      <name val="Nunito"/>
    </font>
    <font>
      <u/>
      <sz val="10.0"/>
      <color rgb="FF0000FF"/>
      <name val="Nunito"/>
    </font>
    <font>
      <u/>
      <color rgb="FF1155CC"/>
      <name val="Nunito"/>
    </font>
    <font>
      <u/>
      <color rgb="FF1155CC"/>
      <name val="Nunito"/>
    </font>
    <font>
      <color rgb="FF1D1C1D"/>
      <name val="Nunito"/>
    </font>
    <font>
      <u/>
      <sz val="10.0"/>
      <color rgb="FF0000FF"/>
      <name val="Nunito"/>
    </font>
    <font>
      <u/>
      <color rgb="FF1155CC"/>
      <name val="Nunito"/>
    </font>
    <font>
      <u/>
      <color rgb="FF1155CC"/>
      <name val="Nunito"/>
    </font>
    <font>
      <u/>
      <color rgb="FF0000FF"/>
      <name val="Poppins"/>
    </font>
    <font>
      <u/>
      <color rgb="FF0000FF"/>
      <name val="Nunito"/>
    </font>
    <font>
      <u/>
      <sz val="10.0"/>
      <color rgb="FF0000FF"/>
      <name val="Nunito"/>
    </font>
    <font>
      <sz val="10.0"/>
      <color rgb="FF1F1F1F"/>
      <name val="Nunito"/>
    </font>
    <font>
      <u/>
      <color rgb="FF1155CC"/>
      <name val="Nunito"/>
    </font>
    <font>
      <u/>
      <color rgb="FF1155CC"/>
      <name val="Nunito"/>
    </font>
    <font>
      <u/>
      <color rgb="FF1155CC"/>
      <name val="Nunito"/>
    </font>
    <font>
      <u/>
      <color rgb="FF1155CC"/>
      <name val="Nunito"/>
    </font>
    <font>
      <u/>
      <color rgb="FF1155CC"/>
      <name val="Nunito"/>
    </font>
    <font>
      <u/>
      <color rgb="FF0000FF"/>
      <name val="Arial"/>
    </font>
    <font>
      <u/>
      <color rgb="FF0000FF"/>
      <name val="Arial"/>
    </font>
    <font>
      <u/>
      <color rgb="FF1155CC"/>
      <name val="Nunito"/>
    </font>
    <font>
      <u/>
      <color rgb="FF0000FF"/>
    </font>
    <font>
      <u/>
      <color rgb="FF0000FF"/>
    </font>
    <font>
      <u/>
      <color rgb="FF0000FF"/>
      <name val="Nunito"/>
    </font>
    <font>
      <u/>
      <color rgb="FF0000FF"/>
      <name val="Nunito"/>
    </font>
    <font>
      <u/>
      <color rgb="FF0000FF"/>
      <name val="Nunito"/>
    </font>
    <font>
      <u/>
      <color rgb="FF0000FF"/>
      <name val="Nunito"/>
    </font>
  </fonts>
  <fills count="20">
    <fill>
      <patternFill patternType="none"/>
    </fill>
    <fill>
      <patternFill patternType="lightGray"/>
    </fill>
    <fill>
      <patternFill patternType="solid">
        <fgColor rgb="FFCCCCCC"/>
        <bgColor rgb="FFCCCCCC"/>
      </patternFill>
    </fill>
    <fill>
      <patternFill patternType="solid">
        <fgColor rgb="FFD9EAD3"/>
        <bgColor rgb="FFD9EAD3"/>
      </patternFill>
    </fill>
    <fill>
      <patternFill patternType="solid">
        <fgColor rgb="FF000000"/>
        <bgColor rgb="FF000000"/>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B7B7B7"/>
        <bgColor rgb="FFB7B7B7"/>
      </patternFill>
    </fill>
    <fill>
      <patternFill patternType="solid">
        <fgColor rgb="FF999999"/>
        <bgColor rgb="FF999999"/>
      </patternFill>
    </fill>
    <fill>
      <patternFill patternType="solid">
        <fgColor rgb="FFC9DAF8"/>
        <bgColor rgb="FFC9DAF8"/>
      </patternFill>
    </fill>
    <fill>
      <patternFill patternType="solid">
        <fgColor rgb="FFB6D7A8"/>
        <bgColor rgb="FFB6D7A8"/>
      </patternFill>
    </fill>
    <fill>
      <patternFill patternType="solid">
        <fgColor rgb="FFFCE5CD"/>
        <bgColor rgb="FFFCE5CD"/>
      </patternFill>
    </fill>
    <fill>
      <patternFill patternType="solid">
        <fgColor rgb="FFD9D2E9"/>
        <bgColor rgb="FFD9D2E9"/>
      </patternFill>
    </fill>
    <fill>
      <patternFill patternType="solid">
        <fgColor theme="0"/>
        <bgColor theme="0"/>
      </patternFill>
    </fill>
    <fill>
      <patternFill patternType="solid">
        <fgColor rgb="FF93C47D"/>
        <bgColor rgb="FF93C47D"/>
      </patternFill>
    </fill>
    <fill>
      <patternFill patternType="solid">
        <fgColor rgb="FFFAFAFA"/>
        <bgColor rgb="FFFAFAFA"/>
      </patternFill>
    </fill>
    <fill>
      <patternFill patternType="solid">
        <fgColor rgb="FFFFF2CC"/>
        <bgColor rgb="FFFFF2CC"/>
      </patternFill>
    </fill>
    <fill>
      <patternFill patternType="solid">
        <fgColor rgb="FF073763"/>
        <bgColor rgb="FF073763"/>
      </patternFill>
    </fill>
    <fill>
      <patternFill patternType="solid">
        <fgColor rgb="FFF8F8F8"/>
        <bgColor rgb="FFF8F8F8"/>
      </patternFill>
    </fill>
  </fills>
  <borders count="36">
    <border/>
    <border>
      <left style="thin">
        <color rgb="FFCCCCCC"/>
      </left>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B7B7B7"/>
      </left>
      <right style="thin">
        <color rgb="FFB7B7B7"/>
      </right>
      <top style="thin">
        <color rgb="FFB7B7B7"/>
      </top>
    </border>
    <border>
      <top style="thin">
        <color rgb="FF000000"/>
      </top>
      <bottom style="thin">
        <color rgb="FF000000"/>
      </bottom>
    </border>
    <border>
      <left style="thin">
        <color rgb="FF999999"/>
      </left>
      <right style="thin">
        <color rgb="FF999999"/>
      </right>
      <top style="thin">
        <color rgb="FF999999"/>
      </top>
      <bottom style="thin">
        <color rgb="FF999999"/>
      </bottom>
    </border>
    <border>
      <left style="thin">
        <color rgb="FFB7B7B7"/>
      </left>
      <right style="thin">
        <color rgb="FFB7B7B7"/>
      </right>
      <bottom style="thin">
        <color rgb="FFB7B7B7"/>
      </bottom>
    </border>
    <border>
      <left style="thin">
        <color rgb="FFD9D9D9"/>
      </left>
      <right style="thin">
        <color rgb="FFD9D9D9"/>
      </right>
      <top style="thin">
        <color rgb="FFD9D9D9"/>
      </top>
      <bottom style="thin">
        <color rgb="FFD9D9D9"/>
      </bottom>
    </border>
    <border>
      <left style="thin">
        <color rgb="FFB7B7B7"/>
      </left>
      <top style="thin">
        <color rgb="FFB7B7B7"/>
      </top>
      <bottom style="thin">
        <color rgb="FFB7B7B7"/>
      </bottom>
    </border>
    <border>
      <bottom style="thin">
        <color rgb="FFB7B7B7"/>
      </bottom>
    </border>
    <border>
      <right style="thin">
        <color rgb="FFB7B7B7"/>
      </right>
      <top style="thin">
        <color rgb="FFB7B7B7"/>
      </top>
      <bottom style="thin">
        <color rgb="FFB7B7B7"/>
      </bottom>
    </border>
    <border>
      <right style="thin">
        <color rgb="FFB7B7B7"/>
      </right>
      <bottom style="thin">
        <color rgb="FFB7B7B7"/>
      </bottom>
    </border>
    <border>
      <left style="thin">
        <color rgb="FFB7B7B7"/>
      </left>
      <right style="thin">
        <color rgb="FFB7B7B7"/>
      </right>
    </border>
    <border>
      <left style="thin">
        <color rgb="FFB7B7B7"/>
      </left>
      <bottom style="thin">
        <color rgb="FFB7B7B7"/>
      </bottom>
    </border>
    <border>
      <left style="thin">
        <color rgb="FFCCCCCC"/>
      </left>
      <top style="thin">
        <color rgb="FFCCCCCC"/>
      </top>
      <bottom style="thin">
        <color rgb="FFCCCCCC"/>
      </bottom>
    </border>
    <border>
      <left style="thin">
        <color rgb="FFD9D9D9"/>
      </left>
      <right style="thin">
        <color rgb="FFD9D9D9"/>
      </right>
      <top style="thin">
        <color rgb="FFD9D9D9"/>
      </top>
    </border>
    <border>
      <left style="thin">
        <color rgb="FFEFEFEF"/>
      </left>
      <right style="thin">
        <color rgb="FFEFEFEF"/>
      </right>
      <top style="thin">
        <color rgb="FFEFEFEF"/>
      </top>
    </border>
    <border>
      <left style="thin">
        <color rgb="FFEFEFEF"/>
      </left>
      <right style="thin">
        <color rgb="FFEFEFEF"/>
      </right>
      <top style="thin">
        <color rgb="FFEFEFEF"/>
      </top>
      <bottom style="thin">
        <color rgb="FFEFEFEF"/>
      </bottom>
    </border>
    <border>
      <right style="thin">
        <color rgb="FFD9D9D9"/>
      </right>
      <top style="thin">
        <color rgb="FFD9D9D9"/>
      </top>
      <bottom style="thin">
        <color rgb="FFD9D9D9"/>
      </bottom>
    </border>
    <border>
      <right style="thin">
        <color rgb="FFEFEFEF"/>
      </right>
      <top style="thin">
        <color rgb="FFEFEFEF"/>
      </top>
      <bottom style="thin">
        <color rgb="FFEFEFEF"/>
      </bottom>
    </border>
    <border>
      <left style="thin">
        <color rgb="FFD9D9D9"/>
      </left>
      <bottom style="thin">
        <color rgb="FFD9D9D9"/>
      </bottom>
    </border>
    <border>
      <left style="thin">
        <color rgb="FFD9D9D9"/>
      </left>
      <right style="thin">
        <color rgb="FFD9D9D9"/>
      </right>
      <bottom style="thin">
        <color rgb="FFD9D9D9"/>
      </bottom>
    </border>
    <border>
      <top style="thin">
        <color rgb="FFD9D9D9"/>
      </top>
      <bottom style="thin">
        <color rgb="FFD9D9D9"/>
      </bottom>
    </border>
    <border>
      <left style="thin">
        <color rgb="FFCCCCCC"/>
      </left>
      <right style="thin">
        <color rgb="FFCCCCCC"/>
      </right>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1318">
    <xf borderId="0" fillId="0" fontId="0" numFmtId="0" xfId="0" applyAlignment="1" applyFont="1">
      <alignment readingOrder="0" shrinkToFit="0" vertical="bottom" wrapText="0"/>
    </xf>
    <xf borderId="0" fillId="2" fontId="1" numFmtId="0" xfId="0" applyAlignment="1" applyFill="1" applyFont="1">
      <alignment horizontal="center" vertical="top"/>
    </xf>
    <xf borderId="1" fillId="2" fontId="1" numFmtId="0" xfId="0" applyAlignment="1" applyBorder="1" applyFill="1" applyFont="1">
      <alignment horizontal="center" vertical="top"/>
    </xf>
    <xf borderId="2" fillId="0" fontId="2" numFmtId="0" xfId="0" applyAlignment="1" applyBorder="1" applyFont="1">
      <alignment vertical="bottom"/>
    </xf>
    <xf borderId="1" fillId="3" fontId="3" numFmtId="0" xfId="0" applyBorder="1" applyFill="1" applyFont="1"/>
    <xf borderId="2" fillId="0" fontId="2" numFmtId="0" xfId="0" applyAlignment="1" applyBorder="1" applyFont="1">
      <alignment readingOrder="0" vertical="bottom"/>
    </xf>
    <xf borderId="2" fillId="0" fontId="2" numFmtId="0" xfId="0" applyAlignment="1" applyBorder="1" applyFont="1">
      <alignment vertical="center"/>
    </xf>
    <xf borderId="2" fillId="0" fontId="2" numFmtId="0" xfId="0" applyAlignment="1" applyBorder="1" applyFont="1">
      <alignment readingOrder="0" vertical="center"/>
    </xf>
    <xf borderId="3" fillId="4" fontId="3" numFmtId="0" xfId="0" applyAlignment="1" applyBorder="1" applyFill="1" applyFont="1">
      <alignment readingOrder="0"/>
    </xf>
    <xf borderId="4" fillId="4" fontId="4" numFmtId="0" xfId="0" applyAlignment="1" applyBorder="1" applyFill="1" applyFont="1">
      <alignment horizontal="left" readingOrder="0" vertical="center"/>
    </xf>
    <xf borderId="5" fillId="0" fontId="5" numFmtId="0" xfId="0" applyBorder="1" applyFont="1"/>
    <xf borderId="6" fillId="0" fontId="5" numFmtId="0" xfId="0" applyBorder="1" applyFont="1"/>
    <xf borderId="0" fillId="4" fontId="6" numFmtId="0" xfId="0" applyAlignment="1" applyFill="1" applyFont="1">
      <alignment horizontal="left" readingOrder="0"/>
    </xf>
    <xf borderId="7" fillId="4" fontId="7" numFmtId="0" xfId="0" applyAlignment="1" applyBorder="1" applyFill="1" applyFont="1">
      <alignment horizontal="left" readingOrder="0" vertical="top"/>
    </xf>
    <xf borderId="2" fillId="0" fontId="2" numFmtId="0" xfId="0" applyAlignment="1" applyBorder="1" applyFont="1">
      <alignment vertical="bottom"/>
    </xf>
    <xf borderId="3" fillId="4" fontId="7" numFmtId="0" xfId="0" applyAlignment="1" applyBorder="1" applyFill="1" applyFont="1">
      <alignment horizontal="left" readingOrder="0" vertical="top"/>
    </xf>
    <xf borderId="0" fillId="4" fontId="4" numFmtId="0" xfId="0" applyAlignment="1" applyFill="1" applyFont="1">
      <alignment horizontal="left" readingOrder="0" vertical="center"/>
    </xf>
    <xf borderId="0" fillId="4" fontId="8" numFmtId="0" xfId="0" applyAlignment="1" applyFill="1" applyFont="1">
      <alignment horizontal="left" readingOrder="0" vertical="center"/>
    </xf>
    <xf borderId="3" fillId="4" fontId="9" numFmtId="0" xfId="0" applyAlignment="1" applyBorder="1" applyFill="1" applyFont="1">
      <alignment horizontal="left"/>
    </xf>
    <xf borderId="0" fillId="4" fontId="9" numFmtId="0" xfId="0" applyAlignment="1" applyFill="1" applyFont="1">
      <alignment horizontal="center"/>
    </xf>
    <xf borderId="0" fillId="4" fontId="9" numFmtId="0" xfId="0" applyAlignment="1" applyFill="1" applyFont="1">
      <alignment horizontal="left" vertical="center"/>
    </xf>
    <xf borderId="3" fillId="4" fontId="3" numFmtId="0" xfId="0" applyBorder="1" applyFill="1" applyFont="1"/>
    <xf borderId="8" fillId="0" fontId="5" numFmtId="0" xfId="0" applyBorder="1" applyFont="1"/>
    <xf borderId="0" fillId="4" fontId="9" numFmtId="0" xfId="0" applyAlignment="1" applyFill="1" applyFont="1">
      <alignment horizontal="center" vertical="center"/>
    </xf>
    <xf borderId="9" fillId="0" fontId="5" numFmtId="0" xfId="0" applyBorder="1" applyFont="1"/>
    <xf borderId="0" fillId="4" fontId="9" numFmtId="164" xfId="0" applyAlignment="1" applyFill="1" applyFont="1" applyNumberFormat="1">
      <alignment horizontal="center" vertical="center"/>
    </xf>
    <xf borderId="10" fillId="0" fontId="5" numFmtId="0" xfId="0" applyBorder="1" applyFont="1"/>
    <xf borderId="11" fillId="0" fontId="5" numFmtId="0" xfId="0" applyBorder="1" applyFont="1"/>
    <xf borderId="12" fillId="0" fontId="5" numFmtId="0" xfId="0" applyBorder="1" applyFont="1"/>
    <xf borderId="7" fillId="4" fontId="9" numFmtId="0" xfId="0" applyAlignment="1" applyBorder="1" applyFill="1" applyFont="1">
      <alignment horizontal="left"/>
    </xf>
    <xf borderId="2" fillId="4" fontId="9" numFmtId="164" xfId="0" applyAlignment="1" applyBorder="1" applyFill="1" applyFont="1" applyNumberFormat="1">
      <alignment horizontal="center" vertical="center"/>
    </xf>
    <xf borderId="2" fillId="4" fontId="9" numFmtId="0" xfId="0" applyAlignment="1" applyBorder="1" applyFill="1" applyFont="1">
      <alignment horizontal="left" vertical="center"/>
    </xf>
    <xf borderId="2" fillId="0" fontId="2" numFmtId="0" xfId="0" applyAlignment="1" applyBorder="1" applyFont="1">
      <alignment vertical="bottom"/>
    </xf>
    <xf borderId="3" fillId="4" fontId="8" numFmtId="0" xfId="0" applyAlignment="1" applyBorder="1" applyFill="1" applyFont="1">
      <alignment horizontal="left" readingOrder="0" vertical="center"/>
    </xf>
    <xf borderId="3" fillId="4" fontId="4" numFmtId="0" xfId="0" applyAlignment="1" applyBorder="1" applyFill="1" applyFont="1">
      <alignment horizontal="left" readingOrder="0" vertical="center"/>
    </xf>
    <xf borderId="2" fillId="0" fontId="2" numFmtId="0" xfId="0" applyAlignment="1" applyBorder="1" applyFont="1">
      <alignment readingOrder="0" vertical="bottom"/>
    </xf>
    <xf borderId="13" fillId="4" fontId="9" numFmtId="0" xfId="0" applyAlignment="1" applyBorder="1" applyFill="1" applyFont="1">
      <alignment horizontal="left" vertical="center"/>
    </xf>
    <xf borderId="13" fillId="4" fontId="9" numFmtId="0" xfId="0" applyAlignment="1" applyBorder="1" applyFill="1" applyFont="1">
      <alignment horizontal="center" vertical="center"/>
    </xf>
    <xf borderId="2" fillId="5" fontId="2" numFmtId="0" xfId="0" applyAlignment="1" applyBorder="1" applyFill="1" applyFont="1">
      <alignment readingOrder="0" vertical="bottom"/>
    </xf>
    <xf borderId="2" fillId="6" fontId="2" numFmtId="0" xfId="0" applyAlignment="1" applyBorder="1" applyFill="1" applyFont="1">
      <alignment readingOrder="0" vertical="bottom"/>
    </xf>
    <xf borderId="2" fillId="0" fontId="2" numFmtId="0" xfId="0" applyAlignment="1" applyBorder="1" applyFont="1">
      <alignment readingOrder="0"/>
    </xf>
    <xf borderId="2" fillId="6" fontId="2" numFmtId="0" xfId="0" applyAlignment="1" applyBorder="1" applyFill="1" applyFont="1">
      <alignment readingOrder="0"/>
    </xf>
    <xf borderId="0" fillId="0" fontId="2" numFmtId="0" xfId="0" applyAlignment="1" applyFont="1">
      <alignment readingOrder="0"/>
    </xf>
    <xf borderId="1" fillId="7" fontId="3" numFmtId="0" xfId="0" applyBorder="1" applyFill="1" applyFont="1"/>
    <xf borderId="2" fillId="6" fontId="2" numFmtId="0" xfId="0" applyAlignment="1" applyBorder="1" applyFill="1" applyFont="1">
      <alignment readingOrder="0" vertical="center"/>
    </xf>
    <xf borderId="0" fillId="7" fontId="3" numFmtId="0" xfId="0" applyFill="1" applyFont="1"/>
    <xf borderId="1" fillId="3" fontId="3" numFmtId="0" xfId="0" applyAlignment="1" applyBorder="1" applyFill="1" applyFont="1">
      <alignment readingOrder="0"/>
    </xf>
    <xf borderId="0" fillId="6" fontId="2" numFmtId="0" xfId="0" applyAlignment="1" applyFill="1" applyFont="1">
      <alignment readingOrder="0"/>
    </xf>
    <xf borderId="14" fillId="0" fontId="2" numFmtId="0" xfId="0" applyAlignment="1" applyBorder="1" applyFont="1">
      <alignment readingOrder="0"/>
    </xf>
    <xf borderId="3" fillId="4" fontId="10" numFmtId="0" xfId="0" applyAlignment="1" applyBorder="1" applyFill="1" applyFont="1">
      <alignment horizontal="left" readingOrder="0" vertical="center"/>
    </xf>
    <xf borderId="3" fillId="4" fontId="11" numFmtId="0" xfId="0" applyAlignment="1" applyBorder="1" applyFill="1" applyFont="1">
      <alignment horizontal="left" readingOrder="0" vertical="center"/>
    </xf>
    <xf borderId="13" fillId="4" fontId="12" numFmtId="0" xfId="0" applyBorder="1" applyFill="1" applyFont="1"/>
    <xf borderId="15" fillId="0" fontId="5" numFmtId="0" xfId="0" applyBorder="1" applyFont="1"/>
    <xf borderId="7" fillId="0" fontId="5" numFmtId="0" xfId="0" applyBorder="1" applyFont="1"/>
    <xf borderId="0" fillId="4" fontId="9" numFmtId="0" xfId="0" applyAlignment="1" applyFill="1" applyFont="1">
      <alignment horizontal="left"/>
    </xf>
    <xf borderId="16" fillId="0" fontId="2" numFmtId="0" xfId="0" applyAlignment="1" applyBorder="1" applyFont="1">
      <alignment readingOrder="0"/>
    </xf>
    <xf borderId="17" fillId="8" fontId="3" numFmtId="0" xfId="0" applyBorder="1" applyFill="1" applyFont="1"/>
    <xf borderId="17" fillId="2" fontId="3" numFmtId="0" xfId="0" applyBorder="1" applyFill="1" applyFont="1"/>
    <xf borderId="17" fillId="2" fontId="9" numFmtId="0" xfId="0" applyBorder="1" applyFill="1" applyFont="1"/>
    <xf borderId="17" fillId="0" fontId="2" numFmtId="0" xfId="0" applyAlignment="1" applyBorder="1" applyFont="1">
      <alignment readingOrder="0"/>
    </xf>
    <xf borderId="17" fillId="2" fontId="2" numFmtId="0" xfId="0" applyBorder="1" applyFill="1" applyFont="1"/>
    <xf borderId="17" fillId="2" fontId="9" numFmtId="0" xfId="0" applyAlignment="1" applyBorder="1" applyFill="1" applyFont="1">
      <alignment horizontal="left"/>
    </xf>
    <xf borderId="4" fillId="4" fontId="3" numFmtId="0" xfId="0" applyBorder="1" applyFill="1" applyFont="1"/>
    <xf borderId="0" fillId="2" fontId="9" numFmtId="0" xfId="0" applyAlignment="1" applyFill="1" applyFont="1">
      <alignment horizontal="center"/>
    </xf>
    <xf borderId="0" fillId="4" fontId="9" numFmtId="0" xfId="0" applyAlignment="1" applyFill="1" applyFont="1">
      <alignment vertical="center"/>
    </xf>
    <xf borderId="0" fillId="4" fontId="3" numFmtId="0" xfId="0" applyAlignment="1" applyFill="1" applyFont="1">
      <alignment vertical="center"/>
    </xf>
    <xf borderId="17" fillId="0" fontId="2" numFmtId="0" xfId="0" applyAlignment="1" applyBorder="1" applyFont="1">
      <alignment readingOrder="0" vertical="bottom"/>
    </xf>
    <xf borderId="2" fillId="8" fontId="3" numFmtId="0" xfId="0" applyBorder="1" applyFill="1" applyFont="1"/>
    <xf borderId="2" fillId="9" fontId="13" numFmtId="0" xfId="0" applyAlignment="1" applyBorder="1" applyFill="1" applyFont="1">
      <alignment horizontal="center" readingOrder="0"/>
    </xf>
    <xf borderId="14" fillId="4" fontId="9" numFmtId="164" xfId="0" applyAlignment="1" applyBorder="1" applyFill="1" applyFont="1" applyNumberFormat="1">
      <alignment horizontal="center" vertical="center"/>
    </xf>
    <xf borderId="2" fillId="9" fontId="14" numFmtId="0" xfId="0" applyAlignment="1" applyBorder="1" applyFill="1" applyFont="1">
      <alignment horizontal="center" readingOrder="0"/>
    </xf>
    <xf borderId="14" fillId="4" fontId="9" numFmtId="0" xfId="0" applyAlignment="1" applyBorder="1" applyFill="1" applyFont="1">
      <alignment horizontal="left" vertical="center"/>
    </xf>
    <xf borderId="14" fillId="9" fontId="13" numFmtId="0" xfId="0" applyAlignment="1" applyBorder="1" applyFill="1" applyFont="1">
      <alignment horizontal="left" readingOrder="0"/>
    </xf>
    <xf borderId="18" fillId="8" fontId="3" numFmtId="0" xfId="0" applyBorder="1" applyFill="1" applyFont="1"/>
    <xf borderId="18" fillId="2" fontId="3" numFmtId="0" xfId="0" applyAlignment="1" applyBorder="1" applyFill="1" applyFont="1">
      <alignment horizontal="left" vertical="center"/>
    </xf>
    <xf borderId="0" fillId="9" fontId="13" numFmtId="0" xfId="0" applyAlignment="1" applyFill="1" applyFont="1">
      <alignment horizontal="center" readingOrder="0"/>
    </xf>
    <xf borderId="18" fillId="2" fontId="9" numFmtId="0" xfId="0" applyBorder="1" applyFill="1" applyFont="1"/>
    <xf borderId="2" fillId="0" fontId="9" numFmtId="0" xfId="0" applyAlignment="1" applyBorder="1" applyFont="1">
      <alignment readingOrder="0"/>
    </xf>
    <xf borderId="18" fillId="2" fontId="9" numFmtId="0" xfId="0" applyAlignment="1" applyBorder="1" applyFill="1" applyFont="1">
      <alignment horizontal="left" vertical="center"/>
    </xf>
    <xf borderId="18" fillId="2" fontId="9" numFmtId="0" xfId="0" applyAlignment="1" applyBorder="1" applyFill="1" applyFont="1">
      <alignment vertical="center"/>
    </xf>
    <xf borderId="18" fillId="2" fontId="3" numFmtId="0" xfId="0" applyAlignment="1" applyBorder="1" applyFill="1" applyFont="1">
      <alignment vertical="center"/>
    </xf>
    <xf borderId="18" fillId="2" fontId="9" numFmtId="0" xfId="0" applyAlignment="1" applyBorder="1" applyFill="1" applyFont="1">
      <alignment horizontal="center" vertical="center"/>
    </xf>
    <xf borderId="18" fillId="2" fontId="9" numFmtId="164" xfId="0" applyAlignment="1" applyBorder="1" applyFill="1" applyFont="1" applyNumberFormat="1">
      <alignment horizontal="center" vertical="center"/>
    </xf>
    <xf borderId="1" fillId="10" fontId="3" numFmtId="0" xfId="0" applyBorder="1" applyFill="1" applyFont="1"/>
    <xf borderId="18" fillId="9" fontId="13" numFmtId="0" xfId="0" applyAlignment="1" applyBorder="1" applyFill="1" applyFont="1">
      <alignment horizontal="center" vertical="bottom"/>
    </xf>
    <xf borderId="18" fillId="9" fontId="13" numFmtId="0" xfId="0" applyAlignment="1" applyBorder="1" applyFill="1" applyFont="1">
      <alignment horizontal="left" vertical="bottom"/>
    </xf>
    <xf borderId="18" fillId="9" fontId="13" numFmtId="0" xfId="0" applyAlignment="1" applyBorder="1" applyFill="1" applyFont="1">
      <alignment horizontal="center" vertical="center"/>
    </xf>
    <xf borderId="0" fillId="10" fontId="3" numFmtId="0" xfId="0" applyFill="1" applyFont="1"/>
    <xf borderId="2" fillId="0" fontId="2" numFmtId="0" xfId="0" applyAlignment="1" applyBorder="1" applyFont="1">
      <alignment readingOrder="0"/>
    </xf>
    <xf borderId="18" fillId="9" fontId="13" numFmtId="0" xfId="0" applyAlignment="1" applyBorder="1" applyFill="1" applyFont="1">
      <alignment horizontal="center" readingOrder="0" vertical="center"/>
    </xf>
    <xf borderId="18" fillId="9" fontId="13" numFmtId="0" xfId="0" applyAlignment="1" applyBorder="1" applyFill="1" applyFont="1">
      <alignment horizontal="left" vertical="center"/>
    </xf>
    <xf borderId="18" fillId="9" fontId="13" numFmtId="0" xfId="0" applyAlignment="1" applyBorder="1" applyFill="1" applyFont="1">
      <alignment horizontal="left" readingOrder="0" vertical="center"/>
    </xf>
    <xf borderId="18" fillId="9" fontId="13" numFmtId="164" xfId="0" applyAlignment="1" applyBorder="1" applyFill="1" applyFont="1" applyNumberFormat="1">
      <alignment horizontal="center" readingOrder="0" vertical="center"/>
    </xf>
    <xf borderId="2" fillId="5" fontId="2" numFmtId="0" xfId="0" applyAlignment="1" applyBorder="1" applyFill="1" applyFont="1">
      <alignment vertical="bottom"/>
    </xf>
    <xf borderId="0" fillId="10" fontId="3" numFmtId="0" xfId="0" applyAlignment="1" applyFill="1" applyFont="1">
      <alignment readingOrder="0"/>
    </xf>
    <xf borderId="2" fillId="0" fontId="15" numFmtId="0" xfId="0" applyAlignment="1" applyBorder="1" applyFont="1">
      <alignment horizontal="left" readingOrder="0"/>
    </xf>
    <xf borderId="2" fillId="0" fontId="2" numFmtId="0" xfId="0" applyAlignment="1" applyBorder="1" applyFont="1">
      <alignment horizontal="left" readingOrder="0"/>
    </xf>
    <xf borderId="0" fillId="10" fontId="3" numFmtId="0" xfId="0" applyFill="1" applyFont="1"/>
    <xf borderId="2" fillId="11" fontId="16" numFmtId="0" xfId="0" applyAlignment="1" applyBorder="1" applyFill="1" applyFont="1">
      <alignment horizontal="left" readingOrder="0" vertical="center"/>
    </xf>
    <xf borderId="19" fillId="11" fontId="17" numFmtId="0" xfId="0" applyAlignment="1" applyBorder="1" applyFill="1" applyFont="1">
      <alignment horizontal="left" readingOrder="0" vertical="center"/>
    </xf>
    <xf borderId="1" fillId="0" fontId="2" numFmtId="0" xfId="0" applyAlignment="1" applyBorder="1" applyFont="1">
      <alignment horizontal="center" readingOrder="0" vertical="center"/>
    </xf>
    <xf borderId="0" fillId="0" fontId="2" numFmtId="165" xfId="0" applyAlignment="1" applyFont="1" applyNumberFormat="1">
      <alignment horizontal="center" readingOrder="0" vertical="center"/>
    </xf>
    <xf borderId="0" fillId="0" fontId="2" numFmtId="0" xfId="0" applyAlignment="1" applyFont="1">
      <alignment horizontal="center" readingOrder="0" vertical="center"/>
    </xf>
    <xf borderId="18" fillId="0" fontId="9" numFmtId="0" xfId="0" applyBorder="1" applyFont="1"/>
    <xf borderId="18" fillId="6" fontId="9" numFmtId="0" xfId="0" applyAlignment="1" applyBorder="1" applyFill="1" applyFont="1">
      <alignment vertical="bottom"/>
    </xf>
    <xf borderId="18" fillId="0" fontId="2" numFmtId="0" xfId="0" applyAlignment="1" applyBorder="1" applyFont="1">
      <alignment horizontal="left" vertical="center"/>
    </xf>
    <xf borderId="13" fillId="4" fontId="3" numFmtId="0" xfId="0" applyBorder="1" applyFill="1" applyFont="1"/>
    <xf borderId="20" fillId="4" fontId="11" numFmtId="0" xfId="0" applyAlignment="1" applyBorder="1" applyFill="1" applyFont="1">
      <alignment horizontal="left" readingOrder="0" vertical="center"/>
    </xf>
    <xf borderId="17" fillId="2" fontId="3" numFmtId="0" xfId="0" applyAlignment="1" applyBorder="1" applyFill="1" applyFont="1">
      <alignment horizontal="left"/>
    </xf>
    <xf borderId="18" fillId="0" fontId="18" numFmtId="0" xfId="0" applyAlignment="1" applyBorder="1" applyFont="1">
      <alignment horizontal="left" readingOrder="0" vertical="center"/>
    </xf>
    <xf borderId="18" fillId="0" fontId="2" numFmtId="0" xfId="0" applyAlignment="1" applyBorder="1" applyFont="1">
      <alignment horizontal="left" readingOrder="0" vertical="center"/>
    </xf>
    <xf borderId="2" fillId="2" fontId="2" numFmtId="0" xfId="0" applyBorder="1" applyFill="1" applyFont="1"/>
    <xf borderId="2" fillId="9" fontId="13" numFmtId="0" xfId="0" applyAlignment="1" applyBorder="1" applyFill="1" applyFont="1">
      <alignment horizontal="left" readingOrder="0"/>
    </xf>
    <xf borderId="0" fillId="0" fontId="2" numFmtId="166" xfId="0" applyAlignment="1" applyFont="1" applyNumberFormat="1">
      <alignment horizontal="center" readingOrder="0" vertical="center"/>
    </xf>
    <xf borderId="18" fillId="6" fontId="19" numFmtId="0" xfId="0" applyAlignment="1" applyBorder="1" applyFill="1" applyFont="1">
      <alignment readingOrder="0" vertical="center"/>
    </xf>
    <xf borderId="18" fillId="11" fontId="20" numFmtId="0" xfId="0" applyAlignment="1" applyBorder="1" applyFill="1" applyFont="1">
      <alignment horizontal="left" readingOrder="0" vertical="center"/>
    </xf>
    <xf borderId="2" fillId="8" fontId="21" numFmtId="0" xfId="0" applyAlignment="1" applyBorder="1" applyFill="1" applyFont="1">
      <alignment vertical="bottom"/>
    </xf>
    <xf borderId="18" fillId="0" fontId="2" numFmtId="0" xfId="0" applyAlignment="1" applyBorder="1" applyFont="1">
      <alignment horizontal="center" readingOrder="0" vertical="center"/>
    </xf>
    <xf borderId="18" fillId="0" fontId="3" numFmtId="164" xfId="0" applyAlignment="1" applyBorder="1" applyFont="1" applyNumberFormat="1">
      <alignment horizontal="center" readingOrder="0"/>
    </xf>
    <xf borderId="18" fillId="5" fontId="9" numFmtId="0" xfId="0" applyAlignment="1" applyBorder="1" applyFill="1" applyFont="1">
      <alignment vertical="bottom"/>
    </xf>
    <xf borderId="21" fillId="0" fontId="9" numFmtId="0" xfId="0" applyAlignment="1" applyBorder="1" applyFont="1">
      <alignment horizontal="left" vertical="bottom"/>
    </xf>
    <xf borderId="21" fillId="5" fontId="9" numFmtId="0" xfId="0" applyAlignment="1" applyBorder="1" applyFill="1" applyFont="1">
      <alignment vertical="bottom"/>
    </xf>
    <xf borderId="18" fillId="0" fontId="22" numFmtId="0" xfId="0" applyAlignment="1" applyBorder="1" applyFont="1">
      <alignment horizontal="left" readingOrder="0" vertical="center"/>
    </xf>
    <xf borderId="21" fillId="5" fontId="9" numFmtId="0" xfId="0" applyAlignment="1" applyBorder="1" applyFill="1" applyFont="1">
      <alignment vertical="bottom"/>
    </xf>
    <xf borderId="21" fillId="11" fontId="23" numFmtId="0" xfId="0" applyAlignment="1" applyBorder="1" applyFill="1" applyFont="1">
      <alignment readingOrder="0" vertical="bottom"/>
    </xf>
    <xf borderId="21" fillId="11" fontId="24" numFmtId="0" xfId="0" applyAlignment="1" applyBorder="1" applyFill="1" applyFont="1">
      <alignment vertical="bottom"/>
    </xf>
    <xf borderId="21" fillId="6" fontId="25" numFmtId="0" xfId="0" applyAlignment="1" applyBorder="1" applyFill="1" applyFont="1">
      <alignment horizontal="center" readingOrder="0" vertical="bottom"/>
    </xf>
    <xf borderId="0" fillId="6" fontId="26" numFmtId="0" xfId="0" applyAlignment="1" applyFill="1" applyFont="1">
      <alignment horizontal="center" readingOrder="0" vertical="bottom"/>
    </xf>
    <xf borderId="18" fillId="5" fontId="27" numFmtId="0" xfId="0" applyAlignment="1" applyBorder="1" applyFill="1" applyFont="1">
      <alignment readingOrder="0" vertical="center"/>
    </xf>
    <xf borderId="17" fillId="8" fontId="21" numFmtId="0" xfId="0" applyAlignment="1" applyBorder="1" applyFill="1" applyFont="1">
      <alignment vertical="bottom"/>
    </xf>
    <xf borderId="22" fillId="0" fontId="9" numFmtId="0" xfId="0" applyAlignment="1" applyBorder="1" applyFont="1">
      <alignment horizontal="left" vertical="bottom"/>
    </xf>
    <xf borderId="22" fillId="6" fontId="9" numFmtId="0" xfId="0" applyAlignment="1" applyBorder="1" applyFill="1" applyFont="1">
      <alignment vertical="bottom"/>
    </xf>
    <xf borderId="22" fillId="6" fontId="9" numFmtId="0" xfId="0" applyAlignment="1" applyBorder="1" applyFill="1" applyFont="1">
      <alignment vertical="bottom"/>
    </xf>
    <xf borderId="22" fillId="11" fontId="28" numFmtId="0" xfId="0" applyAlignment="1" applyBorder="1" applyFill="1" applyFont="1">
      <alignment readingOrder="0" vertical="bottom"/>
    </xf>
    <xf borderId="22" fillId="5" fontId="29" numFmtId="0" xfId="0" applyAlignment="1" applyBorder="1" applyFill="1" applyFont="1">
      <alignment horizontal="center" readingOrder="0" vertical="bottom"/>
    </xf>
    <xf borderId="0" fillId="5" fontId="30" numFmtId="165" xfId="0" applyAlignment="1" applyFill="1" applyFont="1" applyNumberFormat="1">
      <alignment horizontal="center" readingOrder="0" vertical="bottom"/>
    </xf>
    <xf borderId="0" fillId="5" fontId="31" numFmtId="0" xfId="0" applyAlignment="1" applyFill="1" applyFont="1">
      <alignment horizontal="center" readingOrder="0" vertical="bottom"/>
    </xf>
    <xf borderId="22" fillId="5" fontId="9" numFmtId="0" xfId="0" applyAlignment="1" applyBorder="1" applyFill="1" applyFont="1">
      <alignment vertical="bottom"/>
    </xf>
    <xf borderId="22" fillId="5" fontId="9" numFmtId="0" xfId="0" applyAlignment="1" applyBorder="1" applyFill="1" applyFont="1">
      <alignment vertical="bottom"/>
    </xf>
    <xf borderId="0" fillId="7" fontId="3" numFmtId="0" xfId="0" applyAlignment="1" applyFill="1" applyFont="1">
      <alignment readingOrder="0"/>
    </xf>
    <xf borderId="22" fillId="6" fontId="32" numFmtId="0" xfId="0" applyAlignment="1" applyBorder="1" applyFill="1" applyFont="1">
      <alignment horizontal="center" readingOrder="0" vertical="bottom"/>
    </xf>
    <xf borderId="0" fillId="6" fontId="33" numFmtId="165" xfId="0" applyAlignment="1" applyFill="1" applyFont="1" applyNumberFormat="1">
      <alignment horizontal="center" readingOrder="0" vertical="bottom"/>
    </xf>
    <xf borderId="1" fillId="0" fontId="2" numFmtId="0" xfId="0" applyAlignment="1" applyBorder="1" applyFont="1">
      <alignment horizontal="center" readingOrder="0" vertical="center"/>
    </xf>
    <xf borderId="0" fillId="0" fontId="2" numFmtId="166" xfId="0" applyAlignment="1" applyFont="1" applyNumberFormat="1">
      <alignment horizontal="center" readingOrder="0" vertical="center"/>
    </xf>
    <xf borderId="0" fillId="0" fontId="2" numFmtId="0" xfId="0" applyAlignment="1" applyFont="1">
      <alignment horizontal="center" readingOrder="0" vertical="center"/>
    </xf>
    <xf borderId="18" fillId="5" fontId="9" numFmtId="0" xfId="0" applyAlignment="1" applyBorder="1" applyFill="1" applyFont="1">
      <alignment readingOrder="0" vertical="bottom"/>
    </xf>
    <xf borderId="0" fillId="6" fontId="34" numFmtId="0" xfId="0" applyAlignment="1" applyFill="1" applyFont="1">
      <alignment horizontal="center" readingOrder="0" vertical="bottom"/>
    </xf>
    <xf borderId="18" fillId="5" fontId="35" numFmtId="0" xfId="0" applyAlignment="1" applyBorder="1" applyFill="1" applyFont="1">
      <alignment readingOrder="0" vertical="center"/>
    </xf>
    <xf borderId="18" fillId="11" fontId="36" numFmtId="0" xfId="0" applyAlignment="1" applyBorder="1" applyFill="1" applyFont="1">
      <alignment horizontal="left" readingOrder="0" vertical="center"/>
    </xf>
    <xf borderId="2" fillId="0" fontId="37" numFmtId="0" xfId="0" applyAlignment="1" applyBorder="1" applyFont="1">
      <alignment vertical="bottom"/>
    </xf>
    <xf borderId="18" fillId="0" fontId="2" numFmtId="0" xfId="0" applyAlignment="1" applyBorder="1" applyFont="1">
      <alignment horizontal="center" readingOrder="0" vertical="center"/>
    </xf>
    <xf borderId="18" fillId="0" fontId="2" numFmtId="0" xfId="0" applyAlignment="1" applyBorder="1" applyFont="1">
      <alignment horizontal="left" readingOrder="0" vertical="center"/>
    </xf>
    <xf borderId="2" fillId="11" fontId="38" numFmtId="0" xfId="0" applyAlignment="1" applyBorder="1" applyFill="1" applyFont="1">
      <alignment horizontal="left" readingOrder="0" vertical="center"/>
    </xf>
    <xf borderId="0" fillId="12" fontId="3" numFmtId="0" xfId="0" applyFill="1" applyFont="1"/>
    <xf borderId="0" fillId="5" fontId="39" numFmtId="0" xfId="0" applyAlignment="1" applyFill="1" applyFont="1">
      <alignment horizontal="center" readingOrder="0" vertical="bottom"/>
    </xf>
    <xf borderId="1" fillId="12" fontId="3" numFmtId="0" xfId="0" applyBorder="1" applyFill="1" applyFont="1"/>
    <xf borderId="22" fillId="0" fontId="21" numFmtId="0" xfId="0" applyAlignment="1" applyBorder="1" applyFont="1">
      <alignment horizontal="left" vertical="bottom"/>
    </xf>
    <xf borderId="18" fillId="6" fontId="9" numFmtId="0" xfId="0" applyAlignment="1" applyBorder="1" applyFill="1" applyFont="1">
      <alignment readingOrder="0" vertical="bottom"/>
    </xf>
    <xf borderId="22" fillId="6" fontId="40" numFmtId="0" xfId="0" applyAlignment="1" applyBorder="1" applyFill="1" applyFont="1">
      <alignment vertical="bottom"/>
    </xf>
    <xf borderId="0" fillId="0" fontId="41" numFmtId="0" xfId="0" applyAlignment="1" applyFont="1">
      <alignment readingOrder="0" vertical="center"/>
    </xf>
    <xf borderId="19" fillId="11" fontId="42" numFmtId="0" xfId="0" applyAlignment="1" applyBorder="1" applyFill="1" applyFont="1">
      <alignment horizontal="left" readingOrder="0" vertical="center"/>
    </xf>
    <xf borderId="2" fillId="5" fontId="21" numFmtId="0" xfId="0" applyAlignment="1" applyBorder="1" applyFill="1" applyFont="1">
      <alignment horizontal="left" readingOrder="0" vertical="bottom"/>
    </xf>
    <xf borderId="2" fillId="5" fontId="9" numFmtId="0" xfId="0" applyAlignment="1" applyBorder="1" applyFill="1" applyFont="1">
      <alignment vertical="bottom"/>
    </xf>
    <xf borderId="2" fillId="11" fontId="43" numFmtId="0" xfId="0" applyAlignment="1" applyBorder="1" applyFill="1" applyFont="1">
      <alignment readingOrder="0" vertical="bottom"/>
    </xf>
    <xf borderId="2" fillId="6" fontId="21" numFmtId="0" xfId="0" applyAlignment="1" applyBorder="1" applyFill="1" applyFont="1">
      <alignment horizontal="left" readingOrder="0" vertical="bottom"/>
    </xf>
    <xf borderId="2" fillId="6" fontId="9" numFmtId="0" xfId="0" applyAlignment="1" applyBorder="1" applyFill="1" applyFont="1">
      <alignment vertical="bottom"/>
    </xf>
    <xf borderId="18" fillId="11" fontId="44" numFmtId="0" xfId="0" applyAlignment="1" applyBorder="1" applyFill="1" applyFont="1">
      <alignment horizontal="left" readingOrder="0" vertical="center"/>
    </xf>
    <xf borderId="18" fillId="6" fontId="45" numFmtId="0" xfId="0" applyAlignment="1" applyBorder="1" applyFill="1" applyFont="1">
      <alignment readingOrder="0" vertical="center"/>
    </xf>
    <xf borderId="0" fillId="13" fontId="3" numFmtId="0" xfId="0" applyFill="1" applyFont="1"/>
    <xf borderId="1" fillId="13" fontId="3" numFmtId="0" xfId="0" applyBorder="1" applyFill="1" applyFont="1"/>
    <xf borderId="0" fillId="13" fontId="3" numFmtId="0" xfId="0" applyAlignment="1" applyFill="1" applyFont="1">
      <alignment readingOrder="0"/>
    </xf>
    <xf borderId="0" fillId="5" fontId="9" numFmtId="0" xfId="0" applyAlignment="1" applyFill="1" applyFont="1">
      <alignment vertical="bottom"/>
    </xf>
    <xf borderId="2" fillId="0" fontId="9" numFmtId="0" xfId="0" applyAlignment="1" applyBorder="1" applyFont="1">
      <alignment vertical="bottom"/>
    </xf>
    <xf borderId="18" fillId="5" fontId="9" numFmtId="0" xfId="0" applyAlignment="1" applyBorder="1" applyFill="1" applyFont="1">
      <alignment vertical="bottom"/>
    </xf>
    <xf borderId="18" fillId="0" fontId="2" numFmtId="0" xfId="0" applyAlignment="1" applyBorder="1" applyFont="1">
      <alignment horizontal="left" vertical="center"/>
    </xf>
    <xf borderId="18" fillId="6" fontId="9" numFmtId="0" xfId="0" applyAlignment="1" applyBorder="1" applyFill="1" applyFont="1">
      <alignment vertical="bottom"/>
    </xf>
    <xf borderId="2" fillId="0" fontId="9" numFmtId="0" xfId="0" applyAlignment="1" applyBorder="1" applyFont="1">
      <alignment readingOrder="0" vertical="bottom"/>
    </xf>
    <xf borderId="0" fillId="5" fontId="46" numFmtId="166" xfId="0" applyAlignment="1" applyFill="1" applyFont="1" applyNumberFormat="1">
      <alignment horizontal="center" readingOrder="0" vertical="bottom"/>
    </xf>
    <xf borderId="0" fillId="6" fontId="47" numFmtId="166" xfId="0" applyAlignment="1" applyFill="1" applyFont="1" applyNumberFormat="1">
      <alignment horizontal="center" readingOrder="0" vertical="bottom"/>
    </xf>
    <xf borderId="0" fillId="6" fontId="3" numFmtId="0" xfId="0" applyFill="1" applyFont="1"/>
    <xf borderId="1" fillId="6" fontId="3" numFmtId="0" xfId="0" applyBorder="1" applyFill="1" applyFont="1"/>
    <xf borderId="18" fillId="5" fontId="9" numFmtId="0" xfId="0" applyAlignment="1" applyBorder="1" applyFill="1" applyFont="1">
      <alignment readingOrder="0" vertical="bottom"/>
    </xf>
    <xf borderId="2" fillId="0" fontId="21" numFmtId="0" xfId="0" applyAlignment="1" applyBorder="1" applyFont="1">
      <alignment vertical="bottom"/>
    </xf>
    <xf borderId="22" fillId="5" fontId="48" numFmtId="0" xfId="0" applyAlignment="1" applyBorder="1" applyFill="1" applyFont="1">
      <alignment horizontal="center" readingOrder="0" vertical="bottom"/>
    </xf>
    <xf borderId="0" fillId="5" fontId="49" numFmtId="166" xfId="0" applyAlignment="1" applyFill="1" applyFont="1" applyNumberFormat="1">
      <alignment horizontal="center" readingOrder="0" vertical="bottom"/>
    </xf>
    <xf borderId="0" fillId="5" fontId="50" numFmtId="0" xfId="0" applyAlignment="1" applyFill="1" applyFont="1">
      <alignment horizontal="center" readingOrder="0" vertical="bottom"/>
    </xf>
    <xf borderId="1" fillId="10" fontId="3" numFmtId="0" xfId="0" applyAlignment="1" applyBorder="1" applyFill="1" applyFont="1">
      <alignment readingOrder="0"/>
    </xf>
    <xf borderId="0" fillId="3" fontId="3" numFmtId="0" xfId="0" applyFill="1" applyFont="1"/>
    <xf borderId="1" fillId="0" fontId="3" numFmtId="0" xfId="0" applyBorder="1" applyFont="1"/>
    <xf borderId="22" fillId="6" fontId="51" numFmtId="0" xfId="0" applyAlignment="1" applyBorder="1" applyFill="1" applyFont="1">
      <alignment horizontal="center" readingOrder="0" vertical="bottom"/>
    </xf>
    <xf borderId="0" fillId="6" fontId="52" numFmtId="166" xfId="0" applyAlignment="1" applyFill="1" applyFont="1" applyNumberFormat="1">
      <alignment horizontal="center" readingOrder="0" vertical="bottom"/>
    </xf>
    <xf borderId="0" fillId="6" fontId="53" numFmtId="0" xfId="0" applyAlignment="1" applyFill="1" applyFont="1">
      <alignment horizontal="center" readingOrder="0" vertical="bottom"/>
    </xf>
    <xf borderId="0" fillId="5" fontId="54" numFmtId="165" xfId="0" applyAlignment="1" applyFill="1" applyFont="1" applyNumberFormat="1">
      <alignment horizontal="center" readingOrder="0" vertical="bottom"/>
    </xf>
    <xf borderId="0" fillId="6" fontId="55" numFmtId="165" xfId="0" applyAlignment="1" applyFill="1" applyFont="1" applyNumberFormat="1">
      <alignment horizontal="center" readingOrder="0" vertical="bottom"/>
    </xf>
    <xf borderId="2" fillId="0" fontId="2" numFmtId="0" xfId="0" applyAlignment="1" applyBorder="1" applyFont="1">
      <alignment horizontal="left" readingOrder="0" vertical="center"/>
    </xf>
    <xf borderId="2" fillId="6" fontId="9" numFmtId="0" xfId="0" applyBorder="1" applyFill="1" applyFont="1"/>
    <xf borderId="2" fillId="11" fontId="56" numFmtId="0" xfId="0" applyAlignment="1" applyBorder="1" applyFill="1" applyFont="1">
      <alignment readingOrder="0"/>
    </xf>
    <xf borderId="2" fillId="11" fontId="57" numFmtId="0" xfId="0" applyAlignment="1" applyBorder="1" applyFill="1" applyFont="1">
      <alignment readingOrder="0"/>
    </xf>
    <xf borderId="0" fillId="6" fontId="58" numFmtId="0" xfId="0" applyAlignment="1" applyFill="1" applyFont="1">
      <alignment horizontal="center" readingOrder="0" vertical="bottom"/>
    </xf>
    <xf borderId="21" fillId="6" fontId="59" numFmtId="0" xfId="0" applyAlignment="1" applyBorder="1" applyFill="1" applyFont="1">
      <alignment horizontal="center" readingOrder="0" vertical="bottom"/>
    </xf>
    <xf borderId="2" fillId="5" fontId="60" numFmtId="0" xfId="0" applyAlignment="1" applyBorder="1" applyFill="1" applyFont="1">
      <alignment horizontal="left" readingOrder="0" vertical="bottom"/>
    </xf>
    <xf borderId="2" fillId="5" fontId="2" numFmtId="0" xfId="0" applyAlignment="1" applyBorder="1" applyFill="1" applyFont="1">
      <alignment horizontal="left" readingOrder="0" vertical="bottom"/>
    </xf>
    <xf borderId="2" fillId="0" fontId="21" numFmtId="0" xfId="0" applyAlignment="1" applyBorder="1" applyFont="1">
      <alignment horizontal="right" readingOrder="0" vertical="bottom"/>
    </xf>
    <xf borderId="2" fillId="11" fontId="61" numFmtId="0" xfId="0" applyAlignment="1" applyBorder="1" applyFill="1" applyFont="1">
      <alignment vertical="bottom"/>
    </xf>
    <xf borderId="18" fillId="0" fontId="62" numFmtId="0" xfId="0" applyAlignment="1" applyBorder="1" applyFont="1">
      <alignment readingOrder="0" shrinkToFit="0" vertical="bottom" wrapText="0"/>
    </xf>
    <xf borderId="2" fillId="5" fontId="21" numFmtId="0" xfId="0" applyAlignment="1" applyBorder="1" applyFill="1" applyFont="1">
      <alignment readingOrder="0" vertical="bottom"/>
    </xf>
    <xf borderId="18" fillId="0" fontId="2" numFmtId="0" xfId="0" applyAlignment="1" applyBorder="1" applyFont="1">
      <alignment horizontal="left" vertical="center"/>
    </xf>
    <xf borderId="18" fillId="0" fontId="63" numFmtId="0" xfId="0" applyAlignment="1" applyBorder="1" applyFont="1">
      <alignment horizontal="left" readingOrder="0" vertical="center"/>
    </xf>
    <xf borderId="18" fillId="5" fontId="2" numFmtId="0" xfId="0" applyAlignment="1" applyBorder="1" applyFill="1" applyFont="1">
      <alignment horizontal="left" readingOrder="0" vertical="center"/>
    </xf>
    <xf borderId="18" fillId="0" fontId="21" numFmtId="0" xfId="0" applyBorder="1" applyFont="1"/>
    <xf borderId="2" fillId="5" fontId="9" numFmtId="0" xfId="0" applyAlignment="1" applyBorder="1" applyFill="1" applyFont="1">
      <alignment vertical="bottom"/>
    </xf>
    <xf borderId="0" fillId="5" fontId="64" numFmtId="0" xfId="0" applyAlignment="1" applyFill="1" applyFont="1">
      <alignment horizontal="center" readingOrder="0" vertical="bottom"/>
    </xf>
    <xf borderId="2" fillId="6" fontId="9" numFmtId="0" xfId="0" applyAlignment="1" applyBorder="1" applyFill="1" applyFont="1">
      <alignment vertical="bottom"/>
    </xf>
    <xf borderId="2" fillId="6" fontId="21" numFmtId="0" xfId="0" applyAlignment="1" applyBorder="1" applyFill="1" applyFont="1">
      <alignment readingOrder="0" vertical="bottom"/>
    </xf>
    <xf borderId="2" fillId="6" fontId="65" numFmtId="0" xfId="0" applyAlignment="1" applyBorder="1" applyFill="1" applyFont="1">
      <alignment horizontal="left" readingOrder="0" vertical="bottom"/>
    </xf>
    <xf borderId="2" fillId="6" fontId="2" numFmtId="0" xfId="0" applyAlignment="1" applyBorder="1" applyFill="1" applyFont="1">
      <alignment horizontal="left" readingOrder="0" vertical="bottom"/>
    </xf>
    <xf borderId="18" fillId="5" fontId="9" numFmtId="0" xfId="0" applyAlignment="1" applyBorder="1" applyFill="1" applyFont="1">
      <alignment vertical="bottom"/>
    </xf>
    <xf borderId="18" fillId="5" fontId="66" numFmtId="0" xfId="0" applyAlignment="1" applyBorder="1" applyFill="1" applyFont="1">
      <alignment horizontal="left" readingOrder="0" vertical="center"/>
    </xf>
    <xf borderId="18" fillId="6" fontId="2" numFmtId="0" xfId="0" applyAlignment="1" applyBorder="1" applyFill="1" applyFont="1">
      <alignment horizontal="left" readingOrder="0" vertical="center"/>
    </xf>
    <xf borderId="18" fillId="6" fontId="67" numFmtId="0" xfId="0" applyAlignment="1" applyBorder="1" applyFill="1" applyFont="1">
      <alignment horizontal="left" readingOrder="0" vertical="center"/>
    </xf>
    <xf borderId="2" fillId="0" fontId="68" numFmtId="0" xfId="0" applyAlignment="1" applyBorder="1" applyFont="1">
      <alignment horizontal="left" readingOrder="0"/>
    </xf>
    <xf borderId="2" fillId="0" fontId="2" numFmtId="0" xfId="0" applyAlignment="1" applyBorder="1" applyFont="1">
      <alignment horizontal="left" readingOrder="0"/>
    </xf>
    <xf borderId="2" fillId="6" fontId="21" numFmtId="0" xfId="0" applyAlignment="1" applyBorder="1" applyFill="1" applyFont="1">
      <alignment readingOrder="0" vertical="bottom"/>
    </xf>
    <xf borderId="2" fillId="6" fontId="69" numFmtId="0" xfId="0" applyAlignment="1" applyBorder="1" applyFill="1" applyFont="1">
      <alignment horizontal="left" readingOrder="0"/>
    </xf>
    <xf borderId="2" fillId="6" fontId="2" numFmtId="0" xfId="0" applyAlignment="1" applyBorder="1" applyFill="1" applyFont="1">
      <alignment horizontal="left" readingOrder="0"/>
    </xf>
    <xf borderId="0" fillId="0" fontId="2" numFmtId="165" xfId="0" applyAlignment="1" applyFont="1" applyNumberFormat="1">
      <alignment horizontal="center" readingOrder="0" vertical="center"/>
    </xf>
    <xf borderId="0" fillId="4" fontId="9" numFmtId="49" xfId="0" applyAlignment="1" applyFill="1" applyFont="1" applyNumberFormat="1">
      <alignment horizontal="center"/>
    </xf>
    <xf borderId="2" fillId="5" fontId="21" numFmtId="0" xfId="0" applyAlignment="1" applyBorder="1" applyFill="1" applyFont="1">
      <alignment vertical="bottom"/>
    </xf>
    <xf borderId="18" fillId="6" fontId="2" numFmtId="0" xfId="0" applyAlignment="1" applyBorder="1" applyFill="1" applyFont="1">
      <alignment horizontal="left" readingOrder="0" vertical="center"/>
    </xf>
    <xf borderId="18" fillId="6" fontId="70" numFmtId="0" xfId="0" applyAlignment="1" applyBorder="1" applyFill="1" applyFont="1">
      <alignment horizontal="left" readingOrder="0" vertical="center"/>
    </xf>
    <xf borderId="17" fillId="2" fontId="3" numFmtId="0" xfId="0" applyAlignment="1" applyBorder="1" applyFill="1" applyFont="1">
      <alignment horizontal="left" vertical="center"/>
    </xf>
    <xf borderId="17" fillId="2" fontId="9" numFmtId="0" xfId="0" applyAlignment="1" applyBorder="1" applyFill="1" applyFont="1">
      <alignment vertical="center"/>
    </xf>
    <xf borderId="0" fillId="2" fontId="9" numFmtId="49" xfId="0" applyAlignment="1" applyFill="1" applyFont="1" applyNumberFormat="1">
      <alignment horizontal="center"/>
    </xf>
    <xf borderId="2" fillId="9" fontId="13" numFmtId="0" xfId="0" applyAlignment="1" applyBorder="1" applyFill="1" applyFont="1">
      <alignment horizontal="left" readingOrder="0" vertical="center"/>
    </xf>
    <xf borderId="2" fillId="9" fontId="13" numFmtId="0" xfId="0" applyAlignment="1" applyBorder="1" applyFill="1" applyFont="1">
      <alignment horizontal="center" readingOrder="0" vertical="center"/>
    </xf>
    <xf borderId="0" fillId="9" fontId="13" numFmtId="49" xfId="0" applyAlignment="1" applyFill="1" applyFont="1" applyNumberFormat="1">
      <alignment horizontal="center" readingOrder="0"/>
    </xf>
    <xf borderId="2" fillId="6" fontId="71" numFmtId="0" xfId="0" applyAlignment="1" applyBorder="1" applyFill="1" applyFont="1">
      <alignment vertical="bottom"/>
    </xf>
    <xf borderId="2" fillId="6" fontId="9" numFmtId="0" xfId="0" applyAlignment="1" applyBorder="1" applyFill="1" applyFont="1">
      <alignment readingOrder="0" vertical="bottom"/>
    </xf>
    <xf borderId="2" fillId="11" fontId="72" numFmtId="0" xfId="0" applyAlignment="1" applyBorder="1" applyFill="1" applyFont="1">
      <alignment readingOrder="0" vertical="center"/>
    </xf>
    <xf borderId="2" fillId="0" fontId="2" numFmtId="49" xfId="0" applyAlignment="1" applyBorder="1" applyFont="1" applyNumberFormat="1">
      <alignment horizontal="center" readingOrder="0"/>
    </xf>
    <xf borderId="0" fillId="0" fontId="2" numFmtId="49" xfId="0" applyAlignment="1" applyFont="1" applyNumberFormat="1">
      <alignment horizontal="center" readingOrder="0"/>
    </xf>
    <xf borderId="2" fillId="5" fontId="9" numFmtId="0" xfId="0" applyBorder="1" applyFill="1" applyFont="1"/>
    <xf borderId="0" fillId="11" fontId="73" numFmtId="0" xfId="0" applyAlignment="1" applyFill="1" applyFont="1">
      <alignment readingOrder="0"/>
    </xf>
    <xf borderId="2" fillId="6" fontId="21" numFmtId="0" xfId="0" applyAlignment="1" applyBorder="1" applyFill="1" applyFont="1">
      <alignment horizontal="left" readingOrder="0" vertical="bottom"/>
    </xf>
    <xf borderId="2" fillId="5" fontId="74" numFmtId="0" xfId="0" applyAlignment="1" applyBorder="1" applyFill="1" applyFont="1">
      <alignment vertical="bottom"/>
    </xf>
    <xf borderId="2" fillId="6" fontId="9" numFmtId="0" xfId="0" applyAlignment="1" applyBorder="1" applyFill="1" applyFont="1">
      <alignment vertical="bottom"/>
    </xf>
    <xf borderId="2" fillId="5" fontId="9" numFmtId="0" xfId="0" applyAlignment="1" applyBorder="1" applyFill="1" applyFont="1">
      <alignment readingOrder="0" vertical="bottom"/>
    </xf>
    <xf borderId="18" fillId="6" fontId="62" numFmtId="0" xfId="0" applyAlignment="1" applyBorder="1" applyFill="1" applyFont="1">
      <alignment readingOrder="0" shrinkToFit="0" vertical="bottom" wrapText="0"/>
    </xf>
    <xf borderId="0" fillId="0" fontId="75" numFmtId="49" xfId="0" applyAlignment="1" applyFont="1" applyNumberFormat="1">
      <alignment horizontal="center" readingOrder="0"/>
    </xf>
    <xf borderId="2" fillId="6" fontId="21" numFmtId="0" xfId="0" applyAlignment="1" applyBorder="1" applyFill="1" applyFont="1">
      <alignment horizontal="left" readingOrder="0" vertical="center"/>
    </xf>
    <xf borderId="2" fillId="6" fontId="9" numFmtId="0" xfId="0" applyBorder="1" applyFill="1" applyFont="1"/>
    <xf borderId="2" fillId="11" fontId="76" numFmtId="0" xfId="0" applyAlignment="1" applyBorder="1" applyFill="1" applyFont="1">
      <alignment horizontal="center" readingOrder="0" vertical="bottom"/>
    </xf>
    <xf borderId="18" fillId="11" fontId="77" numFmtId="0" xfId="0" applyAlignment="1" applyBorder="1" applyFill="1" applyFont="1">
      <alignment readingOrder="0" vertical="center"/>
    </xf>
    <xf borderId="0" fillId="6" fontId="9" numFmtId="0" xfId="0" applyAlignment="1" applyFill="1" applyFont="1">
      <alignment vertical="bottom"/>
    </xf>
    <xf borderId="0" fillId="11" fontId="78" numFmtId="0" xfId="0" applyAlignment="1" applyFill="1" applyFont="1">
      <alignment readingOrder="0" vertical="bottom"/>
    </xf>
    <xf borderId="2" fillId="8" fontId="3" numFmtId="0" xfId="0" applyAlignment="1" applyBorder="1" applyFill="1" applyFont="1">
      <alignment readingOrder="0"/>
    </xf>
    <xf borderId="2" fillId="5" fontId="21" numFmtId="0" xfId="0" applyAlignment="1" applyBorder="1" applyFill="1" applyFont="1">
      <alignment horizontal="left" readingOrder="0" vertical="bottom"/>
    </xf>
    <xf borderId="2" fillId="5" fontId="9" numFmtId="0" xfId="0" applyAlignment="1" applyBorder="1" applyFill="1" applyFont="1">
      <alignment vertical="bottom"/>
    </xf>
    <xf borderId="0" fillId="6" fontId="79" numFmtId="0" xfId="0" applyAlignment="1" applyFill="1" applyFont="1">
      <alignment vertical="bottom"/>
    </xf>
    <xf borderId="2" fillId="0" fontId="21" numFmtId="0" xfId="0" applyAlignment="1" applyBorder="1" applyFont="1">
      <alignment horizontal="left" readingOrder="0" vertical="center"/>
    </xf>
    <xf borderId="0" fillId="0" fontId="80" numFmtId="0" xfId="0" applyAlignment="1" applyFont="1">
      <alignment vertical="bottom"/>
    </xf>
    <xf borderId="2" fillId="6" fontId="21" numFmtId="0" xfId="0" applyAlignment="1" applyBorder="1" applyFill="1" applyFont="1">
      <alignment readingOrder="0" vertical="center"/>
    </xf>
    <xf borderId="2" fillId="0" fontId="2" numFmtId="0" xfId="0" applyAlignment="1" applyBorder="1" applyFont="1">
      <alignment readingOrder="0" shrinkToFit="0" vertical="center" wrapText="1"/>
    </xf>
    <xf borderId="2" fillId="0" fontId="81" numFmtId="0" xfId="0" applyAlignment="1" applyBorder="1" applyFont="1">
      <alignment horizontal="left" readingOrder="0" shrinkToFit="0" vertical="center" wrapText="1"/>
    </xf>
    <xf borderId="2" fillId="6" fontId="21" numFmtId="0" xfId="0" applyAlignment="1" applyBorder="1" applyFill="1" applyFont="1">
      <alignment readingOrder="0" vertical="center"/>
    </xf>
    <xf borderId="0" fillId="0" fontId="82" numFmtId="0" xfId="0" applyAlignment="1" applyFont="1">
      <alignment vertical="center"/>
    </xf>
    <xf borderId="2" fillId="5" fontId="21" numFmtId="0" xfId="0" applyAlignment="1" applyBorder="1" applyFill="1" applyFont="1">
      <alignment horizontal="left" readingOrder="0" vertical="center"/>
    </xf>
    <xf borderId="2" fillId="0" fontId="83" numFmtId="0" xfId="0" applyAlignment="1" applyBorder="1" applyFont="1">
      <alignment horizontal="left" readingOrder="0" vertical="center"/>
    </xf>
    <xf borderId="18" fillId="6" fontId="9" numFmtId="0" xfId="0" applyAlignment="1" applyBorder="1" applyFill="1" applyFont="1">
      <alignment vertical="bottom"/>
    </xf>
    <xf borderId="2" fillId="6" fontId="84" numFmtId="0" xfId="0" applyAlignment="1" applyBorder="1" applyFill="1" applyFont="1">
      <alignment horizontal="left" readingOrder="0" vertical="center"/>
    </xf>
    <xf borderId="18" fillId="6" fontId="85" numFmtId="0" xfId="0" applyAlignment="1" applyBorder="1" applyFill="1" applyFont="1">
      <alignment horizontal="left" vertical="center"/>
    </xf>
    <xf borderId="2" fillId="6" fontId="2" numFmtId="0" xfId="0" applyAlignment="1" applyBorder="1" applyFill="1" applyFont="1">
      <alignment horizontal="left" readingOrder="0" vertical="center"/>
    </xf>
    <xf borderId="2" fillId="6" fontId="21" numFmtId="0" xfId="0" applyAlignment="1" applyBorder="1" applyFill="1" applyFont="1">
      <alignment horizontal="left" readingOrder="0" vertical="center"/>
    </xf>
    <xf borderId="18" fillId="6" fontId="86" numFmtId="0" xfId="0" applyAlignment="1" applyBorder="1" applyFill="1" applyFont="1">
      <alignment readingOrder="0" vertical="center"/>
    </xf>
    <xf borderId="18" fillId="0" fontId="87" numFmtId="0" xfId="0" applyAlignment="1" applyBorder="1" applyFont="1">
      <alignment horizontal="left" vertical="center"/>
    </xf>
    <xf borderId="18" fillId="5" fontId="88" numFmtId="0" xfId="0" applyAlignment="1" applyBorder="1" applyFill="1" applyFont="1">
      <alignment readingOrder="0" vertical="center"/>
    </xf>
    <xf borderId="1" fillId="0" fontId="2" numFmtId="0" xfId="0" applyAlignment="1" applyBorder="1" applyFont="1">
      <alignment horizontal="center" readingOrder="0" vertical="center"/>
    </xf>
    <xf borderId="0" fillId="0" fontId="2" numFmtId="166" xfId="0" applyAlignment="1" applyFont="1" applyNumberFormat="1">
      <alignment horizontal="center" readingOrder="0" vertical="center"/>
    </xf>
    <xf borderId="0" fillId="0" fontId="2" numFmtId="0" xfId="0" applyAlignment="1" applyFont="1">
      <alignment horizontal="center" readingOrder="0" vertical="center"/>
    </xf>
    <xf borderId="18" fillId="5" fontId="62" numFmtId="0" xfId="0" applyAlignment="1" applyBorder="1" applyFill="1" applyFont="1">
      <alignment readingOrder="0" shrinkToFit="0" vertical="bottom" wrapText="0"/>
    </xf>
    <xf borderId="18" fillId="0" fontId="89" numFmtId="0" xfId="0" applyAlignment="1" applyBorder="1" applyFont="1">
      <alignment horizontal="left" vertical="center"/>
    </xf>
    <xf borderId="18" fillId="5" fontId="90" numFmtId="0" xfId="0" applyAlignment="1" applyBorder="1" applyFill="1" applyFont="1">
      <alignment horizontal="left" readingOrder="0" vertical="center"/>
    </xf>
    <xf borderId="18" fillId="5" fontId="91" numFmtId="0" xfId="0" applyAlignment="1" applyBorder="1" applyFill="1" applyFont="1">
      <alignment readingOrder="0" vertical="center"/>
    </xf>
    <xf borderId="0" fillId="0" fontId="2" numFmtId="0" xfId="0" applyAlignment="1" applyFont="1">
      <alignment readingOrder="0" vertical="center"/>
    </xf>
    <xf borderId="0" fillId="0" fontId="2" numFmtId="165" xfId="0" applyAlignment="1" applyFont="1" applyNumberFormat="1">
      <alignment horizontal="center" readingOrder="0" vertical="center"/>
    </xf>
    <xf borderId="1" fillId="0" fontId="92" numFmtId="0" xfId="0" applyAlignment="1" applyBorder="1" applyFont="1">
      <alignment horizontal="center" readingOrder="0" vertical="center"/>
    </xf>
    <xf borderId="0" fillId="0" fontId="93" numFmtId="166" xfId="0" applyAlignment="1" applyFont="1" applyNumberFormat="1">
      <alignment horizontal="center" readingOrder="0" vertical="center"/>
    </xf>
    <xf borderId="0" fillId="0" fontId="94" numFmtId="0" xfId="0" applyAlignment="1" applyFont="1">
      <alignment horizontal="center" readingOrder="0" vertical="center"/>
    </xf>
    <xf borderId="18" fillId="5" fontId="9" numFmtId="0" xfId="0" applyAlignment="1" applyBorder="1" applyFill="1" applyFont="1">
      <alignment readingOrder="0"/>
    </xf>
    <xf borderId="18" fillId="5" fontId="9" numFmtId="0" xfId="0" applyBorder="1" applyFill="1" applyFont="1"/>
    <xf borderId="2" fillId="0" fontId="9" numFmtId="0" xfId="0" applyBorder="1" applyFont="1"/>
    <xf borderId="2" fillId="0" fontId="95" numFmtId="0" xfId="0" applyAlignment="1" applyBorder="1" applyFont="1">
      <alignment vertical="bottom"/>
    </xf>
    <xf borderId="18" fillId="0" fontId="2" numFmtId="0" xfId="0" applyAlignment="1" applyBorder="1" applyFont="1">
      <alignment horizontal="center" readingOrder="0" vertical="center"/>
    </xf>
    <xf borderId="18" fillId="0" fontId="2" numFmtId="0" xfId="0" applyAlignment="1" applyBorder="1" applyFont="1">
      <alignment horizontal="left" readingOrder="0" vertical="center"/>
    </xf>
    <xf borderId="18" fillId="6" fontId="2" numFmtId="0" xfId="0" applyAlignment="1" applyBorder="1" applyFill="1" applyFont="1">
      <alignment horizontal="left" readingOrder="0" vertical="center"/>
    </xf>
    <xf borderId="0" fillId="5" fontId="2" numFmtId="0" xfId="0" applyAlignment="1" applyFill="1" applyFont="1">
      <alignment horizontal="left" readingOrder="0" vertical="center"/>
    </xf>
    <xf borderId="18" fillId="6" fontId="9" numFmtId="0" xfId="0" applyBorder="1" applyFill="1" applyFont="1"/>
    <xf borderId="2" fillId="6" fontId="96" numFmtId="0" xfId="0" applyAlignment="1" applyBorder="1" applyFill="1" applyFont="1">
      <alignment vertical="bottom"/>
    </xf>
    <xf borderId="2" fillId="6" fontId="9" numFmtId="0" xfId="0" applyAlignment="1" applyBorder="1" applyFill="1" applyFont="1">
      <alignment readingOrder="0" vertical="bottom"/>
    </xf>
    <xf borderId="2" fillId="5" fontId="2" numFmtId="0" xfId="0" applyAlignment="1" applyBorder="1" applyFill="1" applyFont="1">
      <alignment horizontal="left" readingOrder="0" vertical="center"/>
    </xf>
    <xf borderId="18" fillId="6" fontId="9" numFmtId="0" xfId="0" applyAlignment="1" applyBorder="1" applyFill="1" applyFont="1">
      <alignment readingOrder="0"/>
    </xf>
    <xf borderId="18" fillId="6" fontId="97" numFmtId="0" xfId="0" applyAlignment="1" applyBorder="1" applyFill="1" applyFont="1">
      <alignment horizontal="left" readingOrder="0" vertical="center"/>
    </xf>
    <xf borderId="18" fillId="5" fontId="9" numFmtId="0" xfId="0" applyBorder="1" applyFill="1" applyFont="1"/>
    <xf borderId="18" fillId="5" fontId="2" numFmtId="0" xfId="0" applyAlignment="1" applyBorder="1" applyFill="1" applyFont="1">
      <alignment horizontal="left" readingOrder="0" vertical="center"/>
    </xf>
    <xf borderId="14" fillId="6" fontId="9" numFmtId="0" xfId="0" applyBorder="1" applyFill="1" applyFont="1"/>
    <xf borderId="18" fillId="5" fontId="98" numFmtId="0" xfId="0" applyAlignment="1" applyBorder="1" applyFill="1" applyFont="1">
      <alignment horizontal="left" readingOrder="0" vertical="center"/>
    </xf>
    <xf borderId="18" fillId="6" fontId="99" numFmtId="0" xfId="0" applyAlignment="1" applyBorder="1" applyFill="1" applyFont="1">
      <alignment horizontal="left" readingOrder="0" vertical="center"/>
    </xf>
    <xf borderId="18" fillId="6" fontId="9" numFmtId="0" xfId="0" applyAlignment="1" applyBorder="1" applyFill="1" applyFont="1">
      <alignment readingOrder="0"/>
    </xf>
    <xf borderId="2" fillId="6" fontId="3" numFmtId="0" xfId="0" applyBorder="1" applyFill="1" applyFont="1"/>
    <xf borderId="0" fillId="6" fontId="9" numFmtId="0" xfId="0" applyFill="1" applyFont="1"/>
    <xf borderId="16" fillId="6" fontId="9" numFmtId="0" xfId="0" applyAlignment="1" applyBorder="1" applyFill="1" applyFont="1">
      <alignment vertical="bottom"/>
    </xf>
    <xf borderId="18" fillId="5" fontId="9" numFmtId="0" xfId="0" applyAlignment="1" applyBorder="1" applyFill="1" applyFont="1">
      <alignment readingOrder="0"/>
    </xf>
    <xf borderId="0" fillId="0" fontId="100" numFmtId="165" xfId="0" applyAlignment="1" applyFont="1" applyNumberFormat="1">
      <alignment horizontal="center" readingOrder="0" vertical="center"/>
    </xf>
    <xf borderId="16" fillId="5" fontId="9" numFmtId="0" xfId="0" applyAlignment="1" applyBorder="1" applyFill="1" applyFont="1">
      <alignment vertical="bottom"/>
    </xf>
    <xf borderId="2" fillId="5" fontId="3" numFmtId="0" xfId="0" applyBorder="1" applyFill="1" applyFont="1"/>
    <xf borderId="2" fillId="5" fontId="21" numFmtId="0" xfId="0" applyAlignment="1" applyBorder="1" applyFill="1" applyFont="1">
      <alignment readingOrder="0" vertical="bottom"/>
    </xf>
    <xf borderId="21" fillId="11" fontId="101" numFmtId="0" xfId="0" applyAlignment="1" applyBorder="1" applyFill="1" applyFont="1">
      <alignment readingOrder="0"/>
    </xf>
    <xf borderId="19" fillId="5" fontId="21" numFmtId="0" xfId="0" applyAlignment="1" applyBorder="1" applyFill="1" applyFont="1">
      <alignment readingOrder="0" vertical="bottom"/>
    </xf>
    <xf borderId="19" fillId="6" fontId="21" numFmtId="0" xfId="0" applyAlignment="1" applyBorder="1" applyFill="1" applyFont="1">
      <alignment readingOrder="0" vertical="bottom"/>
    </xf>
    <xf borderId="17" fillId="6" fontId="9" numFmtId="0" xfId="0" applyAlignment="1" applyBorder="1" applyFill="1" applyFont="1">
      <alignment vertical="bottom"/>
    </xf>
    <xf borderId="17" fillId="5" fontId="9" numFmtId="0" xfId="0" applyAlignment="1" applyBorder="1" applyFill="1" applyFont="1">
      <alignment vertical="bottom"/>
    </xf>
    <xf borderId="2" fillId="0" fontId="9" numFmtId="0" xfId="0" applyAlignment="1" applyBorder="1" applyFont="1">
      <alignment textRotation="0" vertical="bottom"/>
    </xf>
    <xf borderId="2" fillId="0" fontId="102" numFmtId="0" xfId="0" applyAlignment="1" applyBorder="1" applyFont="1">
      <alignment vertical="bottom"/>
    </xf>
    <xf borderId="0" fillId="6" fontId="9" numFmtId="0" xfId="0" applyAlignment="1" applyFill="1" applyFont="1">
      <alignment vertical="bottom"/>
    </xf>
    <xf borderId="2" fillId="0" fontId="2" numFmtId="0" xfId="0" applyAlignment="1" applyBorder="1" applyFont="1">
      <alignment horizontal="center" readingOrder="0"/>
    </xf>
    <xf borderId="0" fillId="0" fontId="2" numFmtId="166" xfId="0" applyAlignment="1" applyFont="1" applyNumberFormat="1">
      <alignment horizontal="center" readingOrder="0"/>
    </xf>
    <xf borderId="0" fillId="0" fontId="2" numFmtId="0" xfId="0" applyAlignment="1" applyFont="1">
      <alignment horizontal="center" readingOrder="0"/>
    </xf>
    <xf borderId="0" fillId="0" fontId="2" numFmtId="165" xfId="0" applyAlignment="1" applyFont="1" applyNumberFormat="1">
      <alignment horizontal="center" readingOrder="0"/>
    </xf>
    <xf borderId="0" fillId="0" fontId="103" numFmtId="0" xfId="0" applyAlignment="1" applyFont="1">
      <alignment horizontal="center" readingOrder="0"/>
    </xf>
    <xf borderId="1" fillId="0" fontId="2" numFmtId="0" xfId="0" applyAlignment="1" applyBorder="1" applyFont="1">
      <alignment horizontal="center" readingOrder="0" vertical="center"/>
    </xf>
    <xf borderId="0" fillId="0" fontId="2" numFmtId="165" xfId="0" applyAlignment="1" applyFont="1" applyNumberFormat="1">
      <alignment horizontal="center" readingOrder="0" vertical="center"/>
    </xf>
    <xf borderId="0" fillId="0" fontId="2" numFmtId="0" xfId="0" applyAlignment="1" applyFont="1">
      <alignment horizontal="center" readingOrder="0" vertical="center"/>
    </xf>
    <xf borderId="2" fillId="0" fontId="104" numFmtId="0" xfId="0" applyAlignment="1" applyBorder="1" applyFont="1">
      <alignment horizontal="left" readingOrder="0"/>
    </xf>
    <xf borderId="0" fillId="5" fontId="105" numFmtId="0" xfId="0" applyAlignment="1" applyFill="1" applyFont="1">
      <alignment horizontal="center" vertical="bottom"/>
    </xf>
    <xf borderId="0" fillId="0" fontId="2" numFmtId="0" xfId="0" applyFont="1"/>
    <xf borderId="0" fillId="0" fontId="9" numFmtId="0" xfId="0" applyAlignment="1" applyFont="1">
      <alignment readingOrder="0" vertical="bottom"/>
    </xf>
    <xf borderId="18" fillId="6" fontId="9" numFmtId="0" xfId="0" applyBorder="1" applyFill="1" applyFont="1"/>
    <xf borderId="0" fillId="6" fontId="106" numFmtId="0" xfId="0" applyAlignment="1" applyFill="1" applyFont="1">
      <alignment horizontal="center" vertical="bottom"/>
    </xf>
    <xf borderId="2" fillId="5" fontId="107" numFmtId="0" xfId="0" applyAlignment="1" applyBorder="1" applyFill="1" applyFont="1">
      <alignment readingOrder="0"/>
    </xf>
    <xf borderId="2" fillId="5" fontId="108" numFmtId="0" xfId="0" applyAlignment="1" applyBorder="1" applyFill="1" applyFont="1">
      <alignment horizontal="center" readingOrder="0" vertical="bottom"/>
    </xf>
    <xf borderId="14" fillId="8" fontId="3" numFmtId="0" xfId="0" applyBorder="1" applyFill="1" applyFont="1"/>
    <xf borderId="0" fillId="5" fontId="109" numFmtId="165" xfId="0" applyAlignment="1" applyFill="1" applyFont="1" applyNumberFormat="1">
      <alignment horizontal="center" readingOrder="0" vertical="bottom"/>
    </xf>
    <xf borderId="14" fillId="6" fontId="21" numFmtId="0" xfId="0" applyAlignment="1" applyBorder="1" applyFill="1" applyFont="1">
      <alignment readingOrder="0" vertical="bottom"/>
    </xf>
    <xf borderId="0" fillId="5" fontId="110" numFmtId="0" xfId="0" applyAlignment="1" applyFill="1" applyFont="1">
      <alignment horizontal="center" readingOrder="0" vertical="bottom"/>
    </xf>
    <xf borderId="14" fillId="5" fontId="2" numFmtId="0" xfId="0" applyAlignment="1" applyBorder="1" applyFill="1" applyFont="1">
      <alignment horizontal="left" readingOrder="0" vertical="center"/>
    </xf>
    <xf borderId="0" fillId="0" fontId="21" numFmtId="0" xfId="0" applyAlignment="1" applyFont="1">
      <alignment vertical="bottom"/>
    </xf>
    <xf borderId="14" fillId="6" fontId="2" numFmtId="0" xfId="0" applyAlignment="1" applyBorder="1" applyFill="1" applyFont="1">
      <alignment readingOrder="0" vertical="center"/>
    </xf>
    <xf borderId="14" fillId="6" fontId="111" numFmtId="0" xfId="0" applyAlignment="1" applyBorder="1" applyFill="1" applyFont="1">
      <alignment horizontal="left" readingOrder="0" vertical="center"/>
    </xf>
    <xf borderId="14" fillId="0" fontId="2" numFmtId="0" xfId="0" applyAlignment="1" applyBorder="1" applyFont="1">
      <alignment readingOrder="0" vertical="bottom"/>
    </xf>
    <xf borderId="16" fillId="8" fontId="3" numFmtId="0" xfId="0" applyBorder="1" applyFill="1" applyFont="1"/>
    <xf borderId="2" fillId="6" fontId="112" numFmtId="0" xfId="0" applyAlignment="1" applyBorder="1" applyFill="1" applyFont="1">
      <alignment readingOrder="0" vertical="bottom"/>
    </xf>
    <xf borderId="16" fillId="6" fontId="21" numFmtId="0" xfId="0" applyAlignment="1" applyBorder="1" applyFill="1" applyFont="1">
      <alignment readingOrder="0" vertical="bottom"/>
    </xf>
    <xf borderId="2" fillId="6" fontId="113" numFmtId="0" xfId="0" applyAlignment="1" applyBorder="1" applyFill="1" applyFont="1">
      <alignment horizontal="center" readingOrder="0" vertical="bottom"/>
    </xf>
    <xf borderId="16" fillId="5" fontId="2" numFmtId="0" xfId="0" applyAlignment="1" applyBorder="1" applyFill="1" applyFont="1">
      <alignment vertical="bottom"/>
    </xf>
    <xf borderId="0" fillId="6" fontId="114" numFmtId="165" xfId="0" applyAlignment="1" applyFill="1" applyFont="1" applyNumberFormat="1">
      <alignment horizontal="center" readingOrder="0" vertical="bottom"/>
    </xf>
    <xf borderId="16" fillId="5" fontId="2" numFmtId="0" xfId="0" applyBorder="1" applyFill="1" applyFont="1"/>
    <xf borderId="16" fillId="5" fontId="115" numFmtId="0" xfId="0" applyBorder="1" applyFill="1" applyFont="1"/>
    <xf borderId="16" fillId="5" fontId="2" numFmtId="0" xfId="0" applyAlignment="1" applyBorder="1" applyFill="1" applyFont="1">
      <alignment readingOrder="0" vertical="bottom"/>
    </xf>
    <xf borderId="0" fillId="6" fontId="116" numFmtId="0" xfId="0" applyAlignment="1" applyFill="1" applyFont="1">
      <alignment horizontal="center" readingOrder="0" vertical="bottom"/>
    </xf>
    <xf borderId="0" fillId="0" fontId="117" numFmtId="0" xfId="0" applyAlignment="1" applyFont="1">
      <alignment vertical="bottom"/>
    </xf>
    <xf borderId="17" fillId="6" fontId="21" numFmtId="0" xfId="0" applyAlignment="1" applyBorder="1" applyFill="1" applyFont="1">
      <alignment readingOrder="0" vertical="bottom"/>
    </xf>
    <xf borderId="17" fillId="5" fontId="2" numFmtId="0" xfId="0" applyAlignment="1" applyBorder="1" applyFill="1" applyFont="1">
      <alignment readingOrder="0" vertical="bottom"/>
    </xf>
    <xf borderId="17" fillId="5" fontId="2" numFmtId="0" xfId="0" applyBorder="1" applyFill="1" applyFont="1"/>
    <xf borderId="17" fillId="5" fontId="118" numFmtId="0" xfId="0" applyAlignment="1" applyBorder="1" applyFill="1" applyFont="1">
      <alignment horizontal="left" readingOrder="0"/>
    </xf>
    <xf borderId="0" fillId="5" fontId="2" numFmtId="0" xfId="0" applyAlignment="1" applyFill="1" applyFont="1">
      <alignment readingOrder="0" vertical="bottom"/>
    </xf>
    <xf borderId="2" fillId="5" fontId="2" numFmtId="0" xfId="0" applyAlignment="1" applyBorder="1" applyFill="1" applyFont="1">
      <alignment readingOrder="0"/>
    </xf>
    <xf borderId="2" fillId="6" fontId="119" numFmtId="0" xfId="0" applyAlignment="1" applyBorder="1" applyFill="1" applyFont="1">
      <alignment readingOrder="0"/>
    </xf>
    <xf borderId="2" fillId="5" fontId="120" numFmtId="0" xfId="0" applyAlignment="1" applyBorder="1" applyFill="1" applyFont="1">
      <alignment horizontal="left" readingOrder="0"/>
    </xf>
    <xf borderId="0" fillId="0" fontId="3" numFmtId="0" xfId="0" applyAlignment="1" applyFont="1">
      <alignment horizontal="center" readingOrder="0"/>
    </xf>
    <xf borderId="0" fillId="0" fontId="3" numFmtId="165" xfId="0" applyAlignment="1" applyFont="1" applyNumberFormat="1">
      <alignment horizontal="center" readingOrder="0"/>
    </xf>
    <xf borderId="19" fillId="8" fontId="21" numFmtId="0" xfId="0" applyAlignment="1" applyBorder="1" applyFill="1" applyFont="1">
      <alignment vertical="bottom"/>
    </xf>
    <xf borderId="0" fillId="0" fontId="121" numFmtId="0" xfId="0" applyAlignment="1" applyFont="1">
      <alignment horizontal="center" readingOrder="0" vertical="center"/>
    </xf>
    <xf borderId="2" fillId="6" fontId="2" numFmtId="0" xfId="0" applyAlignment="1" applyBorder="1" applyFill="1" applyFont="1">
      <alignment horizontal="center" readingOrder="0" vertical="center"/>
    </xf>
    <xf borderId="0" fillId="6" fontId="2" numFmtId="0" xfId="0" applyAlignment="1" applyFill="1" applyFont="1">
      <alignment horizontal="center" readingOrder="0" vertical="center"/>
    </xf>
    <xf borderId="0" fillId="6" fontId="21" numFmtId="0" xfId="0" applyFill="1" applyFont="1"/>
    <xf borderId="19" fillId="11" fontId="2" numFmtId="0" xfId="0" applyAlignment="1" applyBorder="1" applyFill="1" applyFont="1">
      <alignment horizontal="left" readingOrder="0" vertical="center"/>
    </xf>
    <xf borderId="17" fillId="0" fontId="2" numFmtId="0" xfId="0" applyAlignment="1" applyBorder="1" applyFont="1">
      <alignment readingOrder="0"/>
    </xf>
    <xf borderId="17" fillId="0" fontId="122" numFmtId="0" xfId="0" applyAlignment="1" applyBorder="1" applyFont="1">
      <alignment horizontal="left" readingOrder="0"/>
    </xf>
    <xf borderId="17" fillId="0" fontId="2" numFmtId="0" xfId="0" applyAlignment="1" applyBorder="1" applyFont="1">
      <alignment horizontal="left" readingOrder="0"/>
    </xf>
    <xf borderId="18" fillId="0" fontId="2" numFmtId="49" xfId="0" applyAlignment="1" applyBorder="1" applyFont="1" applyNumberFormat="1">
      <alignment horizontal="center" readingOrder="0" vertical="center"/>
    </xf>
    <xf borderId="0" fillId="0" fontId="2" numFmtId="0" xfId="0" applyAlignment="1" applyFont="1">
      <alignment horizontal="center" readingOrder="0" vertical="center"/>
    </xf>
    <xf borderId="2" fillId="11" fontId="123" numFmtId="0" xfId="0" applyAlignment="1" applyBorder="1" applyFill="1" applyFont="1">
      <alignment horizontal="left" readingOrder="0" vertical="bottom"/>
    </xf>
    <xf borderId="18" fillId="6" fontId="9" numFmtId="0" xfId="0" applyAlignment="1" applyBorder="1" applyFill="1" applyFont="1">
      <alignment readingOrder="0" vertical="bottom"/>
    </xf>
    <xf borderId="18" fillId="0" fontId="2" numFmtId="0" xfId="0" applyAlignment="1" applyBorder="1" applyFont="1">
      <alignment horizontal="center" readingOrder="0" vertical="center"/>
    </xf>
    <xf borderId="19" fillId="11" fontId="124" numFmtId="0" xfId="0" applyAlignment="1" applyBorder="1" applyFill="1" applyFont="1">
      <alignment horizontal="left" readingOrder="0" vertical="bottom"/>
    </xf>
    <xf borderId="18" fillId="0" fontId="2" numFmtId="0" xfId="0" applyAlignment="1" applyBorder="1" applyFont="1">
      <alignment horizontal="left" readingOrder="0" vertical="center"/>
    </xf>
    <xf borderId="1" fillId="0" fontId="2" numFmtId="0" xfId="0" applyAlignment="1" applyBorder="1" applyFont="1">
      <alignment horizontal="center" readingOrder="0" vertical="bottom"/>
    </xf>
    <xf borderId="0" fillId="0" fontId="2" numFmtId="165" xfId="0" applyAlignment="1" applyFont="1" applyNumberFormat="1">
      <alignment horizontal="center" readingOrder="0" vertical="bottom"/>
    </xf>
    <xf borderId="0" fillId="0" fontId="2" numFmtId="0" xfId="0" applyAlignment="1" applyFont="1">
      <alignment horizontal="center" readingOrder="0" vertical="bottom"/>
    </xf>
    <xf borderId="18" fillId="0" fontId="3" numFmtId="0" xfId="0" applyBorder="1" applyFont="1"/>
    <xf borderId="18" fillId="6" fontId="2" numFmtId="0" xfId="0" applyAlignment="1" applyBorder="1" applyFill="1" applyFont="1">
      <alignment horizontal="left" vertical="center"/>
    </xf>
    <xf borderId="2" fillId="5" fontId="125" numFmtId="0" xfId="0" applyAlignment="1" applyBorder="1" applyFill="1" applyFont="1">
      <alignment vertical="bottom"/>
    </xf>
    <xf borderId="19" fillId="8" fontId="3" numFmtId="0" xfId="0" applyBorder="1" applyFill="1" applyFont="1"/>
    <xf borderId="2" fillId="6" fontId="9" numFmtId="0" xfId="0" applyAlignment="1" applyBorder="1" applyFill="1" applyFont="1">
      <alignment readingOrder="0"/>
    </xf>
    <xf borderId="2" fillId="0" fontId="2" numFmtId="0" xfId="0" applyAlignment="1" applyBorder="1" applyFont="1">
      <alignment vertical="center"/>
    </xf>
    <xf borderId="18" fillId="6" fontId="2" numFmtId="0" xfId="0" applyAlignment="1" applyBorder="1" applyFill="1" applyFont="1">
      <alignment horizontal="left" vertical="center"/>
    </xf>
    <xf borderId="18" fillId="6" fontId="126" numFmtId="0" xfId="0" applyAlignment="1" applyBorder="1" applyFill="1" applyFont="1">
      <alignment horizontal="left" vertical="center"/>
    </xf>
    <xf borderId="2" fillId="14" fontId="127" numFmtId="0" xfId="0" applyAlignment="1" applyBorder="1" applyFill="1" applyFont="1">
      <alignment readingOrder="0" vertical="center"/>
    </xf>
    <xf borderId="19" fillId="14" fontId="128" numFmtId="0" xfId="0" applyAlignment="1" applyBorder="1" applyFill="1" applyFont="1">
      <alignment horizontal="left" readingOrder="0" vertical="center"/>
    </xf>
    <xf borderId="0" fillId="0" fontId="129" numFmtId="0" xfId="0" applyAlignment="1" applyFont="1">
      <alignment readingOrder="0"/>
    </xf>
    <xf borderId="0" fillId="0" fontId="3" numFmtId="0" xfId="0" applyAlignment="1" applyFont="1">
      <alignment readingOrder="0"/>
    </xf>
    <xf borderId="18" fillId="5" fontId="2" numFmtId="0" xfId="0" applyAlignment="1" applyBorder="1" applyFill="1" applyFont="1">
      <alignment horizontal="left" vertical="center"/>
    </xf>
    <xf borderId="1" fillId="0" fontId="2" numFmtId="49" xfId="0" applyAlignment="1" applyBorder="1" applyFont="1" applyNumberFormat="1">
      <alignment horizontal="center" readingOrder="0" vertical="center"/>
    </xf>
    <xf borderId="1" fillId="0" fontId="2" numFmtId="49" xfId="0" applyAlignment="1" applyBorder="1" applyFont="1" applyNumberFormat="1">
      <alignment horizontal="left" readingOrder="0" vertical="center"/>
    </xf>
    <xf borderId="21" fillId="6" fontId="2" numFmtId="0" xfId="0" applyAlignment="1" applyBorder="1" applyFill="1" applyFont="1">
      <alignment horizontal="left" readingOrder="0" vertical="center"/>
    </xf>
    <xf borderId="2" fillId="0" fontId="2" numFmtId="164" xfId="0" applyAlignment="1" applyBorder="1" applyFont="1" applyNumberFormat="1">
      <alignment horizontal="center" readingOrder="0" vertical="center"/>
    </xf>
    <xf borderId="2" fillId="5" fontId="9" numFmtId="0" xfId="0" applyBorder="1" applyFill="1" applyFont="1"/>
    <xf borderId="2" fillId="5" fontId="130" numFmtId="0" xfId="0" applyBorder="1" applyFill="1" applyFont="1"/>
    <xf borderId="2" fillId="5" fontId="131" numFmtId="0" xfId="0" applyAlignment="1" applyBorder="1" applyFill="1" applyFont="1">
      <alignment readingOrder="0"/>
    </xf>
    <xf borderId="19" fillId="5" fontId="132" numFmtId="0" xfId="0" applyAlignment="1" applyBorder="1" applyFill="1" applyFont="1">
      <alignment readingOrder="0"/>
    </xf>
    <xf borderId="18" fillId="0" fontId="3" numFmtId="0" xfId="0" applyAlignment="1" applyBorder="1" applyFont="1">
      <alignment horizontal="center" readingOrder="0" vertical="center"/>
    </xf>
    <xf borderId="21" fillId="6" fontId="9" numFmtId="0" xfId="0" applyAlignment="1" applyBorder="1" applyFill="1" applyFont="1">
      <alignment vertical="bottom"/>
    </xf>
    <xf borderId="0" fillId="6" fontId="133" numFmtId="0" xfId="0" applyAlignment="1" applyFill="1" applyFont="1">
      <alignment horizontal="center" readingOrder="0" vertical="center"/>
    </xf>
    <xf borderId="21" fillId="6" fontId="134" numFmtId="0" xfId="0" applyAlignment="1" applyBorder="1" applyFill="1" applyFont="1">
      <alignment vertical="bottom"/>
    </xf>
    <xf borderId="0" fillId="6" fontId="135" numFmtId="0" xfId="0" applyAlignment="1" applyFill="1" applyFont="1">
      <alignment horizontal="left" readingOrder="0" vertical="center"/>
    </xf>
    <xf borderId="21" fillId="6" fontId="9" numFmtId="0" xfId="0" applyAlignment="1" applyBorder="1" applyFill="1" applyFont="1">
      <alignment readingOrder="0" vertical="bottom"/>
    </xf>
    <xf borderId="0" fillId="6" fontId="136" numFmtId="0" xfId="0" applyAlignment="1" applyFill="1" applyFont="1">
      <alignment horizontal="center" readingOrder="0" vertical="center"/>
    </xf>
    <xf borderId="0" fillId="6" fontId="137" numFmtId="0" xfId="0" applyAlignment="1" applyFill="1" applyFont="1">
      <alignment horizontal="left" readingOrder="0" vertical="center"/>
    </xf>
    <xf borderId="2" fillId="0" fontId="138" numFmtId="0" xfId="0" applyAlignment="1" applyBorder="1" applyFont="1">
      <alignment horizontal="left" readingOrder="0"/>
    </xf>
    <xf borderId="2" fillId="0" fontId="9" numFmtId="0" xfId="0" applyAlignment="1" applyBorder="1" applyFont="1">
      <alignment horizontal="left" readingOrder="0"/>
    </xf>
    <xf borderId="2" fillId="6" fontId="130" numFmtId="0" xfId="0" applyAlignment="1" applyBorder="1" applyFill="1" applyFont="1">
      <alignment vertical="bottom"/>
    </xf>
    <xf borderId="21" fillId="5" fontId="139" numFmtId="0" xfId="0" applyAlignment="1" applyBorder="1" applyFill="1" applyFont="1">
      <alignment vertical="bottom"/>
    </xf>
    <xf borderId="2" fillId="0" fontId="140" numFmtId="0" xfId="0" applyAlignment="1" applyBorder="1" applyFont="1">
      <alignment readingOrder="0" vertical="bottom"/>
    </xf>
    <xf borderId="21" fillId="5" fontId="9" numFmtId="0" xfId="0" applyAlignment="1" applyBorder="1" applyFill="1" applyFont="1">
      <alignment readingOrder="0" vertical="bottom"/>
    </xf>
    <xf borderId="2" fillId="0" fontId="21" numFmtId="0" xfId="0" applyAlignment="1" applyBorder="1" applyFont="1">
      <alignment readingOrder="0" vertical="bottom"/>
    </xf>
    <xf borderId="0" fillId="0" fontId="141" numFmtId="0" xfId="0" applyAlignment="1" applyFont="1">
      <alignment readingOrder="0" vertical="bottom"/>
    </xf>
    <xf borderId="0" fillId="0" fontId="21" numFmtId="0" xfId="0" applyAlignment="1" applyFont="1">
      <alignment readingOrder="0" vertical="bottom"/>
    </xf>
    <xf borderId="19" fillId="11" fontId="142" numFmtId="0" xfId="0" applyAlignment="1" applyBorder="1" applyFill="1" applyFont="1">
      <alignment readingOrder="0" vertical="center"/>
    </xf>
    <xf borderId="2" fillId="5" fontId="130" numFmtId="0" xfId="0" applyAlignment="1" applyBorder="1" applyFill="1" applyFont="1">
      <alignment vertical="bottom"/>
    </xf>
    <xf borderId="2" fillId="5" fontId="143" numFmtId="0" xfId="0" applyAlignment="1" applyBorder="1" applyFill="1" applyFont="1">
      <alignment readingOrder="0" vertical="bottom"/>
    </xf>
    <xf borderId="19" fillId="5" fontId="144" numFmtId="0" xfId="0" applyAlignment="1" applyBorder="1" applyFill="1" applyFont="1">
      <alignment readingOrder="0" vertical="bottom"/>
    </xf>
    <xf borderId="2" fillId="11" fontId="145" numFmtId="0" xfId="0" applyAlignment="1" applyBorder="1" applyFill="1" applyFont="1">
      <alignment readingOrder="0" vertical="center"/>
    </xf>
    <xf borderId="2" fillId="6" fontId="9" numFmtId="0" xfId="0" applyBorder="1" applyFill="1" applyFont="1"/>
    <xf borderId="2" fillId="6" fontId="130" numFmtId="0" xfId="0" applyBorder="1" applyFill="1" applyFont="1"/>
    <xf borderId="18" fillId="5" fontId="146" numFmtId="0" xfId="0" applyAlignment="1" applyBorder="1" applyFill="1" applyFont="1">
      <alignment readingOrder="0" vertical="center"/>
    </xf>
    <xf borderId="0" fillId="5" fontId="147" numFmtId="0" xfId="0" applyAlignment="1" applyFill="1" applyFont="1">
      <alignment vertical="bottom"/>
    </xf>
    <xf borderId="2" fillId="6" fontId="148" numFmtId="0" xfId="0" applyAlignment="1" applyBorder="1" applyFill="1" applyFont="1">
      <alignment readingOrder="0"/>
    </xf>
    <xf borderId="19" fillId="6" fontId="149" numFmtId="0" xfId="0" applyAlignment="1" applyBorder="1" applyFill="1" applyFont="1">
      <alignment readingOrder="0"/>
    </xf>
    <xf borderId="2" fillId="0" fontId="21" numFmtId="0" xfId="0" applyAlignment="1" applyBorder="1" applyFont="1">
      <alignment readingOrder="0"/>
    </xf>
    <xf borderId="2" fillId="6" fontId="21" numFmtId="0" xfId="0" applyBorder="1" applyFill="1" applyFont="1"/>
    <xf borderId="18" fillId="11" fontId="2" numFmtId="0" xfId="0" applyAlignment="1" applyBorder="1" applyFill="1" applyFont="1">
      <alignment horizontal="left" readingOrder="0" vertical="center"/>
    </xf>
    <xf borderId="19" fillId="6" fontId="21" numFmtId="0" xfId="0" applyBorder="1" applyFill="1" applyFont="1"/>
    <xf borderId="2" fillId="6" fontId="2" numFmtId="0" xfId="0" applyAlignment="1" applyBorder="1" applyFill="1" applyFont="1">
      <alignment readingOrder="0"/>
    </xf>
    <xf borderId="2" fillId="6" fontId="150" numFmtId="0" xfId="0" applyAlignment="1" applyBorder="1" applyFill="1" applyFont="1">
      <alignment readingOrder="0"/>
    </xf>
    <xf borderId="0" fillId="6" fontId="151" numFmtId="0" xfId="0" applyAlignment="1" applyFill="1" applyFont="1">
      <alignment vertical="bottom"/>
    </xf>
    <xf borderId="2" fillId="6" fontId="152" numFmtId="0" xfId="0" applyAlignment="1" applyBorder="1" applyFill="1" applyFont="1">
      <alignment horizontal="left" readingOrder="0"/>
    </xf>
    <xf borderId="18" fillId="0" fontId="2" numFmtId="0" xfId="0" applyAlignment="1" applyBorder="1" applyFont="1">
      <alignment readingOrder="0" vertical="center"/>
    </xf>
    <xf borderId="18" fillId="0" fontId="153" numFmtId="0" xfId="0" applyAlignment="1" applyBorder="1" applyFont="1">
      <alignment readingOrder="0" vertical="center"/>
    </xf>
    <xf borderId="18" fillId="0" fontId="2" numFmtId="0" xfId="0" applyAlignment="1" applyBorder="1" applyFont="1">
      <alignment vertical="center"/>
    </xf>
    <xf borderId="18" fillId="0" fontId="154" numFmtId="0" xfId="0" applyAlignment="1" applyBorder="1" applyFont="1">
      <alignment vertical="center"/>
    </xf>
    <xf borderId="18" fillId="5" fontId="155" numFmtId="0" xfId="0" applyAlignment="1" applyBorder="1" applyFill="1" applyFont="1">
      <alignment readingOrder="0" vertical="center"/>
    </xf>
    <xf borderId="18" fillId="11" fontId="156" numFmtId="0" xfId="0" applyAlignment="1" applyBorder="1" applyFill="1" applyFont="1">
      <alignment readingOrder="0" vertical="center"/>
    </xf>
    <xf borderId="18" fillId="0" fontId="2" numFmtId="0" xfId="0" applyAlignment="1" applyBorder="1" applyFont="1">
      <alignment horizontal="left" readingOrder="0" vertical="bottom"/>
    </xf>
    <xf borderId="18" fillId="6" fontId="2" numFmtId="0" xfId="0" applyAlignment="1" applyBorder="1" applyFill="1" applyFont="1">
      <alignment readingOrder="0" vertical="center"/>
    </xf>
    <xf borderId="2" fillId="0" fontId="157" numFmtId="0" xfId="0" applyAlignment="1" applyBorder="1" applyFont="1">
      <alignment readingOrder="0"/>
    </xf>
    <xf borderId="18" fillId="6" fontId="158" numFmtId="0" xfId="0" applyAlignment="1" applyBorder="1" applyFill="1" applyFont="1">
      <alignment readingOrder="0" vertical="center"/>
    </xf>
    <xf borderId="2" fillId="0" fontId="159" numFmtId="0" xfId="0" applyAlignment="1" applyBorder="1" applyFont="1">
      <alignment horizontal="left" readingOrder="0"/>
    </xf>
    <xf borderId="2" fillId="0" fontId="160" numFmtId="0" xfId="0" applyAlignment="1" applyBorder="1" applyFont="1">
      <alignment horizontal="left" readingOrder="0"/>
    </xf>
    <xf borderId="19" fillId="11" fontId="161" numFmtId="0" xfId="0" applyAlignment="1" applyBorder="1" applyFill="1" applyFont="1">
      <alignment horizontal="left" readingOrder="0" vertical="center"/>
    </xf>
    <xf borderId="18" fillId="6" fontId="9" numFmtId="0" xfId="0" applyAlignment="1" applyBorder="1" applyFill="1" applyFont="1">
      <alignment horizontal="left" vertical="bottom"/>
    </xf>
    <xf borderId="2" fillId="0" fontId="21" numFmtId="0" xfId="0" applyAlignment="1" applyBorder="1" applyFont="1">
      <alignment vertical="bottom"/>
    </xf>
    <xf borderId="2" fillId="0" fontId="9" numFmtId="0" xfId="0" applyAlignment="1" applyBorder="1" applyFont="1">
      <alignment vertical="bottom"/>
    </xf>
    <xf borderId="0" fillId="5" fontId="21" numFmtId="0" xfId="0" applyAlignment="1" applyFill="1" applyFont="1">
      <alignment vertical="bottom"/>
    </xf>
    <xf borderId="2" fillId="5" fontId="162" numFmtId="0" xfId="0" applyBorder="1" applyFill="1" applyFont="1"/>
    <xf borderId="2" fillId="5" fontId="9" numFmtId="0" xfId="0" applyAlignment="1" applyBorder="1" applyFill="1" applyFont="1">
      <alignment readingOrder="0"/>
    </xf>
    <xf borderId="2" fillId="6" fontId="163" numFmtId="0" xfId="0" applyBorder="1" applyFill="1" applyFont="1"/>
    <xf borderId="2" fillId="6" fontId="164" numFmtId="0" xfId="0" applyAlignment="1" applyBorder="1" applyFill="1" applyFont="1">
      <alignment readingOrder="0"/>
    </xf>
    <xf borderId="2" fillId="0" fontId="21" numFmtId="0" xfId="0" applyBorder="1" applyFont="1"/>
    <xf borderId="19" fillId="0" fontId="165" numFmtId="0" xfId="0" applyAlignment="1" applyBorder="1" applyFont="1">
      <alignment readingOrder="0"/>
    </xf>
    <xf borderId="0" fillId="6" fontId="21" numFmtId="0" xfId="0" applyAlignment="1" applyFill="1" applyFont="1">
      <alignment readingOrder="0"/>
    </xf>
    <xf borderId="18" fillId="5" fontId="9" numFmtId="0" xfId="0" applyAlignment="1" applyBorder="1" applyFill="1" applyFont="1">
      <alignment horizontal="left"/>
    </xf>
    <xf borderId="18" fillId="6" fontId="9" numFmtId="0" xfId="0" applyAlignment="1" applyBorder="1" applyFill="1" applyFont="1">
      <alignment horizontal="left"/>
    </xf>
    <xf borderId="18" fillId="0" fontId="2" numFmtId="0" xfId="0" applyAlignment="1" applyBorder="1" applyFont="1">
      <alignment horizontal="left" readingOrder="0"/>
    </xf>
    <xf borderId="18" fillId="5" fontId="166" numFmtId="0" xfId="0" applyAlignment="1" applyBorder="1" applyFill="1" applyFont="1">
      <alignment readingOrder="0" vertical="center"/>
    </xf>
    <xf borderId="18" fillId="11" fontId="167" numFmtId="0" xfId="0" applyAlignment="1" applyBorder="1" applyFill="1" applyFont="1">
      <alignment readingOrder="0" vertical="center"/>
    </xf>
    <xf borderId="2" fillId="0" fontId="168" numFmtId="0" xfId="0" applyAlignment="1" applyBorder="1" applyFont="1">
      <alignment readingOrder="0"/>
    </xf>
    <xf borderId="2" fillId="6" fontId="169" numFmtId="0" xfId="0" applyAlignment="1" applyBorder="1" applyFill="1" applyFont="1">
      <alignment readingOrder="0"/>
    </xf>
    <xf borderId="2" fillId="6" fontId="21" numFmtId="0" xfId="0" applyAlignment="1" applyBorder="1" applyFill="1" applyFont="1">
      <alignment readingOrder="0"/>
    </xf>
    <xf borderId="18" fillId="0" fontId="2" numFmtId="0" xfId="0" applyAlignment="1" applyBorder="1" applyFont="1">
      <alignment vertical="center"/>
    </xf>
    <xf borderId="18" fillId="6" fontId="170" numFmtId="0" xfId="0" applyAlignment="1" applyBorder="1" applyFill="1" applyFont="1">
      <alignment readingOrder="0" vertical="center"/>
    </xf>
    <xf borderId="2" fillId="0" fontId="21" numFmtId="0" xfId="0" applyBorder="1" applyFont="1"/>
    <xf borderId="18" fillId="5" fontId="9" numFmtId="0" xfId="0" applyAlignment="1" applyBorder="1" applyFill="1" applyFont="1">
      <alignment vertical="bottom"/>
    </xf>
    <xf borderId="18" fillId="5" fontId="2" numFmtId="0" xfId="0" applyAlignment="1" applyBorder="1" applyFill="1" applyFont="1">
      <alignment vertical="center"/>
    </xf>
    <xf borderId="18" fillId="5" fontId="171" numFmtId="0" xfId="0" applyAlignment="1" applyBorder="1" applyFill="1" applyFont="1">
      <alignment readingOrder="0" vertical="center"/>
    </xf>
    <xf borderId="18" fillId="5" fontId="2" numFmtId="0" xfId="0" applyAlignment="1" applyBorder="1" applyFill="1" applyFont="1">
      <alignment readingOrder="0" vertical="center"/>
    </xf>
    <xf borderId="0" fillId="6" fontId="172" numFmtId="0" xfId="0" applyAlignment="1" applyFill="1" applyFont="1">
      <alignment readingOrder="0" vertical="bottom"/>
    </xf>
    <xf borderId="2" fillId="6" fontId="173" numFmtId="0" xfId="0" applyAlignment="1" applyBorder="1" applyFill="1" applyFont="1">
      <alignment horizontal="left" readingOrder="0"/>
    </xf>
    <xf borderId="0" fillId="6" fontId="9" numFmtId="0" xfId="0" applyAlignment="1" applyFill="1" applyFont="1">
      <alignment readingOrder="0"/>
    </xf>
    <xf borderId="0" fillId="6" fontId="9" numFmtId="0" xfId="0" applyAlignment="1" applyFill="1" applyFont="1">
      <alignment readingOrder="0" vertical="bottom"/>
    </xf>
    <xf borderId="0" fillId="0" fontId="2" numFmtId="0" xfId="0" applyAlignment="1" applyFont="1">
      <alignment horizontal="left" readingOrder="0" vertical="center"/>
    </xf>
    <xf borderId="0" fillId="0" fontId="2" numFmtId="0" xfId="0" applyAlignment="1" applyFont="1">
      <alignment readingOrder="0" vertical="center"/>
    </xf>
    <xf borderId="19" fillId="5" fontId="174" numFmtId="0" xfId="0" applyBorder="1" applyFill="1" applyFont="1"/>
    <xf borderId="21" fillId="5" fontId="175" numFmtId="0" xfId="0" applyAlignment="1" applyBorder="1" applyFill="1" applyFont="1">
      <alignment readingOrder="0"/>
    </xf>
    <xf borderId="0" fillId="5" fontId="176" numFmtId="0" xfId="0" applyAlignment="1" applyFill="1" applyFont="1">
      <alignment readingOrder="0" vertical="center"/>
    </xf>
    <xf borderId="18" fillId="0" fontId="2" numFmtId="49" xfId="0" applyAlignment="1" applyBorder="1" applyFont="1" applyNumberFormat="1">
      <alignment horizontal="center" readingOrder="0"/>
    </xf>
    <xf borderId="19" fillId="6" fontId="9" numFmtId="0" xfId="0" applyBorder="1" applyFill="1" applyFont="1"/>
    <xf borderId="18" fillId="0" fontId="21" numFmtId="0" xfId="0" applyAlignment="1" applyBorder="1" applyFont="1">
      <alignment readingOrder="0"/>
    </xf>
    <xf borderId="21" fillId="6" fontId="177" numFmtId="0" xfId="0" applyAlignment="1" applyBorder="1" applyFill="1" applyFont="1">
      <alignment readingOrder="0"/>
    </xf>
    <xf borderId="2" fillId="6" fontId="178" numFmtId="0" xfId="0" applyAlignment="1" applyBorder="1" applyFill="1" applyFont="1">
      <alignment vertical="bottom"/>
    </xf>
    <xf borderId="19" fillId="5" fontId="21" numFmtId="0" xfId="0" applyAlignment="1" applyBorder="1" applyFill="1" applyFont="1">
      <alignment vertical="bottom"/>
    </xf>
    <xf borderId="18" fillId="11" fontId="179" numFmtId="0" xfId="0" applyAlignment="1" applyBorder="1" applyFill="1" applyFont="1">
      <alignment readingOrder="0" vertical="center"/>
    </xf>
    <xf borderId="18" fillId="0" fontId="9" numFmtId="0" xfId="0" applyAlignment="1" applyBorder="1" applyFont="1">
      <alignment readingOrder="0" vertical="bottom"/>
    </xf>
    <xf borderId="14" fillId="6" fontId="9" numFmtId="0" xfId="0" applyAlignment="1" applyBorder="1" applyFill="1" applyFont="1">
      <alignment readingOrder="0"/>
    </xf>
    <xf borderId="18" fillId="0" fontId="9" numFmtId="0" xfId="0" applyAlignment="1" applyBorder="1" applyFont="1">
      <alignment horizontal="left" readingOrder="0" vertical="bottom"/>
    </xf>
    <xf borderId="19" fillId="6" fontId="21" numFmtId="0" xfId="0" applyAlignment="1" applyBorder="1" applyFill="1" applyFont="1">
      <alignment vertical="bottom"/>
    </xf>
    <xf borderId="23" fillId="5" fontId="9" numFmtId="0" xfId="0" applyAlignment="1" applyBorder="1" applyFill="1" applyFont="1">
      <alignment readingOrder="0"/>
    </xf>
    <xf borderId="2" fillId="6" fontId="150" numFmtId="0" xfId="0" applyAlignment="1" applyBorder="1" applyFill="1" applyFont="1">
      <alignment readingOrder="0" vertical="bottom"/>
    </xf>
    <xf borderId="18" fillId="0" fontId="9" numFmtId="0" xfId="0" applyAlignment="1" applyBorder="1" applyFont="1">
      <alignment vertical="bottom"/>
    </xf>
    <xf borderId="18" fillId="5" fontId="9" numFmtId="0" xfId="0" applyBorder="1" applyFill="1" applyFont="1"/>
    <xf borderId="2" fillId="6" fontId="180" numFmtId="0" xfId="0" applyAlignment="1" applyBorder="1" applyFill="1" applyFont="1">
      <alignment horizontal="left" readingOrder="0" vertical="bottom"/>
    </xf>
    <xf borderId="2" fillId="6" fontId="181" numFmtId="0" xfId="0" applyAlignment="1" applyBorder="1" applyFill="1" applyFont="1">
      <alignment horizontal="left" vertical="bottom"/>
    </xf>
    <xf borderId="0" fillId="5" fontId="2" numFmtId="165" xfId="0" applyAlignment="1" applyFill="1" applyFont="1" applyNumberFormat="1">
      <alignment horizontal="center" readingOrder="0"/>
    </xf>
    <xf borderId="0" fillId="5" fontId="2" numFmtId="0" xfId="0" applyAlignment="1" applyFill="1" applyFont="1">
      <alignment horizontal="center" readingOrder="0"/>
    </xf>
    <xf borderId="0" fillId="5" fontId="9" numFmtId="0" xfId="0" applyAlignment="1" applyFill="1" applyFont="1">
      <alignment vertical="bottom"/>
    </xf>
    <xf borderId="2" fillId="5" fontId="182" numFmtId="0" xfId="0" applyBorder="1" applyFill="1" applyFont="1"/>
    <xf borderId="0" fillId="5" fontId="183" numFmtId="165" xfId="0" applyAlignment="1" applyFill="1" applyFont="1" applyNumberFormat="1">
      <alignment horizontal="center" readingOrder="0"/>
    </xf>
    <xf borderId="0" fillId="5" fontId="184" numFmtId="0" xfId="0" applyAlignment="1" applyFill="1" applyFont="1">
      <alignment horizontal="center" readingOrder="0"/>
    </xf>
    <xf borderId="2" fillId="6" fontId="185" numFmtId="0" xfId="0" applyAlignment="1" applyBorder="1" applyFill="1" applyFont="1">
      <alignment readingOrder="0" vertical="bottom"/>
    </xf>
    <xf borderId="2" fillId="5" fontId="9" numFmtId="0" xfId="0" applyAlignment="1" applyBorder="1" applyFill="1" applyFont="1">
      <alignment vertical="bottom"/>
    </xf>
    <xf borderId="2" fillId="5" fontId="9" numFmtId="0" xfId="0" applyBorder="1" applyFill="1" applyFont="1"/>
    <xf borderId="2" fillId="5" fontId="130" numFmtId="0" xfId="0" applyBorder="1" applyFill="1" applyFont="1"/>
    <xf borderId="18" fillId="11" fontId="2" numFmtId="0" xfId="0" applyAlignment="1" applyBorder="1" applyFill="1" applyFont="1">
      <alignment horizontal="left" readingOrder="0" vertical="center"/>
    </xf>
    <xf borderId="0" fillId="11" fontId="2" numFmtId="165" xfId="0" applyAlignment="1" applyFill="1" applyFont="1" applyNumberFormat="1">
      <alignment horizontal="left" readingOrder="0" vertical="center"/>
    </xf>
    <xf borderId="18" fillId="0" fontId="186" numFmtId="0" xfId="0" applyAlignment="1" applyBorder="1" applyFont="1">
      <alignment readingOrder="0" vertical="center"/>
    </xf>
    <xf borderId="0" fillId="11" fontId="2" numFmtId="0" xfId="0" applyAlignment="1" applyFill="1" applyFont="1">
      <alignment horizontal="left" readingOrder="0" vertical="center"/>
    </xf>
    <xf borderId="2" fillId="6" fontId="187" numFmtId="0" xfId="0" applyAlignment="1" applyBorder="1" applyFill="1" applyFont="1">
      <alignment readingOrder="0"/>
    </xf>
    <xf borderId="0" fillId="5" fontId="9" numFmtId="0" xfId="0" applyAlignment="1" applyFill="1" applyFont="1">
      <alignment vertical="bottom"/>
    </xf>
    <xf borderId="23" fillId="6" fontId="9" numFmtId="0" xfId="0" applyAlignment="1" applyBorder="1" applyFill="1" applyFont="1">
      <alignment readingOrder="0" vertical="bottom"/>
    </xf>
    <xf borderId="18" fillId="8" fontId="21" numFmtId="0" xfId="0" applyAlignment="1" applyBorder="1" applyFill="1" applyFont="1">
      <alignment vertical="bottom"/>
    </xf>
    <xf borderId="18" fillId="0" fontId="9" numFmtId="0" xfId="0" applyAlignment="1" applyBorder="1" applyFont="1">
      <alignment vertical="bottom"/>
    </xf>
    <xf borderId="0" fillId="5" fontId="2" numFmtId="0" xfId="0" applyAlignment="1" applyFill="1" applyFont="1">
      <alignment horizontal="left" readingOrder="0" vertical="center"/>
    </xf>
    <xf borderId="2" fillId="6" fontId="188" numFmtId="0" xfId="0" applyAlignment="1" applyBorder="1" applyFill="1" applyFont="1">
      <alignment readingOrder="0"/>
    </xf>
    <xf borderId="18" fillId="5" fontId="189" numFmtId="0" xfId="0" applyBorder="1" applyFill="1" applyFont="1"/>
    <xf borderId="18" fillId="5" fontId="190" numFmtId="0" xfId="0" applyAlignment="1" applyBorder="1" applyFill="1" applyFont="1">
      <alignment readingOrder="0" vertical="center"/>
    </xf>
    <xf borderId="17" fillId="5" fontId="9" numFmtId="0" xfId="0" applyAlignment="1" applyBorder="1" applyFill="1" applyFont="1">
      <alignment readingOrder="0"/>
    </xf>
    <xf borderId="18" fillId="11" fontId="191" numFmtId="0" xfId="0" applyAlignment="1" applyBorder="1" applyFill="1" applyFont="1">
      <alignment readingOrder="0" vertical="center"/>
    </xf>
    <xf borderId="18" fillId="0" fontId="21" numFmtId="0" xfId="0" applyAlignment="1" applyBorder="1" applyFont="1">
      <alignment horizontal="center" readingOrder="0" vertical="center"/>
    </xf>
    <xf borderId="18" fillId="0" fontId="21" numFmtId="0" xfId="0" applyAlignment="1" applyBorder="1" applyFont="1">
      <alignment readingOrder="0" vertical="bottom"/>
    </xf>
    <xf borderId="2" fillId="5" fontId="21" numFmtId="0" xfId="0" applyAlignment="1" applyBorder="1" applyFill="1" applyFont="1">
      <alignment vertical="bottom"/>
    </xf>
    <xf borderId="2" fillId="6" fontId="9" numFmtId="0" xfId="0" applyAlignment="1" applyBorder="1" applyFill="1" applyFont="1">
      <alignment vertical="bottom"/>
    </xf>
    <xf borderId="18" fillId="6" fontId="192" numFmtId="0" xfId="0" applyBorder="1" applyFill="1" applyFont="1"/>
    <xf borderId="2" fillId="6" fontId="9" numFmtId="0" xfId="0" applyBorder="1" applyFill="1" applyFont="1"/>
    <xf borderId="18" fillId="6" fontId="193" numFmtId="0" xfId="0" applyAlignment="1" applyBorder="1" applyFill="1" applyFont="1">
      <alignment readingOrder="0" vertical="center"/>
    </xf>
    <xf borderId="2" fillId="6" fontId="130" numFmtId="0" xfId="0" applyBorder="1" applyFill="1" applyFont="1"/>
    <xf borderId="18" fillId="0" fontId="62" numFmtId="0" xfId="0" applyAlignment="1" applyBorder="1" applyFont="1">
      <alignment readingOrder="0" shrinkToFit="0" vertical="bottom" wrapText="0"/>
    </xf>
    <xf borderId="18" fillId="6" fontId="194" numFmtId="0" xfId="0" applyAlignment="1" applyBorder="1" applyFill="1" applyFont="1">
      <alignment vertical="bottom"/>
    </xf>
    <xf borderId="2" fillId="6" fontId="195" numFmtId="0" xfId="0" applyAlignment="1" applyBorder="1" applyFill="1" applyFont="1">
      <alignment readingOrder="0"/>
    </xf>
    <xf borderId="2" fillId="6" fontId="196" numFmtId="0" xfId="0" applyBorder="1" applyFill="1" applyFont="1"/>
    <xf borderId="17" fillId="6" fontId="9" numFmtId="0" xfId="0" applyAlignment="1" applyBorder="1" applyFill="1" applyFont="1">
      <alignment readingOrder="0"/>
    </xf>
    <xf borderId="18" fillId="0" fontId="9" numFmtId="0" xfId="0" applyAlignment="1" applyBorder="1" applyFont="1">
      <alignment readingOrder="0"/>
    </xf>
    <xf borderId="18" fillId="0" fontId="9" numFmtId="0" xfId="0" applyAlignment="1" applyBorder="1" applyFont="1">
      <alignment readingOrder="0" vertical="center"/>
    </xf>
    <xf borderId="0" fillId="0" fontId="21" numFmtId="0" xfId="0" applyAlignment="1" applyFont="1">
      <alignment vertical="bottom"/>
    </xf>
    <xf borderId="0" fillId="0" fontId="21" numFmtId="0" xfId="0" applyAlignment="1" applyFont="1">
      <alignment readingOrder="0" vertical="bottom"/>
    </xf>
    <xf borderId="18" fillId="0" fontId="2" numFmtId="49" xfId="0" applyAlignment="1" applyBorder="1" applyFont="1" applyNumberFormat="1">
      <alignment horizontal="left" readingOrder="0"/>
    </xf>
    <xf borderId="2" fillId="6" fontId="197" numFmtId="0" xfId="0" applyAlignment="1" applyBorder="1" applyFill="1" applyFont="1">
      <alignment readingOrder="0"/>
    </xf>
    <xf borderId="18" fillId="6" fontId="9" numFmtId="0" xfId="0" applyAlignment="1" applyBorder="1" applyFill="1" applyFont="1">
      <alignment vertical="bottom"/>
    </xf>
    <xf borderId="18" fillId="6" fontId="9" numFmtId="0" xfId="0" applyBorder="1" applyFill="1" applyFont="1"/>
    <xf borderId="2" fillId="6" fontId="9" numFmtId="0" xfId="0" applyAlignment="1" applyBorder="1" applyFill="1" applyFont="1">
      <alignment horizontal="left" readingOrder="0"/>
    </xf>
    <xf borderId="18" fillId="6" fontId="198" numFmtId="0" xfId="0" applyBorder="1" applyFill="1" applyFont="1"/>
    <xf borderId="2" fillId="6" fontId="199" numFmtId="0" xfId="0" applyAlignment="1" applyBorder="1" applyFill="1" applyFont="1">
      <alignment horizontal="left" readingOrder="0"/>
    </xf>
    <xf borderId="2" fillId="0" fontId="200" numFmtId="0" xfId="0" applyAlignment="1" applyBorder="1" applyFont="1">
      <alignment horizontal="center" readingOrder="0" vertical="bottom"/>
    </xf>
    <xf borderId="0" fillId="0" fontId="200" numFmtId="0" xfId="0" applyAlignment="1" applyFont="1">
      <alignment horizontal="center" readingOrder="0" vertical="bottom"/>
    </xf>
    <xf borderId="18" fillId="11" fontId="201" numFmtId="0" xfId="0" applyAlignment="1" applyBorder="1" applyFill="1" applyFont="1">
      <alignment readingOrder="0" vertical="center"/>
    </xf>
    <xf borderId="2" fillId="6" fontId="2" numFmtId="0" xfId="0" applyAlignment="1" applyBorder="1" applyFill="1" applyFont="1">
      <alignment vertical="bottom"/>
    </xf>
    <xf borderId="2" fillId="6" fontId="2" numFmtId="0" xfId="0" applyBorder="1" applyFill="1" applyFont="1"/>
    <xf borderId="2" fillId="6" fontId="202" numFmtId="0" xfId="0" applyBorder="1" applyFill="1" applyFont="1"/>
    <xf borderId="0" fillId="5" fontId="203" numFmtId="0" xfId="0" applyAlignment="1" applyFill="1" applyFont="1">
      <alignment readingOrder="0" vertical="bottom"/>
    </xf>
    <xf borderId="0" fillId="6" fontId="204" numFmtId="0" xfId="0" applyAlignment="1" applyFill="1" applyFont="1">
      <alignment readingOrder="0" vertical="bottom"/>
    </xf>
    <xf borderId="2" fillId="5" fontId="205" numFmtId="0" xfId="0" applyAlignment="1" applyBorder="1" applyFill="1" applyFont="1">
      <alignment horizontal="center" readingOrder="0" vertical="bottom"/>
    </xf>
    <xf borderId="0" fillId="5" fontId="206" numFmtId="0" xfId="0" applyAlignment="1" applyFill="1" applyFont="1">
      <alignment horizontal="center" readingOrder="0" vertical="bottom"/>
    </xf>
    <xf borderId="2" fillId="5" fontId="21" numFmtId="0" xfId="0" applyBorder="1" applyFill="1" applyFont="1"/>
    <xf borderId="0" fillId="5" fontId="21" numFmtId="0" xfId="0" applyAlignment="1" applyFill="1" applyFont="1">
      <alignment vertical="bottom"/>
    </xf>
    <xf borderId="0" fillId="5" fontId="172" numFmtId="0" xfId="0" applyAlignment="1" applyFill="1" applyFont="1">
      <alignment readingOrder="0" vertical="bottom"/>
    </xf>
    <xf borderId="18" fillId="5" fontId="207" numFmtId="0" xfId="0" applyBorder="1" applyFill="1" applyFont="1"/>
    <xf borderId="0" fillId="0" fontId="172" numFmtId="0" xfId="0" applyAlignment="1" applyFont="1">
      <alignment readingOrder="0" vertical="bottom"/>
    </xf>
    <xf borderId="2" fillId="0" fontId="9" numFmtId="0" xfId="0" applyBorder="1" applyFont="1"/>
    <xf borderId="2" fillId="0" fontId="2" numFmtId="0" xfId="0" applyBorder="1" applyFont="1"/>
    <xf borderId="2" fillId="0" fontId="9" numFmtId="0" xfId="0" applyAlignment="1" applyBorder="1" applyFont="1">
      <alignment horizontal="left"/>
    </xf>
    <xf borderId="18" fillId="5" fontId="208" numFmtId="0" xfId="0" applyAlignment="1" applyBorder="1" applyFill="1" applyFont="1">
      <alignment readingOrder="0" vertical="center"/>
    </xf>
    <xf borderId="0" fillId="5" fontId="172" numFmtId="0" xfId="0" applyAlignment="1" applyFill="1" applyFont="1">
      <alignment readingOrder="0"/>
    </xf>
    <xf borderId="22" fillId="5" fontId="209" numFmtId="0" xfId="0" applyAlignment="1" applyBorder="1" applyFill="1" applyFont="1">
      <alignment horizontal="center" vertical="bottom"/>
    </xf>
    <xf borderId="18" fillId="0" fontId="21" numFmtId="49" xfId="0" applyAlignment="1" applyBorder="1" applyFont="1" applyNumberFormat="1">
      <alignment horizontal="center" readingOrder="0" vertical="center"/>
    </xf>
    <xf borderId="18" fillId="0" fontId="21" numFmtId="49" xfId="0" applyAlignment="1" applyBorder="1" applyFont="1" applyNumberFormat="1">
      <alignment readingOrder="0" vertical="bottom"/>
    </xf>
    <xf borderId="0" fillId="0" fontId="210" numFmtId="0" xfId="0" applyAlignment="1" applyFont="1">
      <alignment readingOrder="0"/>
    </xf>
    <xf borderId="24" fillId="8" fontId="21" numFmtId="0" xfId="0" applyAlignment="1" applyBorder="1" applyFill="1" applyFont="1">
      <alignment vertical="bottom"/>
    </xf>
    <xf borderId="22" fillId="6" fontId="211" numFmtId="0" xfId="0" applyAlignment="1" applyBorder="1" applyFill="1" applyFont="1">
      <alignment horizontal="center" vertical="bottom"/>
    </xf>
    <xf borderId="2" fillId="0" fontId="9" numFmtId="0" xfId="0" applyBorder="1" applyFont="1"/>
    <xf borderId="21" fillId="6" fontId="212" numFmtId="0" xfId="0" applyAlignment="1" applyBorder="1" applyFill="1" applyFont="1">
      <alignment horizontal="center" vertical="bottom"/>
    </xf>
    <xf borderId="23" fillId="5" fontId="9" numFmtId="0" xfId="0" applyBorder="1" applyFill="1" applyFont="1"/>
    <xf borderId="0" fillId="0" fontId="9" numFmtId="0" xfId="0" applyAlignment="1" applyFont="1">
      <alignment readingOrder="0" vertical="center"/>
    </xf>
    <xf borderId="2" fillId="5" fontId="213" numFmtId="0" xfId="0" applyAlignment="1" applyBorder="1" applyFill="1" applyFont="1">
      <alignment readingOrder="0"/>
    </xf>
    <xf borderId="2" fillId="5" fontId="214" numFmtId="0" xfId="0" applyAlignment="1" applyBorder="1" applyFill="1" applyFont="1">
      <alignment readingOrder="0" vertical="center"/>
    </xf>
    <xf borderId="2" fillId="0" fontId="215" numFmtId="0" xfId="0" applyAlignment="1" applyBorder="1" applyFont="1">
      <alignment horizontal="left" readingOrder="0"/>
    </xf>
    <xf borderId="2" fillId="5" fontId="9" numFmtId="0" xfId="0" applyAlignment="1" applyBorder="1" applyFill="1" applyFont="1">
      <alignment horizontal="left" readingOrder="0"/>
    </xf>
    <xf borderId="0" fillId="0" fontId="9" numFmtId="0" xfId="0" applyAlignment="1" applyFont="1">
      <alignment horizontal="center"/>
    </xf>
    <xf borderId="2" fillId="11" fontId="216" numFmtId="0" xfId="0" applyAlignment="1" applyBorder="1" applyFill="1" applyFont="1">
      <alignment readingOrder="0" vertical="center"/>
    </xf>
    <xf borderId="0" fillId="0" fontId="172" numFmtId="0" xfId="0" applyAlignment="1" applyFont="1">
      <alignment readingOrder="0"/>
    </xf>
    <xf borderId="2" fillId="5" fontId="217" numFmtId="0" xfId="0" applyAlignment="1" applyBorder="1" applyFill="1" applyFont="1">
      <alignment horizontal="left" readingOrder="0" vertical="center"/>
    </xf>
    <xf borderId="2" fillId="6" fontId="21" numFmtId="0" xfId="0" applyAlignment="1" applyBorder="1" applyFill="1" applyFont="1">
      <alignment horizontal="left" vertical="bottom"/>
    </xf>
    <xf borderId="2" fillId="0" fontId="218" numFmtId="0" xfId="0" applyAlignment="1" applyBorder="1" applyFont="1">
      <alignment horizontal="left" readingOrder="0"/>
    </xf>
    <xf borderId="23" fillId="6" fontId="9" numFmtId="0" xfId="0" applyAlignment="1" applyBorder="1" applyFill="1" applyFont="1">
      <alignment vertical="bottom"/>
    </xf>
    <xf borderId="18" fillId="6" fontId="219" numFmtId="164" xfId="0" applyAlignment="1" applyBorder="1" applyFill="1" applyFont="1" applyNumberFormat="1">
      <alignment horizontal="center" readingOrder="0" vertical="center"/>
    </xf>
    <xf borderId="0" fillId="5" fontId="9" numFmtId="0" xfId="0" applyAlignment="1" applyFill="1" applyFont="1">
      <alignment readingOrder="0" vertical="bottom"/>
    </xf>
    <xf borderId="2" fillId="0" fontId="9" numFmtId="0" xfId="0" applyAlignment="1" applyBorder="1" applyFont="1">
      <alignment horizontal="left"/>
    </xf>
    <xf borderId="2" fillId="0" fontId="172" numFmtId="0" xfId="0" applyAlignment="1" applyBorder="1" applyFont="1">
      <alignment horizontal="left" readingOrder="0"/>
    </xf>
    <xf borderId="0" fillId="0" fontId="220" numFmtId="0" xfId="0" applyAlignment="1" applyFont="1">
      <alignment readingOrder="0" vertical="center"/>
    </xf>
    <xf borderId="2" fillId="6" fontId="221" numFmtId="0" xfId="0" applyBorder="1" applyFill="1" applyFont="1"/>
    <xf borderId="19" fillId="11" fontId="222" numFmtId="0" xfId="0" applyAlignment="1" applyBorder="1" applyFill="1" applyFont="1">
      <alignment readingOrder="0" vertical="center"/>
    </xf>
    <xf borderId="2" fillId="0" fontId="9" numFmtId="0" xfId="0" applyAlignment="1" applyBorder="1" applyFont="1">
      <alignment horizontal="left" readingOrder="0"/>
    </xf>
    <xf borderId="0" fillId="6" fontId="223" numFmtId="0" xfId="0" applyAlignment="1" applyFill="1" applyFont="1">
      <alignment readingOrder="0" vertical="bottom"/>
    </xf>
    <xf borderId="0" fillId="5" fontId="224" numFmtId="0" xfId="0" applyAlignment="1" applyFill="1" applyFont="1">
      <alignment readingOrder="0" vertical="bottom"/>
    </xf>
    <xf borderId="14" fillId="6" fontId="225" numFmtId="0" xfId="0" applyBorder="1" applyFill="1" applyFont="1"/>
    <xf borderId="17" fillId="5" fontId="9" numFmtId="0" xfId="0" applyBorder="1" applyFill="1" applyFont="1"/>
    <xf borderId="2" fillId="5" fontId="9" numFmtId="0" xfId="0" applyAlignment="1" applyBorder="1" applyFill="1" applyFont="1">
      <alignment readingOrder="0" vertical="center"/>
    </xf>
    <xf borderId="0" fillId="5" fontId="226" numFmtId="0" xfId="0" applyAlignment="1" applyFill="1" applyFont="1">
      <alignment readingOrder="0" vertical="bottom"/>
    </xf>
    <xf borderId="0" fillId="0" fontId="3" numFmtId="0" xfId="0" applyFont="1"/>
    <xf borderId="16" fillId="5" fontId="227" numFmtId="0" xfId="0" applyAlignment="1" applyBorder="1" applyFill="1" applyFont="1">
      <alignment vertical="bottom"/>
    </xf>
    <xf borderId="0" fillId="5" fontId="21" numFmtId="49" xfId="0" applyAlignment="1" applyFill="1" applyFont="1" applyNumberFormat="1">
      <alignment vertical="bottom"/>
    </xf>
    <xf borderId="16" fillId="5" fontId="9" numFmtId="0" xfId="0" applyAlignment="1" applyBorder="1" applyFill="1" applyFont="1">
      <alignment readingOrder="0" vertical="bottom"/>
    </xf>
    <xf borderId="0" fillId="0" fontId="228" numFmtId="0" xfId="0" applyAlignment="1" applyFont="1">
      <alignment readingOrder="0" vertical="center"/>
    </xf>
    <xf borderId="0" fillId="0" fontId="2" numFmtId="49" xfId="0" applyAlignment="1" applyFont="1" applyNumberFormat="1">
      <alignment horizontal="center" readingOrder="0" vertical="center"/>
    </xf>
    <xf borderId="0" fillId="5" fontId="9" numFmtId="0" xfId="0" applyAlignment="1" applyFill="1" applyFont="1">
      <alignment readingOrder="0"/>
    </xf>
    <xf borderId="2" fillId="6" fontId="229" numFmtId="0" xfId="0" applyAlignment="1" applyBorder="1" applyFill="1" applyFont="1">
      <alignment horizontal="center" readingOrder="0" vertical="bottom"/>
    </xf>
    <xf borderId="0" fillId="6" fontId="230" numFmtId="0" xfId="0" applyAlignment="1" applyFill="1" applyFont="1">
      <alignment horizontal="center" readingOrder="0" vertical="bottom"/>
    </xf>
    <xf borderId="2" fillId="0" fontId="3" numFmtId="0" xfId="0" applyAlignment="1" applyBorder="1" applyFont="1">
      <alignment horizontal="left"/>
    </xf>
    <xf borderId="16" fillId="6" fontId="231" numFmtId="0" xfId="0" applyAlignment="1" applyBorder="1" applyFill="1" applyFont="1">
      <alignment vertical="bottom"/>
    </xf>
    <xf borderId="16" fillId="6" fontId="9" numFmtId="0" xfId="0" applyAlignment="1" applyBorder="1" applyFill="1" applyFont="1">
      <alignment readingOrder="0" vertical="bottom"/>
    </xf>
    <xf borderId="17" fillId="6" fontId="9" numFmtId="0" xfId="0" applyBorder="1" applyFill="1" applyFont="1"/>
    <xf borderId="2" fillId="5" fontId="21" numFmtId="0" xfId="0" applyAlignment="1" applyBorder="1" applyFill="1" applyFont="1">
      <alignment horizontal="left" vertical="bottom"/>
    </xf>
    <xf borderId="0" fillId="6" fontId="232" numFmtId="0" xfId="0" applyAlignment="1" applyFill="1" applyFont="1">
      <alignment readingOrder="0" vertical="bottom"/>
    </xf>
    <xf borderId="0" fillId="0" fontId="21" numFmtId="49" xfId="0" applyAlignment="1" applyFont="1" applyNumberFormat="1">
      <alignment vertical="bottom"/>
    </xf>
    <xf borderId="16" fillId="5" fontId="9" numFmtId="0" xfId="0" applyAlignment="1" applyBorder="1" applyFill="1" applyFont="1">
      <alignment vertical="bottom"/>
    </xf>
    <xf borderId="16" fillId="5" fontId="233" numFmtId="0" xfId="0" applyAlignment="1" applyBorder="1" applyFill="1" applyFont="1">
      <alignment vertical="bottom"/>
    </xf>
    <xf borderId="2" fillId="6" fontId="9" numFmtId="0" xfId="0" applyAlignment="1" applyBorder="1" applyFill="1" applyFont="1">
      <alignment readingOrder="0" vertical="center"/>
    </xf>
    <xf borderId="0" fillId="6" fontId="234" numFmtId="0" xfId="0" applyAlignment="1" applyFill="1" applyFont="1">
      <alignment vertical="bottom"/>
    </xf>
    <xf borderId="16" fillId="6" fontId="9" numFmtId="0" xfId="0" applyAlignment="1" applyBorder="1" applyFill="1" applyFont="1">
      <alignment vertical="bottom"/>
    </xf>
    <xf borderId="2" fillId="6" fontId="21" numFmtId="0" xfId="0" applyAlignment="1" applyBorder="1" applyFill="1" applyFont="1">
      <alignment vertical="bottom"/>
    </xf>
    <xf borderId="16" fillId="6" fontId="235" numFmtId="0" xfId="0" applyAlignment="1" applyBorder="1" applyFill="1" applyFont="1">
      <alignment vertical="bottom"/>
    </xf>
    <xf borderId="0" fillId="0" fontId="236" numFmtId="0" xfId="0" applyAlignment="1" applyFont="1">
      <alignment vertical="bottom"/>
    </xf>
    <xf borderId="2" fillId="5" fontId="21" numFmtId="0" xfId="0" applyAlignment="1" applyBorder="1" applyFill="1" applyFont="1">
      <alignment readingOrder="0"/>
    </xf>
    <xf borderId="0" fillId="5" fontId="237" numFmtId="0" xfId="0" applyAlignment="1" applyFill="1" applyFont="1">
      <alignment vertical="bottom"/>
    </xf>
    <xf borderId="0" fillId="5" fontId="238" numFmtId="0" xfId="0" applyAlignment="1" applyFill="1" applyFont="1">
      <alignment readingOrder="0" vertical="center"/>
    </xf>
    <xf borderId="18" fillId="0" fontId="2" numFmtId="49" xfId="0" applyAlignment="1" applyBorder="1" applyFont="1" applyNumberFormat="1">
      <alignment readingOrder="0" vertical="center"/>
    </xf>
    <xf borderId="18" fillId="0" fontId="2" numFmtId="49" xfId="0" applyAlignment="1" applyBorder="1" applyFont="1" applyNumberFormat="1">
      <alignment horizontal="left" readingOrder="0"/>
    </xf>
    <xf borderId="18" fillId="0" fontId="239" numFmtId="49" xfId="0" applyAlignment="1" applyBorder="1" applyFont="1" applyNumberFormat="1">
      <alignment horizontal="left" readingOrder="0"/>
    </xf>
    <xf borderId="2" fillId="0" fontId="3" numFmtId="0" xfId="0" applyBorder="1" applyFont="1"/>
    <xf borderId="18" fillId="0" fontId="2" numFmtId="0" xfId="0" applyAlignment="1" applyBorder="1" applyFont="1">
      <alignment vertical="center"/>
    </xf>
    <xf borderId="18" fillId="0" fontId="240" numFmtId="0" xfId="0" applyAlignment="1" applyBorder="1" applyFont="1">
      <alignment readingOrder="0" vertical="center"/>
    </xf>
    <xf borderId="18" fillId="0" fontId="2" numFmtId="0" xfId="0" applyAlignment="1" applyBorder="1" applyFont="1">
      <alignment readingOrder="0" vertical="center"/>
    </xf>
    <xf borderId="18" fillId="0" fontId="2" numFmtId="49" xfId="0" applyAlignment="1" applyBorder="1" applyFont="1" applyNumberFormat="1">
      <alignment readingOrder="0" vertical="center"/>
    </xf>
    <xf borderId="18" fillId="11" fontId="241" numFmtId="0" xfId="0" applyAlignment="1" applyBorder="1" applyFill="1" applyFont="1">
      <alignment readingOrder="0" vertical="center"/>
    </xf>
    <xf borderId="0" fillId="2" fontId="9" numFmtId="0" xfId="0" applyAlignment="1" applyFill="1" applyFont="1">
      <alignment horizontal="left"/>
    </xf>
    <xf borderId="18" fillId="0" fontId="2" numFmtId="0" xfId="0" applyAlignment="1" applyBorder="1" applyFont="1">
      <alignment horizontal="left" readingOrder="0" vertical="center"/>
    </xf>
    <xf borderId="0" fillId="9" fontId="13" numFmtId="0" xfId="0" applyAlignment="1" applyFill="1" applyFont="1">
      <alignment horizontal="left" readingOrder="0"/>
    </xf>
    <xf borderId="18" fillId="0" fontId="62" numFmtId="0" xfId="0" applyAlignment="1" applyBorder="1" applyFont="1">
      <alignment shrinkToFit="0" vertical="bottom" wrapText="0"/>
    </xf>
    <xf borderId="18" fillId="5" fontId="2" numFmtId="0" xfId="0" applyAlignment="1" applyBorder="1" applyFill="1" applyFont="1">
      <alignment readingOrder="0" vertical="center"/>
    </xf>
    <xf borderId="18" fillId="5" fontId="242" numFmtId="0" xfId="0" applyAlignment="1" applyBorder="1" applyFill="1" applyFont="1">
      <alignment readingOrder="0" vertical="center"/>
    </xf>
    <xf borderId="18" fillId="5" fontId="2" numFmtId="49" xfId="0" applyAlignment="1" applyBorder="1" applyFill="1" applyFont="1" applyNumberFormat="1">
      <alignment readingOrder="0" vertical="center"/>
    </xf>
    <xf borderId="1" fillId="6" fontId="243" numFmtId="0" xfId="0" applyBorder="1" applyFill="1" applyFont="1"/>
    <xf borderId="1" fillId="6" fontId="9" numFmtId="0" xfId="0" applyAlignment="1" applyBorder="1" applyFill="1" applyFont="1">
      <alignment readingOrder="0"/>
    </xf>
    <xf borderId="25" fillId="6" fontId="9" numFmtId="0" xfId="0" applyAlignment="1" applyBorder="1" applyFill="1" applyFont="1">
      <alignment readingOrder="0"/>
    </xf>
    <xf borderId="1" fillId="5" fontId="2" numFmtId="49" xfId="0" applyAlignment="1" applyBorder="1" applyFill="1" applyFont="1" applyNumberFormat="1">
      <alignment horizontal="center" readingOrder="0" vertical="center"/>
    </xf>
    <xf borderId="0" fillId="5" fontId="2" numFmtId="49" xfId="0" applyAlignment="1" applyFill="1" applyFont="1" applyNumberFormat="1">
      <alignment horizontal="center" readingOrder="0" vertical="center"/>
    </xf>
    <xf borderId="0" fillId="5" fontId="244" numFmtId="49" xfId="0" applyAlignment="1" applyFill="1" applyFont="1" applyNumberFormat="1">
      <alignment horizontal="center" readingOrder="0" vertical="center"/>
    </xf>
    <xf borderId="1" fillId="5" fontId="245" numFmtId="0" xfId="0" applyAlignment="1" applyBorder="1" applyFill="1" applyFont="1">
      <alignment vertical="bottom"/>
    </xf>
    <xf borderId="1" fillId="5" fontId="9" numFmtId="0" xfId="0" applyAlignment="1" applyBorder="1" applyFill="1" applyFont="1">
      <alignment readingOrder="0" vertical="bottom"/>
    </xf>
    <xf borderId="25" fillId="5" fontId="9" numFmtId="0" xfId="0" applyAlignment="1" applyBorder="1" applyFill="1" applyFont="1">
      <alignment readingOrder="0" vertical="bottom"/>
    </xf>
    <xf borderId="18" fillId="6" fontId="2" numFmtId="0" xfId="0" applyAlignment="1" applyBorder="1" applyFill="1" applyFont="1">
      <alignment readingOrder="0" vertical="center"/>
    </xf>
    <xf borderId="18" fillId="6" fontId="246" numFmtId="0" xfId="0" applyAlignment="1" applyBorder="1" applyFill="1" applyFont="1">
      <alignment readingOrder="0" vertical="center"/>
    </xf>
    <xf borderId="18" fillId="6" fontId="2" numFmtId="49" xfId="0" applyAlignment="1" applyBorder="1" applyFill="1" applyFont="1" applyNumberFormat="1">
      <alignment readingOrder="0" vertical="center"/>
    </xf>
    <xf borderId="0" fillId="0" fontId="247" numFmtId="49" xfId="0" applyAlignment="1" applyFont="1" applyNumberFormat="1">
      <alignment horizontal="center" readingOrder="0" vertical="center"/>
    </xf>
    <xf borderId="1" fillId="6" fontId="248" numFmtId="0" xfId="0" applyAlignment="1" applyBorder="1" applyFill="1" applyFont="1">
      <alignment vertical="bottom"/>
    </xf>
    <xf borderId="1" fillId="6" fontId="9" numFmtId="0" xfId="0" applyAlignment="1" applyBorder="1" applyFill="1" applyFont="1">
      <alignment readingOrder="0" vertical="bottom"/>
    </xf>
    <xf borderId="25" fillId="6" fontId="9" numFmtId="0" xfId="0" applyAlignment="1" applyBorder="1" applyFill="1" applyFont="1">
      <alignment readingOrder="0" vertical="bottom"/>
    </xf>
    <xf borderId="17" fillId="6" fontId="249" numFmtId="0" xfId="0" applyAlignment="1" applyBorder="1" applyFill="1" applyFont="1">
      <alignment vertical="bottom"/>
    </xf>
    <xf borderId="2" fillId="6" fontId="21" numFmtId="49" xfId="0" applyAlignment="1" applyBorder="1" applyFill="1" applyFont="1" applyNumberFormat="1">
      <alignment horizontal="center" readingOrder="0" vertical="bottom"/>
    </xf>
    <xf borderId="0" fillId="6" fontId="21" numFmtId="49" xfId="0" applyAlignment="1" applyFill="1" applyFont="1" applyNumberFormat="1">
      <alignment readingOrder="0" vertical="bottom"/>
    </xf>
    <xf borderId="2" fillId="0" fontId="21" numFmtId="49" xfId="0" applyAlignment="1" applyBorder="1" applyFont="1" applyNumberFormat="1">
      <alignment horizontal="center" readingOrder="0" vertical="bottom"/>
    </xf>
    <xf borderId="0" fillId="0" fontId="21" numFmtId="49" xfId="0" applyAlignment="1" applyFont="1" applyNumberFormat="1">
      <alignment readingOrder="0" vertical="bottom"/>
    </xf>
    <xf borderId="18" fillId="6" fontId="2" numFmtId="49" xfId="0" applyAlignment="1" applyBorder="1" applyFill="1" applyFont="1" applyNumberFormat="1">
      <alignment readingOrder="0" vertical="center"/>
    </xf>
    <xf borderId="2" fillId="5" fontId="250" numFmtId="49" xfId="0" applyAlignment="1" applyBorder="1" applyFill="1" applyFont="1" applyNumberFormat="1">
      <alignment readingOrder="0" vertical="bottom"/>
    </xf>
    <xf borderId="0" fillId="5" fontId="251" numFmtId="49" xfId="0" applyAlignment="1" applyFill="1" applyFont="1" applyNumberFormat="1">
      <alignment horizontal="center" readingOrder="0"/>
    </xf>
    <xf borderId="2" fillId="6" fontId="252" numFmtId="49" xfId="0" applyAlignment="1" applyBorder="1" applyFill="1" applyFont="1" applyNumberFormat="1">
      <alignment readingOrder="0" vertical="bottom"/>
    </xf>
    <xf borderId="0" fillId="6" fontId="253" numFmtId="49" xfId="0" applyAlignment="1" applyFill="1" applyFont="1" applyNumberFormat="1">
      <alignment horizontal="center" readingOrder="0"/>
    </xf>
    <xf borderId="18" fillId="5" fontId="2" numFmtId="0" xfId="0" applyAlignment="1" applyBorder="1" applyFill="1" applyFont="1">
      <alignment horizontal="left" readingOrder="0" vertical="center"/>
    </xf>
    <xf borderId="2" fillId="0" fontId="21" numFmtId="0" xfId="0" applyBorder="1" applyFont="1"/>
    <xf borderId="2" fillId="6" fontId="21" numFmtId="49" xfId="0" applyAlignment="1" applyBorder="1" applyFill="1" applyFont="1" applyNumberFormat="1">
      <alignment readingOrder="0"/>
    </xf>
    <xf borderId="0" fillId="6" fontId="200" numFmtId="49" xfId="0" applyAlignment="1" applyFill="1" applyFont="1" applyNumberFormat="1">
      <alignment horizontal="center" readingOrder="0"/>
    </xf>
    <xf borderId="2" fillId="6" fontId="254" numFmtId="0" xfId="0" applyAlignment="1" applyBorder="1" applyFill="1" applyFont="1">
      <alignment horizontal="left"/>
    </xf>
    <xf borderId="2" fillId="6" fontId="255" numFmtId="0" xfId="0" applyAlignment="1" applyBorder="1" applyFill="1" applyFont="1">
      <alignment readingOrder="0" vertical="bottom"/>
    </xf>
    <xf borderId="2" fillId="6" fontId="256" numFmtId="0" xfId="0" applyAlignment="1" applyBorder="1" applyFill="1" applyFont="1">
      <alignment readingOrder="0" vertical="bottom"/>
    </xf>
    <xf borderId="2" fillId="6" fontId="200" numFmtId="49" xfId="0" applyAlignment="1" applyBorder="1" applyFill="1" applyFont="1" applyNumberFormat="1">
      <alignment horizontal="center" readingOrder="0"/>
    </xf>
    <xf borderId="3" fillId="4" fontId="9" numFmtId="0" xfId="0" applyAlignment="1" applyBorder="1" applyFill="1" applyFont="1">
      <alignment horizontal="center"/>
    </xf>
    <xf borderId="0" fillId="4" fontId="3" numFmtId="0" xfId="0" applyFill="1" applyFont="1"/>
    <xf borderId="2" fillId="6" fontId="62" numFmtId="0" xfId="0" applyAlignment="1" applyBorder="1" applyFill="1" applyFont="1">
      <alignment vertical="bottom"/>
    </xf>
    <xf borderId="22" fillId="4" fontId="3" numFmtId="0" xfId="0" applyBorder="1" applyFill="1" applyFont="1"/>
    <xf borderId="18" fillId="0" fontId="2" numFmtId="49" xfId="0" applyAlignment="1" applyBorder="1" applyFont="1" applyNumberFormat="1">
      <alignment vertical="center"/>
    </xf>
    <xf borderId="17" fillId="2" fontId="9" numFmtId="0" xfId="0" applyAlignment="1" applyBorder="1" applyFill="1" applyFont="1">
      <alignment horizontal="center"/>
    </xf>
    <xf borderId="2" fillId="2" fontId="3" numFmtId="0" xfId="0" applyBorder="1" applyFill="1" applyFont="1"/>
    <xf borderId="0" fillId="2" fontId="3" numFmtId="0" xfId="0" applyFill="1" applyFont="1"/>
    <xf borderId="2" fillId="2" fontId="3" numFmtId="0" xfId="0" applyAlignment="1" applyBorder="1" applyFill="1" applyFont="1">
      <alignment readingOrder="0"/>
    </xf>
    <xf borderId="0" fillId="2" fontId="3" numFmtId="0" xfId="0" applyAlignment="1" applyFill="1" applyFont="1">
      <alignment readingOrder="0"/>
    </xf>
    <xf borderId="2" fillId="0" fontId="21" numFmtId="0" xfId="0" applyAlignment="1" applyBorder="1" applyFont="1">
      <alignment readingOrder="0"/>
    </xf>
    <xf borderId="2" fillId="0" fontId="257" numFmtId="0" xfId="0" applyAlignment="1" applyBorder="1" applyFont="1">
      <alignment readingOrder="0"/>
    </xf>
    <xf borderId="2" fillId="6" fontId="21" numFmtId="49" xfId="0" applyAlignment="1" applyBorder="1" applyFill="1" applyFont="1" applyNumberFormat="1">
      <alignment readingOrder="0" vertical="bottom"/>
    </xf>
    <xf borderId="21" fillId="2" fontId="21" numFmtId="0" xfId="0" applyAlignment="1" applyBorder="1" applyFill="1" applyFont="1">
      <alignment horizontal="center" readingOrder="0" vertical="bottom"/>
    </xf>
    <xf borderId="21" fillId="2" fontId="21" numFmtId="165" xfId="0" applyAlignment="1" applyBorder="1" applyFill="1" applyFont="1" applyNumberFormat="1">
      <alignment readingOrder="0" vertical="bottom"/>
    </xf>
    <xf borderId="21" fillId="2" fontId="200" numFmtId="0" xfId="0" applyAlignment="1" applyBorder="1" applyFill="1" applyFont="1">
      <alignment readingOrder="0" vertical="bottom"/>
    </xf>
    <xf borderId="0" fillId="2" fontId="200" numFmtId="0" xfId="0" applyAlignment="1" applyFill="1" applyFont="1">
      <alignment readingOrder="0" vertical="bottom"/>
    </xf>
    <xf borderId="0" fillId="2" fontId="2" numFmtId="0" xfId="0" applyFill="1" applyFont="1"/>
    <xf borderId="2" fillId="0" fontId="21" numFmtId="49" xfId="0" applyAlignment="1" applyBorder="1" applyFont="1" applyNumberFormat="1">
      <alignment readingOrder="0" vertical="bottom"/>
    </xf>
    <xf borderId="2" fillId="6" fontId="9" numFmtId="0" xfId="0" applyAlignment="1" applyBorder="1" applyFill="1" applyFont="1">
      <alignment horizontal="right" readingOrder="0" vertical="bottom"/>
    </xf>
    <xf borderId="2" fillId="5" fontId="9" numFmtId="0" xfId="0" applyAlignment="1" applyBorder="1" applyFill="1" applyFont="1">
      <alignment horizontal="right" readingOrder="0" vertical="bottom"/>
    </xf>
    <xf borderId="2" fillId="0" fontId="9" numFmtId="0" xfId="0" applyAlignment="1" applyBorder="1" applyFont="1">
      <alignment vertical="center"/>
    </xf>
    <xf borderId="2" fillId="0" fontId="2" numFmtId="0" xfId="0" applyBorder="1" applyFont="1"/>
    <xf borderId="2" fillId="0" fontId="9" numFmtId="0" xfId="0" applyAlignment="1" applyBorder="1" applyFont="1">
      <alignment horizontal="left"/>
    </xf>
    <xf borderId="2" fillId="5" fontId="258" numFmtId="0" xfId="0" applyAlignment="1" applyBorder="1" applyFill="1" applyFont="1">
      <alignment horizontal="left" readingOrder="0"/>
    </xf>
    <xf borderId="21" fillId="2" fontId="21" numFmtId="166" xfId="0" applyAlignment="1" applyBorder="1" applyFill="1" applyFont="1" applyNumberFormat="1">
      <alignment readingOrder="0" vertical="bottom"/>
    </xf>
    <xf borderId="2" fillId="5" fontId="259" numFmtId="49" xfId="0" applyAlignment="1" applyBorder="1" applyFill="1" applyFont="1" applyNumberFormat="1">
      <alignment readingOrder="0"/>
    </xf>
    <xf borderId="17" fillId="11" fontId="260" numFmtId="0" xfId="0" applyAlignment="1" applyBorder="1" applyFill="1" applyFont="1">
      <alignment readingOrder="0" vertical="bottom"/>
    </xf>
    <xf borderId="2" fillId="2" fontId="21" numFmtId="0" xfId="0" applyAlignment="1" applyBorder="1" applyFill="1" applyFont="1">
      <alignment horizontal="center" readingOrder="0" vertical="bottom"/>
    </xf>
    <xf borderId="2" fillId="2" fontId="21" numFmtId="166" xfId="0" applyAlignment="1" applyBorder="1" applyFill="1" applyFont="1" applyNumberFormat="1">
      <alignment readingOrder="0" vertical="bottom"/>
    </xf>
    <xf borderId="2" fillId="2" fontId="200" numFmtId="0" xfId="0" applyAlignment="1" applyBorder="1" applyFill="1" applyFont="1">
      <alignment readingOrder="0" vertical="bottom"/>
    </xf>
    <xf borderId="2" fillId="2" fontId="21" numFmtId="165" xfId="0" applyAlignment="1" applyBorder="1" applyFill="1" applyFont="1" applyNumberFormat="1">
      <alignment readingOrder="0" vertical="bottom"/>
    </xf>
    <xf borderId="0" fillId="5" fontId="21" numFmtId="49" xfId="0" applyFill="1" applyFont="1" applyNumberFormat="1"/>
    <xf borderId="0" fillId="5" fontId="21" numFmtId="49" xfId="0" applyAlignment="1" applyFill="1" applyFont="1" applyNumberFormat="1">
      <alignment readingOrder="0"/>
    </xf>
    <xf borderId="0" fillId="6" fontId="21" numFmtId="0" xfId="0" applyAlignment="1" applyFill="1" applyFont="1">
      <alignment vertical="bottom"/>
    </xf>
    <xf borderId="2" fillId="6" fontId="261" numFmtId="49" xfId="0" applyAlignment="1" applyBorder="1" applyFill="1" applyFont="1" applyNumberFormat="1">
      <alignment readingOrder="0"/>
    </xf>
    <xf borderId="0" fillId="6" fontId="21" numFmtId="49" xfId="0" applyFill="1" applyFont="1" applyNumberFormat="1"/>
    <xf borderId="0" fillId="6" fontId="21" numFmtId="49" xfId="0" applyAlignment="1" applyFill="1" applyFont="1" applyNumberFormat="1">
      <alignment readingOrder="0"/>
    </xf>
    <xf borderId="1" fillId="6" fontId="2" numFmtId="0" xfId="0" applyAlignment="1" applyBorder="1" applyFill="1" applyFont="1">
      <alignment horizontal="center" readingOrder="0" vertical="center"/>
    </xf>
    <xf borderId="0" fillId="6" fontId="2" numFmtId="166" xfId="0" applyAlignment="1" applyFill="1" applyFont="1" applyNumberFormat="1">
      <alignment horizontal="center" readingOrder="0" vertical="center"/>
    </xf>
    <xf borderId="2" fillId="0" fontId="9" numFmtId="0" xfId="0" applyAlignment="1" applyBorder="1" applyFont="1">
      <alignment readingOrder="0" vertical="center"/>
    </xf>
    <xf borderId="0" fillId="6" fontId="262" numFmtId="0" xfId="0" applyAlignment="1" applyFill="1" applyFont="1">
      <alignment horizontal="center" readingOrder="0" vertical="center"/>
    </xf>
    <xf borderId="2" fillId="6" fontId="263" numFmtId="0" xfId="0" applyAlignment="1" applyBorder="1" applyFill="1" applyFont="1">
      <alignment horizontal="left" readingOrder="0"/>
    </xf>
    <xf borderId="2" fillId="6" fontId="21" numFmtId="0" xfId="0" applyAlignment="1" applyBorder="1" applyFill="1" applyFont="1">
      <alignment horizontal="left" readingOrder="0"/>
    </xf>
    <xf borderId="0" fillId="6" fontId="2" numFmtId="0" xfId="0" applyAlignment="1" applyFill="1" applyFont="1">
      <alignment horizontal="left" readingOrder="0" vertical="center"/>
    </xf>
    <xf borderId="0" fillId="6" fontId="2" numFmtId="0" xfId="0" applyAlignment="1" applyFill="1" applyFont="1">
      <alignment readingOrder="0" vertical="center"/>
    </xf>
    <xf borderId="0" fillId="6" fontId="264" numFmtId="0" xfId="0" applyAlignment="1" applyFill="1" applyFont="1">
      <alignment readingOrder="0" vertical="center"/>
    </xf>
    <xf borderId="0" fillId="5" fontId="2" numFmtId="0" xfId="0" applyAlignment="1" applyFill="1" applyFont="1">
      <alignment readingOrder="0" vertical="center"/>
    </xf>
    <xf borderId="2" fillId="6" fontId="21" numFmtId="0" xfId="0" applyAlignment="1" applyBorder="1" applyFill="1" applyFont="1">
      <alignment horizontal="left" readingOrder="0"/>
    </xf>
    <xf borderId="0" fillId="6" fontId="9" numFmtId="0" xfId="0" applyAlignment="1" applyFill="1" applyFont="1">
      <alignment vertical="bottom"/>
    </xf>
    <xf borderId="2" fillId="6" fontId="21" numFmtId="0" xfId="0" applyAlignment="1" applyBorder="1" applyFill="1" applyFont="1">
      <alignment horizontal="left"/>
    </xf>
    <xf borderId="18" fillId="11" fontId="265" numFmtId="0" xfId="0" applyAlignment="1" applyBorder="1" applyFill="1" applyFont="1">
      <alignment readingOrder="0" vertical="center"/>
    </xf>
    <xf borderId="2" fillId="5" fontId="266" numFmtId="0" xfId="0" applyAlignment="1" applyBorder="1" applyFill="1" applyFont="1">
      <alignment readingOrder="0"/>
    </xf>
    <xf borderId="2" fillId="6" fontId="267" numFmtId="49" xfId="0" applyAlignment="1" applyBorder="1" applyFill="1" applyFont="1" applyNumberFormat="1">
      <alignment readingOrder="0"/>
    </xf>
    <xf borderId="0" fillId="0" fontId="9" numFmtId="49" xfId="0" applyAlignment="1" applyFont="1" applyNumberFormat="1">
      <alignment horizontal="center"/>
    </xf>
    <xf borderId="0" fillId="0" fontId="9" numFmtId="49" xfId="0" applyAlignment="1" applyFont="1" applyNumberFormat="1">
      <alignment horizontal="center" readingOrder="0"/>
    </xf>
    <xf borderId="2" fillId="5" fontId="268" numFmtId="49" xfId="0" applyAlignment="1" applyBorder="1" applyFill="1" applyFont="1" applyNumberFormat="1">
      <alignment readingOrder="0"/>
    </xf>
    <xf borderId="2" fillId="0" fontId="21" numFmtId="0" xfId="0" applyAlignment="1" applyBorder="1" applyFont="1">
      <alignment horizontal="center" readingOrder="0" vertical="bottom"/>
    </xf>
    <xf borderId="2" fillId="0" fontId="21" numFmtId="165" xfId="0" applyAlignment="1" applyBorder="1" applyFont="1" applyNumberFormat="1">
      <alignment readingOrder="0" vertical="bottom"/>
    </xf>
    <xf borderId="2" fillId="0" fontId="200" numFmtId="0" xfId="0" applyAlignment="1" applyBorder="1" applyFont="1">
      <alignment readingOrder="0" vertical="bottom"/>
    </xf>
    <xf borderId="0" fillId="0" fontId="200" numFmtId="0" xfId="0" applyAlignment="1" applyFont="1">
      <alignment readingOrder="0" vertical="bottom"/>
    </xf>
    <xf borderId="0" fillId="0" fontId="2" numFmtId="0" xfId="0" applyAlignment="1" applyFont="1">
      <alignment vertical="bottom"/>
    </xf>
    <xf borderId="2" fillId="5" fontId="21" numFmtId="0" xfId="0" applyAlignment="1" applyBorder="1" applyFill="1" applyFont="1">
      <alignment horizontal="left"/>
    </xf>
    <xf borderId="2" fillId="5" fontId="269" numFmtId="0" xfId="0" applyAlignment="1" applyBorder="1" applyFill="1" applyFont="1">
      <alignment horizontal="left" readingOrder="0"/>
    </xf>
    <xf borderId="2" fillId="5" fontId="270" numFmtId="0" xfId="0" applyBorder="1" applyFill="1" applyFont="1"/>
    <xf borderId="2" fillId="0" fontId="9" numFmtId="0" xfId="0" applyAlignment="1" applyBorder="1" applyFont="1">
      <alignment vertical="center"/>
    </xf>
    <xf borderId="2" fillId="6" fontId="21" numFmtId="0" xfId="0" applyAlignment="1" applyBorder="1" applyFill="1" applyFont="1">
      <alignment horizontal="left" vertical="center"/>
    </xf>
    <xf borderId="1" fillId="6" fontId="2" numFmtId="0" xfId="0" applyAlignment="1" applyBorder="1" applyFill="1" applyFont="1">
      <alignment horizontal="center" readingOrder="0" vertical="center"/>
    </xf>
    <xf borderId="0" fillId="6" fontId="2" numFmtId="165" xfId="0" applyAlignment="1" applyFill="1" applyFont="1" applyNumberFormat="1">
      <alignment horizontal="center" readingOrder="0" vertical="center"/>
    </xf>
    <xf borderId="0" fillId="6" fontId="2" numFmtId="0" xfId="0" applyAlignment="1" applyFill="1" applyFont="1">
      <alignment horizontal="center" readingOrder="0" vertical="center"/>
    </xf>
    <xf borderId="0" fillId="6" fontId="271" numFmtId="0" xfId="0" applyAlignment="1" applyFill="1" applyFont="1">
      <alignment horizontal="center" readingOrder="0" vertical="center"/>
    </xf>
    <xf borderId="2" fillId="6" fontId="272" numFmtId="0" xfId="0" applyAlignment="1" applyBorder="1" applyFill="1" applyFont="1">
      <alignment vertical="bottom"/>
    </xf>
    <xf borderId="2" fillId="0" fontId="3" numFmtId="0" xfId="0" applyAlignment="1" applyBorder="1" applyFont="1">
      <alignment horizontal="left" vertical="center"/>
    </xf>
    <xf borderId="2" fillId="6" fontId="21" numFmtId="0" xfId="0" applyAlignment="1" applyBorder="1" applyFill="1" applyFont="1">
      <alignment horizontal="center" readingOrder="0" vertical="bottom"/>
    </xf>
    <xf borderId="2" fillId="6" fontId="21" numFmtId="165" xfId="0" applyAlignment="1" applyBorder="1" applyFill="1" applyFont="1" applyNumberFormat="1">
      <alignment readingOrder="0" vertical="bottom"/>
    </xf>
    <xf borderId="2" fillId="6" fontId="200" numFmtId="0" xfId="0" applyAlignment="1" applyBorder="1" applyFill="1" applyFont="1">
      <alignment readingOrder="0" vertical="bottom"/>
    </xf>
    <xf borderId="0" fillId="6" fontId="200" numFmtId="0" xfId="0" applyAlignment="1" applyFill="1" applyFont="1">
      <alignment readingOrder="0" vertical="bottom"/>
    </xf>
    <xf borderId="0" fillId="6" fontId="2" numFmtId="0" xfId="0" applyFill="1" applyFont="1"/>
    <xf borderId="14" fillId="6" fontId="9" numFmtId="0" xfId="0" applyAlignment="1" applyBorder="1" applyFill="1" applyFont="1">
      <alignment vertical="bottom"/>
    </xf>
    <xf borderId="14" fillId="6" fontId="273" numFmtId="0" xfId="0" applyAlignment="1" applyBorder="1" applyFill="1" applyFont="1">
      <alignment vertical="bottom"/>
    </xf>
    <xf borderId="14" fillId="6" fontId="9" numFmtId="0" xfId="0" applyAlignment="1" applyBorder="1" applyFill="1" applyFont="1">
      <alignment readingOrder="0" vertical="bottom"/>
    </xf>
    <xf borderId="16" fillId="6" fontId="9" numFmtId="0" xfId="0" applyAlignment="1" applyBorder="1" applyFill="1" applyFont="1">
      <alignment shrinkToFit="0" vertical="bottom" wrapText="1"/>
    </xf>
    <xf borderId="16" fillId="6" fontId="9" numFmtId="0" xfId="0" applyAlignment="1" applyBorder="1" applyFill="1" applyFont="1">
      <alignment vertical="bottom"/>
    </xf>
    <xf borderId="16" fillId="0" fontId="9" numFmtId="0" xfId="0" applyAlignment="1" applyBorder="1" applyFont="1">
      <alignment vertical="bottom"/>
    </xf>
    <xf borderId="16" fillId="0" fontId="274" numFmtId="0" xfId="0" applyAlignment="1" applyBorder="1" applyFont="1">
      <alignment vertical="bottom"/>
    </xf>
    <xf borderId="16" fillId="0" fontId="275" numFmtId="0" xfId="0" applyAlignment="1" applyBorder="1" applyFont="1">
      <alignment shrinkToFit="0" vertical="bottom" wrapText="0"/>
    </xf>
    <xf borderId="16" fillId="0" fontId="9" numFmtId="0" xfId="0" applyAlignment="1" applyBorder="1" applyFont="1">
      <alignment readingOrder="0" vertical="bottom"/>
    </xf>
    <xf borderId="0" fillId="0" fontId="9" numFmtId="0" xfId="0" applyAlignment="1" applyFont="1">
      <alignment vertical="bottom"/>
    </xf>
    <xf borderId="16" fillId="6" fontId="276" numFmtId="0" xfId="0" applyAlignment="1" applyBorder="1" applyFill="1" applyFont="1">
      <alignment shrinkToFit="0" vertical="bottom" wrapText="0"/>
    </xf>
    <xf borderId="16" fillId="6" fontId="9" numFmtId="0" xfId="0" applyAlignment="1" applyBorder="1" applyFill="1" applyFont="1">
      <alignment shrinkToFit="0" vertical="bottom" wrapText="1"/>
    </xf>
    <xf borderId="16" fillId="5" fontId="277" numFmtId="0" xfId="0" applyAlignment="1" applyBorder="1" applyFill="1" applyFont="1">
      <alignment shrinkToFit="0" vertical="bottom" wrapText="0"/>
    </xf>
    <xf borderId="18" fillId="5" fontId="278" numFmtId="0" xfId="0" applyAlignment="1" applyBorder="1" applyFill="1" applyFont="1">
      <alignment vertical="center"/>
    </xf>
    <xf borderId="16" fillId="11" fontId="279" numFmtId="0" xfId="0" applyAlignment="1" applyBorder="1" applyFill="1" applyFont="1">
      <alignment readingOrder="0" vertical="bottom"/>
    </xf>
    <xf borderId="2" fillId="6" fontId="9" numFmtId="0" xfId="0" applyAlignment="1" applyBorder="1" applyFill="1" applyFont="1">
      <alignment shrinkToFit="0" vertical="bottom" wrapText="1"/>
    </xf>
    <xf borderId="17" fillId="6" fontId="280" numFmtId="0" xfId="0" applyAlignment="1" applyBorder="1" applyFill="1" applyFont="1">
      <alignment shrinkToFit="0" vertical="bottom" wrapText="0"/>
    </xf>
    <xf borderId="2" fillId="5" fontId="9" numFmtId="0" xfId="0" applyAlignment="1" applyBorder="1" applyFill="1" applyFont="1">
      <alignment shrinkToFit="0" vertical="bottom" wrapText="1"/>
    </xf>
    <xf borderId="18" fillId="11" fontId="281" numFmtId="0" xfId="0" applyAlignment="1" applyBorder="1" applyFill="1" applyFont="1">
      <alignment readingOrder="0" vertical="center"/>
    </xf>
    <xf borderId="18" fillId="11" fontId="282" numFmtId="0" xfId="0" applyAlignment="1" applyBorder="1" applyFill="1" applyFont="1">
      <alignment readingOrder="0" vertical="center"/>
    </xf>
    <xf borderId="2" fillId="5" fontId="283" numFmtId="0" xfId="0" applyAlignment="1" applyBorder="1" applyFill="1" applyFont="1">
      <alignment shrinkToFit="0" vertical="bottom" wrapText="0"/>
    </xf>
    <xf borderId="18" fillId="0" fontId="284" numFmtId="49" xfId="0" applyAlignment="1" applyBorder="1" applyFont="1" applyNumberFormat="1">
      <alignment horizontal="left"/>
    </xf>
    <xf borderId="0" fillId="0" fontId="285" numFmtId="0" xfId="0" applyAlignment="1" applyFont="1">
      <alignment horizontal="center" readingOrder="0" vertical="center"/>
    </xf>
    <xf borderId="2" fillId="6" fontId="286" numFmtId="0" xfId="0" applyAlignment="1" applyBorder="1" applyFill="1" applyFont="1">
      <alignment shrinkToFit="0" vertical="bottom" wrapText="0"/>
    </xf>
    <xf borderId="2" fillId="6" fontId="3" numFmtId="0" xfId="0" applyAlignment="1" applyBorder="1" applyFill="1" applyFont="1">
      <alignment readingOrder="0"/>
    </xf>
    <xf borderId="0" fillId="6" fontId="3" numFmtId="0" xfId="0" applyAlignment="1" applyFill="1" applyFont="1">
      <alignment readingOrder="0"/>
    </xf>
    <xf borderId="2" fillId="0" fontId="3" numFmtId="0" xfId="0" applyAlignment="1" applyBorder="1" applyFont="1">
      <alignment readingOrder="0"/>
    </xf>
    <xf borderId="2" fillId="6" fontId="287" numFmtId="0" xfId="0" applyAlignment="1" applyBorder="1" applyFill="1" applyFont="1">
      <alignment shrinkToFit="0" vertical="bottom" wrapText="0"/>
    </xf>
    <xf borderId="2" fillId="15" fontId="288" numFmtId="0" xfId="0" applyAlignment="1" applyBorder="1" applyFill="1" applyFont="1">
      <alignment readingOrder="0" vertical="bottom"/>
    </xf>
    <xf borderId="2" fillId="5" fontId="289" numFmtId="0" xfId="0" applyAlignment="1" applyBorder="1" applyFill="1" applyFont="1">
      <alignment shrinkToFit="0" vertical="bottom" wrapText="0"/>
    </xf>
    <xf borderId="2" fillId="6" fontId="21" numFmtId="166" xfId="0" applyAlignment="1" applyBorder="1" applyFill="1" applyFont="1" applyNumberFormat="1">
      <alignment readingOrder="0" vertical="bottom"/>
    </xf>
    <xf borderId="2" fillId="0" fontId="21" numFmtId="166" xfId="0" applyAlignment="1" applyBorder="1" applyFont="1" applyNumberFormat="1">
      <alignment readingOrder="0" vertical="bottom"/>
    </xf>
    <xf borderId="1" fillId="6" fontId="2" numFmtId="0" xfId="0" applyAlignment="1" applyBorder="1" applyFill="1" applyFont="1">
      <alignment horizontal="center" readingOrder="0" vertical="center"/>
    </xf>
    <xf borderId="0" fillId="6" fontId="2" numFmtId="165" xfId="0" applyAlignment="1" applyFill="1" applyFont="1" applyNumberFormat="1">
      <alignment horizontal="center" readingOrder="0" vertical="center"/>
    </xf>
    <xf borderId="0" fillId="6" fontId="2" numFmtId="0" xfId="0" applyAlignment="1" applyFill="1" applyFont="1">
      <alignment horizontal="center" readingOrder="0" vertical="center"/>
    </xf>
    <xf borderId="0" fillId="6" fontId="290" numFmtId="0" xfId="0" applyAlignment="1" applyFill="1" applyFont="1">
      <alignment horizontal="center" readingOrder="0" vertical="center"/>
    </xf>
    <xf borderId="2" fillId="11" fontId="291" numFmtId="0" xfId="0" applyAlignment="1" applyBorder="1" applyFill="1" applyFont="1">
      <alignment horizontal="center" readingOrder="0" vertical="bottom"/>
    </xf>
    <xf borderId="2" fillId="11" fontId="292" numFmtId="166" xfId="0" applyAlignment="1" applyBorder="1" applyFill="1" applyFont="1" applyNumberFormat="1">
      <alignment horizontal="center" readingOrder="0" vertical="bottom"/>
    </xf>
    <xf borderId="0" fillId="11" fontId="293" numFmtId="0" xfId="0" applyAlignment="1" applyFill="1" applyFont="1">
      <alignment horizontal="center" readingOrder="0" vertical="bottom"/>
    </xf>
    <xf borderId="2" fillId="6" fontId="294" numFmtId="0" xfId="0" applyBorder="1" applyFill="1" applyFont="1"/>
    <xf borderId="0" fillId="6" fontId="21" numFmtId="0" xfId="0" applyAlignment="1" applyFill="1" applyFont="1">
      <alignment horizontal="center" readingOrder="0"/>
    </xf>
    <xf borderId="0" fillId="6" fontId="21" numFmtId="166" xfId="0" applyAlignment="1" applyFill="1" applyFont="1" applyNumberFormat="1">
      <alignment readingOrder="0"/>
    </xf>
    <xf borderId="2" fillId="5" fontId="295" numFmtId="0" xfId="0" applyBorder="1" applyFill="1" applyFont="1"/>
    <xf borderId="2" fillId="11" fontId="296" numFmtId="0" xfId="0" applyAlignment="1" applyBorder="1" applyFill="1" applyFont="1">
      <alignment readingOrder="0"/>
    </xf>
    <xf borderId="2" fillId="5" fontId="21" numFmtId="0" xfId="0" applyAlignment="1" applyBorder="1" applyFill="1" applyFont="1">
      <alignment horizontal="center" readingOrder="0"/>
    </xf>
    <xf borderId="2" fillId="5" fontId="21" numFmtId="165" xfId="0" applyAlignment="1" applyBorder="1" applyFill="1" applyFont="1" applyNumberFormat="1">
      <alignment readingOrder="0"/>
    </xf>
    <xf borderId="2" fillId="6" fontId="21" numFmtId="0" xfId="0" applyAlignment="1" applyBorder="1" applyFill="1" applyFont="1">
      <alignment horizontal="center" readingOrder="0"/>
    </xf>
    <xf borderId="2" fillId="6" fontId="21" numFmtId="165" xfId="0" applyAlignment="1" applyBorder="1" applyFill="1" applyFont="1" applyNumberFormat="1">
      <alignment readingOrder="0"/>
    </xf>
    <xf borderId="2" fillId="6" fontId="21" numFmtId="0" xfId="0" applyAlignment="1" applyBorder="1" applyFill="1" applyFont="1">
      <alignment readingOrder="0"/>
    </xf>
    <xf borderId="0" fillId="6" fontId="21" numFmtId="0" xfId="0" applyAlignment="1" applyFill="1" applyFont="1">
      <alignment readingOrder="0"/>
    </xf>
    <xf borderId="2" fillId="5" fontId="297" numFmtId="0" xfId="0" applyAlignment="1" applyBorder="1" applyFill="1" applyFont="1">
      <alignment readingOrder="0" vertical="bottom"/>
    </xf>
    <xf borderId="0" fillId="5" fontId="21" numFmtId="0" xfId="0" applyAlignment="1" applyFill="1" applyFont="1">
      <alignment readingOrder="0"/>
    </xf>
    <xf borderId="18" fillId="0" fontId="9" numFmtId="0" xfId="0" applyAlignment="1" applyBorder="1" applyFont="1">
      <alignment horizontal="center" readingOrder="0" vertical="center"/>
    </xf>
    <xf borderId="2" fillId="5" fontId="21" numFmtId="165" xfId="0" applyAlignment="1" applyBorder="1" applyFill="1" applyFont="1" applyNumberFormat="1">
      <alignment horizontal="center" readingOrder="0"/>
    </xf>
    <xf borderId="0" fillId="5" fontId="21" numFmtId="0" xfId="0" applyAlignment="1" applyFill="1" applyFont="1">
      <alignment horizontal="center" readingOrder="0"/>
    </xf>
    <xf borderId="2" fillId="8" fontId="298" numFmtId="0" xfId="0" applyAlignment="1" applyBorder="1" applyFill="1" applyFont="1">
      <alignment vertical="bottom"/>
    </xf>
    <xf borderId="18" fillId="6" fontId="298" numFmtId="0" xfId="0" applyAlignment="1" applyBorder="1" applyFill="1" applyFont="1">
      <alignment horizontal="left" vertical="center"/>
    </xf>
    <xf borderId="1" fillId="6" fontId="62" numFmtId="0" xfId="0" applyAlignment="1" applyBorder="1" applyFill="1" applyFont="1">
      <alignment readingOrder="0"/>
    </xf>
    <xf borderId="1" fillId="5" fontId="62" numFmtId="0" xfId="0" applyAlignment="1" applyBorder="1" applyFill="1" applyFont="1">
      <alignment readingOrder="0"/>
    </xf>
    <xf borderId="0" fillId="0" fontId="299" numFmtId="0" xfId="0" applyAlignment="1" applyFont="1">
      <alignment readingOrder="0"/>
    </xf>
    <xf borderId="1" fillId="5" fontId="300" numFmtId="0" xfId="0" applyAlignment="1" applyBorder="1" applyFill="1" applyFont="1">
      <alignment readingOrder="0"/>
    </xf>
    <xf borderId="1" fillId="5" fontId="62" numFmtId="0" xfId="0" applyAlignment="1" applyBorder="1" applyFill="1" applyFont="1">
      <alignment readingOrder="0" vertical="bottom"/>
    </xf>
    <xf borderId="1" fillId="5" fontId="62" numFmtId="164" xfId="0" applyAlignment="1" applyBorder="1" applyFill="1" applyFont="1" applyNumberFormat="1">
      <alignment readingOrder="0" vertical="bottom"/>
    </xf>
    <xf borderId="0" fillId="5" fontId="62" numFmtId="0" xfId="0" applyAlignment="1" applyFill="1" applyFont="1">
      <alignment readingOrder="0" vertical="bottom"/>
    </xf>
    <xf borderId="2" fillId="6" fontId="9" numFmtId="0" xfId="0" applyAlignment="1" applyBorder="1" applyFill="1" applyFont="1">
      <alignment shrinkToFit="0" vertical="bottom" wrapText="1"/>
    </xf>
    <xf borderId="0" fillId="5" fontId="301" numFmtId="0" xfId="0" applyAlignment="1" applyFill="1" applyFont="1">
      <alignment readingOrder="0" vertical="bottom"/>
    </xf>
    <xf borderId="0" fillId="0" fontId="12" numFmtId="0" xfId="0" applyFont="1"/>
    <xf borderId="0" fillId="6" fontId="2" numFmtId="166" xfId="0" applyAlignment="1" applyFill="1" applyFont="1" applyNumberFormat="1">
      <alignment horizontal="center" readingOrder="0" vertical="center"/>
    </xf>
    <xf borderId="1" fillId="5" fontId="62" numFmtId="0" xfId="0" applyAlignment="1" applyBorder="1" applyFill="1" applyFont="1">
      <alignment readingOrder="0" vertical="bottom"/>
    </xf>
    <xf borderId="1" fillId="5" fontId="302" numFmtId="0" xfId="0" applyAlignment="1" applyBorder="1" applyFill="1" applyFont="1">
      <alignment readingOrder="0" vertical="bottom"/>
    </xf>
    <xf borderId="2" fillId="6" fontId="130" numFmtId="0" xfId="0" applyAlignment="1" applyBorder="1" applyFill="1" applyFont="1">
      <alignment readingOrder="0"/>
    </xf>
    <xf borderId="2" fillId="0" fontId="130" numFmtId="164" xfId="0" applyBorder="1" applyFont="1" applyNumberFormat="1"/>
    <xf borderId="2" fillId="0" fontId="130" numFmtId="0" xfId="0" applyBorder="1" applyFont="1"/>
    <xf borderId="1" fillId="16" fontId="62" numFmtId="0" xfId="0" applyAlignment="1" applyBorder="1" applyFill="1" applyFont="1">
      <alignment readingOrder="0" shrinkToFit="0" wrapText="1"/>
    </xf>
    <xf borderId="1" fillId="0" fontId="62" numFmtId="0" xfId="0" applyAlignment="1" applyBorder="1" applyFont="1">
      <alignment readingOrder="0"/>
    </xf>
    <xf borderId="2" fillId="6" fontId="9" numFmtId="0" xfId="0" applyAlignment="1" applyBorder="1" applyFill="1" applyFont="1">
      <alignment horizontal="center" readingOrder="0"/>
    </xf>
    <xf borderId="1" fillId="0" fontId="62" numFmtId="164" xfId="0" applyAlignment="1" applyBorder="1" applyFont="1" applyNumberFormat="1">
      <alignment readingOrder="0"/>
    </xf>
    <xf borderId="1" fillId="0" fontId="12" numFmtId="0" xfId="0" applyBorder="1" applyFont="1"/>
    <xf borderId="2" fillId="0" fontId="9" numFmtId="0" xfId="0" applyAlignment="1" applyBorder="1" applyFont="1">
      <alignment horizontal="center" readingOrder="0"/>
    </xf>
    <xf borderId="2" fillId="6" fontId="21" numFmtId="0" xfId="0" applyAlignment="1" applyBorder="1" applyFill="1" applyFont="1">
      <alignment vertical="bottom"/>
    </xf>
    <xf borderId="18" fillId="6" fontId="9" numFmtId="0" xfId="0" applyAlignment="1" applyBorder="1" applyFill="1" applyFont="1">
      <alignment shrinkToFit="0" vertical="bottom" wrapText="1"/>
    </xf>
    <xf borderId="18" fillId="6" fontId="130" numFmtId="0" xfId="0" applyAlignment="1" applyBorder="1" applyFill="1" applyFont="1">
      <alignment vertical="bottom"/>
    </xf>
    <xf borderId="18" fillId="6" fontId="303" numFmtId="0" xfId="0" applyAlignment="1" applyBorder="1" applyFill="1" applyFont="1">
      <alignment vertical="bottom"/>
    </xf>
    <xf borderId="18" fillId="6" fontId="130" numFmtId="0" xfId="0" applyAlignment="1" applyBorder="1" applyFill="1" applyFont="1">
      <alignment readingOrder="0" vertical="bottom"/>
    </xf>
    <xf borderId="2" fillId="6" fontId="9" numFmtId="0" xfId="0" applyAlignment="1" applyBorder="1" applyFill="1" applyFont="1">
      <alignment readingOrder="0"/>
    </xf>
    <xf borderId="2" fillId="6" fontId="304" numFmtId="0" xfId="0" applyAlignment="1" applyBorder="1" applyFill="1" applyFont="1">
      <alignment horizontal="left" readingOrder="0"/>
    </xf>
    <xf borderId="2" fillId="6" fontId="9" numFmtId="0" xfId="0" applyAlignment="1" applyBorder="1" applyFill="1" applyFont="1">
      <alignment horizontal="left" readingOrder="0"/>
    </xf>
    <xf borderId="18" fillId="6" fontId="2" numFmtId="0" xfId="0" applyAlignment="1" applyBorder="1" applyFill="1" applyFont="1">
      <alignment horizontal="left" vertical="center"/>
    </xf>
    <xf borderId="18" fillId="6" fontId="2" numFmtId="0" xfId="0" applyAlignment="1" applyBorder="1" applyFill="1" applyFont="1">
      <alignment vertical="center"/>
    </xf>
    <xf borderId="0" fillId="0" fontId="172" numFmtId="0" xfId="0" applyAlignment="1" applyFont="1">
      <alignment readingOrder="0" shrinkToFit="0" vertical="center" wrapText="1"/>
    </xf>
    <xf borderId="18" fillId="6" fontId="305" numFmtId="0" xfId="0" applyAlignment="1" applyBorder="1" applyFill="1" applyFont="1">
      <alignment vertical="center"/>
    </xf>
    <xf borderId="0" fillId="6" fontId="172" numFmtId="0" xfId="0" applyAlignment="1" applyFill="1" applyFont="1">
      <alignment readingOrder="0"/>
    </xf>
    <xf borderId="0" fillId="0" fontId="130" numFmtId="0" xfId="0" applyAlignment="1" applyFont="1">
      <alignment readingOrder="0" vertical="bottom"/>
    </xf>
    <xf borderId="0" fillId="0" fontId="306" numFmtId="0" xfId="0" applyAlignment="1" applyFont="1">
      <alignment readingOrder="0" shrinkToFit="0" vertical="center" wrapText="0"/>
    </xf>
    <xf borderId="0" fillId="0" fontId="307" numFmtId="0" xfId="0" applyAlignment="1" applyFont="1">
      <alignment horizontal="left" readingOrder="0" vertical="center"/>
    </xf>
    <xf borderId="18" fillId="5" fontId="2" numFmtId="0" xfId="0" applyAlignment="1" applyBorder="1" applyFill="1" applyFont="1">
      <alignment horizontal="left" vertical="center"/>
    </xf>
    <xf borderId="18" fillId="5" fontId="308" numFmtId="0" xfId="0" applyAlignment="1" applyBorder="1" applyFill="1" applyFont="1">
      <alignment vertical="center"/>
    </xf>
    <xf borderId="18" fillId="5" fontId="2" numFmtId="49" xfId="0" applyAlignment="1" applyBorder="1" applyFill="1" applyFont="1" applyNumberFormat="1">
      <alignment readingOrder="0" vertical="center"/>
    </xf>
    <xf borderId="18" fillId="0" fontId="309" numFmtId="0" xfId="0" applyAlignment="1" applyBorder="1" applyFont="1">
      <alignment horizontal="left" readingOrder="0" vertical="center"/>
    </xf>
    <xf borderId="2" fillId="6" fontId="172" numFmtId="0" xfId="0" applyAlignment="1" applyBorder="1" applyFill="1" applyFont="1">
      <alignment readingOrder="0" shrinkToFit="0" vertical="center" wrapText="1"/>
    </xf>
    <xf borderId="2" fillId="6" fontId="213" numFmtId="0" xfId="0" applyAlignment="1" applyBorder="1" applyFill="1" applyFont="1">
      <alignment readingOrder="0"/>
    </xf>
    <xf borderId="2" fillId="6" fontId="310" numFmtId="0" xfId="0" applyAlignment="1" applyBorder="1" applyFill="1" applyFont="1">
      <alignment horizontal="left" readingOrder="0" vertical="center"/>
    </xf>
    <xf borderId="18" fillId="6" fontId="2" numFmtId="0" xfId="0" applyAlignment="1" applyBorder="1" applyFill="1" applyFont="1">
      <alignment vertical="center"/>
    </xf>
    <xf borderId="18" fillId="6" fontId="311" numFmtId="0" xfId="0" applyAlignment="1" applyBorder="1" applyFill="1" applyFont="1">
      <alignment vertical="center"/>
    </xf>
    <xf borderId="2" fillId="6" fontId="9" numFmtId="0" xfId="0" applyAlignment="1" applyBorder="1" applyFill="1" applyFont="1">
      <alignment horizontal="center" readingOrder="0"/>
    </xf>
    <xf borderId="2" fillId="0" fontId="9" numFmtId="0" xfId="0" applyAlignment="1" applyBorder="1" applyFont="1">
      <alignment horizontal="center" readingOrder="0"/>
    </xf>
    <xf borderId="2" fillId="0" fontId="312" numFmtId="0" xfId="0" applyBorder="1" applyFont="1"/>
    <xf borderId="18" fillId="5" fontId="9" numFmtId="0" xfId="0" applyBorder="1" applyFill="1" applyFont="1"/>
    <xf borderId="18" fillId="5" fontId="2" numFmtId="0" xfId="0" applyAlignment="1" applyBorder="1" applyFill="1" applyFont="1">
      <alignment vertical="center"/>
    </xf>
    <xf borderId="18" fillId="5" fontId="313" numFmtId="0" xfId="0" applyAlignment="1" applyBorder="1" applyFill="1" applyFont="1">
      <alignment vertical="center"/>
    </xf>
    <xf borderId="0" fillId="0" fontId="314" numFmtId="0" xfId="0" applyAlignment="1" applyFont="1">
      <alignment readingOrder="0"/>
    </xf>
    <xf borderId="2" fillId="0" fontId="315" numFmtId="0" xfId="0" applyBorder="1" applyFont="1"/>
    <xf borderId="2" fillId="0" fontId="9" numFmtId="0" xfId="0" applyAlignment="1" applyBorder="1" applyFont="1">
      <alignment horizontal="center"/>
    </xf>
    <xf borderId="2" fillId="0" fontId="9" numFmtId="0" xfId="0" applyAlignment="1" applyBorder="1" applyFont="1">
      <alignment readingOrder="0" vertical="bottom"/>
    </xf>
    <xf borderId="2" fillId="0" fontId="316" numFmtId="0" xfId="0" applyAlignment="1" applyBorder="1" applyFont="1">
      <alignment horizontal="center" readingOrder="0"/>
    </xf>
    <xf borderId="2" fillId="0" fontId="9" numFmtId="0" xfId="0" applyAlignment="1" applyBorder="1" applyFont="1">
      <alignment horizontal="center" readingOrder="0"/>
    </xf>
    <xf borderId="18" fillId="6" fontId="21" numFmtId="0" xfId="0" applyAlignment="1" applyBorder="1" applyFill="1" applyFont="1">
      <alignment horizontal="left" vertical="center"/>
    </xf>
    <xf borderId="2" fillId="5" fontId="317" numFmtId="0" xfId="0" applyAlignment="1" applyBorder="1" applyFill="1" applyFont="1">
      <alignment readingOrder="0"/>
    </xf>
    <xf borderId="0" fillId="17" fontId="318" numFmtId="0" xfId="0" applyAlignment="1" applyFill="1" applyFont="1">
      <alignment shrinkToFit="0" wrapText="0"/>
    </xf>
    <xf borderId="21" fillId="5" fontId="9" numFmtId="0" xfId="0" applyAlignment="1" applyBorder="1" applyFill="1" applyFont="1">
      <alignment readingOrder="0" vertical="bottom"/>
    </xf>
    <xf borderId="21" fillId="5" fontId="9" numFmtId="164" xfId="0" applyAlignment="1" applyBorder="1" applyFill="1" applyFont="1" applyNumberFormat="1">
      <alignment readingOrder="0" vertical="bottom"/>
    </xf>
    <xf borderId="2" fillId="5" fontId="319" numFmtId="0" xfId="0" applyAlignment="1" applyBorder="1" applyFill="1" applyFont="1">
      <alignment readingOrder="0" vertical="bottom"/>
    </xf>
    <xf borderId="0" fillId="16" fontId="320" numFmtId="0" xfId="0" applyAlignment="1" applyFill="1" applyFont="1">
      <alignment readingOrder="0" shrinkToFit="0" wrapText="1"/>
    </xf>
    <xf borderId="0" fillId="0" fontId="9" numFmtId="0" xfId="0" applyAlignment="1" applyFont="1">
      <alignment readingOrder="0"/>
    </xf>
    <xf borderId="0" fillId="0" fontId="321" numFmtId="0" xfId="0" applyAlignment="1" applyFont="1">
      <alignment readingOrder="0"/>
    </xf>
    <xf borderId="18" fillId="6" fontId="322" numFmtId="0" xfId="0" applyAlignment="1" applyBorder="1" applyFill="1" applyFont="1">
      <alignment vertical="center"/>
    </xf>
    <xf borderId="0" fillId="0" fontId="9" numFmtId="164" xfId="0" applyAlignment="1" applyFont="1" applyNumberFormat="1">
      <alignment readingOrder="0"/>
    </xf>
    <xf borderId="14" fillId="5" fontId="9" numFmtId="0" xfId="0" applyBorder="1" applyFill="1" applyFont="1"/>
    <xf borderId="14" fillId="5" fontId="323" numFmtId="0" xfId="0" applyBorder="1" applyFill="1" applyFont="1"/>
    <xf borderId="14" fillId="5" fontId="9" numFmtId="0" xfId="0" applyAlignment="1" applyBorder="1" applyFill="1" applyFont="1">
      <alignment readingOrder="0"/>
    </xf>
    <xf borderId="18" fillId="5" fontId="9" numFmtId="0" xfId="0" applyAlignment="1" applyBorder="1" applyFill="1" applyFont="1">
      <alignment horizontal="left" vertical="bottom"/>
    </xf>
    <xf borderId="16" fillId="5" fontId="21" numFmtId="0" xfId="0" applyAlignment="1" applyBorder="1" applyFill="1" applyFont="1">
      <alignment vertical="bottom"/>
    </xf>
    <xf borderId="16" fillId="5" fontId="21" numFmtId="0" xfId="0" applyAlignment="1" applyBorder="1" applyFill="1" applyFont="1">
      <alignment readingOrder="0" vertical="bottom"/>
    </xf>
    <xf borderId="18" fillId="0" fontId="9" numFmtId="0" xfId="0" applyBorder="1" applyFont="1"/>
    <xf borderId="18" fillId="6" fontId="2" numFmtId="0" xfId="0" applyAlignment="1" applyBorder="1" applyFill="1" applyFont="1">
      <alignment vertical="center"/>
    </xf>
    <xf borderId="2" fillId="5" fontId="324" numFmtId="0" xfId="0" applyAlignment="1" applyBorder="1" applyFill="1" applyFont="1">
      <alignment readingOrder="0"/>
    </xf>
    <xf borderId="2" fillId="5" fontId="9" numFmtId="0" xfId="0" applyAlignment="1" applyBorder="1" applyFill="1" applyFont="1">
      <alignment readingOrder="0"/>
    </xf>
    <xf borderId="21" fillId="5" fontId="9" numFmtId="166" xfId="0" applyAlignment="1" applyBorder="1" applyFill="1" applyFont="1" applyNumberFormat="1">
      <alignment readingOrder="0" vertical="bottom"/>
    </xf>
    <xf borderId="0" fillId="2" fontId="9" numFmtId="0" xfId="0" applyAlignment="1" applyFill="1" applyFont="1">
      <alignment readingOrder="0" vertical="bottom"/>
    </xf>
    <xf borderId="0" fillId="2" fontId="325" numFmtId="0" xfId="0" applyAlignment="1" applyFill="1" applyFont="1">
      <alignment readingOrder="0" vertical="bottom"/>
    </xf>
    <xf borderId="18" fillId="5" fontId="2" numFmtId="0" xfId="0" applyAlignment="1" applyBorder="1" applyFill="1" applyFont="1">
      <alignment horizontal="left" vertical="center"/>
    </xf>
    <xf borderId="2" fillId="5" fontId="326" numFmtId="0" xfId="0" applyAlignment="1" applyBorder="1" applyFill="1" applyFont="1">
      <alignment readingOrder="0" vertical="bottom"/>
    </xf>
    <xf borderId="2" fillId="5" fontId="9" numFmtId="0" xfId="0" applyAlignment="1" applyBorder="1" applyFill="1" applyFont="1">
      <alignment readingOrder="0" vertical="bottom"/>
    </xf>
    <xf borderId="18" fillId="5" fontId="2" numFmtId="0" xfId="0" applyAlignment="1" applyBorder="1" applyFill="1" applyFont="1">
      <alignment vertical="center"/>
    </xf>
    <xf borderId="18" fillId="5" fontId="327" numFmtId="0" xfId="0" applyAlignment="1" applyBorder="1" applyFill="1" applyFont="1">
      <alignment vertical="center"/>
    </xf>
    <xf borderId="18" fillId="5" fontId="2" numFmtId="49" xfId="0" applyAlignment="1" applyBorder="1" applyFill="1" applyFont="1" applyNumberFormat="1">
      <alignment vertical="center"/>
    </xf>
    <xf borderId="0" fillId="0" fontId="328" numFmtId="0" xfId="0" applyAlignment="1" applyFont="1">
      <alignment readingOrder="0"/>
    </xf>
    <xf borderId="0" fillId="0" fontId="9" numFmtId="165" xfId="0" applyAlignment="1" applyFont="1" applyNumberFormat="1">
      <alignment readingOrder="0"/>
    </xf>
    <xf borderId="0" fillId="0" fontId="329" numFmtId="0" xfId="0" applyAlignment="1" applyFont="1">
      <alignment readingOrder="0"/>
    </xf>
    <xf borderId="0" fillId="0" fontId="9" numFmtId="166" xfId="0" applyAlignment="1" applyFont="1" applyNumberFormat="1">
      <alignment readingOrder="0"/>
    </xf>
    <xf borderId="18" fillId="5" fontId="330" numFmtId="0" xfId="0" applyAlignment="1" applyBorder="1" applyFill="1" applyFont="1">
      <alignment readingOrder="0" vertical="center"/>
    </xf>
    <xf borderId="18" fillId="6" fontId="331" numFmtId="0" xfId="0" applyAlignment="1" applyBorder="1" applyFill="1" applyFont="1">
      <alignment readingOrder="0" vertical="center"/>
    </xf>
    <xf borderId="18" fillId="5" fontId="332" numFmtId="0" xfId="0" applyAlignment="1" applyBorder="1" applyFill="1" applyFont="1">
      <alignment vertical="center"/>
    </xf>
    <xf borderId="18" fillId="6" fontId="333" numFmtId="0" xfId="0" applyAlignment="1" applyBorder="1" applyFill="1" applyFont="1">
      <alignment vertical="center"/>
    </xf>
    <xf borderId="18" fillId="5" fontId="334" numFmtId="0" xfId="0" applyBorder="1" applyFill="1" applyFont="1"/>
    <xf borderId="18" fillId="5" fontId="335" numFmtId="49" xfId="0" applyAlignment="1" applyBorder="1" applyFill="1" applyFont="1" applyNumberFormat="1">
      <alignment horizontal="center" readingOrder="0" vertical="center"/>
    </xf>
    <xf borderId="18" fillId="0" fontId="3" numFmtId="49" xfId="0" applyAlignment="1" applyBorder="1" applyFont="1" applyNumberFormat="1">
      <alignment readingOrder="0"/>
    </xf>
    <xf borderId="18" fillId="6" fontId="336" numFmtId="0" xfId="0" applyBorder="1" applyFill="1" applyFont="1"/>
    <xf borderId="18" fillId="5" fontId="337" numFmtId="49" xfId="0" applyAlignment="1" applyBorder="1" applyFill="1" applyFont="1" applyNumberFormat="1">
      <alignment horizontal="left" readingOrder="0" vertical="center"/>
    </xf>
    <xf borderId="1" fillId="6" fontId="338" numFmtId="0" xfId="0" applyAlignment="1" applyBorder="1" applyFill="1" applyFont="1">
      <alignment readingOrder="0"/>
    </xf>
    <xf borderId="0" fillId="5" fontId="339" numFmtId="0" xfId="0" applyAlignment="1" applyFill="1" applyFont="1">
      <alignment readingOrder="0"/>
    </xf>
    <xf borderId="0" fillId="5" fontId="340" numFmtId="0" xfId="0" applyAlignment="1" applyFill="1" applyFont="1">
      <alignment readingOrder="0"/>
    </xf>
    <xf borderId="21" fillId="5" fontId="9" numFmtId="165" xfId="0" applyAlignment="1" applyBorder="1" applyFill="1" applyFont="1" applyNumberFormat="1">
      <alignment readingOrder="0" vertical="bottom"/>
    </xf>
    <xf borderId="1" fillId="5" fontId="341" numFmtId="0" xfId="0" applyAlignment="1" applyBorder="1" applyFill="1" applyFont="1">
      <alignment readingOrder="0" vertical="bottom"/>
    </xf>
    <xf borderId="0" fillId="5" fontId="342" numFmtId="0" xfId="0" applyAlignment="1" applyFill="1" applyFont="1">
      <alignment readingOrder="0" vertical="bottom"/>
    </xf>
    <xf borderId="2" fillId="0" fontId="2" numFmtId="0" xfId="0" applyAlignment="1" applyBorder="1" applyFont="1">
      <alignment horizontal="center" readingOrder="0" vertical="center"/>
    </xf>
    <xf borderId="18" fillId="0" fontId="9" numFmtId="49" xfId="0" applyAlignment="1" applyBorder="1" applyFont="1" applyNumberFormat="1">
      <alignment readingOrder="0" vertical="center"/>
    </xf>
    <xf borderId="18" fillId="6" fontId="343" numFmtId="49" xfId="0" applyAlignment="1" applyBorder="1" applyFill="1" applyFont="1" applyNumberFormat="1">
      <alignment horizontal="center" readingOrder="0" vertical="center"/>
    </xf>
    <xf borderId="18" fillId="6" fontId="344" numFmtId="49" xfId="0" applyAlignment="1" applyBorder="1" applyFill="1" applyFont="1" applyNumberFormat="1">
      <alignment horizontal="left" readingOrder="0" vertical="bottom"/>
    </xf>
    <xf borderId="0" fillId="5" fontId="9" numFmtId="165" xfId="0" applyAlignment="1" applyFill="1" applyFont="1" applyNumberFormat="1">
      <alignment readingOrder="0"/>
    </xf>
    <xf borderId="0" fillId="0" fontId="9" numFmtId="0" xfId="0" applyFont="1"/>
    <xf borderId="0" fillId="5" fontId="9" numFmtId="0" xfId="0" applyFill="1" applyFont="1"/>
    <xf borderId="0" fillId="5" fontId="3" numFmtId="0" xfId="0" applyAlignment="1" applyFill="1" applyFont="1">
      <alignment readingOrder="0"/>
    </xf>
    <xf borderId="0" fillId="5" fontId="3" numFmtId="0" xfId="0" applyFill="1" applyFont="1"/>
    <xf borderId="18" fillId="6" fontId="345" numFmtId="0" xfId="0" applyBorder="1" applyFill="1" applyFont="1"/>
    <xf borderId="18" fillId="6" fontId="346" numFmtId="0" xfId="0" applyAlignment="1" applyBorder="1" applyFill="1" applyFont="1">
      <alignment readingOrder="0" vertical="center"/>
    </xf>
    <xf borderId="0" fillId="0" fontId="9" numFmtId="49" xfId="0" applyAlignment="1" applyFont="1" applyNumberFormat="1">
      <alignment readingOrder="0" vertical="center"/>
    </xf>
    <xf borderId="2" fillId="5" fontId="347" numFmtId="0" xfId="0" applyAlignment="1" applyBorder="1" applyFill="1" applyFont="1">
      <alignment readingOrder="0" vertical="center"/>
    </xf>
    <xf borderId="2" fillId="11" fontId="348" numFmtId="0" xfId="0" applyAlignment="1" applyBorder="1" applyFill="1" applyFont="1">
      <alignment readingOrder="0" vertical="center"/>
    </xf>
    <xf borderId="0" fillId="0" fontId="2" numFmtId="165" xfId="0" applyAlignment="1" applyFont="1" applyNumberFormat="1">
      <alignment horizontal="left" readingOrder="0"/>
    </xf>
    <xf borderId="0" fillId="0" fontId="2" numFmtId="0" xfId="0" applyAlignment="1" applyFont="1">
      <alignment horizontal="left" readingOrder="0"/>
    </xf>
    <xf borderId="18" fillId="6" fontId="349" numFmtId="0" xfId="0" applyAlignment="1" applyBorder="1" applyFill="1" applyFont="1">
      <alignment horizontal="center" readingOrder="0" vertical="center"/>
    </xf>
    <xf borderId="18" fillId="6" fontId="2" numFmtId="164" xfId="0" applyAlignment="1" applyBorder="1" applyFill="1" applyFont="1" applyNumberFormat="1">
      <alignment horizontal="center" readingOrder="0" vertical="center"/>
    </xf>
    <xf borderId="26" fillId="8" fontId="3" numFmtId="0" xfId="0" applyBorder="1" applyFill="1" applyFont="1"/>
    <xf borderId="26" fillId="0" fontId="9" numFmtId="0" xfId="0" applyAlignment="1" applyBorder="1" applyFont="1">
      <alignment readingOrder="0"/>
    </xf>
    <xf borderId="0" fillId="6" fontId="2" numFmtId="0" xfId="0" applyAlignment="1" applyFill="1" applyFont="1">
      <alignment horizontal="left" vertical="center"/>
    </xf>
    <xf borderId="0" fillId="6" fontId="2" numFmtId="0" xfId="0" applyAlignment="1" applyFill="1" applyFont="1">
      <alignment vertical="center"/>
    </xf>
    <xf borderId="0" fillId="6" fontId="350" numFmtId="0" xfId="0" applyAlignment="1" applyFill="1" applyFont="1">
      <alignment vertical="center"/>
    </xf>
    <xf borderId="26" fillId="5" fontId="2" numFmtId="49" xfId="0" applyAlignment="1" applyBorder="1" applyFill="1" applyFont="1" applyNumberFormat="1">
      <alignment readingOrder="0" vertical="center"/>
    </xf>
    <xf borderId="26" fillId="5" fontId="351" numFmtId="0" xfId="0" applyAlignment="1" applyBorder="1" applyFill="1" applyFont="1">
      <alignment readingOrder="0" vertical="center"/>
    </xf>
    <xf borderId="26" fillId="6" fontId="352" numFmtId="49" xfId="0" applyAlignment="1" applyBorder="1" applyFill="1" applyFont="1" applyNumberFormat="1">
      <alignment horizontal="center" readingOrder="0" vertical="center"/>
    </xf>
    <xf borderId="26" fillId="6" fontId="353" numFmtId="49" xfId="0" applyAlignment="1" applyBorder="1" applyFill="1" applyFont="1" applyNumberFormat="1">
      <alignment horizontal="left" readingOrder="0" vertical="bottom"/>
    </xf>
    <xf borderId="26" fillId="6" fontId="354" numFmtId="0" xfId="0" applyAlignment="1" applyBorder="1" applyFill="1" applyFont="1">
      <alignment horizontal="left" readingOrder="0" vertical="center"/>
    </xf>
    <xf borderId="26" fillId="6" fontId="2" numFmtId="164" xfId="0" applyAlignment="1" applyBorder="1" applyFill="1" applyFont="1" applyNumberFormat="1">
      <alignment horizontal="center" readingOrder="0" vertical="center"/>
    </xf>
    <xf borderId="1" fillId="8" fontId="3" numFmtId="0" xfId="0" applyBorder="1" applyFill="1" applyFont="1"/>
    <xf borderId="1" fillId="0" fontId="9" numFmtId="0" xfId="0" applyAlignment="1" applyBorder="1" applyFont="1">
      <alignment readingOrder="0"/>
    </xf>
    <xf borderId="1" fillId="6" fontId="2" numFmtId="0" xfId="0" applyAlignment="1" applyBorder="1" applyFill="1" applyFont="1">
      <alignment horizontal="left" readingOrder="0" vertical="center"/>
    </xf>
    <xf borderId="1" fillId="6" fontId="2" numFmtId="0" xfId="0" applyAlignment="1" applyBorder="1" applyFill="1" applyFont="1">
      <alignment readingOrder="0" vertical="center"/>
    </xf>
    <xf borderId="1" fillId="6" fontId="355" numFmtId="0" xfId="0" applyAlignment="1" applyBorder="1" applyFill="1" applyFont="1">
      <alignment readingOrder="0" vertical="center"/>
    </xf>
    <xf borderId="1" fillId="5" fontId="2" numFmtId="0" xfId="0" applyAlignment="1" applyBorder="1" applyFill="1" applyFont="1">
      <alignment readingOrder="0" vertical="center"/>
    </xf>
    <xf borderId="1" fillId="5" fontId="2" numFmtId="49" xfId="0" applyAlignment="1" applyBorder="1" applyFill="1" applyFont="1" applyNumberFormat="1">
      <alignment readingOrder="0" vertical="center"/>
    </xf>
    <xf borderId="1" fillId="5" fontId="356" numFmtId="0" xfId="0" applyAlignment="1" applyBorder="1" applyFill="1" applyFont="1">
      <alignment readingOrder="0" vertical="center"/>
    </xf>
    <xf borderId="1" fillId="6" fontId="357" numFmtId="49" xfId="0" applyAlignment="1" applyBorder="1" applyFill="1" applyFont="1" applyNumberFormat="1">
      <alignment horizontal="center" readingOrder="0" vertical="center"/>
    </xf>
    <xf borderId="1" fillId="6" fontId="358" numFmtId="49" xfId="0" applyAlignment="1" applyBorder="1" applyFill="1" applyFont="1" applyNumberFormat="1">
      <alignment horizontal="left" readingOrder="0" vertical="bottom"/>
    </xf>
    <xf borderId="1" fillId="6" fontId="359" numFmtId="0" xfId="0" applyAlignment="1" applyBorder="1" applyFill="1" applyFont="1">
      <alignment horizontal="left" readingOrder="0" vertical="center"/>
    </xf>
    <xf borderId="0" fillId="0" fontId="9" numFmtId="0" xfId="0" applyAlignment="1" applyFont="1">
      <alignment horizontal="left" readingOrder="0"/>
    </xf>
    <xf borderId="0" fillId="0" fontId="9" numFmtId="0" xfId="0" applyAlignment="1" applyFont="1">
      <alignment horizontal="left"/>
    </xf>
    <xf borderId="1" fillId="6" fontId="2" numFmtId="164" xfId="0" applyAlignment="1" applyBorder="1" applyFill="1" applyFont="1" applyNumberFormat="1">
      <alignment horizontal="center" readingOrder="0" vertical="center"/>
    </xf>
    <xf borderId="0" fillId="4" fontId="360" numFmtId="0" xfId="0" applyAlignment="1" applyFill="1" applyFont="1">
      <alignment horizontal="left" readingOrder="0" vertical="center"/>
    </xf>
    <xf borderId="0" fillId="5" fontId="2" numFmtId="49" xfId="0" applyAlignment="1" applyFill="1" applyFont="1" applyNumberFormat="1">
      <alignment readingOrder="0" vertical="center"/>
    </xf>
    <xf borderId="0" fillId="18" fontId="361" numFmtId="0" xfId="0" applyAlignment="1" applyFill="1" applyFont="1">
      <alignment readingOrder="0"/>
    </xf>
    <xf borderId="1" fillId="5" fontId="362" numFmtId="0" xfId="0" applyAlignment="1" applyBorder="1" applyFill="1" applyFont="1">
      <alignment vertical="center"/>
    </xf>
    <xf borderId="1" fillId="5" fontId="363" numFmtId="49" xfId="0" applyAlignment="1" applyBorder="1" applyFill="1" applyFont="1" applyNumberFormat="1">
      <alignment readingOrder="0" vertical="center"/>
    </xf>
    <xf borderId="1" fillId="6" fontId="364" numFmtId="0" xfId="0" applyAlignment="1" applyBorder="1" applyFill="1" applyFont="1">
      <alignment horizontal="center" readingOrder="0" vertical="center"/>
    </xf>
    <xf borderId="0" fillId="0" fontId="365" numFmtId="0" xfId="0" applyAlignment="1" applyFont="1">
      <alignment vertical="bottom"/>
    </xf>
    <xf borderId="2" fillId="5" fontId="9" numFmtId="49" xfId="0" applyAlignment="1" applyBorder="1" applyFill="1" applyFont="1" applyNumberFormat="1">
      <alignment readingOrder="0" vertical="center"/>
    </xf>
    <xf borderId="0" fillId="5" fontId="9" numFmtId="164" xfId="0" applyAlignment="1" applyFill="1" applyFont="1" applyNumberFormat="1">
      <alignment readingOrder="0" vertical="bottom"/>
    </xf>
    <xf borderId="2" fillId="0" fontId="9" numFmtId="0" xfId="0" applyAlignment="1" applyBorder="1" applyFont="1">
      <alignment horizontal="left" readingOrder="0"/>
    </xf>
    <xf borderId="2" fillId="5" fontId="366" numFmtId="49" xfId="0" applyAlignment="1" applyBorder="1" applyFill="1" applyFont="1" applyNumberFormat="1">
      <alignment readingOrder="0"/>
    </xf>
    <xf borderId="0" fillId="5" fontId="21" numFmtId="0" xfId="0" applyFill="1" applyFont="1"/>
    <xf borderId="0" fillId="6" fontId="9" numFmtId="0" xfId="0" applyAlignment="1" applyFill="1" applyFont="1">
      <alignment readingOrder="0" vertical="bottom"/>
    </xf>
    <xf borderId="0" fillId="0" fontId="3" numFmtId="0" xfId="0" applyAlignment="1" applyFont="1">
      <alignment readingOrder="0"/>
    </xf>
    <xf borderId="0" fillId="0" fontId="367" numFmtId="0" xfId="0" applyAlignment="1" applyFont="1">
      <alignment readingOrder="0"/>
    </xf>
    <xf borderId="2" fillId="6" fontId="9" numFmtId="49" xfId="0" applyAlignment="1" applyBorder="1" applyFill="1" applyFont="1" applyNumberFormat="1">
      <alignment readingOrder="0" vertical="center"/>
    </xf>
    <xf borderId="0" fillId="0" fontId="368" numFmtId="0" xfId="0" applyAlignment="1" applyFont="1">
      <alignment shrinkToFit="0" wrapText="0"/>
    </xf>
    <xf borderId="2" fillId="6" fontId="369" numFmtId="49" xfId="0" applyAlignment="1" applyBorder="1" applyFill="1" applyFont="1" applyNumberFormat="1">
      <alignment readingOrder="0"/>
    </xf>
    <xf borderId="0" fillId="0" fontId="370" numFmtId="0" xfId="0" applyAlignment="1" applyFont="1">
      <alignment readingOrder="0"/>
    </xf>
    <xf borderId="0" fillId="6" fontId="21" numFmtId="0" xfId="0" applyFill="1" applyFont="1"/>
    <xf borderId="0" fillId="0" fontId="371" numFmtId="0" xfId="0" applyAlignment="1" applyFont="1">
      <alignment readingOrder="0"/>
    </xf>
    <xf borderId="0" fillId="6" fontId="372" numFmtId="0" xfId="0" applyAlignment="1" applyFill="1" applyFont="1">
      <alignment readingOrder="0" vertical="center"/>
    </xf>
    <xf borderId="0" fillId="5" fontId="21" numFmtId="0" xfId="0" applyFill="1" applyFont="1"/>
    <xf borderId="0" fillId="5" fontId="373" numFmtId="49" xfId="0" applyAlignment="1" applyFill="1" applyFont="1" applyNumberFormat="1">
      <alignment readingOrder="0" vertical="center"/>
    </xf>
    <xf borderId="0" fillId="5" fontId="374" numFmtId="0" xfId="0" applyAlignment="1" applyFill="1" applyFont="1">
      <alignment vertical="center"/>
    </xf>
    <xf borderId="0" fillId="0" fontId="375" numFmtId="0" xfId="0" applyAlignment="1" applyFont="1">
      <alignment horizontal="left" readingOrder="0"/>
    </xf>
    <xf borderId="0" fillId="0" fontId="9" numFmtId="49" xfId="0" applyAlignment="1" applyFont="1" applyNumberFormat="1">
      <alignment vertical="center"/>
    </xf>
    <xf borderId="0" fillId="5" fontId="376" numFmtId="0" xfId="0" applyAlignment="1" applyFill="1" applyFont="1">
      <alignment readingOrder="0" vertical="center"/>
    </xf>
    <xf borderId="0" fillId="6" fontId="377" numFmtId="49" xfId="0" applyAlignment="1" applyFill="1" applyFont="1" applyNumberFormat="1">
      <alignment horizontal="center" readingOrder="0" vertical="center"/>
    </xf>
    <xf borderId="2" fillId="0" fontId="9" numFmtId="0" xfId="0" applyAlignment="1" applyBorder="1" applyFont="1">
      <alignment readingOrder="0"/>
    </xf>
    <xf borderId="0" fillId="5" fontId="378" numFmtId="0" xfId="0" applyAlignment="1" applyFill="1" applyFont="1">
      <alignment readingOrder="0" vertical="center"/>
    </xf>
    <xf borderId="2" fillId="6" fontId="379" numFmtId="0" xfId="0" applyAlignment="1" applyBorder="1" applyFill="1" applyFont="1">
      <alignment readingOrder="0" vertical="bottom"/>
    </xf>
    <xf borderId="2" fillId="5" fontId="380" numFmtId="0" xfId="0" applyAlignment="1" applyBorder="1" applyFill="1" applyFont="1">
      <alignment readingOrder="0" vertical="bottom"/>
    </xf>
    <xf borderId="0" fillId="5" fontId="381" numFmtId="49" xfId="0" applyAlignment="1" applyFill="1" applyFont="1" applyNumberFormat="1">
      <alignment readingOrder="0" vertical="center"/>
    </xf>
    <xf borderId="2" fillId="0" fontId="382" numFmtId="0" xfId="0" applyAlignment="1" applyBorder="1" applyFont="1">
      <alignment readingOrder="0"/>
    </xf>
    <xf borderId="2" fillId="5" fontId="383" numFmtId="0" xfId="0" applyAlignment="1" applyBorder="1" applyFill="1" applyFont="1">
      <alignment readingOrder="0" vertical="bottom"/>
    </xf>
    <xf borderId="2" fillId="6" fontId="384" numFmtId="0" xfId="0" applyBorder="1" applyFill="1" applyFont="1"/>
    <xf borderId="2" fillId="6" fontId="385" numFmtId="0" xfId="0" applyAlignment="1" applyBorder="1" applyFill="1" applyFont="1">
      <alignment vertical="bottom"/>
    </xf>
    <xf borderId="2" fillId="5" fontId="386" numFmtId="0" xfId="0" applyBorder="1" applyFill="1" applyFont="1"/>
    <xf borderId="0" fillId="4" fontId="387" numFmtId="0" xfId="0" applyAlignment="1" applyFill="1" applyFont="1">
      <alignment horizontal="left" readingOrder="0" vertical="top"/>
    </xf>
    <xf borderId="27" fillId="9" fontId="14" numFmtId="0" xfId="0" applyAlignment="1" applyBorder="1" applyFill="1" applyFont="1">
      <alignment horizontal="center" readingOrder="0"/>
    </xf>
    <xf borderId="28" fillId="9" fontId="13" numFmtId="0" xfId="0" applyAlignment="1" applyBorder="1" applyFill="1" applyFont="1">
      <alignment horizontal="center" readingOrder="0"/>
    </xf>
    <xf borderId="0" fillId="0" fontId="21" numFmtId="0" xfId="0" applyAlignment="1" applyFont="1">
      <alignment shrinkToFit="0" vertical="bottom" wrapText="0"/>
    </xf>
    <xf borderId="0" fillId="0" fontId="21" numFmtId="167" xfId="0" applyAlignment="1" applyFont="1" applyNumberFormat="1">
      <alignment horizontal="right" vertical="bottom"/>
    </xf>
    <xf borderId="29" fillId="0" fontId="21" numFmtId="0" xfId="0" applyAlignment="1" applyBorder="1" applyFont="1">
      <alignment horizontal="center"/>
    </xf>
    <xf borderId="18" fillId="0" fontId="21" numFmtId="0" xfId="0" applyBorder="1" applyFont="1"/>
    <xf borderId="2" fillId="5" fontId="388" numFmtId="49" xfId="0" applyBorder="1" applyFill="1" applyFont="1" applyNumberFormat="1"/>
    <xf borderId="29" fillId="0" fontId="21" numFmtId="0" xfId="0" applyBorder="1" applyFont="1"/>
    <xf borderId="18" fillId="0" fontId="21" numFmtId="165" xfId="0" applyAlignment="1" applyBorder="1" applyFont="1" applyNumberFormat="1">
      <alignment readingOrder="0"/>
    </xf>
    <xf borderId="0" fillId="0" fontId="21" numFmtId="0" xfId="0" applyAlignment="1" applyFont="1">
      <alignment horizontal="right" vertical="bottom"/>
    </xf>
    <xf borderId="18" fillId="0" fontId="389" numFmtId="0" xfId="0" applyAlignment="1" applyBorder="1" applyFont="1">
      <alignment readingOrder="0"/>
    </xf>
    <xf borderId="18" fillId="0" fontId="389" numFmtId="0" xfId="0" applyBorder="1" applyFont="1"/>
    <xf borderId="18" fillId="0" fontId="21" numFmtId="0" xfId="0" applyAlignment="1" applyBorder="1" applyFont="1">
      <alignment horizontal="center"/>
    </xf>
    <xf borderId="0" fillId="5" fontId="390" numFmtId="0" xfId="0" applyAlignment="1" applyFill="1" applyFont="1">
      <alignment readingOrder="0" vertical="center"/>
    </xf>
    <xf borderId="30" fillId="0" fontId="3" numFmtId="0" xfId="0" applyBorder="1" applyFont="1"/>
    <xf borderId="28" fillId="0" fontId="3" numFmtId="0" xfId="0" applyAlignment="1" applyBorder="1" applyFont="1">
      <alignment readingOrder="0"/>
    </xf>
    <xf borderId="0" fillId="0" fontId="3" numFmtId="49" xfId="0" applyFont="1" applyNumberFormat="1"/>
    <xf borderId="0" fillId="5" fontId="391" numFmtId="0" xfId="0" applyAlignment="1" applyFill="1" applyFont="1">
      <alignment readingOrder="0" vertical="center"/>
    </xf>
    <xf borderId="0" fillId="6" fontId="2" numFmtId="0" xfId="0" applyAlignment="1" applyFill="1" applyFont="1">
      <alignment horizontal="left" vertical="center"/>
    </xf>
    <xf borderId="0" fillId="6" fontId="2" numFmtId="0" xfId="0" applyAlignment="1" applyFill="1" applyFont="1">
      <alignment vertical="center"/>
    </xf>
    <xf borderId="31" fillId="0" fontId="389" numFmtId="0" xfId="0" applyBorder="1" applyFont="1"/>
    <xf borderId="0" fillId="6" fontId="392" numFmtId="0" xfId="0" applyAlignment="1" applyFill="1" applyFont="1">
      <alignment vertical="center"/>
    </xf>
    <xf borderId="32" fillId="0" fontId="9" numFmtId="0" xfId="0" applyBorder="1" applyFont="1"/>
    <xf borderId="1" fillId="6" fontId="393" numFmtId="0" xfId="0" applyAlignment="1" applyBorder="1" applyFill="1" applyFont="1">
      <alignment vertical="center"/>
    </xf>
    <xf borderId="1" fillId="5" fontId="394" numFmtId="0" xfId="0" applyAlignment="1" applyBorder="1" applyFill="1" applyFont="1">
      <alignment readingOrder="0" vertical="center"/>
    </xf>
    <xf borderId="32" fillId="8" fontId="3" numFmtId="0" xfId="0" applyBorder="1" applyFill="1" applyFont="1"/>
    <xf borderId="32" fillId="5" fontId="9" numFmtId="0" xfId="0" applyAlignment="1" applyBorder="1" applyFill="1" applyFont="1">
      <alignment vertical="bottom"/>
    </xf>
    <xf borderId="32" fillId="6" fontId="9" numFmtId="0" xfId="0" applyAlignment="1" applyBorder="1" applyFill="1" applyFont="1">
      <alignment vertical="bottom"/>
    </xf>
    <xf borderId="32" fillId="6" fontId="2" numFmtId="0" xfId="0" applyAlignment="1" applyBorder="1" applyFill="1" applyFont="1">
      <alignment horizontal="left" vertical="center"/>
    </xf>
    <xf borderId="32" fillId="6" fontId="2" numFmtId="0" xfId="0" applyAlignment="1" applyBorder="1" applyFill="1" applyFont="1">
      <alignment vertical="center"/>
    </xf>
    <xf borderId="32" fillId="5" fontId="2" numFmtId="0" xfId="0" applyAlignment="1" applyBorder="1" applyFill="1" applyFont="1">
      <alignment readingOrder="0" vertical="center"/>
    </xf>
    <xf borderId="32" fillId="5" fontId="395" numFmtId="0" xfId="0" applyAlignment="1" applyBorder="1" applyFill="1" applyFont="1">
      <alignment readingOrder="0" vertical="center"/>
    </xf>
    <xf borderId="32" fillId="11" fontId="396" numFmtId="0" xfId="0" applyAlignment="1" applyBorder="1" applyFill="1" applyFont="1">
      <alignment readingOrder="0" vertical="center"/>
    </xf>
    <xf borderId="32" fillId="6" fontId="397" numFmtId="0" xfId="0" applyAlignment="1" applyBorder="1" applyFill="1" applyFont="1">
      <alignment horizontal="center" readingOrder="0" vertical="center"/>
    </xf>
    <xf borderId="32" fillId="6" fontId="398" numFmtId="0" xfId="0" applyAlignment="1" applyBorder="1" applyFill="1" applyFont="1">
      <alignment horizontal="left" readingOrder="0" vertical="bottom"/>
    </xf>
    <xf borderId="32" fillId="6" fontId="399" numFmtId="0" xfId="0" applyAlignment="1" applyBorder="1" applyFill="1" applyFont="1">
      <alignment horizontal="left" readingOrder="0" vertical="center"/>
    </xf>
    <xf borderId="32" fillId="6" fontId="2" numFmtId="164" xfId="0" applyAlignment="1" applyBorder="1" applyFill="1" applyFont="1" applyNumberFormat="1">
      <alignment horizontal="center" readingOrder="0" vertical="center"/>
    </xf>
    <xf borderId="29" fillId="0" fontId="21" numFmtId="0" xfId="0" applyAlignment="1" applyBorder="1" applyFont="1">
      <alignment horizontal="center" readingOrder="0"/>
    </xf>
    <xf borderId="18" fillId="5" fontId="400" numFmtId="0" xfId="0" applyAlignment="1" applyBorder="1" applyFill="1" applyFont="1">
      <alignment horizontal="center" readingOrder="0" vertical="center"/>
    </xf>
    <xf borderId="18" fillId="5" fontId="401" numFmtId="0" xfId="0" applyAlignment="1" applyBorder="1" applyFill="1" applyFont="1">
      <alignment horizontal="left" readingOrder="0" vertical="bottom"/>
    </xf>
    <xf borderId="18" fillId="6" fontId="402" numFmtId="0" xfId="0" applyAlignment="1" applyBorder="1" applyFill="1" applyFont="1">
      <alignment horizontal="left" readingOrder="0" vertical="bottom"/>
    </xf>
    <xf borderId="30" fillId="0" fontId="3" numFmtId="0" xfId="0" applyAlignment="1" applyBorder="1" applyFont="1">
      <alignment readingOrder="0"/>
    </xf>
    <xf borderId="18" fillId="0" fontId="403" numFmtId="0" xfId="0" applyAlignment="1" applyBorder="1" applyFont="1">
      <alignment vertical="center"/>
    </xf>
    <xf borderId="0" fillId="0" fontId="404" numFmtId="0" xfId="0" applyAlignment="1" applyFont="1">
      <alignment vertical="bottom"/>
    </xf>
    <xf borderId="18" fillId="0" fontId="2" numFmtId="0" xfId="0" applyAlignment="1" applyBorder="1" applyFont="1">
      <alignment vertical="bottom"/>
    </xf>
    <xf borderId="18" fillId="6" fontId="2" numFmtId="0" xfId="0" applyAlignment="1" applyBorder="1" applyFill="1" applyFont="1">
      <alignment readingOrder="0" vertical="center"/>
    </xf>
    <xf borderId="18" fillId="0" fontId="2" numFmtId="0" xfId="0" applyAlignment="1" applyBorder="1" applyFont="1">
      <alignment vertical="bottom"/>
    </xf>
    <xf borderId="18" fillId="0" fontId="21" numFmtId="166" xfId="0" applyAlignment="1" applyBorder="1" applyFont="1" applyNumberFormat="1">
      <alignment readingOrder="0"/>
    </xf>
    <xf borderId="18" fillId="0" fontId="9" numFmtId="0" xfId="0" applyAlignment="1" applyBorder="1" applyFont="1">
      <alignment vertical="bottom"/>
    </xf>
    <xf borderId="18" fillId="6" fontId="405" numFmtId="0" xfId="0" applyAlignment="1" applyBorder="1" applyFill="1" applyFont="1">
      <alignment vertical="center"/>
    </xf>
    <xf borderId="18" fillId="0" fontId="389" numFmtId="0" xfId="0" applyAlignment="1" applyBorder="1" applyFont="1">
      <alignment horizontal="center" readingOrder="0"/>
    </xf>
    <xf borderId="18" fillId="0" fontId="389" numFmtId="168" xfId="0" applyBorder="1" applyFont="1" applyNumberFormat="1"/>
    <xf borderId="28" fillId="0" fontId="389" numFmtId="0" xfId="0" applyBorder="1" applyFont="1"/>
    <xf borderId="18" fillId="5" fontId="389" numFmtId="0" xfId="0" applyAlignment="1" applyBorder="1" applyFill="1" applyFont="1">
      <alignment readingOrder="0"/>
    </xf>
    <xf borderId="18" fillId="5" fontId="406" numFmtId="0" xfId="0" applyAlignment="1" applyBorder="1" applyFill="1" applyFont="1">
      <alignment vertical="center"/>
    </xf>
    <xf borderId="28" fillId="0" fontId="407" numFmtId="0" xfId="0" applyAlignment="1" applyBorder="1" applyFont="1">
      <alignment readingOrder="0"/>
    </xf>
    <xf borderId="18" fillId="0" fontId="389" numFmtId="0" xfId="0" applyAlignment="1" applyBorder="1" applyFont="1">
      <alignment readingOrder="0" vertical="bottom"/>
    </xf>
    <xf borderId="18" fillId="0" fontId="389" numFmtId="0" xfId="0" applyAlignment="1" applyBorder="1" applyFont="1">
      <alignment vertical="bottom"/>
    </xf>
    <xf borderId="18" fillId="5" fontId="408" numFmtId="0" xfId="0" applyAlignment="1" applyBorder="1" applyFill="1" applyFont="1">
      <alignment vertical="center"/>
    </xf>
    <xf borderId="18" fillId="0" fontId="409" numFmtId="0" xfId="0" applyAlignment="1" applyBorder="1" applyFont="1">
      <alignment vertical="center"/>
    </xf>
    <xf borderId="18" fillId="5" fontId="389" numFmtId="0" xfId="0" applyAlignment="1" applyBorder="1" applyFill="1" applyFont="1">
      <alignment vertical="bottom"/>
    </xf>
    <xf borderId="18" fillId="0" fontId="389" numFmtId="0" xfId="0" applyAlignment="1" applyBorder="1" applyFont="1">
      <alignment horizontal="center"/>
    </xf>
    <xf borderId="18" fillId="5" fontId="389" numFmtId="0" xfId="0" applyBorder="1" applyFill="1" applyFont="1"/>
    <xf borderId="18" fillId="5" fontId="410" numFmtId="0" xfId="0" applyAlignment="1" applyBorder="1" applyFill="1" applyFont="1">
      <alignment horizontal="left" readingOrder="0" vertical="bottom"/>
    </xf>
    <xf borderId="18" fillId="5" fontId="411" numFmtId="0" xfId="0" applyAlignment="1" applyBorder="1" applyFill="1" applyFont="1">
      <alignment horizontal="center" readingOrder="0" vertical="center"/>
    </xf>
    <xf borderId="18" fillId="6" fontId="412" numFmtId="0" xfId="0" applyAlignment="1" applyBorder="1" applyFill="1" applyFont="1">
      <alignment horizontal="left" readingOrder="0" vertical="bottom"/>
    </xf>
    <xf borderId="32" fillId="0" fontId="389" numFmtId="0" xfId="0" applyBorder="1" applyFont="1"/>
    <xf borderId="18" fillId="6" fontId="413" numFmtId="0" xfId="0" applyAlignment="1" applyBorder="1" applyFill="1" applyFont="1">
      <alignment horizontal="center" readingOrder="0" vertical="center"/>
    </xf>
    <xf borderId="28" fillId="5" fontId="389" numFmtId="0" xfId="0" applyBorder="1" applyFill="1" applyFont="1"/>
    <xf borderId="0" fillId="5" fontId="389" numFmtId="0" xfId="0" applyFill="1" applyFont="1"/>
    <xf borderId="0" fillId="0" fontId="389" numFmtId="0" xfId="0" applyFont="1"/>
    <xf borderId="18" fillId="0" fontId="414" numFmtId="0" xfId="0" applyAlignment="1" applyBorder="1" applyFont="1">
      <alignment vertical="center"/>
    </xf>
    <xf borderId="18" fillId="6" fontId="2" numFmtId="165" xfId="0" applyAlignment="1" applyBorder="1" applyFill="1" applyFont="1" applyNumberFormat="1">
      <alignment horizontal="center" readingOrder="0" vertical="center"/>
    </xf>
    <xf borderId="18" fillId="0" fontId="389" numFmtId="0" xfId="0" applyAlignment="1" applyBorder="1" applyFont="1">
      <alignment vertical="bottom"/>
    </xf>
    <xf borderId="18" fillId="0" fontId="21" numFmtId="0" xfId="0" applyAlignment="1" applyBorder="1" applyFont="1">
      <alignment readingOrder="0"/>
    </xf>
    <xf borderId="29" fillId="0" fontId="389" numFmtId="0" xfId="0" applyAlignment="1" applyBorder="1" applyFont="1">
      <alignment horizontal="center"/>
    </xf>
    <xf borderId="18" fillId="0" fontId="415" numFmtId="0" xfId="0" applyAlignment="1" applyBorder="1" applyFont="1">
      <alignment readingOrder="0"/>
    </xf>
    <xf borderId="18" fillId="14" fontId="9" numFmtId="0" xfId="0" applyAlignment="1" applyBorder="1" applyFill="1" applyFont="1">
      <alignment vertical="bottom"/>
    </xf>
    <xf borderId="18" fillId="0" fontId="389" numFmtId="0" xfId="0" applyAlignment="1" applyBorder="1" applyFont="1">
      <alignment shrinkToFit="0" wrapText="1"/>
    </xf>
    <xf borderId="18" fillId="15" fontId="416" numFmtId="0" xfId="0" applyAlignment="1" applyBorder="1" applyFill="1" applyFont="1">
      <alignment readingOrder="0" vertical="center"/>
    </xf>
    <xf borderId="18" fillId="15" fontId="417" numFmtId="0" xfId="0" applyAlignment="1" applyBorder="1" applyFill="1" applyFont="1">
      <alignment readingOrder="0" vertical="center"/>
    </xf>
    <xf borderId="18" fillId="0" fontId="3" numFmtId="0" xfId="0" applyAlignment="1" applyBorder="1" applyFont="1">
      <alignment readingOrder="0"/>
    </xf>
    <xf borderId="0" fillId="0" fontId="418" numFmtId="0" xfId="0" applyAlignment="1" applyFont="1">
      <alignment vertical="bottom"/>
    </xf>
    <xf borderId="29" fillId="3" fontId="21" numFmtId="0" xfId="0" applyAlignment="1" applyBorder="1" applyFill="1" applyFont="1">
      <alignment horizontal="center"/>
    </xf>
    <xf borderId="18" fillId="3" fontId="21" numFmtId="0" xfId="0" applyBorder="1" applyFill="1" applyFont="1"/>
    <xf borderId="29" fillId="3" fontId="21" numFmtId="0" xfId="0" applyBorder="1" applyFill="1" applyFont="1"/>
    <xf borderId="18" fillId="3" fontId="389" numFmtId="0" xfId="0" applyAlignment="1" applyBorder="1" applyFill="1" applyFont="1">
      <alignment readingOrder="0"/>
    </xf>
    <xf borderId="18" fillId="3" fontId="389" numFmtId="0" xfId="0" applyBorder="1" applyFill="1" applyFont="1"/>
    <xf borderId="18" fillId="3" fontId="389" numFmtId="0" xfId="0" applyAlignment="1" applyBorder="1" applyFill="1" applyFont="1">
      <alignment shrinkToFit="0" wrapText="1"/>
    </xf>
    <xf borderId="30" fillId="3" fontId="3" numFmtId="0" xfId="0" applyBorder="1" applyFill="1" applyFont="1"/>
    <xf borderId="28" fillId="3" fontId="3" numFmtId="0" xfId="0" applyAlignment="1" applyBorder="1" applyFill="1" applyFont="1">
      <alignment readingOrder="0"/>
    </xf>
    <xf borderId="33" fillId="0" fontId="21" numFmtId="0" xfId="0" applyAlignment="1" applyBorder="1" applyFont="1">
      <alignment horizontal="center"/>
    </xf>
    <xf borderId="0" fillId="0" fontId="3" numFmtId="0" xfId="0" applyAlignment="1" applyFont="1">
      <alignment horizontal="center"/>
    </xf>
    <xf borderId="0" fillId="0" fontId="3" numFmtId="0" xfId="0" applyAlignment="1" applyFont="1">
      <alignment horizontal="left"/>
    </xf>
    <xf borderId="28" fillId="9" fontId="13" numFmtId="0" xfId="0" applyAlignment="1" applyBorder="1" applyFill="1" applyFont="1">
      <alignment horizontal="left" readingOrder="0"/>
    </xf>
    <xf borderId="18" fillId="14" fontId="9" numFmtId="0" xfId="0" applyAlignment="1" applyBorder="1" applyFill="1" applyFont="1">
      <alignment vertical="bottom"/>
    </xf>
    <xf borderId="0" fillId="0" fontId="3" numFmtId="0" xfId="0" applyAlignment="1" applyFont="1">
      <alignment horizontal="left" readingOrder="0"/>
    </xf>
    <xf borderId="18" fillId="19" fontId="9" numFmtId="0" xfId="0" applyAlignment="1" applyBorder="1" applyFill="1" applyFont="1">
      <alignment vertical="bottom"/>
    </xf>
    <xf borderId="18" fillId="5" fontId="419" numFmtId="0" xfId="0" applyAlignment="1" applyBorder="1" applyFill="1" applyFont="1">
      <alignment horizontal="center" readingOrder="0" vertical="center"/>
    </xf>
    <xf borderId="18" fillId="11" fontId="420" numFmtId="0" xfId="0" applyAlignment="1" applyBorder="1" applyFill="1" applyFont="1">
      <alignment horizontal="center" readingOrder="0" vertical="center"/>
    </xf>
    <xf borderId="32" fillId="0" fontId="21" numFmtId="0" xfId="0" applyBorder="1" applyFont="1"/>
    <xf borderId="32" fillId="3" fontId="389" numFmtId="0" xfId="0" applyBorder="1" applyFill="1" applyFont="1"/>
    <xf borderId="32" fillId="2" fontId="389" numFmtId="0" xfId="0" applyBorder="1" applyFill="1" applyFont="1"/>
    <xf borderId="18" fillId="0" fontId="421" numFmtId="0" xfId="0" applyBorder="1" applyFont="1"/>
    <xf borderId="0" fillId="0" fontId="422" numFmtId="0" xfId="0" applyAlignment="1" applyFont="1">
      <alignment readingOrder="0" shrinkToFit="0" wrapText="1"/>
    </xf>
    <xf borderId="0" fillId="0" fontId="21" numFmtId="0" xfId="0" applyAlignment="1" applyFont="1">
      <alignment horizontal="center"/>
    </xf>
    <xf borderId="0" fillId="0" fontId="21" numFmtId="0" xfId="0" applyFont="1"/>
    <xf borderId="18" fillId="6" fontId="2" numFmtId="0" xfId="0" applyAlignment="1" applyBorder="1" applyFill="1" applyFont="1">
      <alignment horizontal="left" readingOrder="0" vertical="bottom"/>
    </xf>
    <xf borderId="18" fillId="6" fontId="2" numFmtId="0" xfId="0" applyAlignment="1" applyBorder="1" applyFill="1" applyFont="1">
      <alignment readingOrder="0" vertical="bottom"/>
    </xf>
    <xf borderId="18" fillId="6" fontId="2" numFmtId="0" xfId="0" applyAlignment="1" applyBorder="1" applyFill="1" applyFont="1">
      <alignment horizontal="left" vertical="bottom"/>
    </xf>
    <xf borderId="18" fillId="6" fontId="2" numFmtId="0" xfId="0" applyAlignment="1" applyBorder="1" applyFill="1" applyFont="1">
      <alignment vertical="bottom"/>
    </xf>
    <xf borderId="18" fillId="0" fontId="21" numFmtId="0" xfId="0" applyBorder="1" applyFont="1"/>
    <xf borderId="18" fillId="6" fontId="2" numFmtId="0" xfId="0" applyAlignment="1" applyBorder="1" applyFill="1" applyFont="1">
      <alignment horizontal="left" vertical="bottom"/>
    </xf>
    <xf borderId="18" fillId="6" fontId="2" numFmtId="0" xfId="0" applyAlignment="1" applyBorder="1" applyFill="1" applyFont="1">
      <alignment vertical="bottom"/>
    </xf>
    <xf borderId="18" fillId="6" fontId="9" numFmtId="0" xfId="0" applyAlignment="1" applyBorder="1" applyFill="1" applyFont="1">
      <alignment horizontal="left" vertical="bottom"/>
    </xf>
    <xf borderId="18" fillId="0" fontId="2" numFmtId="0" xfId="0" applyAlignment="1" applyBorder="1" applyFont="1">
      <alignment readingOrder="0" vertical="center"/>
    </xf>
    <xf borderId="18" fillId="0" fontId="9" numFmtId="0" xfId="0" applyAlignment="1" applyBorder="1" applyFont="1">
      <alignment horizontal="left" vertical="bottom"/>
    </xf>
    <xf borderId="18" fillId="0" fontId="2" numFmtId="49" xfId="0" applyAlignment="1" applyBorder="1" applyFont="1" applyNumberFormat="1">
      <alignment horizontal="left" readingOrder="0" vertical="center"/>
    </xf>
    <xf borderId="18" fillId="0" fontId="423" numFmtId="0" xfId="0" applyBorder="1" applyFont="1"/>
    <xf borderId="18" fillId="0" fontId="9" numFmtId="0" xfId="0" applyBorder="1" applyFont="1"/>
    <xf borderId="18" fillId="0" fontId="2" numFmtId="164" xfId="0" applyAlignment="1" applyBorder="1" applyFont="1" applyNumberFormat="1">
      <alignment horizontal="center" readingOrder="0" vertical="center"/>
    </xf>
    <xf borderId="18" fillId="5" fontId="424" numFmtId="0" xfId="0" applyAlignment="1" applyBorder="1" applyFill="1" applyFont="1">
      <alignment vertical="bottom"/>
    </xf>
    <xf borderId="2" fillId="5" fontId="425" numFmtId="0" xfId="0" applyBorder="1" applyFill="1" applyFont="1"/>
    <xf borderId="2" fillId="5" fontId="426" numFmtId="0" xfId="0" applyAlignment="1" applyBorder="1" applyFill="1" applyFont="1">
      <alignment readingOrder="0" vertical="center"/>
    </xf>
    <xf borderId="19" fillId="5" fontId="427" numFmtId="0" xfId="0" applyAlignment="1" applyBorder="1" applyFill="1" applyFont="1">
      <alignment readingOrder="0" vertical="center"/>
    </xf>
    <xf borderId="2" fillId="0" fontId="9" numFmtId="49" xfId="0" applyBorder="1" applyFont="1" applyNumberFormat="1"/>
    <xf borderId="18" fillId="14" fontId="428" numFmtId="0" xfId="0" applyAlignment="1" applyBorder="1" applyFill="1" applyFont="1">
      <alignment horizontal="left" readingOrder="0" vertical="center"/>
    </xf>
    <xf borderId="2" fillId="5" fontId="429" numFmtId="0" xfId="0" applyAlignment="1" applyBorder="1" applyFill="1" applyFont="1">
      <alignment readingOrder="0" vertical="center"/>
    </xf>
    <xf borderId="19" fillId="5" fontId="430" numFmtId="0" xfId="0" applyAlignment="1" applyBorder="1" applyFill="1" applyFont="1">
      <alignment readingOrder="0"/>
    </xf>
    <xf borderId="0" fillId="17" fontId="431" numFmtId="0" xfId="0" applyFill="1" applyFont="1"/>
    <xf borderId="0" fillId="17" fontId="432" numFmtId="0" xfId="0" applyFill="1" applyFont="1"/>
    <xf borderId="2" fillId="6" fontId="433" numFmtId="0" xfId="0" applyAlignment="1" applyBorder="1" applyFill="1" applyFont="1">
      <alignment readingOrder="0"/>
    </xf>
    <xf borderId="0" fillId="0" fontId="434" numFmtId="0" xfId="0" applyFont="1"/>
    <xf borderId="0" fillId="6" fontId="21" numFmtId="49" xfId="0" applyFill="1" applyFont="1" applyNumberFormat="1"/>
    <xf borderId="0" fillId="14" fontId="435" numFmtId="0" xfId="0" applyAlignment="1" applyFill="1" applyFont="1">
      <alignment horizontal="left" readingOrder="0" vertical="center"/>
    </xf>
    <xf borderId="0" fillId="14" fontId="436" numFmtId="0" xfId="0" applyAlignment="1" applyFill="1" applyFont="1">
      <alignment horizontal="left" readingOrder="0" vertical="center"/>
    </xf>
    <xf borderId="2" fillId="6" fontId="437" numFmtId="0" xfId="0" applyAlignment="1" applyBorder="1" applyFill="1" applyFont="1">
      <alignment readingOrder="0"/>
    </xf>
    <xf borderId="0" fillId="14" fontId="2" numFmtId="0" xfId="0" applyAlignment="1" applyFill="1" applyFont="1">
      <alignment horizontal="left" readingOrder="0" vertical="center"/>
    </xf>
    <xf borderId="26" fillId="0" fontId="21" numFmtId="0" xfId="0" applyAlignment="1" applyBorder="1" applyFont="1">
      <alignment readingOrder="0"/>
    </xf>
    <xf borderId="26" fillId="0" fontId="2" numFmtId="49" xfId="0" applyAlignment="1" applyBorder="1" applyFont="1" applyNumberFormat="1">
      <alignment horizontal="left" readingOrder="0" vertical="center"/>
    </xf>
    <xf borderId="26" fillId="6" fontId="2" numFmtId="0" xfId="0" applyAlignment="1" applyBorder="1" applyFill="1" applyFont="1">
      <alignment horizontal="left" readingOrder="0" vertical="center"/>
    </xf>
    <xf borderId="26" fillId="0" fontId="2" numFmtId="164" xfId="0" applyAlignment="1" applyBorder="1" applyFont="1" applyNumberFormat="1">
      <alignment horizontal="center" readingOrder="0" vertical="center"/>
    </xf>
    <xf borderId="0" fillId="8" fontId="3" numFmtId="0" xfId="0" applyFill="1" applyFont="1"/>
    <xf borderId="0" fillId="0" fontId="21" numFmtId="0" xfId="0" applyAlignment="1" applyFont="1">
      <alignment readingOrder="0"/>
    </xf>
    <xf borderId="0" fillId="6" fontId="9" numFmtId="0" xfId="0" applyAlignment="1" applyFill="1" applyFont="1">
      <alignment vertical="center"/>
    </xf>
    <xf borderId="0" fillId="6" fontId="438" numFmtId="0" xfId="0" applyAlignment="1" applyFill="1" applyFont="1">
      <alignment vertical="center"/>
    </xf>
    <xf borderId="0" fillId="0" fontId="439" numFmtId="0" xfId="0" applyAlignment="1" applyFont="1">
      <alignment vertical="center"/>
    </xf>
    <xf borderId="0" fillId="0" fontId="9" numFmtId="0" xfId="0" applyAlignment="1" applyFont="1">
      <alignment vertical="center"/>
    </xf>
    <xf borderId="0" fillId="6" fontId="440" numFmtId="0" xfId="0" applyAlignment="1" applyFill="1" applyFont="1">
      <alignment vertical="center"/>
    </xf>
    <xf borderId="0" fillId="0" fontId="2" numFmtId="49" xfId="0" applyAlignment="1" applyFont="1" applyNumberFormat="1">
      <alignment horizontal="left" readingOrder="0" vertical="center"/>
    </xf>
    <xf borderId="0" fillId="0" fontId="2" numFmtId="164" xfId="0" applyAlignment="1" applyFont="1" applyNumberFormat="1">
      <alignment horizontal="center" readingOrder="0" vertical="center"/>
    </xf>
    <xf borderId="32" fillId="0" fontId="2" numFmtId="49" xfId="0" applyAlignment="1" applyBorder="1" applyFont="1" applyNumberFormat="1">
      <alignment horizontal="left" readingOrder="0" vertical="center"/>
    </xf>
    <xf borderId="32" fillId="6" fontId="2" numFmtId="0" xfId="0" applyAlignment="1" applyBorder="1" applyFill="1" applyFont="1">
      <alignment horizontal="left" readingOrder="0" vertical="center"/>
    </xf>
    <xf borderId="32" fillId="0" fontId="2" numFmtId="164" xfId="0" applyAlignment="1" applyBorder="1" applyFont="1" applyNumberFormat="1">
      <alignment horizontal="center" readingOrder="0" vertical="center"/>
    </xf>
    <xf borderId="2" fillId="0" fontId="441" numFmtId="0" xfId="0" applyAlignment="1" applyBorder="1" applyFont="1">
      <alignment horizontal="left" vertical="center"/>
    </xf>
    <xf borderId="18" fillId="14" fontId="2" numFmtId="0" xfId="0" applyAlignment="1" applyBorder="1" applyFill="1" applyFont="1">
      <alignment horizontal="left" readingOrder="0" vertical="center"/>
    </xf>
    <xf borderId="18" fillId="11" fontId="2" numFmtId="0" xfId="0" applyAlignment="1" applyBorder="1" applyFill="1" applyFont="1">
      <alignment readingOrder="0" vertical="center"/>
    </xf>
    <xf borderId="18" fillId="0" fontId="442" numFmtId="49" xfId="0" applyAlignment="1" applyBorder="1" applyFont="1" applyNumberFormat="1">
      <alignment horizontal="left" readingOrder="0" vertical="center"/>
    </xf>
    <xf borderId="18" fillId="6" fontId="2" numFmtId="0" xfId="0" applyAlignment="1" applyBorder="1" applyFill="1" applyFont="1">
      <alignment readingOrder="0" vertical="center"/>
    </xf>
    <xf borderId="18" fillId="0" fontId="443" numFmtId="49" xfId="0" applyAlignment="1" applyBorder="1" applyFont="1" applyNumberFormat="1">
      <alignment horizontal="left" readingOrder="0" vertical="center"/>
    </xf>
    <xf borderId="18" fillId="6" fontId="2" numFmtId="49" xfId="0" applyAlignment="1" applyBorder="1" applyFill="1" applyFont="1" applyNumberFormat="1">
      <alignment horizontal="center" readingOrder="0" vertical="center"/>
    </xf>
    <xf borderId="18" fillId="6" fontId="444" numFmtId="49" xfId="0" applyAlignment="1" applyBorder="1" applyFill="1" applyFont="1" applyNumberFormat="1">
      <alignment horizontal="left" readingOrder="0" vertical="center"/>
    </xf>
    <xf borderId="18" fillId="6" fontId="9" numFmtId="49" xfId="0" applyAlignment="1" applyBorder="1" applyFill="1" applyFont="1" applyNumberFormat="1">
      <alignment vertical="center"/>
    </xf>
    <xf borderId="18" fillId="0" fontId="2" numFmtId="0" xfId="0" applyAlignment="1" applyBorder="1" applyFont="1">
      <alignment vertical="center"/>
    </xf>
    <xf borderId="18" fillId="6" fontId="2" numFmtId="0" xfId="0" applyAlignment="1" applyBorder="1" applyFill="1" applyFont="1">
      <alignment vertical="center"/>
    </xf>
    <xf borderId="18" fillId="6" fontId="2" numFmtId="49" xfId="0" applyAlignment="1" applyBorder="1" applyFill="1" applyFont="1" applyNumberFormat="1">
      <alignment vertical="center"/>
    </xf>
    <xf borderId="18" fillId="6" fontId="2" numFmtId="49" xfId="0" applyAlignment="1" applyBorder="1" applyFill="1" applyFont="1" applyNumberFormat="1">
      <alignment horizontal="center" readingOrder="0" vertical="center"/>
    </xf>
    <xf borderId="18" fillId="6" fontId="445" numFmtId="49" xfId="0" applyAlignment="1" applyBorder="1" applyFill="1" applyFont="1" applyNumberFormat="1">
      <alignment horizontal="left" readingOrder="0" vertical="center"/>
    </xf>
    <xf borderId="18" fillId="0" fontId="2" numFmtId="49" xfId="0" applyAlignment="1" applyBorder="1" applyFont="1" applyNumberFormat="1">
      <alignment horizontal="center" readingOrder="0" vertical="center"/>
    </xf>
    <xf borderId="18" fillId="0" fontId="446" numFmtId="49" xfId="0" applyAlignment="1" applyBorder="1" applyFont="1" applyNumberFormat="1">
      <alignment horizontal="left" readingOrder="0" vertical="center"/>
    </xf>
    <xf borderId="18" fillId="6" fontId="2" numFmtId="49" xfId="0" applyAlignment="1" applyBorder="1" applyFill="1" applyFont="1" applyNumberFormat="1">
      <alignment horizontal="center" readingOrder="0" vertical="center"/>
    </xf>
    <xf borderId="18" fillId="6" fontId="447" numFmtId="49" xfId="0" applyAlignment="1" applyBorder="1" applyFill="1" applyFont="1" applyNumberFormat="1">
      <alignment horizontal="left" readingOrder="0" vertical="center"/>
    </xf>
    <xf borderId="18" fillId="0" fontId="448" numFmtId="49" xfId="0" applyBorder="1" applyFont="1" applyNumberFormat="1"/>
    <xf borderId="18" fillId="0" fontId="2" numFmtId="0" xfId="0" applyAlignment="1" applyBorder="1" applyFont="1">
      <alignment horizontal="left" vertical="center"/>
    </xf>
    <xf borderId="18" fillId="0" fontId="449" numFmtId="0" xfId="0" applyAlignment="1" applyBorder="1" applyFont="1">
      <alignment vertical="center"/>
    </xf>
    <xf borderId="18" fillId="6" fontId="2" numFmtId="0" xfId="0" applyAlignment="1" applyBorder="1" applyFill="1" applyFont="1">
      <alignment horizontal="left" vertical="center"/>
    </xf>
    <xf borderId="18" fillId="6" fontId="450" numFmtId="0" xfId="0" applyAlignment="1" applyBorder="1" applyFill="1" applyFont="1">
      <alignment vertical="center"/>
    </xf>
    <xf borderId="18" fillId="6" fontId="2" numFmtId="0" xfId="0" applyAlignment="1" applyBorder="1" applyFill="1" applyFont="1">
      <alignment horizontal="center" readingOrder="0" vertical="center"/>
    </xf>
    <xf borderId="18" fillId="6" fontId="451" numFmtId="0" xfId="0" applyAlignment="1" applyBorder="1" applyFill="1" applyFont="1">
      <alignment horizontal="left" readingOrder="0" vertical="center"/>
    </xf>
    <xf borderId="18" fillId="6" fontId="452" numFmtId="0" xfId="0" applyBorder="1" applyFill="1" applyFont="1"/>
    <xf borderId="18" fillId="5" fontId="9" numFmtId="0" xfId="0" applyAlignment="1" applyBorder="1" applyFill="1" applyFont="1">
      <alignment horizontal="left" vertical="bottom"/>
    </xf>
    <xf borderId="18" fillId="0" fontId="9" numFmtId="0" xfId="0" applyAlignment="1" applyBorder="1" applyFont="1">
      <alignment readingOrder="0"/>
    </xf>
    <xf borderId="18" fillId="0" fontId="2" numFmtId="0" xfId="0" applyAlignment="1" applyBorder="1" applyFont="1">
      <alignment readingOrder="0" vertical="center"/>
    </xf>
    <xf borderId="18" fillId="0" fontId="453" numFmtId="0" xfId="0" applyAlignment="1" applyBorder="1" applyFont="1">
      <alignment horizontal="left" readingOrder="0"/>
    </xf>
    <xf borderId="18" fillId="6" fontId="2" numFmtId="0" xfId="0" applyAlignment="1" applyBorder="1" applyFill="1" applyFont="1">
      <alignment horizontal="center" readingOrder="0" vertical="center"/>
    </xf>
    <xf borderId="18" fillId="6" fontId="454" numFmtId="0" xfId="0" applyAlignment="1" applyBorder="1" applyFill="1" applyFont="1">
      <alignment vertical="bottom"/>
    </xf>
    <xf borderId="18" fillId="5" fontId="455" numFmtId="0" xfId="0" applyAlignment="1" applyBorder="1" applyFill="1" applyFont="1">
      <alignment vertical="bottom"/>
    </xf>
    <xf borderId="18" fillId="0" fontId="456" numFmtId="0" xfId="0" applyAlignment="1" applyBorder="1" applyFont="1">
      <alignment readingOrder="0" vertical="center"/>
    </xf>
    <xf borderId="18" fillId="6" fontId="457" numFmtId="0" xfId="0" applyAlignment="1" applyBorder="1" applyFill="1" applyFont="1">
      <alignment readingOrder="0" vertical="center"/>
    </xf>
    <xf borderId="2" fillId="5" fontId="458" numFmtId="0" xfId="0" applyAlignment="1" applyBorder="1" applyFill="1" applyFont="1">
      <alignment readingOrder="0"/>
    </xf>
    <xf borderId="2" fillId="5" fontId="459" numFmtId="0" xfId="0" applyAlignment="1" applyBorder="1" applyFill="1" applyFont="1">
      <alignment readingOrder="0" vertical="bottom"/>
    </xf>
    <xf borderId="0" fillId="6" fontId="9" numFmtId="0" xfId="0" applyAlignment="1" applyFill="1" applyFont="1">
      <alignment readingOrder="0" vertical="bottom"/>
    </xf>
    <xf borderId="0" fillId="0" fontId="460" numFmtId="0" xfId="0" applyAlignment="1" applyFont="1">
      <alignment readingOrder="0"/>
    </xf>
    <xf borderId="18" fillId="6" fontId="2" numFmtId="0" xfId="0" applyAlignment="1" applyBorder="1" applyFill="1" applyFont="1">
      <alignment horizontal="center" vertical="center"/>
    </xf>
    <xf borderId="0" fillId="5" fontId="9" numFmtId="0" xfId="0" applyAlignment="1" applyFill="1" applyFont="1">
      <alignment readingOrder="0" vertical="bottom"/>
    </xf>
    <xf borderId="0" fillId="5" fontId="461" numFmtId="0" xfId="0" applyAlignment="1" applyFill="1" applyFont="1">
      <alignment readingOrder="0"/>
    </xf>
    <xf borderId="0" fillId="6" fontId="462" numFmtId="0" xfId="0" applyAlignment="1" applyFill="1" applyFont="1">
      <alignment horizontal="left" readingOrder="0" vertical="center"/>
    </xf>
    <xf borderId="0" fillId="6" fontId="463" numFmtId="0" xfId="0" applyAlignment="1" applyFill="1" applyFont="1">
      <alignment horizontal="left" readingOrder="0" vertical="center"/>
    </xf>
    <xf borderId="0" fillId="0" fontId="9" numFmtId="0" xfId="0" applyFont="1"/>
    <xf borderId="18" fillId="0" fontId="9" numFmtId="164" xfId="0" applyAlignment="1" applyBorder="1" applyFont="1" applyNumberFormat="1">
      <alignment horizontal="center" readingOrder="0" vertical="center"/>
    </xf>
    <xf borderId="18" fillId="5" fontId="2" numFmtId="0" xfId="0" applyAlignment="1" applyBorder="1" applyFill="1" applyFont="1">
      <alignment vertical="center"/>
    </xf>
    <xf borderId="18" fillId="0" fontId="2" numFmtId="0" xfId="0" applyAlignment="1" applyBorder="1" applyFont="1">
      <alignment horizontal="left" readingOrder="0"/>
    </xf>
    <xf borderId="18" fillId="5" fontId="2" numFmtId="0" xfId="0" applyAlignment="1" applyBorder="1" applyFill="1" applyFont="1">
      <alignment horizontal="center" readingOrder="0" vertical="center"/>
    </xf>
    <xf borderId="18" fillId="5" fontId="2" numFmtId="0" xfId="0" applyAlignment="1" applyBorder="1" applyFill="1" applyFont="1">
      <alignment horizontal="left" readingOrder="0" vertical="bottom"/>
    </xf>
    <xf borderId="18" fillId="6" fontId="2" numFmtId="0" xfId="0" applyAlignment="1" applyBorder="1" applyFill="1" applyFont="1">
      <alignment horizontal="left" readingOrder="0"/>
    </xf>
    <xf borderId="18" fillId="6" fontId="2" numFmtId="0" xfId="0" applyAlignment="1" applyBorder="1" applyFill="1" applyFont="1">
      <alignment readingOrder="0"/>
    </xf>
    <xf borderId="18" fillId="6" fontId="2" numFmtId="0" xfId="0" applyAlignment="1" applyBorder="1" applyFill="1" applyFont="1">
      <alignment horizontal="left" readingOrder="0" vertical="center"/>
    </xf>
    <xf borderId="18" fillId="6" fontId="2" numFmtId="0" xfId="0" applyAlignment="1" applyBorder="1" applyFill="1" applyFont="1">
      <alignment horizontal="center" readingOrder="0" vertical="center"/>
    </xf>
    <xf borderId="18" fillId="6" fontId="2" numFmtId="0" xfId="0" applyAlignment="1" applyBorder="1" applyFill="1" applyFont="1">
      <alignment horizontal="left" readingOrder="0"/>
    </xf>
    <xf borderId="18" fillId="0" fontId="9" numFmtId="0" xfId="0" applyAlignment="1" applyBorder="1" applyFont="1">
      <alignment shrinkToFit="0" vertical="bottom" wrapText="1"/>
    </xf>
    <xf borderId="18" fillId="0" fontId="2" numFmtId="0" xfId="0" applyAlignment="1" applyBorder="1" applyFont="1">
      <alignment horizontal="left" readingOrder="0"/>
    </xf>
    <xf borderId="18" fillId="0" fontId="9" numFmtId="0" xfId="0" applyAlignment="1" applyBorder="1" applyFont="1">
      <alignment readingOrder="0" shrinkToFit="0" vertical="bottom" wrapText="1"/>
    </xf>
    <xf borderId="18" fillId="6" fontId="2" numFmtId="0" xfId="0" applyAlignment="1" applyBorder="1" applyFill="1" applyFont="1">
      <alignment horizontal="center" readingOrder="0" vertical="center"/>
    </xf>
    <xf borderId="18" fillId="6" fontId="2" numFmtId="0" xfId="0" applyAlignment="1" applyBorder="1" applyFill="1" applyFont="1">
      <alignment horizontal="left" readingOrder="0"/>
    </xf>
    <xf borderId="18" fillId="5" fontId="2" numFmtId="0" xfId="0" applyAlignment="1" applyBorder="1" applyFill="1" applyFont="1">
      <alignment horizontal="left" readingOrder="0"/>
    </xf>
    <xf borderId="18" fillId="5" fontId="2" numFmtId="0" xfId="0" applyAlignment="1" applyBorder="1" applyFill="1" applyFont="1">
      <alignment horizontal="center" readingOrder="0" vertical="center"/>
    </xf>
    <xf borderId="18" fillId="5" fontId="2" numFmtId="0" xfId="0" applyAlignment="1" applyBorder="1" applyFill="1" applyFont="1">
      <alignment horizontal="left" readingOrder="0" vertical="bottom"/>
    </xf>
    <xf borderId="18" fillId="6" fontId="2" numFmtId="0" xfId="0" applyAlignment="1" applyBorder="1" applyFill="1" applyFont="1">
      <alignment horizontal="left" readingOrder="0" vertical="bottom"/>
    </xf>
    <xf borderId="18" fillId="5" fontId="2" numFmtId="0" xfId="0" applyAlignment="1" applyBorder="1" applyFill="1" applyFont="1">
      <alignment horizontal="center" readingOrder="0" vertical="center"/>
    </xf>
    <xf borderId="18" fillId="5" fontId="2" numFmtId="0" xfId="0" applyAlignment="1" applyBorder="1" applyFill="1" applyFont="1">
      <alignment horizontal="left" readingOrder="0" vertical="bottom"/>
    </xf>
    <xf borderId="18" fillId="5" fontId="2" numFmtId="0" xfId="0" applyAlignment="1" applyBorder="1" applyFill="1" applyFont="1">
      <alignment horizontal="left" readingOrder="0"/>
    </xf>
    <xf borderId="18" fillId="0" fontId="2" numFmtId="0" xfId="0" applyAlignment="1" applyBorder="1" applyFont="1">
      <alignment horizontal="left" readingOrder="0"/>
    </xf>
    <xf borderId="18" fillId="6" fontId="9" numFmtId="0" xfId="0" applyAlignment="1" applyBorder="1" applyFill="1" applyFont="1">
      <alignment horizontal="center" readingOrder="0" vertical="center"/>
    </xf>
    <xf borderId="18" fillId="6" fontId="9" numFmtId="0" xfId="0" applyAlignment="1" applyBorder="1" applyFill="1" applyFont="1">
      <alignment horizontal="left" readingOrder="0"/>
    </xf>
    <xf borderId="18" fillId="0" fontId="9" numFmtId="0" xfId="0" applyAlignment="1" applyBorder="1" applyFont="1">
      <alignment horizontal="left" readingOrder="0"/>
    </xf>
    <xf borderId="18" fillId="11" fontId="464" numFmtId="0" xfId="0" applyAlignment="1" applyBorder="1" applyFill="1" applyFont="1">
      <alignment horizontal="center" readingOrder="0" vertical="center"/>
    </xf>
    <xf borderId="18" fillId="0" fontId="2" numFmtId="0" xfId="0" applyAlignment="1" applyBorder="1" applyFont="1">
      <alignment readingOrder="0" shrinkToFit="0" vertical="bottom" wrapText="1"/>
    </xf>
    <xf borderId="18" fillId="0" fontId="9" numFmtId="0" xfId="0" applyAlignment="1" applyBorder="1" applyFont="1">
      <alignment horizontal="left" readingOrder="0" vertical="center"/>
    </xf>
    <xf borderId="18" fillId="0" fontId="9" numFmtId="0" xfId="0" applyAlignment="1" applyBorder="1" applyFont="1">
      <alignment horizontal="left" vertical="center"/>
    </xf>
    <xf borderId="18" fillId="6" fontId="465" numFmtId="0" xfId="0" applyAlignment="1" applyBorder="1" applyFill="1" applyFont="1">
      <alignment vertical="center"/>
    </xf>
    <xf borderId="18" fillId="5" fontId="466" numFmtId="0" xfId="0" applyAlignment="1" applyBorder="1" applyFill="1" applyFont="1">
      <alignment vertical="center"/>
    </xf>
    <xf borderId="18" fillId="0" fontId="9" numFmtId="164" xfId="0" applyAlignment="1" applyBorder="1" applyFont="1" applyNumberFormat="1">
      <alignment horizontal="center" vertical="center"/>
    </xf>
    <xf borderId="2" fillId="0" fontId="9" numFmtId="0" xfId="0" applyAlignment="1" applyBorder="1" applyFont="1">
      <alignment shrinkToFit="0" vertical="bottom" wrapText="1"/>
    </xf>
    <xf borderId="2" fillId="6" fontId="467" numFmtId="0" xfId="0" applyAlignment="1" applyBorder="1" applyFill="1" applyFont="1">
      <alignment readingOrder="0" vertical="center"/>
    </xf>
    <xf borderId="2" fillId="6" fontId="468" numFmtId="0" xfId="0" applyAlignment="1" applyBorder="1" applyFill="1" applyFont="1">
      <alignment vertical="center"/>
    </xf>
    <xf borderId="2" fillId="6" fontId="469" numFmtId="0" xfId="0" applyAlignment="1" applyBorder="1" applyFill="1" applyFont="1">
      <alignment vertical="center"/>
    </xf>
    <xf borderId="18" fillId="0" fontId="9" numFmtId="0" xfId="0" applyAlignment="1" applyBorder="1" applyFont="1">
      <alignment horizontal="center" vertical="center"/>
    </xf>
    <xf borderId="2" fillId="0" fontId="9" numFmtId="0" xfId="0" applyAlignment="1" applyBorder="1" applyFont="1">
      <alignment shrinkToFit="0" vertical="bottom" wrapText="1"/>
    </xf>
    <xf borderId="2" fillId="5" fontId="470" numFmtId="0" xfId="0" applyAlignment="1" applyBorder="1" applyFill="1" applyFont="1">
      <alignment vertical="center"/>
    </xf>
    <xf borderId="2" fillId="0" fontId="9" numFmtId="0" xfId="0" applyAlignment="1" applyBorder="1" applyFont="1">
      <alignment shrinkToFit="0" vertical="bottom" wrapText="1"/>
    </xf>
    <xf borderId="2" fillId="6" fontId="471" numFmtId="0" xfId="0" applyAlignment="1" applyBorder="1" applyFill="1" applyFont="1">
      <alignment vertical="center"/>
    </xf>
    <xf borderId="18" fillId="0" fontId="472" numFmtId="0" xfId="0" applyAlignment="1" applyBorder="1" applyFont="1">
      <alignment readingOrder="0" vertical="center"/>
    </xf>
    <xf borderId="0" fillId="5" fontId="9" numFmtId="0" xfId="0" applyAlignment="1" applyFill="1" applyFont="1">
      <alignment readingOrder="0" vertical="center"/>
    </xf>
    <xf borderId="18" fillId="0" fontId="9" numFmtId="0" xfId="0" applyAlignment="1" applyBorder="1" applyFont="1">
      <alignment shrinkToFit="0" vertical="bottom" wrapText="1"/>
    </xf>
    <xf borderId="18" fillId="0" fontId="9" numFmtId="0" xfId="0" applyAlignment="1" applyBorder="1" applyFont="1">
      <alignment horizontal="left" vertical="center"/>
    </xf>
    <xf borderId="18" fillId="0" fontId="9" numFmtId="0" xfId="0" applyAlignment="1" applyBorder="1" applyFont="1">
      <alignment vertical="center"/>
    </xf>
    <xf borderId="18" fillId="0" fontId="473" numFmtId="0" xfId="0" applyAlignment="1" applyBorder="1" applyFont="1">
      <alignment vertical="center"/>
    </xf>
    <xf borderId="18" fillId="0" fontId="3" numFmtId="0" xfId="0" applyAlignment="1" applyBorder="1" applyFont="1">
      <alignment vertical="center"/>
    </xf>
    <xf borderId="18" fillId="5" fontId="9" numFmtId="0" xfId="0" applyAlignment="1" applyBorder="1" applyFill="1" applyFont="1">
      <alignment readingOrder="0" vertical="center"/>
    </xf>
    <xf borderId="18" fillId="0" fontId="474" numFmtId="0" xfId="0" applyAlignment="1" applyBorder="1" applyFont="1">
      <alignment horizontal="left" readingOrder="0" vertical="center"/>
    </xf>
    <xf borderId="18" fillId="0" fontId="9" numFmtId="0" xfId="0" applyAlignment="1" applyBorder="1" applyFont="1">
      <alignment readingOrder="0" shrinkToFit="0" vertical="bottom" wrapText="1"/>
    </xf>
    <xf borderId="18" fillId="0" fontId="3" numFmtId="0" xfId="0" applyAlignment="1" applyBorder="1" applyFont="1">
      <alignment readingOrder="0" vertical="center"/>
    </xf>
    <xf borderId="0" fillId="0" fontId="9" numFmtId="0" xfId="0" applyAlignment="1" applyFont="1">
      <alignment readingOrder="0" shrinkToFit="0" vertical="center" wrapText="1"/>
    </xf>
    <xf borderId="0" fillId="6" fontId="9" numFmtId="0" xfId="0" applyAlignment="1" applyFill="1" applyFont="1">
      <alignment readingOrder="0"/>
    </xf>
    <xf borderId="18" fillId="0" fontId="9" numFmtId="0" xfId="0" applyAlignment="1" applyBorder="1" applyFont="1">
      <alignment readingOrder="0" shrinkToFit="0" vertical="center" wrapText="1"/>
    </xf>
    <xf borderId="18" fillId="0" fontId="21" numFmtId="0" xfId="0" applyAlignment="1" applyBorder="1" applyFont="1">
      <alignment readingOrder="0" vertical="center"/>
    </xf>
    <xf borderId="18" fillId="0" fontId="9" numFmtId="0" xfId="0" applyAlignment="1" applyBorder="1" applyFont="1">
      <alignment vertical="bottom"/>
    </xf>
    <xf borderId="18" fillId="0" fontId="9" numFmtId="0" xfId="0" applyAlignment="1" applyBorder="1" applyFont="1">
      <alignment vertical="center"/>
    </xf>
    <xf borderId="18" fillId="0" fontId="3" numFmtId="0" xfId="0" applyAlignment="1" applyBorder="1" applyFont="1">
      <alignment vertical="center"/>
    </xf>
    <xf borderId="18" fillId="0" fontId="475" numFmtId="0" xfId="0" applyAlignment="1" applyBorder="1" applyFont="1">
      <alignment vertical="center"/>
    </xf>
    <xf borderId="18" fillId="0" fontId="9" numFmtId="0" xfId="0" applyAlignment="1" applyBorder="1" applyFont="1">
      <alignment readingOrder="0" vertical="bottom"/>
    </xf>
    <xf borderId="18" fillId="0" fontId="476" numFmtId="0" xfId="0" applyAlignment="1" applyBorder="1" applyFont="1">
      <alignment readingOrder="0" vertical="center"/>
    </xf>
    <xf borderId="18" fillId="0" fontId="9" numFmtId="0" xfId="0" applyBorder="1" applyFont="1"/>
    <xf borderId="18" fillId="0" fontId="477" numFmtId="0" xfId="0" applyAlignment="1" applyBorder="1" applyFont="1">
      <alignment horizontal="left" vertical="center"/>
    </xf>
    <xf borderId="18" fillId="0" fontId="3" numFmtId="0" xfId="0" applyAlignment="1" applyBorder="1" applyFont="1">
      <alignment horizontal="left" vertical="center"/>
    </xf>
    <xf borderId="17" fillId="0" fontId="3" numFmtId="0" xfId="0" applyAlignment="1" applyBorder="1" applyFont="1">
      <alignment horizontal="left" vertical="center"/>
    </xf>
    <xf borderId="17" fillId="0" fontId="9" numFmtId="0" xfId="0" applyBorder="1" applyFont="1"/>
    <xf borderId="17" fillId="0" fontId="9" numFmtId="0" xfId="0" applyAlignment="1" applyBorder="1" applyFont="1">
      <alignment horizontal="left" vertical="center"/>
    </xf>
    <xf borderId="17" fillId="0" fontId="9" numFmtId="0" xfId="0" applyAlignment="1" applyBorder="1" applyFont="1">
      <alignment vertical="center"/>
    </xf>
    <xf borderId="17" fillId="0" fontId="3" numFmtId="0" xfId="0" applyAlignment="1" applyBorder="1" applyFont="1">
      <alignment vertical="center"/>
    </xf>
    <xf borderId="24" fillId="0" fontId="9" numFmtId="0" xfId="0" applyAlignment="1" applyBorder="1" applyFont="1">
      <alignment horizontal="left" vertical="center"/>
    </xf>
    <xf borderId="34" fillId="0" fontId="9" numFmtId="0" xfId="0" applyAlignment="1" applyBorder="1" applyFont="1">
      <alignment horizontal="center" vertical="center"/>
    </xf>
    <xf borderId="34" fillId="0" fontId="9" numFmtId="0" xfId="0" applyAlignment="1" applyBorder="1" applyFont="1">
      <alignment horizontal="left" vertical="center"/>
    </xf>
    <xf borderId="0" fillId="0" fontId="9" numFmtId="0" xfId="0" applyAlignment="1" applyFont="1">
      <alignment horizontal="left" vertical="center"/>
    </xf>
    <xf borderId="17" fillId="0" fontId="9" numFmtId="164" xfId="0" applyAlignment="1" applyBorder="1" applyFont="1" applyNumberFormat="1">
      <alignment horizontal="center" vertical="center"/>
    </xf>
    <xf borderId="2" fillId="0" fontId="9" numFmtId="0" xfId="0" applyAlignment="1" applyBorder="1" applyFont="1">
      <alignment horizontal="left" vertical="center"/>
    </xf>
    <xf borderId="2" fillId="0" fontId="3" numFmtId="0" xfId="0" applyAlignment="1" applyBorder="1" applyFont="1">
      <alignment vertical="center"/>
    </xf>
    <xf borderId="19" fillId="0" fontId="9" numFmtId="0" xfId="0" applyAlignment="1" applyBorder="1" applyFont="1">
      <alignment horizontal="left" vertical="center"/>
    </xf>
    <xf borderId="1" fillId="0" fontId="9" numFmtId="0" xfId="0" applyAlignment="1" applyBorder="1" applyFont="1">
      <alignment horizontal="center" vertical="center"/>
    </xf>
    <xf borderId="1" fillId="0" fontId="9" numFmtId="0" xfId="0" applyAlignment="1" applyBorder="1" applyFont="1">
      <alignment horizontal="left" vertical="center"/>
    </xf>
    <xf borderId="2" fillId="0" fontId="9" numFmtId="164" xfId="0" applyAlignment="1" applyBorder="1" applyFont="1" applyNumberFormat="1">
      <alignment horizontal="center" vertical="center"/>
    </xf>
    <xf borderId="35" fillId="0" fontId="9" numFmtId="0" xfId="0" applyAlignment="1" applyBorder="1" applyFont="1">
      <alignment horizontal="center" vertical="center"/>
    </xf>
    <xf borderId="35" fillId="0" fontId="9" numFmtId="0" xfId="0" applyAlignment="1" applyBorder="1" applyFont="1">
      <alignment horizontal="left" vertical="center"/>
    </xf>
    <xf borderId="24" fillId="0" fontId="21" numFmtId="0" xfId="0" applyBorder="1" applyFont="1"/>
    <xf borderId="2" fillId="0" fontId="9" numFmtId="0" xfId="0" applyAlignment="1" applyBorder="1" applyFont="1">
      <alignment horizontal="center" vertical="center"/>
    </xf>
    <xf borderId="2" fillId="0" fontId="9" numFmtId="0" xfId="0" applyAlignment="1" applyBorder="1" applyFont="1">
      <alignment horizontal="left" readingOrder="0" vertical="center"/>
    </xf>
    <xf borderId="2" fillId="5" fontId="9" numFmtId="0" xfId="0" applyAlignment="1" applyBorder="1" applyFill="1" applyFont="1">
      <alignment shrinkToFit="0" vertical="bottom" wrapText="1"/>
    </xf>
    <xf borderId="2" fillId="0" fontId="9" numFmtId="0" xfId="0" applyAlignment="1" applyBorder="1" applyFont="1">
      <alignment horizontal="center" readingOrder="0" vertical="center"/>
    </xf>
    <xf borderId="2" fillId="6" fontId="130" numFmtId="0" xfId="0" applyAlignment="1" applyBorder="1" applyFill="1" applyFont="1">
      <alignment horizontal="center" vertical="center"/>
    </xf>
    <xf borderId="2" fillId="8" fontId="130" numFmtId="0" xfId="0" applyAlignment="1" applyBorder="1" applyFill="1" applyFont="1">
      <alignment vertical="bottom"/>
    </xf>
    <xf borderId="2" fillId="5" fontId="9" numFmtId="0" xfId="0" applyAlignment="1" applyBorder="1" applyFill="1" applyFont="1">
      <alignment vertical="center"/>
    </xf>
    <xf borderId="2" fillId="5" fontId="130" numFmtId="0" xfId="0" applyAlignment="1" applyBorder="1" applyFill="1" applyFont="1">
      <alignment vertical="center"/>
    </xf>
    <xf borderId="2" fillId="5" fontId="130" numFmtId="0" xfId="0" applyAlignment="1" applyBorder="1" applyFill="1" applyFont="1">
      <alignment horizontal="center" vertical="center"/>
    </xf>
    <xf borderId="2" fillId="6" fontId="9" numFmtId="0" xfId="0" applyAlignment="1" applyBorder="1" applyFill="1" applyFont="1">
      <alignment vertical="center"/>
    </xf>
    <xf borderId="2" fillId="6" fontId="130" numFmtId="0" xfId="0" applyAlignment="1" applyBorder="1" applyFill="1" applyFont="1">
      <alignment vertical="center"/>
    </xf>
    <xf borderId="0" fillId="0" fontId="3" numFmtId="0" xfId="0" applyAlignment="1" applyFont="1">
      <alignment horizontal="left" vertical="center"/>
    </xf>
    <xf borderId="0" fillId="0" fontId="9" numFmtId="0" xfId="0" applyAlignment="1" applyFont="1">
      <alignment vertical="center"/>
    </xf>
    <xf borderId="0" fillId="0" fontId="3" numFmtId="0" xfId="0" applyAlignment="1" applyFont="1">
      <alignment vertical="center"/>
    </xf>
    <xf borderId="0" fillId="0" fontId="9" numFmtId="0" xfId="0" applyAlignment="1" applyFont="1">
      <alignment horizontal="center" vertical="center"/>
    </xf>
    <xf borderId="0" fillId="0" fontId="9" numFmtId="164" xfId="0" applyAlignment="1" applyFont="1" applyNumberFormat="1">
      <alignment horizontal="center" vertical="center"/>
    </xf>
  </cellXfs>
  <cellStyles count="1">
    <cellStyle xfId="0" name="Normal" builtinId="0"/>
  </cellStyles>
  <dxfs count="3">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s>
  <tableStyles count="76">
    <tableStyle count="3" pivot="0" name="NOTAS-style">
      <tableStyleElement dxfId="1" type="headerRow"/>
      <tableStyleElement dxfId="2" type="firstRowStripe"/>
      <tableStyleElement dxfId="1" type="secondRowStripe"/>
    </tableStyle>
    <tableStyle count="2" pivot="0" name="NOTAS-style 2">
      <tableStyleElement dxfId="1" type="firstRowStripe"/>
      <tableStyleElement dxfId="2" type="secondRowStripe"/>
    </tableStyle>
    <tableStyle count="2" pivot="0" name="NOTAS-style 3">
      <tableStyleElement dxfId="1" type="firstRowStripe"/>
      <tableStyleElement dxfId="2" type="secondRowStripe"/>
    </tableStyle>
    <tableStyle count="3" pivot="0" name="SESSÕES | PRÉ VENDAS-style">
      <tableStyleElement dxfId="1" type="headerRow"/>
      <tableStyleElement dxfId="2" type="firstRowStripe"/>
      <tableStyleElement dxfId="1" type="secondRowStripe"/>
    </tableStyle>
    <tableStyle count="3" pivot="0" name="SESSÕES-style">
      <tableStyleElement dxfId="1" type="headerRow"/>
      <tableStyleElement dxfId="2" type="firstRowStripe"/>
      <tableStyleElement dxfId="1" type="secondRowStripe"/>
    </tableStyle>
    <tableStyle count="2" pivot="0" name="SESSÕES | PRÉ VENDAS-style 2">
      <tableStyleElement dxfId="1" type="firstRowStripe"/>
      <tableStyleElement dxfId="2" type="secondRowStripe"/>
    </tableStyle>
    <tableStyle count="2" pivot="0" name="SESSÕES-style 2">
      <tableStyleElement dxfId="1" type="firstRowStripe"/>
      <tableStyleElement dxfId="2" type="secondRowStripe"/>
    </tableStyle>
    <tableStyle count="2" pivot="0" name="SESSÕES | PRÉ VENDAS-style 3">
      <tableStyleElement dxfId="2" type="firstRowStripe"/>
      <tableStyleElement dxfId="1" type="secondRowStripe"/>
    </tableStyle>
    <tableStyle count="2" pivot="0" name="SESSÕES-style 3">
      <tableStyleElement dxfId="2" type="firstRowStripe"/>
      <tableStyleElement dxfId="1" type="secondRowStripe"/>
    </tableStyle>
    <tableStyle count="2" pivot="0" name="SESSÕES | PRÉ VENDAS-style 4">
      <tableStyleElement dxfId="1" type="firstRowStripe"/>
      <tableStyleElement dxfId="2" type="secondRowStripe"/>
    </tableStyle>
    <tableStyle count="2" pivot="0" name="SESSÕES-style 4">
      <tableStyleElement dxfId="1" type="firstRowStripe"/>
      <tableStyleElement dxfId="2" type="secondRowStripe"/>
    </tableStyle>
    <tableStyle count="3" pivot="0" name="SESSÕES-style 5">
      <tableStyleElement dxfId="1" type="headerRow"/>
      <tableStyleElement dxfId="2" type="firstRowStripe"/>
      <tableStyleElement dxfId="1" type="secondRowStripe"/>
    </tableStyle>
    <tableStyle count="2" pivot="0" name="SESSÕES | PRÉ VENDAS-style 5">
      <tableStyleElement dxfId="1" type="firstRowStripe"/>
      <tableStyleElement dxfId="2" type="secondRowStripe"/>
    </tableStyle>
    <tableStyle count="2" pivot="0" name="SESSÕES | PRÉ VENDAS-style 6">
      <tableStyleElement dxfId="2" type="firstRowStripe"/>
      <tableStyleElement dxfId="1" type="secondRowStripe"/>
    </tableStyle>
    <tableStyle count="2" pivot="0" name="SESSÕES | PRÉ VENDAS-style 7">
      <tableStyleElement dxfId="2" type="firstRowStripe"/>
      <tableStyleElement dxfId="1" type="secondRowStripe"/>
    </tableStyle>
    <tableStyle count="2" pivot="0" name="SESSÕES-style 6">
      <tableStyleElement dxfId="1" type="firstRowStripe"/>
      <tableStyleElement dxfId="2" type="secondRowStripe"/>
    </tableStyle>
    <tableStyle count="2" pivot="0" name="SESSÕES-style 7">
      <tableStyleElement dxfId="2" type="firstRowStripe"/>
      <tableStyleElement dxfId="1" type="secondRowStripe"/>
    </tableStyle>
    <tableStyle count="2" pivot="0" name="SESSÕES-style 8">
      <tableStyleElement dxfId="2" type="firstRowStripe"/>
      <tableStyleElement dxfId="1" type="secondRowStripe"/>
    </tableStyle>
    <tableStyle count="2" pivot="0" name="SESSÕES-style 9">
      <tableStyleElement dxfId="2" type="firstRowStripe"/>
      <tableStyleElement dxfId="1" type="secondRowStripe"/>
    </tableStyle>
    <tableStyle count="2" pivot="0" name="SESSÕES-style 10">
      <tableStyleElement dxfId="2" type="firstRowStripe"/>
      <tableStyleElement dxfId="1" type="secondRowStripe"/>
    </tableStyle>
    <tableStyle count="3" pivot="0" name="SESSÕES-style 11">
      <tableStyleElement dxfId="1" type="headerRow"/>
      <tableStyleElement dxfId="2" type="firstRowStripe"/>
      <tableStyleElement dxfId="1" type="secondRowStripe"/>
    </tableStyle>
    <tableStyle count="2" pivot="0" name="SESSÕES-style 12">
      <tableStyleElement dxfId="1" type="firstRowStripe"/>
      <tableStyleElement dxfId="2" type="secondRowStripe"/>
    </tableStyle>
    <tableStyle count="2" pivot="0" name="SESSÕES-style 13">
      <tableStyleElement dxfId="1" type="firstRowStripe"/>
      <tableStyleElement dxfId="2" type="secondRowStripe"/>
    </tableStyle>
    <tableStyle count="2" pivot="0" name="SESSÕES-style 14">
      <tableStyleElement dxfId="1" type="firstRowStripe"/>
      <tableStyleElement dxfId="2" type="secondRowStripe"/>
    </tableStyle>
    <tableStyle count="2" pivot="0" name="SESSÕES-style 15">
      <tableStyleElement dxfId="1" type="firstRowStripe"/>
      <tableStyleElement dxfId="2" type="secondRowStripe"/>
    </tableStyle>
    <tableStyle count="2" pivot="0" name="SESSÕES-style 16">
      <tableStyleElement dxfId="1" type="firstRowStripe"/>
      <tableStyleElement dxfId="2" type="secondRowStripe"/>
    </tableStyle>
    <tableStyle count="2" pivot="0" name="SESSÕES-style 17">
      <tableStyleElement dxfId="2" type="firstRowStripe"/>
      <tableStyleElement dxfId="1" type="secondRowStripe"/>
    </tableStyle>
    <tableStyle count="3" pivot="0" name="SESSÕES-style 18">
      <tableStyleElement dxfId="1" type="headerRow"/>
      <tableStyleElement dxfId="2" type="firstRowStripe"/>
      <tableStyleElement dxfId="1" type="secondRowStripe"/>
    </tableStyle>
    <tableStyle count="3" pivot="0" name="SESSÕES-style 19">
      <tableStyleElement dxfId="1" type="headerRow"/>
      <tableStyleElement dxfId="2" type="firstRowStripe"/>
      <tableStyleElement dxfId="1" type="secondRowStripe"/>
    </tableStyle>
    <tableStyle count="3" pivot="0" name="SESSÕES-style 20">
      <tableStyleElement dxfId="1" type="headerRow"/>
      <tableStyleElement dxfId="2" type="firstRowStripe"/>
      <tableStyleElement dxfId="1" type="secondRowStripe"/>
    </tableStyle>
    <tableStyle count="2" pivot="0" name="SESSÕES | GESTÃO-style">
      <tableStyleElement dxfId="2" type="firstRowStripe"/>
      <tableStyleElement dxfId="1" type="secondRowStripe"/>
    </tableStyle>
    <tableStyle count="2" pivot="0" name="SESSÕES | GESTÃO-style 2">
      <tableStyleElement dxfId="2" type="firstRowStripe"/>
      <tableStyleElement dxfId="1" type="secondRowStripe"/>
    </tableStyle>
    <tableStyle count="2" pivot="0" name="SESSÕES | GESTÃO-style 3">
      <tableStyleElement dxfId="2" type="firstRowStripe"/>
      <tableStyleElement dxfId="1" type="secondRowStripe"/>
    </tableStyle>
    <tableStyle count="3" pivot="0" name="SESSÕES | GESTÃO-style 4">
      <tableStyleElement dxfId="1" type="headerRow"/>
      <tableStyleElement dxfId="2" type="firstRowStripe"/>
      <tableStyleElement dxfId="1" type="secondRowStripe"/>
    </tableStyle>
    <tableStyle count="2" pivot="0" name="SESSÕES | GESTÃO-style 5">
      <tableStyleElement dxfId="1" type="firstRowStripe"/>
      <tableStyleElement dxfId="2" type="secondRowStripe"/>
    </tableStyle>
    <tableStyle count="2" pivot="0" name="SESSÕES | GESTÃO-style 6">
      <tableStyleElement dxfId="2" type="firstRowStripe"/>
      <tableStyleElement dxfId="1" type="secondRowStripe"/>
    </tableStyle>
    <tableStyle count="2" pivot="0" name="SESSÕES | GESTÃO-style 7">
      <tableStyleElement dxfId="1" type="firstRowStripe"/>
      <tableStyleElement dxfId="2" type="secondRowStripe"/>
    </tableStyle>
    <tableStyle count="2" pivot="0" name="SESSÕES | GESTÃO-style 8">
      <tableStyleElement dxfId="2" type="firstRowStripe"/>
      <tableStyleElement dxfId="1" type="secondRowStripe"/>
    </tableStyle>
    <tableStyle count="2" pivot="0" name="SESSÕES | GESTÃO-style 9">
      <tableStyleElement dxfId="2" type="firstRowStripe"/>
      <tableStyleElement dxfId="1" type="secondRowStripe"/>
    </tableStyle>
    <tableStyle count="2" pivot="0" name="SESSÕES | GESTÃO-style 10">
      <tableStyleElement dxfId="2" type="firstRowStripe"/>
      <tableStyleElement dxfId="1" type="secondRowStripe"/>
    </tableStyle>
    <tableStyle count="2" pivot="0" name="SESSÕES | GESTÃO-style 11">
      <tableStyleElement dxfId="2" type="firstRowStripe"/>
      <tableStyleElement dxfId="1" type="secondRowStripe"/>
    </tableStyle>
    <tableStyle count="2" pivot="0" name="SESSÕES | GESTÃO-style 12">
      <tableStyleElement dxfId="1" type="firstRowStripe"/>
      <tableStyleElement dxfId="2" type="secondRowStripe"/>
    </tableStyle>
    <tableStyle count="2" pivot="0" name="SESSÕES | GESTÃO-style 13">
      <tableStyleElement dxfId="1" type="firstRowStripe"/>
      <tableStyleElement dxfId="2" type="secondRowStripe"/>
    </tableStyle>
    <tableStyle count="2" pivot="0" name="SESSÕES | GESTÃO-style 14">
      <tableStyleElement dxfId="1" type="firstRowStripe"/>
      <tableStyleElement dxfId="2" type="secondRowStripe"/>
    </tableStyle>
    <tableStyle count="2" pivot="0" name="SESSÕES | GESTÃO-style 15">
      <tableStyleElement dxfId="1" type="firstRowStripe"/>
      <tableStyleElement dxfId="2" type="secondRowStripe"/>
    </tableStyle>
    <tableStyle count="2" pivot="0" name="SESSÕES | GESTÃO-style 16">
      <tableStyleElement dxfId="2" type="firstRowStripe"/>
      <tableStyleElement dxfId="1" type="secondRowStripe"/>
    </tableStyle>
    <tableStyle count="3" pivot="0" name="SESSÕES | EXECUTIVOS-style">
      <tableStyleElement dxfId="1" type="headerRow"/>
      <tableStyleElement dxfId="2" type="firstRowStripe"/>
      <tableStyleElement dxfId="1" type="secondRowStripe"/>
    </tableStyle>
    <tableStyle count="2" pivot="0" name="SESSÕES | EXECUTIVOS-style 2">
      <tableStyleElement dxfId="1" type="firstRowStripe"/>
      <tableStyleElement dxfId="2" type="secondRowStripe"/>
    </tableStyle>
    <tableStyle count="2" pivot="0" name="SESSÕES | EXECUTIVOS-style 3">
      <tableStyleElement dxfId="1" type="firstRowStripe"/>
      <tableStyleElement dxfId="2" type="secondRowStripe"/>
    </tableStyle>
    <tableStyle count="2" pivot="0" name="SESSÕES | EXECUTIVOS-style 4">
      <tableStyleElement dxfId="2" type="firstRowStripe"/>
      <tableStyleElement dxfId="1" type="secondRowStripe"/>
    </tableStyle>
    <tableStyle count="2" pivot="0" name="SESSÕES | EXECUTIVOS-style 5">
      <tableStyleElement dxfId="2" type="firstRowStripe"/>
      <tableStyleElement dxfId="1" type="secondRowStripe"/>
    </tableStyle>
    <tableStyle count="2" pivot="0" name="SESSÕES | EXECUTIVOS-style 6">
      <tableStyleElement dxfId="1" type="firstRowStripe"/>
      <tableStyleElement dxfId="2" type="secondRowStripe"/>
    </tableStyle>
    <tableStyle count="2" pivot="0" name="SESSÕES | EXECUTIVOS-style 7">
      <tableStyleElement dxfId="1" type="firstRowStripe"/>
      <tableStyleElement dxfId="2" type="secondRowStripe"/>
    </tableStyle>
    <tableStyle count="2" pivot="0" name="SESSÕES | EXECUTIVOS-style 8">
      <tableStyleElement dxfId="1" type="firstRowStripe"/>
      <tableStyleElement dxfId="2" type="secondRowStripe"/>
    </tableStyle>
    <tableStyle count="3" pivot="0" name=" SESSÕES | CANAIS-style">
      <tableStyleElement dxfId="1" type="headerRow"/>
      <tableStyleElement dxfId="2" type="firstRowStripe"/>
      <tableStyleElement dxfId="1" type="secondRowStripe"/>
    </tableStyle>
    <tableStyle count="2" pivot="0" name=" SESSÕES | CANAIS-style 2">
      <tableStyleElement dxfId="2" type="firstRowStripe"/>
      <tableStyleElement dxfId="1" type="secondRowStripe"/>
    </tableStyle>
    <tableStyle count="2" pivot="0" name=" SESSÕES | CANAIS-style 3">
      <tableStyleElement dxfId="2" type="firstRowStripe"/>
      <tableStyleElement dxfId="1" type="secondRowStripe"/>
    </tableStyle>
    <tableStyle count="2" pivot="0" name=" SESSÕES | CANAIS-style 4">
      <tableStyleElement dxfId="1" type="firstRowStripe"/>
      <tableStyleElement dxfId="2" type="secondRowStripe"/>
    </tableStyle>
    <tableStyle count="3" pivot="0" name="SESSÕES | CLASS-style">
      <tableStyleElement dxfId="1" type="headerRow"/>
      <tableStyleElement dxfId="2" type="firstRowStripe"/>
      <tableStyleElement dxfId="1" type="secondRowStripe"/>
    </tableStyle>
    <tableStyle count="2" pivot="0" name="SESSÕES | CLASS-style 2">
      <tableStyleElement dxfId="1" type="firstRowStripe"/>
      <tableStyleElement dxfId="2" type="secondRowStripe"/>
    </tableStyle>
    <tableStyle count="2" pivot="0" name="SESSÕES | CLASS-style 3">
      <tableStyleElement dxfId="1" type="firstRowStripe"/>
      <tableStyleElement dxfId="2" type="secondRowStripe"/>
    </tableStyle>
    <tableStyle count="2" pivot="0" name="SESSÕES | CLASS-style 4">
      <tableStyleElement dxfId="1" type="firstRowStripe"/>
      <tableStyleElement dxfId="2" type="secondRowStripe"/>
    </tableStyle>
    <tableStyle count="2" pivot="0" name="SESSÕES | CLASS-style 5">
      <tableStyleElement dxfId="1" type="firstRowStripe"/>
      <tableStyleElement dxfId="2" type="secondRowStripe"/>
    </tableStyle>
    <tableStyle count="2" pivot="0" name="SESSÕES | CLASS-style 6">
      <tableStyleElement dxfId="1" type="firstRowStripe"/>
      <tableStyleElement dxfId="2" type="secondRowStripe"/>
    </tableStyle>
    <tableStyle count="2" pivot="0" name="SESSÕES | CLASS-style 7">
      <tableStyleElement dxfId="1" type="firstRowStripe"/>
      <tableStyleElement dxfId="2" type="secondRowStripe"/>
    </tableStyle>
    <tableStyle count="3" pivot="0" name="SESSÕES | CLASS-style 8">
      <tableStyleElement dxfId="1" type="headerRow"/>
      <tableStyleElement dxfId="2" type="firstRowStripe"/>
      <tableStyleElement dxfId="1" type="secondRowStripe"/>
    </tableStyle>
    <tableStyle count="3" pivot="0" name="SESSÕES | CLASS-style 9">
      <tableStyleElement dxfId="1" type="headerRow"/>
      <tableStyleElement dxfId="2" type="firstRowStripe"/>
      <tableStyleElement dxfId="1" type="secondRowStripe"/>
    </tableStyle>
    <tableStyle count="2" pivot="0" name="SESSÕES | CLASS-style 10">
      <tableStyleElement dxfId="1" type="firstRowStripe"/>
      <tableStyleElement dxfId="2" type="secondRowStripe"/>
    </tableStyle>
    <tableStyle count="2" pivot="0" name="SESSÕES | CLASS-style 11">
      <tableStyleElement dxfId="1" type="firstRowStripe"/>
      <tableStyleElement dxfId="2" type="secondRowStripe"/>
    </tableStyle>
    <tableStyle count="3" pivot="0" name="MÁQUINA DE VENDAS-style">
      <tableStyleElement dxfId="1" type="headerRow"/>
      <tableStyleElement dxfId="2" type="firstRowStripe"/>
      <tableStyleElement dxfId="1" type="secondRowStripe"/>
    </tableStyle>
    <tableStyle count="3" pivot="0" name="CERTIFICAÇÃO EM IA-style">
      <tableStyleElement dxfId="1" type="headerRow"/>
      <tableStyleElement dxfId="2" type="firstRowStripe"/>
      <tableStyleElement dxfId="1" type="secondRowStripe"/>
    </tableStyle>
    <tableStyle count="3" pivot="0" name="PROGRAMA DE GESTÃO-style">
      <tableStyleElement dxfId="1" type="headerRow"/>
      <tableStyleElement dxfId="2" type="firstRowStripe"/>
      <tableStyleElement dxfId="1" type="secondRowStripe"/>
    </tableStyle>
    <tableStyle count="3" pivot="0" name="CERTIFICAÇÃO DE VENDEDORES B2B-style">
      <tableStyleElement dxfId="1" type="headerRow"/>
      <tableStyleElement dxfId="2" type="firstRowStripe"/>
      <tableStyleElement dxfId="1" type="secondRowStripe"/>
    </tableStyle>
    <tableStyle count="3" pivot="0" name="ESPECIALIZAÇÃO DE VENDEDORES-style">
      <tableStyleElement dxfId="1" type="headerRow"/>
      <tableStyleElement dxfId="2" type="firstRowStripe"/>
      <tableStyleElement dxfId="1" type="secondRowStripe"/>
    </tableStyle>
    <tableStyle count="3" pivot="0" name="CORTES-style">
      <tableStyleElement dxfId="1" type="headerRow"/>
      <tableStyleElement dxfId="2" type="firstRowStripe"/>
      <tableStyleElement dxfId="1" type="secondRowStripe"/>
    </tableStyle>
    <tableStyle count="3" pivot="0" name="DEPOIMENTOS-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1924050</xdr:colOff>
      <xdr:row>3</xdr:row>
      <xdr:rowOff>0</xdr:rowOff>
    </xdr:from>
    <xdr:ext cx="3790950" cy="107632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723900</xdr:colOff>
      <xdr:row>0</xdr:row>
      <xdr:rowOff>0</xdr:rowOff>
    </xdr:from>
    <xdr:ext cx="3790950" cy="107632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3114675</xdr:colOff>
      <xdr:row>0</xdr:row>
      <xdr:rowOff>161925</xdr:rowOff>
    </xdr:from>
    <xdr:ext cx="5286375" cy="666750"/>
    <xdr:sp>
      <xdr:nvSpPr>
        <xdr:cNvPr id="3" name="Shape 3"/>
        <xdr:cNvSpPr/>
      </xdr:nvSpPr>
      <xdr:spPr>
        <a:xfrm>
          <a:off x="560575" y="304875"/>
          <a:ext cx="5271300" cy="649200"/>
        </a:xfrm>
        <a:prstGeom prst="rect">
          <a:avLst/>
        </a:prstGeom>
        <a:solidFill>
          <a:srgbClr val="FFFFFF"/>
        </a:solidFill>
        <a:ln cap="flat" cmpd="sng" w="9525">
          <a:solidFill>
            <a:srgbClr val="C9DAF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200"/>
            <a:t>Esse grupo é a união dos antigos grupos "Planejamento Comercial"</a:t>
          </a:r>
          <a:endParaRPr b="1" sz="1200"/>
        </a:p>
        <a:p>
          <a:pPr indent="0" lvl="0" marL="0" rtl="0" algn="ctr">
            <a:spcBef>
              <a:spcPts val="0"/>
            </a:spcBef>
            <a:spcAft>
              <a:spcPts val="0"/>
            </a:spcAft>
            <a:buNone/>
          </a:pPr>
          <a:r>
            <a:rPr b="1" lang="en-US" sz="1200"/>
            <a:t> e "Líderes de Vendas", agora chamado </a:t>
          </a:r>
          <a:r>
            <a:rPr b="1" i="1" lang="en-US" sz="1200"/>
            <a:t>"Gestão Comercial"</a:t>
          </a:r>
          <a:endParaRPr b="1" i="1" sz="1200"/>
        </a:p>
      </xdr:txBody>
    </xdr:sp>
    <xdr:clientData fLocksWithSheet="0"/>
  </xdr:oneCellAnchor>
  <xdr:oneCellAnchor>
    <xdr:from>
      <xdr:col>7</xdr:col>
      <xdr:colOff>581025</xdr:colOff>
      <xdr:row>0</xdr:row>
      <xdr:rowOff>0</xdr:rowOff>
    </xdr:from>
    <xdr:ext cx="3790950" cy="107632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933450</xdr:colOff>
      <xdr:row>0</xdr:row>
      <xdr:rowOff>0</xdr:rowOff>
    </xdr:from>
    <xdr:ext cx="3790950" cy="107632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933450</xdr:colOff>
      <xdr:row>0</xdr:row>
      <xdr:rowOff>0</xdr:rowOff>
    </xdr:from>
    <xdr:ext cx="3790950" cy="107632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933450</xdr:colOff>
      <xdr:row>0</xdr:row>
      <xdr:rowOff>0</xdr:rowOff>
    </xdr:from>
    <xdr:ext cx="3790950" cy="107632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38100</xdr:colOff>
      <xdr:row>0</xdr:row>
      <xdr:rowOff>0</xdr:rowOff>
    </xdr:from>
    <xdr:ext cx="2724150" cy="77152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A54" displayName="Table_1" name="Table_1" id="1">
  <tableColumns count="1">
    <tableColumn name="LinkedIn e Sales Navigator na Prática" id="1"/>
  </tableColumns>
  <tableStyleInfo name="NOTAS-style" showColumnStripes="0" showFirstColumn="1" showLastColumn="1" showRowStripes="1"/>
</table>
</file>

<file path=xl/tables/table2.xml><?xml version="1.0" encoding="utf-8"?>
<table xmlns="http://schemas.openxmlformats.org/spreadsheetml/2006/main" headerRowCount="0" ref="A96:A135" displayName="Table_2" name="Table_2" id="2">
  <tableColumns count="1">
    <tableColumn name="Column1" id="1"/>
  </tableColumns>
  <tableStyleInfo name="NOTAS-style 2" showColumnStripes="0" showFirstColumn="1" showLastColumn="1" showRowStripes="1"/>
</table>
</file>

<file path=xl/tables/table3.xml><?xml version="1.0" encoding="utf-8"?>
<table xmlns="http://schemas.openxmlformats.org/spreadsheetml/2006/main" headerRowCount="0" ref="A144:A145" displayName="Table_3" name="Table_3" id="3">
  <tableColumns count="1">
    <tableColumn name="Column1" id="1"/>
  </tableColumns>
  <tableStyleInfo name="NOTAS-style 3" showColumnStripes="0" showFirstColumn="1" showLastColumn="1" showRowStripes="1"/>
</table>
</file>

<file path=xl/tables/table4.xml><?xml version="1.0" encoding="utf-8"?>
<table xmlns="http://schemas.openxmlformats.org/spreadsheetml/2006/main" headerRowCount="0" ref="B12:Q561" displayName="Table_5" name="Table_5" id="5">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SESSÕE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O565:Q567" displayName="Table_7" name="Table_7" id="7">
  <tableColumns count="3">
    <tableColumn name="Column1" id="1"/>
    <tableColumn name="Column2" id="2"/>
    <tableColumn name="Column3" id="3"/>
  </tableColumns>
  <tableStyleInfo name="SESSÕES-style 2" showColumnStripes="0" showFirstColumn="1" showLastColumn="1" showRowStripes="1"/>
</table>
</file>

<file path=xl/tables/table6.xml><?xml version="1.0" encoding="utf-8"?>
<table xmlns="http://schemas.openxmlformats.org/spreadsheetml/2006/main" headerRowCount="0" ref="C570:F585" displayName="Table_9" name="Table_9" id="9">
  <tableColumns count="4">
    <tableColumn name="Column1" id="1"/>
    <tableColumn name="Column2" id="2"/>
    <tableColumn name="Column3" id="3"/>
    <tableColumn name="Column4" id="4"/>
  </tableColumns>
  <tableStyleInfo name="SESSÕES-style 3" showColumnStripes="0" showFirstColumn="1" showLastColumn="1" showRowStripes="1"/>
</table>
</file>

<file path=xl/tables/table7.xml><?xml version="1.0" encoding="utf-8"?>
<table xmlns="http://schemas.openxmlformats.org/spreadsheetml/2006/main" headerRowCount="0" ref="K580:N586" displayName="Table_11" name="Table_11" id="11">
  <tableColumns count="4">
    <tableColumn name="Column1" id="1"/>
    <tableColumn name="Column2" id="2"/>
    <tableColumn name="Column3" id="3"/>
    <tableColumn name="Column4" id="4"/>
  </tableColumns>
  <tableStyleInfo name="SESSÕES-style 4" showColumnStripes="0" showFirstColumn="1" showLastColumn="1" showRowStripes="1"/>
</table>
</file>

<file path=xl/tables/table8.xml><?xml version="1.0" encoding="utf-8"?>
<table xmlns="http://schemas.openxmlformats.org/spreadsheetml/2006/main" headerRowCount="0" ref="B588:Q661" displayName="Table_12" name="Table_12" id="12">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SESSÕES-style 5"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H662:J662" displayName="Table_15" name="Table_15" id="16">
  <tableColumns count="3">
    <tableColumn name="Column1" id="1"/>
    <tableColumn name="Column2" id="2"/>
    <tableColumn name="Column3" id="3"/>
  </tableColumns>
  <tableStyleInfo name="SESSÕES-style 6" showColumnStripes="0" showFirstColumn="1" showLastColumn="1" showRowStripes="1"/>
</table>
</file>

<file path=xl/tables/table10.xml><?xml version="1.0" encoding="utf-8"?>
<table xmlns="http://schemas.openxmlformats.org/spreadsheetml/2006/main" headerRowCount="0" ref="H663:J664" displayName="Table_17" name="Table_17" id="17">
  <tableColumns count="3">
    <tableColumn name="Column1" id="1"/>
    <tableColumn name="Column2" id="2"/>
    <tableColumn name="Column3" id="3"/>
  </tableColumns>
  <tableStyleInfo name="SESSÕES-style 7" showColumnStripes="0" showFirstColumn="1" showLastColumn="1" showRowStripes="1"/>
</table>
</file>

<file path=xl/tables/table11.xml><?xml version="1.0" encoding="utf-8"?>
<table xmlns="http://schemas.openxmlformats.org/spreadsheetml/2006/main" headerRowCount="0" ref="H665:J665" displayName="Table_18" name="Table_18" id="18">
  <tableColumns count="3">
    <tableColumn name="Column1" id="1"/>
    <tableColumn name="Column2" id="2"/>
    <tableColumn name="Column3" id="3"/>
  </tableColumns>
  <tableStyleInfo name="SESSÕES-style 8" showColumnStripes="0" showFirstColumn="1" showLastColumn="1" showRowStripes="1"/>
</table>
</file>

<file path=xl/tables/table12.xml><?xml version="1.0" encoding="utf-8"?>
<table xmlns="http://schemas.openxmlformats.org/spreadsheetml/2006/main" headerRowCount="0" ref="H667:J667" displayName="Table_19" name="Table_19" id="19">
  <tableColumns count="3">
    <tableColumn name="Column1" id="1"/>
    <tableColumn name="Column2" id="2"/>
    <tableColumn name="Column3" id="3"/>
  </tableColumns>
  <tableStyleInfo name="SESSÕES-style 9" showColumnStripes="0" showFirstColumn="1" showLastColumn="1" showRowStripes="1"/>
</table>
</file>

<file path=xl/tables/table13.xml><?xml version="1.0" encoding="utf-8"?>
<table xmlns="http://schemas.openxmlformats.org/spreadsheetml/2006/main" headerRowCount="0" ref="L734:Q758" displayName="Table_20" name="Table_20" id="20">
  <tableColumns count="6">
    <tableColumn name="Column1" id="1"/>
    <tableColumn name="Column2" id="2"/>
    <tableColumn name="Column3" id="3"/>
    <tableColumn name="Column4" id="4"/>
    <tableColumn name="Column5" id="5"/>
    <tableColumn name="Column6" id="6"/>
  </tableColumns>
  <tableStyleInfo name="SESSÕES-style 10" showColumnStripes="0" showFirstColumn="1" showLastColumn="1" showRowStripes="1"/>
</table>
</file>

<file path=xl/tables/table14.xml><?xml version="1.0" encoding="utf-8"?>
<table xmlns="http://schemas.openxmlformats.org/spreadsheetml/2006/main" headerRowCount="0" ref="C761:Q855" displayName="Table_21" name="Table_21" id="2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ESSÕES-style 11" showColumnStripes="0" showFirstColumn="1" showLastColumn="1" showRowStripes="1"/>
  <extLst>
    <ext uri="GoogleSheetsCustomDataVersion1">
      <go:sheetsCustomData xmlns:go="http://customooxmlschemas.google.com/" headerRowCount="1"/>
    </ext>
  </extLst>
</table>
</file>

<file path=xl/tables/table15.xml><?xml version="1.0" encoding="utf-8"?>
<table xmlns="http://schemas.openxmlformats.org/spreadsheetml/2006/main" headerRowCount="0" ref="K862:K880" displayName="Table_22" name="Table_22" id="22">
  <tableColumns count="1">
    <tableColumn name="Column1" id="1"/>
  </tableColumns>
  <tableStyleInfo name="SESSÕES-style 12" showColumnStripes="0" showFirstColumn="1" showLastColumn="1" showRowStripes="1"/>
</table>
</file>

<file path=xl/tables/table16.xml><?xml version="1.0" encoding="utf-8"?>
<table xmlns="http://schemas.openxmlformats.org/spreadsheetml/2006/main" headerRowCount="0" ref="L862:L880" displayName="Table_23" name="Table_23" id="23">
  <tableColumns count="1">
    <tableColumn name="Column1" id="1"/>
  </tableColumns>
  <tableStyleInfo name="SESSÕES-style 13" showColumnStripes="0" showFirstColumn="1" showLastColumn="1" showRowStripes="1"/>
</table>
</file>

<file path=xl/tables/table17.xml><?xml version="1.0" encoding="utf-8"?>
<table xmlns="http://schemas.openxmlformats.org/spreadsheetml/2006/main" headerRowCount="0" ref="C888:C917" displayName="Table_24" name="Table_24" id="24">
  <tableColumns count="1">
    <tableColumn name="Column1" id="1"/>
  </tableColumns>
  <tableStyleInfo name="SESSÕES-style 14" showColumnStripes="0" showFirstColumn="1" showLastColumn="1" showRowStripes="1"/>
</table>
</file>

<file path=xl/tables/table18.xml><?xml version="1.0" encoding="utf-8"?>
<table xmlns="http://schemas.openxmlformats.org/spreadsheetml/2006/main" headerRowCount="0" ref="D888:D918" displayName="Table_25" name="Table_25" id="25">
  <tableColumns count="1">
    <tableColumn name="Column1" id="1"/>
  </tableColumns>
  <tableStyleInfo name="SESSÕES-style 15" showColumnStripes="0" showFirstColumn="1" showLastColumn="1" showRowStripes="1"/>
</table>
</file>

<file path=xl/tables/table19.xml><?xml version="1.0" encoding="utf-8"?>
<table xmlns="http://schemas.openxmlformats.org/spreadsheetml/2006/main" headerRowCount="0" ref="K888:M888" displayName="Table_26" name="Table_26" id="26">
  <tableColumns count="3">
    <tableColumn name="Column1" id="1"/>
    <tableColumn name="Column2" id="2"/>
    <tableColumn name="Column3" id="3"/>
  </tableColumns>
  <tableStyleInfo name="SESSÕES-style 16" showColumnStripes="0" showFirstColumn="1" showLastColumn="1" showRowStripes="1"/>
</table>
</file>

<file path=xl/tables/table20.xml><?xml version="1.0" encoding="utf-8"?>
<table xmlns="http://schemas.openxmlformats.org/spreadsheetml/2006/main" headerRowCount="0" ref="J892:J918" displayName="Table_27" name="Table_27" id="27">
  <tableColumns count="1">
    <tableColumn name="Column1" id="1"/>
  </tableColumns>
  <tableStyleInfo name="SESSÕES-style 17" showColumnStripes="0" showFirstColumn="1" showLastColumn="1" showRowStripes="1"/>
</table>
</file>

<file path=xl/tables/table21.xml><?xml version="1.0" encoding="utf-8"?>
<table xmlns="http://schemas.openxmlformats.org/spreadsheetml/2006/main" ref="K903:K914" displayName="Table_28" name="Table_28" id="28">
  <tableColumns count="1">
    <tableColumn name="https://universidade.pipelovers.net/m/lessons/aprendizados-da-maior-feira-de-varejo-do-mundo-nrf-1774279496516?classId=3843" id="1"/>
  </tableColumns>
  <tableStyleInfo name="SESSÕES-style 18" showColumnStripes="0" showFirstColumn="1" showLastColumn="1" showRowStripes="1"/>
</table>
</file>

<file path=xl/tables/table22.xml><?xml version="1.0" encoding="utf-8"?>
<table xmlns="http://schemas.openxmlformats.org/spreadsheetml/2006/main" headerRowCount="0" ref="C1391:N1394" displayName="Table_29" name="Table_29" id="29">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ESSÕES-style 19" showColumnStripes="0" showFirstColumn="1" showLastColumn="1" showRowStripes="1"/>
  <extLst>
    <ext uri="GoogleSheetsCustomDataVersion1">
      <go:sheetsCustomData xmlns:go="http://customooxmlschemas.google.com/" headerRowCount="1"/>
    </ext>
  </extLst>
</table>
</file>

<file path=xl/tables/table23.xml><?xml version="1.0" encoding="utf-8"?>
<table xmlns="http://schemas.openxmlformats.org/spreadsheetml/2006/main" headerRowCount="0" ref="C1395:N1398" displayName="Table_30" name="Table_30" id="30">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ESSÕES-style 20" showColumnStripes="0" showFirstColumn="1" showLastColumn="1" showRowStripes="1"/>
  <extLst>
    <ext uri="GoogleSheetsCustomDataVersion1">
      <go:sheetsCustomData xmlns:go="http://customooxmlschemas.google.com/" headerRowCount="1"/>
    </ext>
  </extLst>
</table>
</file>

<file path=xl/tables/table24.xml><?xml version="1.0" encoding="utf-8"?>
<table xmlns="http://schemas.openxmlformats.org/spreadsheetml/2006/main" headerRowCount="0" ref="B9:O61" displayName="Table_4" name="Table_4" id="4">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SESSÕES | PRÉ VENDAS-style"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headerRowCount="0" ref="C103:O142" displayName="Table_6" name="Table_6" id="6">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SESSÕES | PRÉ VENDAS-style 2" showColumnStripes="0" showFirstColumn="1" showLastColumn="1" showRowStripes="1"/>
</table>
</file>

<file path=xl/tables/table26.xml><?xml version="1.0" encoding="utf-8"?>
<table xmlns="http://schemas.openxmlformats.org/spreadsheetml/2006/main" headerRowCount="0" ref="E146:O163" displayName="Table_8" name="Table_8" id="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SESSÕES | PRÉ VENDAS-style 3" showColumnStripes="0" showFirstColumn="1" showLastColumn="1" showRowStripes="1"/>
</table>
</file>

<file path=xl/tables/table27.xml><?xml version="1.0" encoding="utf-8"?>
<table xmlns="http://schemas.openxmlformats.org/spreadsheetml/2006/main" headerRowCount="0" ref="B151:C152" displayName="Table_10" name="Table_10" id="10">
  <tableColumns count="2">
    <tableColumn name="Column1" id="1"/>
    <tableColumn name="Column2" id="2"/>
  </tableColumns>
  <tableStyleInfo name="SESSÕES | PRÉ VENDAS-style 4" showColumnStripes="0" showFirstColumn="1" showLastColumn="1" showRowStripes="1"/>
</table>
</file>

<file path=xl/tables/table28.xml><?xml version="1.0" encoding="utf-8"?>
<table xmlns="http://schemas.openxmlformats.org/spreadsheetml/2006/main" headerRowCount="0" ref="C171:C173" displayName="Table_13" name="Table_13" id="13">
  <tableColumns count="1">
    <tableColumn name="Column1" id="1"/>
  </tableColumns>
  <tableStyleInfo name="SESSÕES | PRÉ VENDAS-style 5" showColumnStripes="0" showFirstColumn="1" showLastColumn="1" showRowStripes="1"/>
</table>
</file>

<file path=xl/tables/table29.xml><?xml version="1.0" encoding="utf-8"?>
<table xmlns="http://schemas.openxmlformats.org/spreadsheetml/2006/main" headerRowCount="0" ref="E174:O187" displayName="Table_14" name="Table_14" id="1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SESSÕES | PRÉ VENDAS-style 6" showColumnStripes="0" showFirstColumn="1" showLastColumn="1" showRowStripes="1"/>
</table>
</file>

<file path=xl/tables/table30.xml><?xml version="1.0" encoding="utf-8"?>
<table xmlns="http://schemas.openxmlformats.org/spreadsheetml/2006/main" headerRowCount="0" ref="C188:O214" displayName="Table_16" name="Table_16" id="1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SESSÕES | PRÉ VENDAS-style 7" showColumnStripes="0" showFirstColumn="1" showLastColumn="1" showRowStripes="1"/>
</table>
</file>

<file path=xl/tables/table31.xml><?xml version="1.0" encoding="utf-8"?>
<table xmlns="http://schemas.openxmlformats.org/spreadsheetml/2006/main" headerRowCount="0" ref="B9:Q20" displayName="Table_31" name="Table_31" id="31">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SESSÕES | GESTÃO-style" showColumnStripes="0" showFirstColumn="1" showLastColumn="1" showRowStripes="1"/>
</table>
</file>

<file path=xl/tables/table32.xml><?xml version="1.0" encoding="utf-8"?>
<table xmlns="http://schemas.openxmlformats.org/spreadsheetml/2006/main" headerRowCount="0" ref="B21:Q27" displayName="Table_32" name="Table_32" id="32">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SESSÕES | GESTÃO-style 2" showColumnStripes="0" showFirstColumn="1" showLastColumn="1" showRowStripes="1"/>
</table>
</file>

<file path=xl/tables/table33.xml><?xml version="1.0" encoding="utf-8"?>
<table xmlns="http://schemas.openxmlformats.org/spreadsheetml/2006/main" headerRowCount="0" ref="B28:Q34" displayName="Table_33" name="Table_33" id="33">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SESSÕES | GESTÃO-style 3" showColumnStripes="0" showFirstColumn="1" showLastColumn="1" showRowStripes="1"/>
</table>
</file>

<file path=xl/tables/table34.xml><?xml version="1.0" encoding="utf-8"?>
<table xmlns="http://schemas.openxmlformats.org/spreadsheetml/2006/main" headerRowCount="0" ref="B52:Q100" displayName="Table_34" name="Table_34" id="34">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SESSÕES | GESTÃO-style 4" showColumnStripes="0" showFirstColumn="1" showLastColumn="1" showRowStripes="1"/>
  <extLst>
    <ext uri="GoogleSheetsCustomDataVersion1">
      <go:sheetsCustomData xmlns:go="http://customooxmlschemas.google.com/" headerRowCount="1"/>
    </ext>
  </extLst>
</table>
</file>

<file path=xl/tables/table35.xml><?xml version="1.0" encoding="utf-8"?>
<table xmlns="http://schemas.openxmlformats.org/spreadsheetml/2006/main" headerRowCount="0" ref="E110:F110" displayName="Table_35" name="Table_35" id="35">
  <tableColumns count="2">
    <tableColumn name="Column1" id="1"/>
    <tableColumn name="Column2" id="2"/>
  </tableColumns>
  <tableStyleInfo name="SESSÕES | GESTÃO-style 5" showColumnStripes="0" showFirstColumn="1" showLastColumn="1" showRowStripes="1"/>
</table>
</file>

<file path=xl/tables/table36.xml><?xml version="1.0" encoding="utf-8"?>
<table xmlns="http://schemas.openxmlformats.org/spreadsheetml/2006/main" headerRowCount="0" ref="C144:Q201" displayName="Table_36" name="Table_36" id="3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ESSÕES | GESTÃO-style 6" showColumnStripes="0" showFirstColumn="1" showLastColumn="1" showRowStripes="1"/>
</table>
</file>

<file path=xl/tables/table37.xml><?xml version="1.0" encoding="utf-8"?>
<table xmlns="http://schemas.openxmlformats.org/spreadsheetml/2006/main" headerRowCount="0" ref="C209:H209" displayName="Table_37" name="Table_37" id="37">
  <tableColumns count="6">
    <tableColumn name="Column1" id="1"/>
    <tableColumn name="Column2" id="2"/>
    <tableColumn name="Column3" id="3"/>
    <tableColumn name="Column4" id="4"/>
    <tableColumn name="Column5" id="5"/>
    <tableColumn name="Column6" id="6"/>
  </tableColumns>
  <tableStyleInfo name="SESSÕES | GESTÃO-style 7" showColumnStripes="0" showFirstColumn="1" showLastColumn="1" showRowStripes="1"/>
</table>
</file>

<file path=xl/tables/table38.xml><?xml version="1.0" encoding="utf-8"?>
<table xmlns="http://schemas.openxmlformats.org/spreadsheetml/2006/main" headerRowCount="0" ref="C212:O217" displayName="Table_38" name="Table_38" id="38">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SESSÕES | GESTÃO-style 8" showColumnStripes="0" showFirstColumn="1" showLastColumn="1" showRowStripes="1"/>
</table>
</file>

<file path=xl/tables/table39.xml><?xml version="1.0" encoding="utf-8"?>
<table xmlns="http://schemas.openxmlformats.org/spreadsheetml/2006/main" headerRowCount="0" ref="C218:F222" displayName="Table_39" name="Table_39" id="39">
  <tableColumns count="4">
    <tableColumn name="Column1" id="1"/>
    <tableColumn name="Column2" id="2"/>
    <tableColumn name="Column3" id="3"/>
    <tableColumn name="Column4" id="4"/>
  </tableColumns>
  <tableStyleInfo name="SESSÕES | GESTÃO-style 9" showColumnStripes="0" showFirstColumn="1" showLastColumn="1" showRowStripes="1"/>
</table>
</file>

<file path=xl/tables/table40.xml><?xml version="1.0" encoding="utf-8"?>
<table xmlns="http://schemas.openxmlformats.org/spreadsheetml/2006/main" headerRowCount="0" ref="G218:O222" displayName="Table_40" name="Table_40" id="4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ESSÕES | GESTÃO-style 10" showColumnStripes="0" showFirstColumn="1" showLastColumn="1" showRowStripes="1"/>
</table>
</file>

<file path=xl/tables/table41.xml><?xml version="1.0" encoding="utf-8"?>
<table xmlns="http://schemas.openxmlformats.org/spreadsheetml/2006/main" headerRowCount="0" ref="B223:Q224" displayName="Table_41" name="Table_41" id="41">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SESSÕES | GESTÃO-style 11" showColumnStripes="0" showFirstColumn="1" showLastColumn="1" showRowStripes="1"/>
</table>
</file>

<file path=xl/tables/table42.xml><?xml version="1.0" encoding="utf-8"?>
<table xmlns="http://schemas.openxmlformats.org/spreadsheetml/2006/main" headerRowCount="0" ref="C225:F251" displayName="Table_42" name="Table_42" id="42">
  <tableColumns count="4">
    <tableColumn name="Column1" id="1"/>
    <tableColumn name="Column2" id="2"/>
    <tableColumn name="Column3" id="3"/>
    <tableColumn name="Column4" id="4"/>
  </tableColumns>
  <tableStyleInfo name="SESSÕES | GESTÃO-style 12" showColumnStripes="0" showFirstColumn="1" showLastColumn="1" showRowStripes="1"/>
</table>
</file>

<file path=xl/tables/table43.xml><?xml version="1.0" encoding="utf-8"?>
<table xmlns="http://schemas.openxmlformats.org/spreadsheetml/2006/main" headerRowCount="0" ref="G227:H251" displayName="Table_43" name="Table_43" id="43">
  <tableColumns count="2">
    <tableColumn name="Column1" id="1"/>
    <tableColumn name="Column2" id="2"/>
  </tableColumns>
  <tableStyleInfo name="SESSÕES | GESTÃO-style 13" showColumnStripes="0" showFirstColumn="1" showLastColumn="1" showRowStripes="1"/>
</table>
</file>

<file path=xl/tables/table44.xml><?xml version="1.0" encoding="utf-8"?>
<table xmlns="http://schemas.openxmlformats.org/spreadsheetml/2006/main" headerRowCount="0" ref="J227:K227" displayName="Table_44" name="Table_44" id="44">
  <tableColumns count="2">
    <tableColumn name="Column1" id="1"/>
    <tableColumn name="Column2" id="2"/>
  </tableColumns>
  <tableStyleInfo name="SESSÕES | GESTÃO-style 14" showColumnStripes="0" showFirstColumn="1" showLastColumn="1" showRowStripes="1"/>
</table>
</file>

<file path=xl/tables/table45.xml><?xml version="1.0" encoding="utf-8"?>
<table xmlns="http://schemas.openxmlformats.org/spreadsheetml/2006/main" headerRowCount="0" ref="K229" displayName="Table_45" name="Table_45" id="45">
  <tableColumns count="1">
    <tableColumn name="Column1" id="1"/>
  </tableColumns>
  <tableStyleInfo name="SESSÕES | GESTÃO-style 15" showColumnStripes="0" showFirstColumn="1" showLastColumn="1" showRowStripes="1"/>
</table>
</file>

<file path=xl/tables/table46.xml><?xml version="1.0" encoding="utf-8"?>
<table xmlns="http://schemas.openxmlformats.org/spreadsheetml/2006/main" headerRowCount="0" ref="I232:I236" displayName="Table_46" name="Table_46" id="46">
  <tableColumns count="1">
    <tableColumn name="Column1" id="1"/>
  </tableColumns>
  <tableStyleInfo name="SESSÕES | GESTÃO-style 16" showColumnStripes="0" showFirstColumn="1" showLastColumn="1" showRowStripes="1"/>
</table>
</file>

<file path=xl/tables/table47.xml><?xml version="1.0" encoding="utf-8"?>
<table xmlns="http://schemas.openxmlformats.org/spreadsheetml/2006/main" ref="B9:O41" displayName="Table_47" name="Table_47" id="47">
  <tableColumns count="14">
    <tableColumn name="Executivos de Vendas" id="1"/>
    <tableColumn name="Carreira e Crescimento em Vendas para Executivos de Vendas" id="2"/>
    <tableColumn name="Thiago Reis" id="3"/>
    <tableColumn name="CEO" id="4"/>
    <tableColumn name="Growth Machine" id="5"/>
    <tableColumn name="https://www.linkedin.com/in/thiago-reis-/" id="6"/>
    <tableColumn name="Autodesenvolvimento" id="7"/>
    <tableColumn name="Inteligência Emocional" id="8"/>
    <tableColumn name="https://universidade.pipelovers.net/m/lessons/carreira-e-crescimento-em-vendas-para-executivos-de-vendas1769552324735?classId=2703" id="9"/>
    <tableColumn name="https://universidade.pipelovers.net/m/lessons/carreira-e-crescimento-em-vendas-para-executivos-de-vendas1769552324735?classId=2703 2" id="10"/>
    <tableColumn name="4,36" id="11"/>
    <tableColumn name="22/03/2023" id="12"/>
    <tableColumn name="Motivação" id="13"/>
    <tableColumn name="00. PipeLovers 🧡 Executivos de Vendas com Thiago Reis &quot;Carreira &amp; Crescimento para Executivos de Vendas B2B&quot;.mp4" id="14"/>
  </tableColumns>
  <tableStyleInfo name="SESSÕES | EXECUTIVOS-style" showColumnStripes="0" showFirstColumn="1" showLastColumn="1" showRowStripes="1"/>
</table>
</file>

<file path=xl/tables/table48.xml><?xml version="1.0" encoding="utf-8"?>
<table xmlns="http://schemas.openxmlformats.org/spreadsheetml/2006/main" headerRowCount="0" ref="C86:O144" displayName="Table_48" name="Table_48" id="48">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SESSÕES | EXECUTIVOS-style 2" showColumnStripes="0" showFirstColumn="1" showLastColumn="1" showRowStripes="1"/>
</table>
</file>

<file path=xl/tables/table49.xml><?xml version="1.0" encoding="utf-8"?>
<table xmlns="http://schemas.openxmlformats.org/spreadsheetml/2006/main" headerRowCount="0" ref="C152:K152" displayName="Table_49" name="Table_49" id="4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ESSÕES | EXECUTIVOS-style 3" showColumnStripes="0" showFirstColumn="1" showLastColumn="1" showRowStripes="1"/>
</table>
</file>

<file path=xl/tables/table50.xml><?xml version="1.0" encoding="utf-8"?>
<table xmlns="http://schemas.openxmlformats.org/spreadsheetml/2006/main" headerRowCount="0" ref="H155:I155" displayName="Table_50" name="Table_50" id="50">
  <tableColumns count="2">
    <tableColumn name="Column1" id="1"/>
    <tableColumn name="Column2" id="2"/>
  </tableColumns>
  <tableStyleInfo name="SESSÕES | EXECUTIVOS-style 4" showColumnStripes="0" showFirstColumn="1" showLastColumn="1" showRowStripes="1"/>
</table>
</file>

<file path=xl/tables/table51.xml><?xml version="1.0" encoding="utf-8"?>
<table xmlns="http://schemas.openxmlformats.org/spreadsheetml/2006/main" headerRowCount="0" ref="C161:O163" displayName="Table_51" name="Table_51" id="5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SESSÕES | EXECUTIVOS-style 5" showColumnStripes="0" showFirstColumn="1" showLastColumn="1" showRowStripes="1"/>
</table>
</file>

<file path=xl/tables/table52.xml><?xml version="1.0" encoding="utf-8"?>
<table xmlns="http://schemas.openxmlformats.org/spreadsheetml/2006/main" headerRowCount="0" ref="B164:O166" displayName="Table_52" name="Table_52" id="52">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SESSÕES | EXECUTIVOS-style 6" showColumnStripes="0" showFirstColumn="1" showLastColumn="1" showRowStripes="1"/>
</table>
</file>

<file path=xl/tables/table53.xml><?xml version="1.0" encoding="utf-8"?>
<table xmlns="http://schemas.openxmlformats.org/spreadsheetml/2006/main" headerRowCount="0" ref="J167:K168" displayName="Table_53" name="Table_53" id="53">
  <tableColumns count="2">
    <tableColumn name="Column1" id="1"/>
    <tableColumn name="Column2" id="2"/>
  </tableColumns>
  <tableStyleInfo name="SESSÕES | EXECUTIVOS-style 7" showColumnStripes="0" showFirstColumn="1" showLastColumn="1" showRowStripes="1"/>
</table>
</file>

<file path=xl/tables/table54.xml><?xml version="1.0" encoding="utf-8"?>
<table xmlns="http://schemas.openxmlformats.org/spreadsheetml/2006/main" headerRowCount="0" ref="J169:K194" displayName="Table_54" name="Table_54" id="54">
  <tableColumns count="2">
    <tableColumn name="Column1" id="1"/>
    <tableColumn name="Column2" id="2"/>
  </tableColumns>
  <tableStyleInfo name="SESSÕES | EXECUTIVOS-style 8" showColumnStripes="0" showFirstColumn="1" showLastColumn="1" showRowStripes="1"/>
</table>
</file>

<file path=xl/tables/table55.xml><?xml version="1.0" encoding="utf-8"?>
<table xmlns="http://schemas.openxmlformats.org/spreadsheetml/2006/main" ref="B9:O42" displayName="Table_55" name="Table_55" id="55">
  <tableColumns count="14">
    <tableColumn name="Canais e Parcerias" id="1"/>
    <tableColumn name="Programa de Canais: Ter ou não ter?" id="2"/>
    <tableColumn name="Gustavo Pagotto_x000a_Rafael Milare" id="3"/>
    <tableColumn name="Fundador_x000a_Head of Customer Journey" id="4"/>
    <tableColumn name="PipeLovers_x000a_Barte" id="5"/>
    <tableColumn name="https://www.linkedin.com/in/rafael-milare/" id="6"/>
    <tableColumn name="Visão de Negócios" id="7"/>
    <tableColumn name="Conhecimento de Produto e Negócio" id="8"/>
    <tableColumn name="https://universidade.pipelovers.net/m/lessons/programa-de-canais-ter-ou-nao-ter1769552397371?classId=2854" id="9"/>
    <tableColumn name="https://universidade.pipelovers.net/m/lessons/programa-de-canais-ter-ou-nao-ter1769552397371?classId=2854 2" id="10"/>
    <tableColumn name="3,71" id="11"/>
    <tableColumn name="27/04/2023" id="12"/>
    <tableColumn name="Posicionamento de Produto" id="13"/>
    <tableColumn name="https://drive.google.com/file/d/1oEbDazy7jyGwS3S1H-rwTzwPEos7ocdS/view?usp=drive_link" id="14"/>
  </tableColumns>
  <tableStyleInfo name=" SESSÕES | CANAIS-style" showColumnStripes="0" showFirstColumn="1" showLastColumn="1" showRowStripes="1"/>
</table>
</file>

<file path=xl/tables/table56.xml><?xml version="1.0" encoding="utf-8"?>
<table xmlns="http://schemas.openxmlformats.org/spreadsheetml/2006/main" headerRowCount="0" ref="C115:O139" displayName="Table_56" name="Table_56" id="56">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 SESSÕES | CANAIS-style 2" showColumnStripes="0" showFirstColumn="1" showLastColumn="1" showRowStripes="1"/>
</table>
</file>

<file path=xl/tables/table57.xml><?xml version="1.0" encoding="utf-8"?>
<table xmlns="http://schemas.openxmlformats.org/spreadsheetml/2006/main" headerRowCount="0" ref="L140:O155" displayName="Table_57" name="Table_57" id="57">
  <tableColumns count="4">
    <tableColumn name="Column1" id="1"/>
    <tableColumn name="Column2" id="2"/>
    <tableColumn name="Column3" id="3"/>
    <tableColumn name="Column4" id="4"/>
  </tableColumns>
  <tableStyleInfo name=" SESSÕES | CANAIS-style 3" showColumnStripes="0" showFirstColumn="1" showLastColumn="1" showRowStripes="1"/>
</table>
</file>

<file path=xl/tables/table58.xml><?xml version="1.0" encoding="utf-8"?>
<table xmlns="http://schemas.openxmlformats.org/spreadsheetml/2006/main" headerRowCount="0" ref="C150:K184" displayName="Table_58" name="Table_58" id="5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 SESSÕES | CANAIS-style 4" showColumnStripes="0" showFirstColumn="1" showLastColumn="1" showRowStripes="1"/>
</table>
</file>

<file path=xl/tables/table59.xml><?xml version="1.0" encoding="utf-8"?>
<table xmlns="http://schemas.openxmlformats.org/spreadsheetml/2006/main" headerRowCount="0" ref="B9:O41" displayName="Table_59" name="Table_59" id="59">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SESSÕES | CLASS-style" showColumnStripes="0" showFirstColumn="1" showLastColumn="1" showRowStripes="1"/>
  <extLst>
    <ext uri="GoogleSheetsCustomDataVersion1">
      <go:sheetsCustomData xmlns:go="http://customooxmlschemas.google.com/" headerRowCount="1"/>
    </ext>
  </extLst>
</table>
</file>

<file path=xl/tables/table60.xml><?xml version="1.0" encoding="utf-8"?>
<table xmlns="http://schemas.openxmlformats.org/spreadsheetml/2006/main" headerRowCount="0" ref="C47:C65" displayName="Table_60" name="Table_60" id="60">
  <tableColumns count="1">
    <tableColumn name="Column1" id="1"/>
  </tableColumns>
  <tableStyleInfo name="SESSÕES | CLASS-style 2" showColumnStripes="0" showFirstColumn="1" showLastColumn="1" showRowStripes="1"/>
</table>
</file>

<file path=xl/tables/table61.xml><?xml version="1.0" encoding="utf-8"?>
<table xmlns="http://schemas.openxmlformats.org/spreadsheetml/2006/main" headerRowCount="0" ref="D47:J65" displayName="Table_61" name="Table_61" id="61">
  <tableColumns count="7">
    <tableColumn name="Column1" id="1"/>
    <tableColumn name="Column2" id="2"/>
    <tableColumn name="Column3" id="3"/>
    <tableColumn name="Column4" id="4"/>
    <tableColumn name="Column5" id="5"/>
    <tableColumn name="Column6" id="6"/>
    <tableColumn name="Column7" id="7"/>
  </tableColumns>
  <tableStyleInfo name="SESSÕES | CLASS-style 3" showColumnStripes="0" showFirstColumn="1" showLastColumn="1" showRowStripes="1"/>
</table>
</file>

<file path=xl/tables/table62.xml><?xml version="1.0" encoding="utf-8"?>
<table xmlns="http://schemas.openxmlformats.org/spreadsheetml/2006/main" headerRowCount="0" ref="C73:C76" displayName="Table_62" name="Table_62" id="62">
  <tableColumns count="1">
    <tableColumn name="Column1" id="1"/>
  </tableColumns>
  <tableStyleInfo name="SESSÕES | CLASS-style 4" showColumnStripes="0" showFirstColumn="1" showLastColumn="1" showRowStripes="1"/>
</table>
</file>

<file path=xl/tables/table63.xml><?xml version="1.0" encoding="utf-8"?>
<table xmlns="http://schemas.openxmlformats.org/spreadsheetml/2006/main" headerRowCount="0" ref="D73:O73" displayName="Table_63" name="Table_63" id="6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ESSÕES | CLASS-style 5" showColumnStripes="0" showFirstColumn="1" showLastColumn="1" showRowStripes="1"/>
</table>
</file>

<file path=xl/tables/table64.xml><?xml version="1.0" encoding="utf-8"?>
<table xmlns="http://schemas.openxmlformats.org/spreadsheetml/2006/main" headerRowCount="0" ref="D75:I75" displayName="Table_64" name="Table_64" id="64">
  <tableColumns count="6">
    <tableColumn name="Column1" id="1"/>
    <tableColumn name="Column2" id="2"/>
    <tableColumn name="Column3" id="3"/>
    <tableColumn name="Column4" id="4"/>
    <tableColumn name="Column5" id="5"/>
    <tableColumn name="Column6" id="6"/>
  </tableColumns>
  <tableStyleInfo name="SESSÕES | CLASS-style 6" showColumnStripes="0" showFirstColumn="1" showLastColumn="1" showRowStripes="1"/>
</table>
</file>

<file path=xl/tables/table65.xml><?xml version="1.0" encoding="utf-8"?>
<table xmlns="http://schemas.openxmlformats.org/spreadsheetml/2006/main" headerRowCount="0" ref="C77:O86" displayName="Table_65" name="Table_65" id="6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SESSÕES | CLASS-style 7" showColumnStripes="0" showFirstColumn="1" showLastColumn="1" showRowStripes="1"/>
</table>
</file>

<file path=xl/tables/table66.xml><?xml version="1.0" encoding="utf-8"?>
<table xmlns="http://schemas.openxmlformats.org/spreadsheetml/2006/main" headerRowCount="0" ref="C87:O87" displayName="Table_66" name="Table_66" id="66">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SESSÕES | CLASS-style 8" showColumnStripes="0" showFirstColumn="1" showLastColumn="1" showRowStripes="1"/>
  <extLst>
    <ext uri="GoogleSheetsCustomDataVersion1">
      <go:sheetsCustomData xmlns:go="http://customooxmlschemas.google.com/" headerRowCount="1"/>
    </ext>
  </extLst>
</table>
</file>

<file path=xl/tables/table67.xml><?xml version="1.0" encoding="utf-8"?>
<table xmlns="http://schemas.openxmlformats.org/spreadsheetml/2006/main" headerRowCount="0" ref="J88:L104" displayName="Table_67" name="Table_67" id="67">
  <tableColumns count="3">
    <tableColumn name="Column1" id="1"/>
    <tableColumn name="Column2" id="2"/>
    <tableColumn name="Column3" id="3"/>
  </tableColumns>
  <tableStyleInfo name="SESSÕES | CLASS-style 9" showColumnStripes="0" showFirstColumn="1" showLastColumn="1" showRowStripes="1"/>
  <extLst>
    <ext uri="GoogleSheetsCustomDataVersion1">
      <go:sheetsCustomData xmlns:go="http://customooxmlschemas.google.com/" headerRowCount="1"/>
    </ext>
  </extLst>
</table>
</file>

<file path=xl/tables/table68.xml><?xml version="1.0" encoding="utf-8"?>
<table xmlns="http://schemas.openxmlformats.org/spreadsheetml/2006/main" headerRowCount="0" ref="C95:C104" displayName="Table_68" name="Table_68" id="68">
  <tableColumns count="1">
    <tableColumn name="Column1" id="1"/>
  </tableColumns>
  <tableStyleInfo name="SESSÕES | CLASS-style 10" showColumnStripes="0" showFirstColumn="1" showLastColumn="1" showRowStripes="1"/>
</table>
</file>

<file path=xl/tables/table69.xml><?xml version="1.0" encoding="utf-8"?>
<table xmlns="http://schemas.openxmlformats.org/spreadsheetml/2006/main" headerRowCount="0" ref="D95:D104" displayName="Table_69" name="Table_69" id="69">
  <tableColumns count="1">
    <tableColumn name="Column1" id="1"/>
  </tableColumns>
  <tableStyleInfo name="SESSÕES | CLASS-style 11" showColumnStripes="0" showFirstColumn="1" showLastColumn="1" showRowStripes="1"/>
</table>
</file>

<file path=xl/tables/table70.xml><?xml version="1.0" encoding="utf-8"?>
<table xmlns="http://schemas.openxmlformats.org/spreadsheetml/2006/main" headerRowCount="0" ref="B9:O10" displayName="Table_70" name="Table_70" id="70">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MÁQUINA DE VENDAS-style" showColumnStripes="0" showFirstColumn="1" showLastColumn="1" showRowStripes="1"/>
  <extLst>
    <ext uri="GoogleSheetsCustomDataVersion1">
      <go:sheetsCustomData xmlns:go="http://customooxmlschemas.google.com/" headerRowCount="1"/>
    </ext>
  </extLst>
</table>
</file>

<file path=xl/tables/table71.xml><?xml version="1.0" encoding="utf-8"?>
<table xmlns="http://schemas.openxmlformats.org/spreadsheetml/2006/main" headerRowCount="0" ref="B9:N10" displayName="Table_71" name="Table_71" id="7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ERTIFICAÇÃO EM IA-style" showColumnStripes="0" showFirstColumn="1" showLastColumn="1" showRowStripes="1"/>
  <extLst>
    <ext uri="GoogleSheetsCustomDataVersion1">
      <go:sheetsCustomData xmlns:go="http://customooxmlschemas.google.com/" headerRowCount="1"/>
    </ext>
  </extLst>
</table>
</file>

<file path=xl/tables/table72.xml><?xml version="1.0" encoding="utf-8"?>
<table xmlns="http://schemas.openxmlformats.org/spreadsheetml/2006/main" headerRowCount="0" ref="B9:O10" displayName="Table_72" name="Table_72" id="72">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PROGRAMA DE GESTÃO-style" showColumnStripes="0" showFirstColumn="1" showLastColumn="1" showRowStripes="1"/>
  <extLst>
    <ext uri="GoogleSheetsCustomDataVersion1">
      <go:sheetsCustomData xmlns:go="http://customooxmlschemas.google.com/" headerRowCount="1"/>
    </ext>
  </extLst>
</table>
</file>

<file path=xl/tables/table73.xml><?xml version="1.0" encoding="utf-8"?>
<table xmlns="http://schemas.openxmlformats.org/spreadsheetml/2006/main" headerRowCount="0" ref="B9:O10" displayName="Table_73" name="Table_73" id="73">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CERTIFICAÇÃO DE VENDEDORES B2B-style" showColumnStripes="0" showFirstColumn="1" showLastColumn="1" showRowStripes="1"/>
  <extLst>
    <ext uri="GoogleSheetsCustomDataVersion1">
      <go:sheetsCustomData xmlns:go="http://customooxmlschemas.google.com/" headerRowCount="1"/>
    </ext>
  </extLst>
</table>
</file>

<file path=xl/tables/table74.xml><?xml version="1.0" encoding="utf-8"?>
<table xmlns="http://schemas.openxmlformats.org/spreadsheetml/2006/main" headerRowCount="0" ref="A9:O11" displayName="Table_74" name="Table_74" id="7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ESPECIALIZAÇÃO DE VENDEDORES-style" showColumnStripes="0" showFirstColumn="1" showLastColumn="1" showRowStripes="1"/>
  <extLst>
    <ext uri="GoogleSheetsCustomDataVersion1">
      <go:sheetsCustomData xmlns:go="http://customooxmlschemas.google.com/" headerRowCount="1"/>
    </ext>
  </extLst>
</table>
</file>

<file path=xl/tables/table75.xml><?xml version="1.0" encoding="utf-8"?>
<table xmlns="http://schemas.openxmlformats.org/spreadsheetml/2006/main" headerRowCount="0" ref="B7:L393" displayName="Table_75" name="Table_75" id="7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CORTES-style" showColumnStripes="0" showFirstColumn="1" showLastColumn="1" showRowStripes="1"/>
  <extLst>
    <ext uri="GoogleSheetsCustomDataVersion1">
      <go:sheetsCustomData xmlns:go="http://customooxmlschemas.google.com/" headerRowCount="1"/>
    </ext>
  </extLst>
</table>
</file>

<file path=xl/tables/table76.xml><?xml version="1.0" encoding="utf-8"?>
<table xmlns="http://schemas.openxmlformats.org/spreadsheetml/2006/main" headerRowCount="0" ref="B8:I282" displayName="Table_76" name="Table_76" id="76">
  <tableColumns count="8">
    <tableColumn name="Column1" id="1"/>
    <tableColumn name="Column2" id="2"/>
    <tableColumn name="Column3" id="3"/>
    <tableColumn name="Column4" id="4"/>
    <tableColumn name="Column5" id="5"/>
    <tableColumn name="Column6" id="6"/>
    <tableColumn name="Column7" id="7"/>
    <tableColumn name="Column8" id="8"/>
  </tableColumns>
  <tableStyleInfo name="DEPOIMENTO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92" Type="http://schemas.openxmlformats.org/officeDocument/2006/relationships/hyperlink" Target="https://universidade.pipelovers.net/m/lessons/como-medir-e-analisar-a-qualidade-do-lead1769552063251?classId=3561" TargetMode="External"/><Relationship Id="rId391" Type="http://schemas.openxmlformats.org/officeDocument/2006/relationships/hyperlink" Target="https://universidade.pipelovers.net/m/lessons/como-medir-e-analisar-a-qualidade-do-lead1769552063251?classId=3561" TargetMode="External"/><Relationship Id="rId390" Type="http://schemas.openxmlformats.org/officeDocument/2006/relationships/hyperlink" Target="https://www.linkedin.com/in/yudimakibara/" TargetMode="External"/><Relationship Id="rId1" Type="http://schemas.openxmlformats.org/officeDocument/2006/relationships/hyperlink" Target="https://square-help-401.notion.site/PipeLovers-Gest-o-de-Conte-dos-092a0245b45d4913bc546769f201f09c" TargetMode="External"/><Relationship Id="rId2" Type="http://schemas.openxmlformats.org/officeDocument/2006/relationships/hyperlink" Target="https://www.linkedin.com/in/thiago-iamnhuque/" TargetMode="External"/><Relationship Id="rId3" Type="http://schemas.openxmlformats.org/officeDocument/2006/relationships/hyperlink" Target="https://universidade.pipelovers.net/m/lessons/linkedin-e-sales-navigator-na-pratica1769551998143?classId=3302" TargetMode="External"/><Relationship Id="rId4" Type="http://schemas.openxmlformats.org/officeDocument/2006/relationships/hyperlink" Target="https://universidade.pipelovers.net/m/lessons/linkedin-e-sales-navigator-na-pratica1769551998143?classId=3302" TargetMode="External"/><Relationship Id="rId2180" Type="http://schemas.openxmlformats.org/officeDocument/2006/relationships/hyperlink" Target="https://universidade.pipelovers.net/m/lessons/partner-account-manager-escopo-e-responsabilidades1769552445557?classId=3168" TargetMode="External"/><Relationship Id="rId2181" Type="http://schemas.openxmlformats.org/officeDocument/2006/relationships/hyperlink" Target="https://universidade.pipelovers.net/m/lessons/partner-account-manager-escopo-e-responsabilidades1769552445557?classId=3168" TargetMode="External"/><Relationship Id="rId2182" Type="http://schemas.openxmlformats.org/officeDocument/2006/relationships/hyperlink" Target="https://drive.google.com/file/d/1ksYwjHNxWOYvhBgbzHcnX1dwrn4rmVMi/view?usp=drive_link" TargetMode="External"/><Relationship Id="rId2183" Type="http://schemas.openxmlformats.org/officeDocument/2006/relationships/hyperlink" Target="https://www.linkedin.com/in/guilherme-losekann/?utm_source=share&amp;utm_campaign=share_via&amp;utm_content=profile&amp;utm_medium=ios_app" TargetMode="External"/><Relationship Id="rId9" Type="http://schemas.openxmlformats.org/officeDocument/2006/relationships/hyperlink" Target="https://universidade.pipelovers.net/m/lessons/speedio-na-pratica1769551998117?classId=3311" TargetMode="External"/><Relationship Id="rId385" Type="http://schemas.openxmlformats.org/officeDocument/2006/relationships/hyperlink" Target="https://universidade.pipelovers.net/m/lessons/lidando-com-o-nao-o-que-separa-sdrs-comuns-dos-que-sempre-batem-meta1769552062981?classId=3559" TargetMode="External"/><Relationship Id="rId2184" Type="http://schemas.openxmlformats.org/officeDocument/2006/relationships/hyperlink" Target="https://universidade.pipelovers.net/m/lessons/transicao-de-carreira-de-vendas-diretas-para-gestao-de-canais-diretos1769552445623?classId=3169" TargetMode="External"/><Relationship Id="rId384" Type="http://schemas.openxmlformats.org/officeDocument/2006/relationships/hyperlink" Target="https://www.linkedin.com/in/danielmestre/" TargetMode="External"/><Relationship Id="rId2185" Type="http://schemas.openxmlformats.org/officeDocument/2006/relationships/hyperlink" Target="https://universidade.pipelovers.net/m/lessons/transicao-de-carreira-de-vendas-diretas-para-gestao-de-canais-diretos1769552445623?classId=3169" TargetMode="External"/><Relationship Id="rId383" Type="http://schemas.openxmlformats.org/officeDocument/2006/relationships/hyperlink" Target="https://universidade.pipelovers.net/m/lessons/pre-vendas-brasil-um-estudo-sobre-como-o-papel-do-pre-vendedor-esta-evoluindo1769552060890?classId=3558" TargetMode="External"/><Relationship Id="rId2186" Type="http://schemas.openxmlformats.org/officeDocument/2006/relationships/hyperlink" Target="https://drive.google.com/file/d/1G_HTPyPiM-sFowi5LJXpu0n7esZsupGv/view?usp=drive_link" TargetMode="External"/><Relationship Id="rId382" Type="http://schemas.openxmlformats.org/officeDocument/2006/relationships/hyperlink" Target="https://universidade.pipelovers.net/m/lessons/pre-vendas-brasil-um-estudo-sobre-como-o-papel-do-pre-vendedor-esta-evoluindo1769552060890?classId=3558" TargetMode="External"/><Relationship Id="rId2187" Type="http://schemas.openxmlformats.org/officeDocument/2006/relationships/hyperlink" Target="https://www.linkedin.com/in/lucas-varnieri-a6124a46/" TargetMode="External"/><Relationship Id="rId5" Type="http://schemas.openxmlformats.org/officeDocument/2006/relationships/hyperlink" Target="https://www.linkedin.com/in/gpagotto/" TargetMode="External"/><Relationship Id="rId389" Type="http://schemas.openxmlformats.org/officeDocument/2006/relationships/hyperlink" Target="https://universidade.pipelovers.net/m/lessons/de-sdr-a-lider-o-poder-da-auto-responsabilidade-para-crescer-na-carreira1769552063070?classId=3560" TargetMode="External"/><Relationship Id="rId2188" Type="http://schemas.openxmlformats.org/officeDocument/2006/relationships/hyperlink" Target="https://universidade.pipelovers.net/m/lessons/alavancando-resultado-atraves-de-parcerias-de-integracao-de-produtos1769552445684?classId=3170" TargetMode="External"/><Relationship Id="rId6" Type="http://schemas.openxmlformats.org/officeDocument/2006/relationships/hyperlink" Target="https://universidade.pipelovers.net/m/lessons/aprendizados-de-100-mentorias-para-sdrs1769551998054?classId=3304" TargetMode="External"/><Relationship Id="rId388" Type="http://schemas.openxmlformats.org/officeDocument/2006/relationships/hyperlink" Target="https://universidade.pipelovers.net/m/lessons/de-sdr-a-lider-o-poder-da-auto-responsabilidade-para-crescer-na-carreira1769552063070?classId=3560" TargetMode="External"/><Relationship Id="rId2189" Type="http://schemas.openxmlformats.org/officeDocument/2006/relationships/hyperlink" Target="https://universidade.pipelovers.net/m/lessons/alavancando-resultado-atraves-de-parcerias-de-integracao-de-produtos1769552445684?classId=3170" TargetMode="External"/><Relationship Id="rId7" Type="http://schemas.openxmlformats.org/officeDocument/2006/relationships/hyperlink" Target="https://universidade.pipelovers.net/m/lessons/aprendizados-de-100-mentorias-para-sdrs1769551998054?classId=3304" TargetMode="External"/><Relationship Id="rId387" Type="http://schemas.openxmlformats.org/officeDocument/2006/relationships/hyperlink" Target="https://www.linkedin.com/in/let%C3%ADcia-alves-8b9633206/" TargetMode="External"/><Relationship Id="rId8" Type="http://schemas.openxmlformats.org/officeDocument/2006/relationships/hyperlink" Target="https://www.linkedin.com/in/maucirnascimento/" TargetMode="External"/><Relationship Id="rId386" Type="http://schemas.openxmlformats.org/officeDocument/2006/relationships/hyperlink" Target="https://universidade.pipelovers.net/m/lessons/lidando-com-o-nao-o-que-separa-sdrs-comuns-dos-que-sempre-batem-meta1769552062981?classId=3559" TargetMode="External"/><Relationship Id="rId381" Type="http://schemas.openxmlformats.org/officeDocument/2006/relationships/hyperlink" Target="https://www.linkedin.com/in/clarissarissi/" TargetMode="External"/><Relationship Id="rId380" Type="http://schemas.openxmlformats.org/officeDocument/2006/relationships/hyperlink" Target="https://universidade.pipelovers.net/m/lessons/dar-e-receber-feedback-com-clareza1769552060864?classId=3028" TargetMode="External"/><Relationship Id="rId379" Type="http://schemas.openxmlformats.org/officeDocument/2006/relationships/hyperlink" Target="https://universidade.pipelovers.net/m/lessons/dar-e-receber-feedback-com-clareza1769552060864?classId=3028" TargetMode="External"/><Relationship Id="rId2170" Type="http://schemas.openxmlformats.org/officeDocument/2006/relationships/hyperlink" Target="https://drive.google.com/file/d/1_wDqqIl1z41SGFgCjw65OGwpY-DRBSEG/view?usp=drive_link" TargetMode="External"/><Relationship Id="rId2171" Type="http://schemas.openxmlformats.org/officeDocument/2006/relationships/hyperlink" Target="https://www.linkedin.com/in/ernestohaberkorn/" TargetMode="External"/><Relationship Id="rId2172" Type="http://schemas.openxmlformats.org/officeDocument/2006/relationships/hyperlink" Target="https://universidade.pipelovers.net/m/lessons/licoes-de-uma-carreira-em-tecnologia-e-empreendedorismo1769552439117?classId=3166" TargetMode="External"/><Relationship Id="rId374" Type="http://schemas.openxmlformats.org/officeDocument/2006/relationships/hyperlink" Target="https://universidade.pipelovers.net/m/lessons/como-expandir-sua-rede-em-eventos1769552060789?classId=3556" TargetMode="External"/><Relationship Id="rId2173" Type="http://schemas.openxmlformats.org/officeDocument/2006/relationships/hyperlink" Target="https://universidade.pipelovers.net/m/lessons/licoes-de-uma-carreira-em-tecnologia-e-empreendedorismo1769552439117?classId=3166" TargetMode="External"/><Relationship Id="rId373" Type="http://schemas.openxmlformats.org/officeDocument/2006/relationships/hyperlink" Target="https://universidade.pipelovers.net/m/lessons/como-expandir-sua-rede-em-eventos1769552060789?classId=3556" TargetMode="External"/><Relationship Id="rId2174" Type="http://schemas.openxmlformats.org/officeDocument/2006/relationships/hyperlink" Target="https://drive.google.com/file/d/1fw8B_BZMqe7fv70TMmcypuwXWp087ikh/view?usp=drive_link" TargetMode="External"/><Relationship Id="rId372" Type="http://schemas.openxmlformats.org/officeDocument/2006/relationships/hyperlink" Target="https://www.linkedin.com/in/gabiehlert/" TargetMode="External"/><Relationship Id="rId2175" Type="http://schemas.openxmlformats.org/officeDocument/2006/relationships/hyperlink" Target="https://www.linkedin.com/in/karine-catani-336679149/" TargetMode="External"/><Relationship Id="rId371" Type="http://schemas.openxmlformats.org/officeDocument/2006/relationships/hyperlink" Target="https://universidade.pipelovers.net/m/lessons/gatilhos-certeiros-como-deixar-seu-pitch-impossivel-de-ignorar1769552060763?classId=3555" TargetMode="External"/><Relationship Id="rId2176" Type="http://schemas.openxmlformats.org/officeDocument/2006/relationships/hyperlink" Target="https://universidade.pipelovers.net/m/lessons/conectando-canais-com-marketing-produto-e-customer-success1769552445429?classId=3167" TargetMode="External"/><Relationship Id="rId378" Type="http://schemas.openxmlformats.org/officeDocument/2006/relationships/hyperlink" Target="https://www.linkedin.com/in/carol-deberaldini-21793442/" TargetMode="External"/><Relationship Id="rId2177" Type="http://schemas.openxmlformats.org/officeDocument/2006/relationships/hyperlink" Target="https://universidade.pipelovers.net/m/lessons/conectando-canais-com-marketing-produto-e-customer-success1769552445429?classId=3167" TargetMode="External"/><Relationship Id="rId377" Type="http://schemas.openxmlformats.org/officeDocument/2006/relationships/hyperlink" Target="https://universidade.pipelovers.net/m/lessons/roi-na-pratica-como-engajar-leads-que-nao-enxergam-valor1769552060817?classId=3557" TargetMode="External"/><Relationship Id="rId2178" Type="http://schemas.openxmlformats.org/officeDocument/2006/relationships/hyperlink" Target="https://drive.google.com/file/d/1ppSZtLBQ7sMCS4o55MTWqXtRkASUhzdi/view?usp=drive_link" TargetMode="External"/><Relationship Id="rId376" Type="http://schemas.openxmlformats.org/officeDocument/2006/relationships/hyperlink" Target="https://universidade.pipelovers.net/m/lessons/roi-na-pratica-como-engajar-leads-que-nao-enxergam-valor1769552060817?classId=3557" TargetMode="External"/><Relationship Id="rId2179" Type="http://schemas.openxmlformats.org/officeDocument/2006/relationships/hyperlink" Target="https://www.linkedin.com/in/macielguilherme/" TargetMode="External"/><Relationship Id="rId375" Type="http://schemas.openxmlformats.org/officeDocument/2006/relationships/hyperlink" Target="https://www.linkedin.com/in/leandro-bulhoes/" TargetMode="External"/><Relationship Id="rId2190" Type="http://schemas.openxmlformats.org/officeDocument/2006/relationships/hyperlink" Target="https://drive.google.com/file/d/1JRHHE5AYpzcXMobUGSi5jNhs47c382Py/view?usp=drive_link" TargetMode="External"/><Relationship Id="rId2191" Type="http://schemas.openxmlformats.org/officeDocument/2006/relationships/hyperlink" Target="https://www.linkedin.com/in/gpagotto/" TargetMode="External"/><Relationship Id="rId2192" Type="http://schemas.openxmlformats.org/officeDocument/2006/relationships/hyperlink" Target="https://universidade.pipelovers.net/m/lessons/rd-summit-2024-niveis-de-maturidade-em-vendas-b2b1769552060152?classId=3026" TargetMode="External"/><Relationship Id="rId2193" Type="http://schemas.openxmlformats.org/officeDocument/2006/relationships/hyperlink" Target="https://universidade.pipelovers.net/m/lessons/rd-summit-2024-niveis-de-maturidade-em-vendas-b2b1769552060152?classId=3026" TargetMode="External"/><Relationship Id="rId2194" Type="http://schemas.openxmlformats.org/officeDocument/2006/relationships/hyperlink" Target="https://drive.google.com/file/d/1UtH7raSUXgwmwrNiKFgd5Sv3DJqK9WPt/view?usp=drive_link" TargetMode="External"/><Relationship Id="rId396" Type="http://schemas.openxmlformats.org/officeDocument/2006/relationships/hyperlink" Target="https://www.linkedin.com/in/lucasverissimo-artistaempreendedor/" TargetMode="External"/><Relationship Id="rId2195" Type="http://schemas.openxmlformats.org/officeDocument/2006/relationships/hyperlink" Target="https://www.linkedin.com/in/danilosugahara/" TargetMode="External"/><Relationship Id="rId395" Type="http://schemas.openxmlformats.org/officeDocument/2006/relationships/hyperlink" Target="https://universidade.pipelovers.net/m/lessons/saude-mental-na-linha-de-frente-praticas-simples-pra-lidar-com-a-rotina-de-sdr1769552063188?classId=3562" TargetMode="External"/><Relationship Id="rId2196" Type="http://schemas.openxmlformats.org/officeDocument/2006/relationships/hyperlink" Target="https://universidade.pipelovers.net/m/lessons/geracao-de-leads-atraves-de-canais-nao-remunerados1769552445782?classId=3021" TargetMode="External"/><Relationship Id="rId394" Type="http://schemas.openxmlformats.org/officeDocument/2006/relationships/hyperlink" Target="https://universidade.pipelovers.net/m/lessons/saude-mental-na-linha-de-frente-praticas-simples-pra-lidar-com-a-rotina-de-sdr1769552063188?classId=3562" TargetMode="External"/><Relationship Id="rId2197" Type="http://schemas.openxmlformats.org/officeDocument/2006/relationships/hyperlink" Target="https://universidade.pipelovers.net/m/lessons/geracao-de-leads-atraves-de-canais-nao-remunerados1769552445782?classId=3021" TargetMode="External"/><Relationship Id="rId393" Type="http://schemas.openxmlformats.org/officeDocument/2006/relationships/hyperlink" Target="https://www.linkedin.com/in/leticiasantosrcc/" TargetMode="External"/><Relationship Id="rId2198" Type="http://schemas.openxmlformats.org/officeDocument/2006/relationships/hyperlink" Target="https://drive.google.com/file/d/1HEvBQpxjwEio-808M7lo8k50iP-bp8Yc/view?usp=drive_link" TargetMode="External"/><Relationship Id="rId2199" Type="http://schemas.openxmlformats.org/officeDocument/2006/relationships/hyperlink" Target="https://www.linkedin.com/in/paula-schaefer/" TargetMode="External"/><Relationship Id="rId399" Type="http://schemas.openxmlformats.org/officeDocument/2006/relationships/hyperlink" Target="https://www.linkedin.com/in/giovana-felix/" TargetMode="External"/><Relationship Id="rId398" Type="http://schemas.openxmlformats.org/officeDocument/2006/relationships/hyperlink" Target="https://universidade.pipelovers.net/m/lessons/os-8-imas-da-atencao-capturando-o-interesse-do-lead-desde-o-primeiro-contato1769552063132?classId=3563" TargetMode="External"/><Relationship Id="rId397" Type="http://schemas.openxmlformats.org/officeDocument/2006/relationships/hyperlink" Target="https://universidade.pipelovers.net/m/lessons/os-8-imas-da-atencao-capturando-o-interesse-do-lead-desde-o-primeiro-contato1769552063132?classId=3563" TargetMode="External"/><Relationship Id="rId1730" Type="http://schemas.openxmlformats.org/officeDocument/2006/relationships/hyperlink" Target="https://universidade.pipelovers.net/m/lessons/como-estruturar-um-time-de-pre-vendas1769552324811?classId=3321" TargetMode="External"/><Relationship Id="rId1731" Type="http://schemas.openxmlformats.org/officeDocument/2006/relationships/hyperlink" Target="https://universidade.pipelovers.net/m/lessons/como-estruturar-um-time-de-pre-vendas1769552324811?classId=3321" TargetMode="External"/><Relationship Id="rId1732" Type="http://schemas.openxmlformats.org/officeDocument/2006/relationships/hyperlink" Target="https://universidade.pipelovers.net/m/lessons/a-nova-mentalidade-do-comprador-como-liderancas-comerciais-devem-se-adaptar1769552324840?classId=3069" TargetMode="External"/><Relationship Id="rId1733" Type="http://schemas.openxmlformats.org/officeDocument/2006/relationships/hyperlink" Target="https://universidade.pipelovers.net/m/lessons/a-nova-mentalidade-do-comprador-como-liderancas-comerciais-devem-se-adaptar1769552324840?classId=3069" TargetMode="External"/><Relationship Id="rId1734" Type="http://schemas.openxmlformats.org/officeDocument/2006/relationships/hyperlink" Target="https://www.linkedin.com/in/gpagotto/" TargetMode="External"/><Relationship Id="rId1735" Type="http://schemas.openxmlformats.org/officeDocument/2006/relationships/hyperlink" Target="https://universidade.pipelovers.net/m/lessons/planejamento-anual-de-vendas1769552304646?classId=3281" TargetMode="External"/><Relationship Id="rId1736" Type="http://schemas.openxmlformats.org/officeDocument/2006/relationships/hyperlink" Target="https://universidade.pipelovers.net/m/lessons/planejamento-anual-de-vendas1769552304646?classId=3281" TargetMode="External"/><Relationship Id="rId1737" Type="http://schemas.openxmlformats.org/officeDocument/2006/relationships/hyperlink" Target="https://www.linkedin.com/in/brunomicrosaas/" TargetMode="External"/><Relationship Id="rId1738" Type="http://schemas.openxmlformats.org/officeDocument/2006/relationships/hyperlink" Target="https://universidade.pipelovers.net/m/lessons/conteudo-como-geracao-de-demanda1772542642394?classId=3755" TargetMode="External"/><Relationship Id="rId1739" Type="http://schemas.openxmlformats.org/officeDocument/2006/relationships/hyperlink" Target="https://universidade.pipelovers.net/m/lessons/conteudo-como-geracao-de-demanda1772542642394?classId=3755" TargetMode="External"/><Relationship Id="rId1720" Type="http://schemas.openxmlformats.org/officeDocument/2006/relationships/hyperlink" Target="https://www.linkedin.com/in/gpagotto/" TargetMode="External"/><Relationship Id="rId1721" Type="http://schemas.openxmlformats.org/officeDocument/2006/relationships/hyperlink" Target="https://universidade.pipelovers.net/m/lessons/o-impacto-da-geracao-z-no-ecossistema-de-vendas-b2b1769552324656?classId=3317" TargetMode="External"/><Relationship Id="rId1722" Type="http://schemas.openxmlformats.org/officeDocument/2006/relationships/hyperlink" Target="https://universidade.pipelovers.net/m/lessons/o-impacto-da-geracao-z-no-ecossistema-de-vendas-b2b1769552324656?classId=3317" TargetMode="External"/><Relationship Id="rId1723" Type="http://schemas.openxmlformats.org/officeDocument/2006/relationships/hyperlink" Target="https://universidade.pipelovers.net/m/lessons/thought-leadership-ads-estrategia-de-midia-paga-com-conteudo-executivo1769552324683?classId=3318" TargetMode="External"/><Relationship Id="rId1724" Type="http://schemas.openxmlformats.org/officeDocument/2006/relationships/hyperlink" Target="https://universidade.pipelovers.net/m/lessons/thought-leadership-ads-estrategia-de-midia-paga-com-conteudo-executivo1769552324683?classId=3318" TargetMode="External"/><Relationship Id="rId1725" Type="http://schemas.openxmlformats.org/officeDocument/2006/relationships/hyperlink" Target="https://universidade.pipelovers.net/m/lessons/aprendizados-do-livro-antes-de-vender-desenhe-como-usar-o-visual-para-vender-melhor1769552324708?classId=3319" TargetMode="External"/><Relationship Id="rId1726" Type="http://schemas.openxmlformats.org/officeDocument/2006/relationships/hyperlink" Target="https://universidade.pipelovers.net/m/lessons/aprendizados-do-livro-antes-de-vender-desenhe-como-usar-o-visual-para-vender-melhor1769552324708?classId=3319" TargetMode="External"/><Relationship Id="rId1727" Type="http://schemas.openxmlformats.org/officeDocument/2006/relationships/hyperlink" Target="https://www.linkedin.com/in/eduardo-lara-weigert-789a3a143/" TargetMode="External"/><Relationship Id="rId1728" Type="http://schemas.openxmlformats.org/officeDocument/2006/relationships/hyperlink" Target="https://universidade.pipelovers.net/m/lessons/como-construir-autoridade-na-sua-empresa-como-gestor-comercial1769552324761?classId=3320" TargetMode="External"/><Relationship Id="rId1729" Type="http://schemas.openxmlformats.org/officeDocument/2006/relationships/hyperlink" Target="https://universidade.pipelovers.net/m/lessons/como-construir-autoridade-na-sua-empresa-como-gestor-comercial1769552324761?classId=3320" TargetMode="External"/><Relationship Id="rId1752" Type="http://schemas.openxmlformats.org/officeDocument/2006/relationships/hyperlink" Target="https://www.linkedin.com/in/nathan-mota-moraes-1a20071ab/" TargetMode="External"/><Relationship Id="rId1753" Type="http://schemas.openxmlformats.org/officeDocument/2006/relationships/hyperlink" Target="https://universidade.pipelovers.net/m/lessons/como-identificar-gargalos-no-funil-e-corrigir-rapido-1773686250749?classId=3807" TargetMode="External"/><Relationship Id="rId2600" Type="http://schemas.openxmlformats.org/officeDocument/2006/relationships/hyperlink" Target="https://universidade.pipelovers.net/m/lessons/como-tomar-decisoes-mais-inteligentes-usando-dados1769550059834?classId=3196" TargetMode="External"/><Relationship Id="rId1754" Type="http://schemas.openxmlformats.org/officeDocument/2006/relationships/hyperlink" Target="https://universidade.pipelovers.net/m/lessons/como-identificar-gargalos-no-funil-e-corrigir-rapido-1773686250749?classId=3807" TargetMode="External"/><Relationship Id="rId2601" Type="http://schemas.openxmlformats.org/officeDocument/2006/relationships/hyperlink" Target="https://universidade.pipelovers.net/m/lessons/como-tomar-decisoes-mais-inteligentes-usando-dados1769550059834?classId=3196" TargetMode="External"/><Relationship Id="rId1755" Type="http://schemas.openxmlformats.org/officeDocument/2006/relationships/hyperlink" Target="https://www.linkedin.com/in/gustavodemesquitamota/" TargetMode="External"/><Relationship Id="rId2602" Type="http://schemas.openxmlformats.org/officeDocument/2006/relationships/hyperlink" Target="https://www.linkedin.com/in/brunnobezerra/" TargetMode="External"/><Relationship Id="rId1756" Type="http://schemas.openxmlformats.org/officeDocument/2006/relationships/hyperlink" Target="https://universidade.pipelovers.net/m/lessons/modelos-de-remuneracao-para-equipes-de-vendas-b2b-1771879806544?classId=3811" TargetMode="External"/><Relationship Id="rId2603" Type="http://schemas.openxmlformats.org/officeDocument/2006/relationships/hyperlink" Target="https://universidade.pipelovers.net/m/lessons/a-reta-final-da-venda-da-apresentacao-do-preco-ao-fechamento1769550060299?classId=3197" TargetMode="External"/><Relationship Id="rId1757" Type="http://schemas.openxmlformats.org/officeDocument/2006/relationships/hyperlink" Target="https://universidade.pipelovers.net/m/lessons/modelos-de-remuneracao-para-equipes-de-vendas-b2b-1771879806544?classId=3811" TargetMode="External"/><Relationship Id="rId2604" Type="http://schemas.openxmlformats.org/officeDocument/2006/relationships/hyperlink" Target="https://universidade.pipelovers.net/m/lessons/a-reta-final-da-venda-da-apresentacao-do-preco-ao-fechamento1769550060299?classId=3197" TargetMode="External"/><Relationship Id="rId1758" Type="http://schemas.openxmlformats.org/officeDocument/2006/relationships/hyperlink" Target="https://www.linkedin.com/in/rodrigovencefy/" TargetMode="External"/><Relationship Id="rId2605" Type="http://schemas.openxmlformats.org/officeDocument/2006/relationships/hyperlink" Target="https://www.linkedin.com/in/joao-eduardo-silva-neto-22202225/" TargetMode="External"/><Relationship Id="rId1759" Type="http://schemas.openxmlformats.org/officeDocument/2006/relationships/hyperlink" Target="https://universidade.pipelovers.net/m/lessons/decisoes-comerciais-baseadas-no-ciclo-de-vida-do-produto-1771879842617?classId=3814" TargetMode="External"/><Relationship Id="rId2606" Type="http://schemas.openxmlformats.org/officeDocument/2006/relationships/hyperlink" Target="https://universidade.pipelovers.net/m/lessons/o-impacto-do-hipercrescimento-no-comercial-o-que-muda-na-pratica1769550059977?classId=3198" TargetMode="External"/><Relationship Id="rId808" Type="http://schemas.openxmlformats.org/officeDocument/2006/relationships/hyperlink" Target="https://www.linkedin.com/in/marcio-pereira-5327939/" TargetMode="External"/><Relationship Id="rId2607" Type="http://schemas.openxmlformats.org/officeDocument/2006/relationships/hyperlink" Target="https://universidade.pipelovers.net/m/lessons/o-impacto-do-hipercrescimento-no-comercial-o-que-muda-na-pratica1769550059977?classId=3198" TargetMode="External"/><Relationship Id="rId807" Type="http://schemas.openxmlformats.org/officeDocument/2006/relationships/hyperlink" Target="https://drive.google.com/file/d/1DVz6n00lnW9RQajX-BB5mQAywo_3eA2Y/view?usp=drive_link" TargetMode="External"/><Relationship Id="rId2608" Type="http://schemas.openxmlformats.org/officeDocument/2006/relationships/hyperlink" Target="https://www.linkedin.com/in/fspina/" TargetMode="External"/><Relationship Id="rId806" Type="http://schemas.openxmlformats.org/officeDocument/2006/relationships/hyperlink" Target="https://universidade.pipelovers.net/m/lessons/erros-e-acertos-de-20231769552348476?classId=3000" TargetMode="External"/><Relationship Id="rId2609" Type="http://schemas.openxmlformats.org/officeDocument/2006/relationships/hyperlink" Target="https://universidade.pipelovers.net/m/lessons/como-fazer-vendas-para-grandes-contas1769550060331?classId=3199" TargetMode="External"/><Relationship Id="rId805" Type="http://schemas.openxmlformats.org/officeDocument/2006/relationships/hyperlink" Target="https://universidade.pipelovers.net/m/lessons/erros-e-acertos-de-20231769552348476?classId=3000" TargetMode="External"/><Relationship Id="rId809" Type="http://schemas.openxmlformats.org/officeDocument/2006/relationships/hyperlink" Target="https://universidade.pipelovers.net/m/lessons/planejamento-de-metricas-de-execucao1769552348507?classId=2999" TargetMode="External"/><Relationship Id="rId800" Type="http://schemas.openxmlformats.org/officeDocument/2006/relationships/hyperlink" Target="https://drive.google.com/file/d/14ws5nOWe3Qc79hrVupDdvR-BWyo0rvcd/view?usp=drive_link" TargetMode="External"/><Relationship Id="rId804" Type="http://schemas.openxmlformats.org/officeDocument/2006/relationships/hyperlink" Target="https://www.linkedin.com/in/eziojemma/" TargetMode="External"/><Relationship Id="rId803" Type="http://schemas.openxmlformats.org/officeDocument/2006/relationships/hyperlink" Target="https://drive.google.com/file/d/1-5a6_zyHc698MR0nkTqI_4wzES0OkunW/view?usp=drive_link" TargetMode="External"/><Relationship Id="rId802" Type="http://schemas.openxmlformats.org/officeDocument/2006/relationships/hyperlink" Target="https://universidade.pipelovers.net/aulas/negociacao-de-contratos-com-juridico-1775077264298" TargetMode="External"/><Relationship Id="rId801" Type="http://schemas.openxmlformats.org/officeDocument/2006/relationships/hyperlink" Target="https://universidade.pipelovers.net/aulas/negociacao-de-contratos-com-juridico-1775077264298" TargetMode="External"/><Relationship Id="rId1750" Type="http://schemas.openxmlformats.org/officeDocument/2006/relationships/hyperlink" Target="https://universidade.pipelovers.net/m/lessons/decisoes-de-gestao-orientadas-por-dados-do-funil-as-metas1772542642479?classId=3757" TargetMode="External"/><Relationship Id="rId1751" Type="http://schemas.openxmlformats.org/officeDocument/2006/relationships/hyperlink" Target="https://universidade.pipelovers.net/m/lessons/decisoes-de-gestao-orientadas-por-dados-do-funil-as-metas1772542642479?classId=3757" TargetMode="External"/><Relationship Id="rId1741" Type="http://schemas.openxmlformats.org/officeDocument/2006/relationships/hyperlink" Target="https://universidade.pipelovers.net/m/lessons/rituais-para-engajar-acompanhar-e-desenvolver-talentos1772542661869?classId=3768" TargetMode="External"/><Relationship Id="rId1742" Type="http://schemas.openxmlformats.org/officeDocument/2006/relationships/hyperlink" Target="https://universidade.pipelovers.net/m/lessons/rituais-para-engajar-acompanhar-e-desenvolver-talentos1772542661869?classId=3768" TargetMode="External"/><Relationship Id="rId1743" Type="http://schemas.openxmlformats.org/officeDocument/2006/relationships/hyperlink" Target="https://www.linkedin.com/in/rlcorrea/" TargetMode="External"/><Relationship Id="rId1744" Type="http://schemas.openxmlformats.org/officeDocument/2006/relationships/hyperlink" Target="https://universidade.pipelovers.net/m/lessons/melhores-praticas-de-dashboards-de-gestao-de-vendas1772542642663?classId=3761" TargetMode="External"/><Relationship Id="rId1745" Type="http://schemas.openxmlformats.org/officeDocument/2006/relationships/hyperlink" Target="https://universidade.pipelovers.net/m/lessons/melhores-praticas-de-dashboards-de-gestao-de-vendas1772542642663?classId=3761" TargetMode="External"/><Relationship Id="rId1746" Type="http://schemas.openxmlformats.org/officeDocument/2006/relationships/hyperlink" Target="https://www.linkedin.com/in/liana-chiaradia/" TargetMode="External"/><Relationship Id="rId1747" Type="http://schemas.openxmlformats.org/officeDocument/2006/relationships/hyperlink" Target="https://universidade.pipelovers.net/m/lessons/como-manter-consistencia-do-time-em-meio-a-metas-agressivas-e-alta-pressao1772542642221?classId=3751" TargetMode="External"/><Relationship Id="rId1748" Type="http://schemas.openxmlformats.org/officeDocument/2006/relationships/hyperlink" Target="https://universidade.pipelovers.net/m/lessons/como-manter-consistencia-do-time-em-meio-a-metas-agressivas-e-alta-pressao1772542642221?classId=3751" TargetMode="External"/><Relationship Id="rId1749" Type="http://schemas.openxmlformats.org/officeDocument/2006/relationships/hyperlink" Target="https://www.linkedin.com/in/fabioelbeck/" TargetMode="External"/><Relationship Id="rId1740" Type="http://schemas.openxmlformats.org/officeDocument/2006/relationships/hyperlink" Target="https://www.linkedin.com/in/jessicabosco/" TargetMode="External"/><Relationship Id="rId1710" Type="http://schemas.openxmlformats.org/officeDocument/2006/relationships/hyperlink" Target="https://universidade.pipelovers.net/m/lessons/teoria-da-evolucao-da-natureza-aplicada-a-vendas1769552324507?classId=3310" TargetMode="External"/><Relationship Id="rId1711" Type="http://schemas.openxmlformats.org/officeDocument/2006/relationships/hyperlink" Target="https://universidade.pipelovers.net/m/lessons/otimizacao-de-processos-manuais-com-ia1769552324535?classId=3312" TargetMode="External"/><Relationship Id="rId1712" Type="http://schemas.openxmlformats.org/officeDocument/2006/relationships/hyperlink" Target="https://universidade.pipelovers.net/m/lessons/otimizacao-de-processos-manuais-com-ia1769552324535?classId=3312" TargetMode="External"/><Relationship Id="rId1713" Type="http://schemas.openxmlformats.org/officeDocument/2006/relationships/hyperlink" Target="https://universidade.pipelovers.net/m/lessons/desaprender-para-vender-como-aplicar-a-metodologia-sandler-no-dia-a-dia1769552324562?classId=3313" TargetMode="External"/><Relationship Id="rId1714" Type="http://schemas.openxmlformats.org/officeDocument/2006/relationships/hyperlink" Target="https://universidade.pipelovers.net/m/lessons/desaprender-para-vender-como-aplicar-a-metodologia-sandler-no-dia-a-dia1769552324562?classId=3313" TargetMode="External"/><Relationship Id="rId1715" Type="http://schemas.openxmlformats.org/officeDocument/2006/relationships/hyperlink" Target="https://universidade.pipelovers.net/m/lessons/como-a-experiencia-do-cliente-e-potencializada-pela-tecnologia1769552324589?classId=3315" TargetMode="External"/><Relationship Id="rId1716" Type="http://schemas.openxmlformats.org/officeDocument/2006/relationships/hyperlink" Target="https://universidade.pipelovers.net/m/lessons/como-a-experiencia-do-cliente-e-potencializada-pela-tecnologia1769552324589?classId=3315" TargetMode="External"/><Relationship Id="rId1717" Type="http://schemas.openxmlformats.org/officeDocument/2006/relationships/hyperlink" Target="https://www.linkedin.com/in/rafaelgonttijo/" TargetMode="External"/><Relationship Id="rId1718" Type="http://schemas.openxmlformats.org/officeDocument/2006/relationships/hyperlink" Target="https://universidade.pipelovers.net/m/lessons/prova-de-conceito-poc-quando-usar-como-alinhar-e-gerar-conversao1769552324626?classId=3316" TargetMode="External"/><Relationship Id="rId1719" Type="http://schemas.openxmlformats.org/officeDocument/2006/relationships/hyperlink" Target="https://universidade.pipelovers.net/m/lessons/prova-de-conceito-poc-quando-usar-como-alinhar-e-gerar-conversao1769552324626?classId=3316" TargetMode="External"/><Relationship Id="rId1700" Type="http://schemas.openxmlformats.org/officeDocument/2006/relationships/hyperlink" Target="https://universidade.pipelovers.net/m/lessons/lideranca-sob-pressao-como-manter-foco-e-equilibrio1769552324340?classId=3035" TargetMode="External"/><Relationship Id="rId1701" Type="http://schemas.openxmlformats.org/officeDocument/2006/relationships/hyperlink" Target="http://forwd.co" TargetMode="External"/><Relationship Id="rId1702" Type="http://schemas.openxmlformats.org/officeDocument/2006/relationships/hyperlink" Target="https://universidade.pipelovers.net/m/lessons/gestao-de-expectativas-com-pares-e-lideranca1769552324424?classId=3036" TargetMode="External"/><Relationship Id="rId1703" Type="http://schemas.openxmlformats.org/officeDocument/2006/relationships/hyperlink" Target="https://universidade.pipelovers.net/m/lessons/gestao-de-expectativas-com-pares-e-lideranca1769552324424?classId=3036" TargetMode="External"/><Relationship Id="rId1704" Type="http://schemas.openxmlformats.org/officeDocument/2006/relationships/hyperlink" Target="https://universidade.pipelovers.net/m/lessons/ritual-de-pipeline-review-individual-estrutura-e-implantacao1769552324452?classId=3308" TargetMode="External"/><Relationship Id="rId1705" Type="http://schemas.openxmlformats.org/officeDocument/2006/relationships/hyperlink" Target="https://universidade.pipelovers.net/m/lessons/ritual-de-pipeline-review-individual-estrutura-e-implantacao1769552324452?classId=3308" TargetMode="External"/><Relationship Id="rId1706" Type="http://schemas.openxmlformats.org/officeDocument/2006/relationships/hyperlink" Target="https://www.linkedin.com/in/gustavogadotti/" TargetMode="External"/><Relationship Id="rId1707" Type="http://schemas.openxmlformats.org/officeDocument/2006/relationships/hyperlink" Target="https://universidade.pipelovers.net/m/lessons/o-papel-do-gestor-comercial-na-geracao-de-demanda1769552324479?classId=3309" TargetMode="External"/><Relationship Id="rId1708" Type="http://schemas.openxmlformats.org/officeDocument/2006/relationships/hyperlink" Target="https://universidade.pipelovers.net/m/lessons/o-papel-do-gestor-comercial-na-geracao-de-demanda1769552324479?classId=3309" TargetMode="External"/><Relationship Id="rId1709" Type="http://schemas.openxmlformats.org/officeDocument/2006/relationships/hyperlink" Target="https://universidade.pipelovers.net/m/lessons/teoria-da-evolucao-da-natureza-aplicada-a-vendas1769552324507?classId=3310" TargetMode="External"/><Relationship Id="rId40" Type="http://schemas.openxmlformats.org/officeDocument/2006/relationships/hyperlink" Target="https://universidade.pipelovers.net/m/lessons/prospectando-grandes-contas1769552002862?classId=3352" TargetMode="External"/><Relationship Id="rId1334" Type="http://schemas.openxmlformats.org/officeDocument/2006/relationships/hyperlink" Target="https://universidade.pipelovers.net/m/lessons/plano-de-30-60-90-primeiros-dias1769552231576?classId=3094" TargetMode="External"/><Relationship Id="rId2665" Type="http://schemas.openxmlformats.org/officeDocument/2006/relationships/hyperlink" Target="https://universidade.pipelovers.net/m/lessons/passo-a-passo-para-construir-e-rodar-um-sdr-de-ia1769550061281?classId=3669" TargetMode="External"/><Relationship Id="rId1335" Type="http://schemas.openxmlformats.org/officeDocument/2006/relationships/hyperlink" Target="https://universidade.pipelovers.net/m/lessons/operacoes-de-inside-sales-para-vendas-complexas1769552242243?classId=3095" TargetMode="External"/><Relationship Id="rId2666" Type="http://schemas.openxmlformats.org/officeDocument/2006/relationships/hyperlink" Target="https://www.linkedin.com/in/igor-navarro-rabelo/" TargetMode="External"/><Relationship Id="rId42" Type="http://schemas.openxmlformats.org/officeDocument/2006/relationships/hyperlink" Target="https://www.linkedin.com/in/julianamenegatti/" TargetMode="External"/><Relationship Id="rId1336" Type="http://schemas.openxmlformats.org/officeDocument/2006/relationships/hyperlink" Target="https://universidade.pipelovers.net/m/lessons/operacoes-de-inside-sales-para-vendas-complexas1769552242243?classId=3095" TargetMode="External"/><Relationship Id="rId2667" Type="http://schemas.openxmlformats.org/officeDocument/2006/relationships/hyperlink" Target="https://universidade.pipelovers.net/aulas/do-lead-frio-ao-cliente-quente-fluxos-de-nutricao-multicanal-1775817131791" TargetMode="External"/><Relationship Id="rId41" Type="http://schemas.openxmlformats.org/officeDocument/2006/relationships/hyperlink" Target="https://universidade.pipelovers.net/m/lessons/prospectando-grandes-contas1769552002862?classId=3352" TargetMode="External"/><Relationship Id="rId1337" Type="http://schemas.openxmlformats.org/officeDocument/2006/relationships/hyperlink" Target="https://www.linkedin.com/in/wevsoares/" TargetMode="External"/><Relationship Id="rId2668" Type="http://schemas.openxmlformats.org/officeDocument/2006/relationships/hyperlink" Target="https://universidade.pipelovers.net/aulas/do-lead-frio-ao-cliente-quente-fluxos-de-nutricao-multicanal-1775817131791" TargetMode="External"/><Relationship Id="rId44" Type="http://schemas.openxmlformats.org/officeDocument/2006/relationships/hyperlink" Target="https://universidade.pipelovers.net/aulas/construindo-uma-carreira-internacional-em-vendas-b2b-1775073941335" TargetMode="External"/><Relationship Id="rId1338" Type="http://schemas.openxmlformats.org/officeDocument/2006/relationships/hyperlink" Target="https://universidade.pipelovers.net/m/lessons/planejamento-de-geracao-de-demanda1769552242542?classId=3097" TargetMode="External"/><Relationship Id="rId2669" Type="http://schemas.openxmlformats.org/officeDocument/2006/relationships/hyperlink" Target="https://www.linkedin.com/in/gabrielbat/" TargetMode="External"/><Relationship Id="rId43" Type="http://schemas.openxmlformats.org/officeDocument/2006/relationships/hyperlink" Target="https://universidade.pipelovers.net/aulas/construindo-uma-carreira-internacional-em-vendas-b2b-1775073941335" TargetMode="External"/><Relationship Id="rId1339" Type="http://schemas.openxmlformats.org/officeDocument/2006/relationships/hyperlink" Target="https://universidade.pipelovers.net/m/lessons/planejamento-de-geracao-de-demanda1769552242542?classId=3097" TargetMode="External"/><Relationship Id="rId46" Type="http://schemas.openxmlformats.org/officeDocument/2006/relationships/hyperlink" Target="https://universidade.pipelovers.net/m/lessons/como-ser-um-sdr-top-performer1769552003068?classId=3358" TargetMode="External"/><Relationship Id="rId45" Type="http://schemas.openxmlformats.org/officeDocument/2006/relationships/hyperlink" Target="https://www.linkedin.com/in/caldeirapedro/" TargetMode="External"/><Relationship Id="rId745" Type="http://schemas.openxmlformats.org/officeDocument/2006/relationships/hyperlink" Target="https://www.linkedin.com/in/mairabevilaqua/" TargetMode="External"/><Relationship Id="rId744" Type="http://schemas.openxmlformats.org/officeDocument/2006/relationships/hyperlink" Target="https://drive.google.com/file/d/1YA1kQxC0BstDWu1F2b9Y1KwIecgJ-qfe/view?usp=drive_link" TargetMode="External"/><Relationship Id="rId743" Type="http://schemas.openxmlformats.org/officeDocument/2006/relationships/hyperlink" Target="https://universidade.pipelovers.net/m/lessons/vendas-para-o-setor-publico1769552345148?classId=3616" TargetMode="External"/><Relationship Id="rId742" Type="http://schemas.openxmlformats.org/officeDocument/2006/relationships/hyperlink" Target="https://universidade.pipelovers.net/m/lessons/vendas-para-o-setor-publico1769552345148?classId=3616" TargetMode="External"/><Relationship Id="rId749" Type="http://schemas.openxmlformats.org/officeDocument/2006/relationships/hyperlink" Target="https://www.linkedin.com/in/gabrielapaganotto/" TargetMode="External"/><Relationship Id="rId748" Type="http://schemas.openxmlformats.org/officeDocument/2006/relationships/hyperlink" Target="https://drive.google.com/file/d/11DCKt4vBozB2LeGCbd2i7hyhWLos0dqz/view?usp=drive_link" TargetMode="External"/><Relationship Id="rId747" Type="http://schemas.openxmlformats.org/officeDocument/2006/relationships/hyperlink" Target="https://universidade.pipelovers.net/m/lessons/gestao-de-crises-com-clientes1769552345297?classId=3617" TargetMode="External"/><Relationship Id="rId746" Type="http://schemas.openxmlformats.org/officeDocument/2006/relationships/hyperlink" Target="https://universidade.pipelovers.net/m/lessons/gestao-de-crises-com-clientes1769552345297?classId=3617" TargetMode="External"/><Relationship Id="rId48" Type="http://schemas.openxmlformats.org/officeDocument/2006/relationships/hyperlink" Target="https://www.linkedin.com/in/angelita-oliveira/" TargetMode="External"/><Relationship Id="rId47" Type="http://schemas.openxmlformats.org/officeDocument/2006/relationships/hyperlink" Target="https://universidade.pipelovers.net/m/lessons/como-ser-um-sdr-top-performer1769552003068?classId=3358" TargetMode="External"/><Relationship Id="rId49" Type="http://schemas.openxmlformats.org/officeDocument/2006/relationships/hyperlink" Target="https://universidade.pipelovers.net/m/lessons/carreira-e-mulheres-em-vendas1769552003169?classId=3363" TargetMode="External"/><Relationship Id="rId2660" Type="http://schemas.openxmlformats.org/officeDocument/2006/relationships/hyperlink" Target="https://www.linkedin.com/in/rodrigovaca/" TargetMode="External"/><Relationship Id="rId741" Type="http://schemas.openxmlformats.org/officeDocument/2006/relationships/hyperlink" Target="https://www.linkedin.com/in/rfassoni/" TargetMode="External"/><Relationship Id="rId1330" Type="http://schemas.openxmlformats.org/officeDocument/2006/relationships/hyperlink" Target="https://universidade.pipelovers.net/m/lessons/planejamento-estrategico-para-novos-segmentos-e-mercados1769552231526?classId=3068" TargetMode="External"/><Relationship Id="rId2661" Type="http://schemas.openxmlformats.org/officeDocument/2006/relationships/hyperlink" Target="https://universidade.pipelovers.net/m/lessons/liderar-com-proposito-a-jornada-ate-a-direcao-geral-da-zoho1769550061224?classId=3668" TargetMode="External"/><Relationship Id="rId740" Type="http://schemas.openxmlformats.org/officeDocument/2006/relationships/hyperlink" Target="https://drive.google.com/file/d/1rCZkMQlrFS_WsNbEnveuNGwBTm_UzOau/view?usp=drive_link" TargetMode="External"/><Relationship Id="rId1331" Type="http://schemas.openxmlformats.org/officeDocument/2006/relationships/hyperlink" Target="https://universidade.pipelovers.net/m/lessons/calculando-seu-cac-e-unit-economics1769552231474?classId=3093" TargetMode="External"/><Relationship Id="rId2662" Type="http://schemas.openxmlformats.org/officeDocument/2006/relationships/hyperlink" Target="https://universidade.pipelovers.net/m/lessons/liderar-com-proposito-a-jornada-ate-a-direcao-geral-da-zoho1769550061224?classId=3668" TargetMode="External"/><Relationship Id="rId1332" Type="http://schemas.openxmlformats.org/officeDocument/2006/relationships/hyperlink" Target="https://universidade.pipelovers.net/m/lessons/calculando-seu-cac-e-unit-economics1769552231474?classId=3093" TargetMode="External"/><Relationship Id="rId2663" Type="http://schemas.openxmlformats.org/officeDocument/2006/relationships/hyperlink" Target="https://www.linkedin.com/in/frankyneto/" TargetMode="External"/><Relationship Id="rId1333" Type="http://schemas.openxmlformats.org/officeDocument/2006/relationships/hyperlink" Target="https://universidade.pipelovers.net/m/lessons/plano-de-30-60-90-primeiros-dias1769552231576?classId=3094" TargetMode="External"/><Relationship Id="rId2664" Type="http://schemas.openxmlformats.org/officeDocument/2006/relationships/hyperlink" Target="https://universidade.pipelovers.net/m/lessons/passo-a-passo-para-construir-e-rodar-um-sdr-de-ia1769550061281?classId=3669" TargetMode="External"/><Relationship Id="rId1323" Type="http://schemas.openxmlformats.org/officeDocument/2006/relationships/hyperlink" Target="https://universidade.pipelovers.net/m/lessons/inteligencia-artificial-o-que-ela-nao-vai-resolver-para-um-gerente-de-vendas1769552231190?classId=3090" TargetMode="External"/><Relationship Id="rId2654" Type="http://schemas.openxmlformats.org/officeDocument/2006/relationships/hyperlink" Target="https://universidade.pipelovers.net/m/lessons/como-vender-mais-em-feiras-e-eventos1769550061091?classId=3666" TargetMode="External"/><Relationship Id="rId1324" Type="http://schemas.openxmlformats.org/officeDocument/2006/relationships/hyperlink" Target="https://universidade.pipelovers.net/m/lessons/inteligencia-artificial-o-que-ela-nao-vai-resolver-para-um-gerente-de-vendas1769552231190?classId=3090" TargetMode="External"/><Relationship Id="rId2655" Type="http://schemas.openxmlformats.org/officeDocument/2006/relationships/hyperlink" Target="https://universidade.pipelovers.net/m/lessons/como-vender-mais-em-feiras-e-eventos1769550061091?classId=3666" TargetMode="External"/><Relationship Id="rId31" Type="http://schemas.openxmlformats.org/officeDocument/2006/relationships/hyperlink" Target="https://universidade.pipelovers.net/m/lessons/abordagens-inteligentes-usando-social-selling1769552002626?classId=3339" TargetMode="External"/><Relationship Id="rId1325" Type="http://schemas.openxmlformats.org/officeDocument/2006/relationships/hyperlink" Target="https://universidade.pipelovers.net/m/lessons/gestao-baseada-em-okr-objective-and-key-results1769552231241?classId=3091" TargetMode="External"/><Relationship Id="rId2656" Type="http://schemas.openxmlformats.org/officeDocument/2006/relationships/hyperlink" Target="http://treble.ai" TargetMode="External"/><Relationship Id="rId30" Type="http://schemas.openxmlformats.org/officeDocument/2006/relationships/hyperlink" Target="https://universidade.pipelovers.net/m/lessons/abordagens-inteligentes-usando-social-selling1769552002626?classId=3339" TargetMode="External"/><Relationship Id="rId1326" Type="http://schemas.openxmlformats.org/officeDocument/2006/relationships/hyperlink" Target="https://universidade.pipelovers.net/m/lessons/gestao-baseada-em-okr-objective-and-key-results1769552231241?classId=3091" TargetMode="External"/><Relationship Id="rId2657" Type="http://schemas.openxmlformats.org/officeDocument/2006/relationships/hyperlink" Target="https://www.linkedin.com/in/junioreis22/" TargetMode="External"/><Relationship Id="rId33" Type="http://schemas.openxmlformats.org/officeDocument/2006/relationships/hyperlink" Target="https://universidade.pipelovers.net/m/lessons/produtividade-baseada-em-cadencia-e-gestao-do-tempo1769552002705?classId=3344" TargetMode="External"/><Relationship Id="rId1327" Type="http://schemas.openxmlformats.org/officeDocument/2006/relationships/hyperlink" Target="https://universidade.pipelovers.net/m/lessons/eficiencia-de-funil-e-rentabilidade-de-vendas1769552231350?classId=3104" TargetMode="External"/><Relationship Id="rId2658" Type="http://schemas.openxmlformats.org/officeDocument/2006/relationships/hyperlink" Target="https://universidade.pipelovers.net/m/lessons/geracao-de-demanda-atraves-do-whatsapp1769550061159?classId=3667" TargetMode="External"/><Relationship Id="rId32" Type="http://schemas.openxmlformats.org/officeDocument/2006/relationships/hyperlink" Target="https://www.linkedin.com/in/anaduccini/" TargetMode="External"/><Relationship Id="rId1328" Type="http://schemas.openxmlformats.org/officeDocument/2006/relationships/hyperlink" Target="https://universidade.pipelovers.net/m/lessons/eficiencia-de-funil-e-rentabilidade-de-vendas1769552231350?classId=3104" TargetMode="External"/><Relationship Id="rId2659" Type="http://schemas.openxmlformats.org/officeDocument/2006/relationships/hyperlink" Target="https://universidade.pipelovers.net/m/lessons/geracao-de-demanda-atraves-do-whatsapp1769550061159?classId=3667" TargetMode="External"/><Relationship Id="rId35" Type="http://schemas.openxmlformats.org/officeDocument/2006/relationships/hyperlink" Target="https://universidade.pipelovers.net/m/lessons/tecnicas-de-cold-calling1769552002783?classId=3347" TargetMode="External"/><Relationship Id="rId1329" Type="http://schemas.openxmlformats.org/officeDocument/2006/relationships/hyperlink" Target="https://universidade.pipelovers.net/m/lessons/planejamento-estrategico-para-novos-segmentos-e-mercados1769552231526?classId=3068" TargetMode="External"/><Relationship Id="rId34" Type="http://schemas.openxmlformats.org/officeDocument/2006/relationships/hyperlink" Target="https://universidade.pipelovers.net/m/lessons/produtividade-baseada-em-cadencia-e-gestao-do-tempo1769552002705?classId=3344" TargetMode="External"/><Relationship Id="rId739" Type="http://schemas.openxmlformats.org/officeDocument/2006/relationships/hyperlink" Target="https://universidade.pipelovers.net/m/lessons/propostas-comerciais-efetivas1769552345090?classId=3615" TargetMode="External"/><Relationship Id="rId734" Type="http://schemas.openxmlformats.org/officeDocument/2006/relationships/hyperlink" Target="https://universidade.pipelovers.net/m/lessons/contabilidade-para-vendedores1769552344959?classId=3614" TargetMode="External"/><Relationship Id="rId733" Type="http://schemas.openxmlformats.org/officeDocument/2006/relationships/hyperlink" Target="https://www.linkedin.com/in/fabio-moreira-0141b121/" TargetMode="External"/><Relationship Id="rId732" Type="http://schemas.openxmlformats.org/officeDocument/2006/relationships/hyperlink" Target="https://drive.google.com/file/d/1hg-0LSTErHjYGZXyqTLVP_trskxkS3ev/view?usp=drive_link" TargetMode="External"/><Relationship Id="rId731" Type="http://schemas.openxmlformats.org/officeDocument/2006/relationships/hyperlink" Target="https://universidade.pipelovers.net/m/lessons/100-atualizado-antes-do-seu-cliente1769552345017?classId=3613" TargetMode="External"/><Relationship Id="rId738" Type="http://schemas.openxmlformats.org/officeDocument/2006/relationships/hyperlink" Target="https://universidade.pipelovers.net/m/lessons/propostas-comerciais-efetivas1769552345090?classId=3615" TargetMode="External"/><Relationship Id="rId737" Type="http://schemas.openxmlformats.org/officeDocument/2006/relationships/hyperlink" Target="https://www.linkedin.com/in/mauriciokigiela/" TargetMode="External"/><Relationship Id="rId736" Type="http://schemas.openxmlformats.org/officeDocument/2006/relationships/hyperlink" Target="https://drive.google.com/file/d/1hlD9v5u_cLUkR7rixp9glWZ_VnESqxp_/view?usp=drive_link" TargetMode="External"/><Relationship Id="rId735" Type="http://schemas.openxmlformats.org/officeDocument/2006/relationships/hyperlink" Target="https://universidade.pipelovers.net/m/lessons/contabilidade-para-vendedores1769552344959?classId=3614" TargetMode="External"/><Relationship Id="rId37" Type="http://schemas.openxmlformats.org/officeDocument/2006/relationships/hyperlink" Target="https://universidade.pipelovers.net/m/lessons/por-que-os-leads-nao-respondem1769552002933?classId=3351" TargetMode="External"/><Relationship Id="rId36" Type="http://schemas.openxmlformats.org/officeDocument/2006/relationships/hyperlink" Target="https://universidade.pipelovers.net/m/lessons/tecnicas-de-cold-calling1769552002783?classId=3347" TargetMode="External"/><Relationship Id="rId39" Type="http://schemas.openxmlformats.org/officeDocument/2006/relationships/hyperlink" Target="https://www.linkedin.com/in/tatianapimenta/" TargetMode="External"/><Relationship Id="rId38" Type="http://schemas.openxmlformats.org/officeDocument/2006/relationships/hyperlink" Target="https://universidade.pipelovers.net/m/lessons/por-que-os-leads-nao-respondem1769552002933?classId=3351" TargetMode="External"/><Relationship Id="rId730" Type="http://schemas.openxmlformats.org/officeDocument/2006/relationships/hyperlink" Target="https://universidade.pipelovers.net/m/lessons/100-atualizado-antes-do-seu-cliente1769552345017?classId=3613" TargetMode="External"/><Relationship Id="rId2650" Type="http://schemas.openxmlformats.org/officeDocument/2006/relationships/hyperlink" Target="https://www.linkedin.com/in/liviaalves-/" TargetMode="External"/><Relationship Id="rId1320" Type="http://schemas.openxmlformats.org/officeDocument/2006/relationships/hyperlink" Target="https://universidade.pipelovers.net/m/lessons/modelos-de-incentivo-de-equipes-comerciais1769552231122?classId=3089" TargetMode="External"/><Relationship Id="rId2651" Type="http://schemas.openxmlformats.org/officeDocument/2006/relationships/hyperlink" Target="https://universidade.pipelovers.net/m/lessons/inteligencia-de-vendas-na-pratica-como-deixar-de-vender-para-todo-mundo-e-focar-nos-clientes-certo1769550060989?classId=3665" TargetMode="External"/><Relationship Id="rId1321" Type="http://schemas.openxmlformats.org/officeDocument/2006/relationships/hyperlink" Target="https://universidade.pipelovers.net/m/lessons/modelos-de-incentivo-de-equipes-comerciais1769552231122?classId=3089" TargetMode="External"/><Relationship Id="rId2652" Type="http://schemas.openxmlformats.org/officeDocument/2006/relationships/hyperlink" Target="https://universidade.pipelovers.net/m/lessons/inteligencia-de-vendas-na-pratica-como-deixar-de-vender-para-todo-mundo-e-focar-nos-clientes-certo1769550060989?classId=3665" TargetMode="External"/><Relationship Id="rId1322" Type="http://schemas.openxmlformats.org/officeDocument/2006/relationships/hyperlink" Target="https://www.linkedin.com/in/mauricio-vergani-8b7765/" TargetMode="External"/><Relationship Id="rId2653" Type="http://schemas.openxmlformats.org/officeDocument/2006/relationships/hyperlink" Target="https://www.linkedin.com/in/brunofolle/" TargetMode="External"/><Relationship Id="rId1356" Type="http://schemas.openxmlformats.org/officeDocument/2006/relationships/hyperlink" Target="https://universidade.pipelovers.net/m/lessons/estrategicas-de-aquisicao-de-clientes-com-ampliacao-de-portfolio1769552242871?classId=3107" TargetMode="External"/><Relationship Id="rId2203" Type="http://schemas.openxmlformats.org/officeDocument/2006/relationships/hyperlink" Target="https://www.linkedin.com/in/gpagotto/" TargetMode="External"/><Relationship Id="rId2687" Type="http://schemas.openxmlformats.org/officeDocument/2006/relationships/hyperlink" Target="https://www.linkedin.com/in/wevsoares/" TargetMode="External"/><Relationship Id="rId1357" Type="http://schemas.openxmlformats.org/officeDocument/2006/relationships/hyperlink" Target="https://www.linkedin.com/in/gpagotto/" TargetMode="External"/><Relationship Id="rId2204" Type="http://schemas.openxmlformats.org/officeDocument/2006/relationships/hyperlink" Target="https://universidade.pipelovers.net/m/lessons/programa-de-afiliados-primeiros-passos-para-criar-um-novo-canal-de-aquisicao1769552445920?classId=3176" TargetMode="External"/><Relationship Id="rId2688" Type="http://schemas.openxmlformats.org/officeDocument/2006/relationships/hyperlink" Target="https://universidade.pipelovers.net/m/lessons/linkedin-2026-como-a-ia-e-novo-algoritmo-impacta-seu-social-selling1769550061530?classId=3677" TargetMode="External"/><Relationship Id="rId20" Type="http://schemas.openxmlformats.org/officeDocument/2006/relationships/hyperlink" Target="https://www.linkedin.com/in/rafaelfollador/" TargetMode="External"/><Relationship Id="rId1358" Type="http://schemas.openxmlformats.org/officeDocument/2006/relationships/hyperlink" Target="https://universidade.pipelovers.net/m/lessons/palestra-rd-summit-20231769552039345?classId=3108" TargetMode="External"/><Relationship Id="rId2205" Type="http://schemas.openxmlformats.org/officeDocument/2006/relationships/hyperlink" Target="https://universidade.pipelovers.net/m/lessons/programa-de-afiliados-primeiros-passos-para-criar-um-novo-canal-de-aquisicao1769552445920?classId=3176" TargetMode="External"/><Relationship Id="rId2689" Type="http://schemas.openxmlformats.org/officeDocument/2006/relationships/hyperlink" Target="https://universidade.pipelovers.net/m/lessons/linkedin-2026-como-a-ia-e-novo-algoritmo-impacta-seu-social-selling1769550061530?classId=3677" TargetMode="External"/><Relationship Id="rId1359" Type="http://schemas.openxmlformats.org/officeDocument/2006/relationships/hyperlink" Target="https://universidade.pipelovers.net/m/lessons/palestra-rd-summit-20231769552039345?classId=3108" TargetMode="External"/><Relationship Id="rId2206" Type="http://schemas.openxmlformats.org/officeDocument/2006/relationships/hyperlink" Target="https://drive.google.com/file/d/1ZOjLy1QJh_KRjWa7GjUInLvfX4bN2AlU/view?usp=drive_link" TargetMode="External"/><Relationship Id="rId22" Type="http://schemas.openxmlformats.org/officeDocument/2006/relationships/hyperlink" Target="https://universidade.pipelovers.net/m/lessons/como-construir-o-seu-playbook-de-sdr1769551998012?classId=3330" TargetMode="External"/><Relationship Id="rId2207" Type="http://schemas.openxmlformats.org/officeDocument/2006/relationships/hyperlink" Target="https://www.linkedin.com/in/kalina-renno/?utm_source=share&amp;utm_campaign=share_via&amp;utm_content=profile&amp;utm_medium=ios_app" TargetMode="External"/><Relationship Id="rId21" Type="http://schemas.openxmlformats.org/officeDocument/2006/relationships/hyperlink" Target="https://universidade.pipelovers.net/m/lessons/como-construir-o-seu-playbook-de-sdr1769551998012?classId=3330" TargetMode="External"/><Relationship Id="rId2208" Type="http://schemas.openxmlformats.org/officeDocument/2006/relationships/hyperlink" Target="https://universidade.pipelovers.net/m/lessons/parcerias-de-valor-adicionado-value-added-partnerships-para-crescimento-sustentavel1769552445999?classId=3177" TargetMode="External"/><Relationship Id="rId24" Type="http://schemas.openxmlformats.org/officeDocument/2006/relationships/hyperlink" Target="https://universidade.pipelovers.net/m/lessons/a-maquina-das-maquinas-de-vendas-b2b-do-brasil1772542661755?classId=3766" TargetMode="External"/><Relationship Id="rId2209" Type="http://schemas.openxmlformats.org/officeDocument/2006/relationships/hyperlink" Target="https://universidade.pipelovers.net/m/lessons/parcerias-de-valor-adicionado-value-added-partnerships-para-crescimento-sustentavel1769552445999?classId=3177" TargetMode="External"/><Relationship Id="rId23" Type="http://schemas.openxmlformats.org/officeDocument/2006/relationships/hyperlink" Target="https://www.linkedin.com/in/thiago-reis-/" TargetMode="External"/><Relationship Id="rId767" Type="http://schemas.openxmlformats.org/officeDocument/2006/relationships/hyperlink" Target="https://universidade.pipelovers.net/m/lessons/como-participar-do-planejamento-estrategico-do-cliente1769552345544?classId=3622" TargetMode="External"/><Relationship Id="rId766" Type="http://schemas.openxmlformats.org/officeDocument/2006/relationships/hyperlink" Target="https://universidade.pipelovers.net/m/lessons/como-participar-do-planejamento-estrategico-do-cliente1769552345544?classId=3622" TargetMode="External"/><Relationship Id="rId765" Type="http://schemas.openxmlformats.org/officeDocument/2006/relationships/hyperlink" Target="https://www.linkedin.com/in/marcelo-lourencon/" TargetMode="External"/><Relationship Id="rId764" Type="http://schemas.openxmlformats.org/officeDocument/2006/relationships/hyperlink" Target="https://drive.google.com/file/d/1wODl6Y9-NdVusgBxTy1jQya0c43eo6gl/view?usp=drive_link" TargetMode="External"/><Relationship Id="rId769" Type="http://schemas.openxmlformats.org/officeDocument/2006/relationships/hyperlink" Target="https://www.linkedin.com/in/luciene-souza/" TargetMode="External"/><Relationship Id="rId768" Type="http://schemas.openxmlformats.org/officeDocument/2006/relationships/hyperlink" Target="https://drive.google.com/file/d/1wsSw2uW6RdalAQhCPYthLTOlzsPQZyES/view?usp=drive_link" TargetMode="External"/><Relationship Id="rId26" Type="http://schemas.openxmlformats.org/officeDocument/2006/relationships/hyperlink" Target="https://www.linkedin.com/in/vidalo/" TargetMode="External"/><Relationship Id="rId25" Type="http://schemas.openxmlformats.org/officeDocument/2006/relationships/hyperlink" Target="https://universidade.pipelovers.net/m/lessons/a-maquina-das-maquinas-de-vendas-b2b-do-brasil1772542661755?classId=3766" TargetMode="External"/><Relationship Id="rId2680" Type="http://schemas.openxmlformats.org/officeDocument/2006/relationships/hyperlink" Target="https://universidade.pipelovers.net/m/lessons/account-based-marketing-o-que-muda-na-estrategia-de-marketing-e-vendas1769550061406?classId=3674" TargetMode="External"/><Relationship Id="rId28" Type="http://schemas.openxmlformats.org/officeDocument/2006/relationships/hyperlink" Target="https://universidade.pipelovers.net/m/lessons/aumento-de-conversao-na-prospeccao1769552002545?classId=3337" TargetMode="External"/><Relationship Id="rId1350" Type="http://schemas.openxmlformats.org/officeDocument/2006/relationships/hyperlink" Target="https://universidade.pipelovers.net/m/lessons/como-conquistar-confianca-de-stakeholders1769552242776?classId=3102" TargetMode="External"/><Relationship Id="rId2681" Type="http://schemas.openxmlformats.org/officeDocument/2006/relationships/hyperlink" Target="https://www.linkedin.com/in/katherinesallum/" TargetMode="External"/><Relationship Id="rId27" Type="http://schemas.openxmlformats.org/officeDocument/2006/relationships/hyperlink" Target="https://universidade.pipelovers.net/m/lessons/aumento-de-conversao-na-prospeccao1769552002545?classId=3337" TargetMode="External"/><Relationship Id="rId1351" Type="http://schemas.openxmlformats.org/officeDocument/2006/relationships/hyperlink" Target="https://universidade.pipelovers.net/m/lessons/apresentacoes-executivas-para-o-conselho-da-empresa1769552242831?classId=3105" TargetMode="External"/><Relationship Id="rId2682" Type="http://schemas.openxmlformats.org/officeDocument/2006/relationships/hyperlink" Target="https://universidade.pipelovers.net/m/lessons/vender-mais-com-menos-esforco-tecnologia-como-aliada-no-funil-de-vendas1769550061459?classId=3675" TargetMode="External"/><Relationship Id="rId763" Type="http://schemas.openxmlformats.org/officeDocument/2006/relationships/hyperlink" Target="https://universidade.pipelovers.net/m/lessons/como-potencializar-o-seu-pre-vendedor1769552345486?classId=3621" TargetMode="External"/><Relationship Id="rId1352" Type="http://schemas.openxmlformats.org/officeDocument/2006/relationships/hyperlink" Target="https://universidade.pipelovers.net/m/lessons/apresentacoes-executivas-para-o-conselho-da-empresa1769552242831?classId=3105" TargetMode="External"/><Relationship Id="rId2683" Type="http://schemas.openxmlformats.org/officeDocument/2006/relationships/hyperlink" Target="https://universidade.pipelovers.net/m/lessons/vender-mais-com-menos-esforco-tecnologia-como-aliada-no-funil-de-vendas1769550061459?classId=3675" TargetMode="External"/><Relationship Id="rId29" Type="http://schemas.openxmlformats.org/officeDocument/2006/relationships/hyperlink" Target="https://www.linkedin.com/in/denisemaiasoares/" TargetMode="External"/><Relationship Id="rId762" Type="http://schemas.openxmlformats.org/officeDocument/2006/relationships/hyperlink" Target="https://universidade.pipelovers.net/m/lessons/como-potencializar-o-seu-pre-vendedor1769552345486?classId=3621" TargetMode="External"/><Relationship Id="rId1353" Type="http://schemas.openxmlformats.org/officeDocument/2006/relationships/hyperlink" Target="https://universidade.pipelovers.net/aulas/como-avaliar-a-terceirizaca0-de-prospecca0-1775492909109" TargetMode="External"/><Relationship Id="rId2200" Type="http://schemas.openxmlformats.org/officeDocument/2006/relationships/hyperlink" Target="https://universidade.pipelovers.net/m/lessons/hard-e-soft-skills-para-gestao-de-canais1769552445851?classId=3175" TargetMode="External"/><Relationship Id="rId2684" Type="http://schemas.openxmlformats.org/officeDocument/2006/relationships/hyperlink" Target="https://www.linkedin.com/in/fabiomeloduran" TargetMode="External"/><Relationship Id="rId761" Type="http://schemas.openxmlformats.org/officeDocument/2006/relationships/hyperlink" Target="https://www.linkedin.com/in/orlandolatam" TargetMode="External"/><Relationship Id="rId1354" Type="http://schemas.openxmlformats.org/officeDocument/2006/relationships/hyperlink" Target="https://universidade.pipelovers.net/aulas/como-avaliar-a-terceirizaca0-de-prospecca0-1775492909109" TargetMode="External"/><Relationship Id="rId2201" Type="http://schemas.openxmlformats.org/officeDocument/2006/relationships/hyperlink" Target="https://universidade.pipelovers.net/m/lessons/hard-e-soft-skills-para-gestao-de-canais1769552445851?classId=3175" TargetMode="External"/><Relationship Id="rId2685" Type="http://schemas.openxmlformats.org/officeDocument/2006/relationships/hyperlink" Target="https://universidade.pipelovers.net/m/lessons/qual-o-papel-de-vendas-na-estrutura-de-revops1769550061492?classId=3676" TargetMode="External"/><Relationship Id="rId760" Type="http://schemas.openxmlformats.org/officeDocument/2006/relationships/hyperlink" Target="https://drive.google.com/file/d/1VgpWh5W7kLilpwzI9cYna0PKfLRHvof9/view?usp=drive_link" TargetMode="External"/><Relationship Id="rId1355" Type="http://schemas.openxmlformats.org/officeDocument/2006/relationships/hyperlink" Target="https://universidade.pipelovers.net/m/lessons/estrategicas-de-aquisicao-de-clientes-com-ampliacao-de-portfolio1769552242871?classId=3107" TargetMode="External"/><Relationship Id="rId2202" Type="http://schemas.openxmlformats.org/officeDocument/2006/relationships/hyperlink" Target="https://drive.google.com/file/d/1M9rkt06iuKAF9PrvUt1vKPDoPDh2GH7-/view?usp=drive_link" TargetMode="External"/><Relationship Id="rId2686" Type="http://schemas.openxmlformats.org/officeDocument/2006/relationships/hyperlink" Target="https://universidade.pipelovers.net/m/lessons/qual-o-papel-de-vendas-na-estrutura-de-revops1769550061492?classId=3676" TargetMode="External"/><Relationship Id="rId1345" Type="http://schemas.openxmlformats.org/officeDocument/2006/relationships/hyperlink" Target="https://universidade.pipelovers.net/m/lessons/google-maps-como-base-de-prospeccao1769552242716?classId=3100" TargetMode="External"/><Relationship Id="rId2676" Type="http://schemas.openxmlformats.org/officeDocument/2006/relationships/hyperlink" Target="https://universidade.pipelovers.net/m/lessons/autogestao-para-liderar1769550061558?classId=3673" TargetMode="External"/><Relationship Id="rId1346" Type="http://schemas.openxmlformats.org/officeDocument/2006/relationships/hyperlink" Target="https://universidade.pipelovers.net/m/lessons/google-maps-como-base-de-prospeccao1769552242716?classId=3100" TargetMode="External"/><Relationship Id="rId2677" Type="http://schemas.openxmlformats.org/officeDocument/2006/relationships/hyperlink" Target="https://universidade.pipelovers.net/m/lessons/autogestao-para-liderar1769550061558?classId=3673" TargetMode="External"/><Relationship Id="rId1347" Type="http://schemas.openxmlformats.org/officeDocument/2006/relationships/hyperlink" Target="https://universidade.pipelovers.net/aulas/como-avaliar-um-headhunter-para-seu-time-de-vendas-1775491524100" TargetMode="External"/><Relationship Id="rId2678" Type="http://schemas.openxmlformats.org/officeDocument/2006/relationships/hyperlink" Target="https://www.linkedin.com/in/bernardosouzamadeira/" TargetMode="External"/><Relationship Id="rId1348" Type="http://schemas.openxmlformats.org/officeDocument/2006/relationships/hyperlink" Target="https://universidade.pipelovers.net/aulas/como-avaliar-um-headhunter-para-seu-time-de-vendas-1775491524100" TargetMode="External"/><Relationship Id="rId2679" Type="http://schemas.openxmlformats.org/officeDocument/2006/relationships/hyperlink" Target="https://universidade.pipelovers.net/m/lessons/account-based-marketing-o-que-muda-na-estrategia-de-marketing-e-vendas1769550061406?classId=3674" TargetMode="External"/><Relationship Id="rId11" Type="http://schemas.openxmlformats.org/officeDocument/2006/relationships/hyperlink" Target="https://www.linkedin.com/in/joaoambevilacqua/" TargetMode="External"/><Relationship Id="rId1349" Type="http://schemas.openxmlformats.org/officeDocument/2006/relationships/hyperlink" Target="https://universidade.pipelovers.net/m/lessons/como-conquistar-confianca-de-stakeholders1769552242776?classId=3102" TargetMode="External"/><Relationship Id="rId10" Type="http://schemas.openxmlformats.org/officeDocument/2006/relationships/hyperlink" Target="https://universidade.pipelovers.net/m/lessons/speedio-na-pratica1769551998117?classId=3311" TargetMode="External"/><Relationship Id="rId13" Type="http://schemas.openxmlformats.org/officeDocument/2006/relationships/hyperlink" Target="https://universidade.pipelovers.net/m/lessons/por-dentro-da-estrutura-de-sdrs-da-zendesk1769551998168?classId=3314" TargetMode="External"/><Relationship Id="rId12" Type="http://schemas.openxmlformats.org/officeDocument/2006/relationships/hyperlink" Target="https://universidade.pipelovers.net/m/lessons/por-dentro-da-estrutura-de-sdrs-da-zendesk1769551998168?classId=3314" TargetMode="External"/><Relationship Id="rId756" Type="http://schemas.openxmlformats.org/officeDocument/2006/relationships/hyperlink" Target="https://drive.google.com/file/d/1F3AHsDk_tq0HPgKboccDdb2RoQHO_dd6/view?usp=drive_link" TargetMode="External"/><Relationship Id="rId755" Type="http://schemas.openxmlformats.org/officeDocument/2006/relationships/hyperlink" Target="https://universidade.pipelovers.net/m/lessons/whatsapp-como-ferramenta-de-vendas-b2b1769552345360?classId=3619" TargetMode="External"/><Relationship Id="rId754" Type="http://schemas.openxmlformats.org/officeDocument/2006/relationships/hyperlink" Target="https://universidade.pipelovers.net/m/lessons/whatsapp-como-ferramenta-de-vendas-b2b1769552345360?classId=3619" TargetMode="External"/><Relationship Id="rId753" Type="http://schemas.openxmlformats.org/officeDocument/2006/relationships/hyperlink" Target="https://www.linkedin.com/in/malbio/" TargetMode="External"/><Relationship Id="rId759" Type="http://schemas.openxmlformats.org/officeDocument/2006/relationships/hyperlink" Target="https://universidade.pipelovers.net/m/lessons/os-principios-de-dale-carnegie1769552345425?classId=3620" TargetMode="External"/><Relationship Id="rId758" Type="http://schemas.openxmlformats.org/officeDocument/2006/relationships/hyperlink" Target="https://universidade.pipelovers.net/m/lessons/os-principios-de-dale-carnegie1769552345425?classId=3620" TargetMode="External"/><Relationship Id="rId757" Type="http://schemas.openxmlformats.org/officeDocument/2006/relationships/hyperlink" Target="https://www.linkedin.com/in/candidoandre/" TargetMode="External"/><Relationship Id="rId15" Type="http://schemas.openxmlformats.org/officeDocument/2006/relationships/hyperlink" Target="https://universidade.pipelovers.net/m/lessons/apolloio-na-pratica1769551998090?classId=3323" TargetMode="External"/><Relationship Id="rId14" Type="http://schemas.openxmlformats.org/officeDocument/2006/relationships/hyperlink" Target="https://www.linkedin.com/in/joaoluisoliverio/" TargetMode="External"/><Relationship Id="rId17" Type="http://schemas.openxmlformats.org/officeDocument/2006/relationships/hyperlink" Target="https://www.linkedin.com/in/theoorosco/" TargetMode="External"/><Relationship Id="rId2670" Type="http://schemas.openxmlformats.org/officeDocument/2006/relationships/hyperlink" Target="https://universidade.pipelovers.net/m/lessons/upsell-e-cross-sell-como-vender-apos-a-venda1769550061339?classId=3671" TargetMode="External"/><Relationship Id="rId16" Type="http://schemas.openxmlformats.org/officeDocument/2006/relationships/hyperlink" Target="https://universidade.pipelovers.net/m/lessons/apolloio-na-pratica1769551998090?classId=3323" TargetMode="External"/><Relationship Id="rId1340" Type="http://schemas.openxmlformats.org/officeDocument/2006/relationships/hyperlink" Target="https://www.linkedin.com/in/marcelomafra/" TargetMode="External"/><Relationship Id="rId2671" Type="http://schemas.openxmlformats.org/officeDocument/2006/relationships/hyperlink" Target="https://universidade.pipelovers.net/m/lessons/upsell-e-cross-sell-como-vender-apos-a-venda1769550061339?classId=3671" TargetMode="External"/><Relationship Id="rId19" Type="http://schemas.openxmlformats.org/officeDocument/2006/relationships/hyperlink" Target="https://universidade.pipelovers.net/aulas/os-segredos-dos-melhores-pre-vendedores-do-brasil-1775073349177" TargetMode="External"/><Relationship Id="rId752" Type="http://schemas.openxmlformats.org/officeDocument/2006/relationships/hyperlink" Target="https://drive.google.com/file/d/1Fc-ZDmK6McqogN_tTJJoUlKtRCWJRkc_/view?usp=drive_link" TargetMode="External"/><Relationship Id="rId1341" Type="http://schemas.openxmlformats.org/officeDocument/2006/relationships/hyperlink" Target="https://universidade.pipelovers.net/m/lessons/mapeamento-da-jornada-de-compra-do-cliente1769552242569?classId=3098" TargetMode="External"/><Relationship Id="rId2672" Type="http://schemas.openxmlformats.org/officeDocument/2006/relationships/hyperlink" Target="https://www.linkedin.com/in/julianodias/" TargetMode="External"/><Relationship Id="rId18" Type="http://schemas.openxmlformats.org/officeDocument/2006/relationships/hyperlink" Target="https://universidade.pipelovers.net/aulas/os-segredos-dos-melhores-pre-vendedores-do-brasil-1775073349177" TargetMode="External"/><Relationship Id="rId751" Type="http://schemas.openxmlformats.org/officeDocument/2006/relationships/hyperlink" Target="https://universidade.pipelovers.net/m/lessons/a-jornada-do-onboarding-a-promocao1769552345215?classId=3618" TargetMode="External"/><Relationship Id="rId1342" Type="http://schemas.openxmlformats.org/officeDocument/2006/relationships/hyperlink" Target="https://universidade.pipelovers.net/m/lessons/mapeamento-da-jornada-de-compra-do-cliente1769552242569?classId=3098" TargetMode="External"/><Relationship Id="rId2673" Type="http://schemas.openxmlformats.org/officeDocument/2006/relationships/hyperlink" Target="https://universidade.pipelovers.net/m/lessons/funil-de-outbound-na-pratica1769550061376?classId=3672" TargetMode="External"/><Relationship Id="rId750" Type="http://schemas.openxmlformats.org/officeDocument/2006/relationships/hyperlink" Target="https://universidade.pipelovers.net/m/lessons/a-jornada-do-onboarding-a-promocao1769552345215?classId=3618" TargetMode="External"/><Relationship Id="rId1343" Type="http://schemas.openxmlformats.org/officeDocument/2006/relationships/hyperlink" Target="https://universidade.pipelovers.net/m/lessons/planejamento-de-key-accounts1769552242658?classId=3103" TargetMode="External"/><Relationship Id="rId2674" Type="http://schemas.openxmlformats.org/officeDocument/2006/relationships/hyperlink" Target="https://universidade.pipelovers.net/m/lessons/funil-de-outbound-na-pratica1769550061376?classId=3672" TargetMode="External"/><Relationship Id="rId1344" Type="http://schemas.openxmlformats.org/officeDocument/2006/relationships/hyperlink" Target="https://universidade.pipelovers.net/m/lessons/planejamento-de-key-accounts1769552242658?classId=3103" TargetMode="External"/><Relationship Id="rId2675" Type="http://schemas.openxmlformats.org/officeDocument/2006/relationships/hyperlink" Target="https://www.linkedin.com/in/rafaelalexandre/" TargetMode="External"/><Relationship Id="rId84" Type="http://schemas.openxmlformats.org/officeDocument/2006/relationships/hyperlink" Target="https://universidade.pipelovers.net/m/lessons/estruturando-uma-operacao-de-pre-vendas1769552018768?classId=3387" TargetMode="External"/><Relationship Id="rId1774" Type="http://schemas.openxmlformats.org/officeDocument/2006/relationships/hyperlink" Target="https://www.linkedin.com/in/andrezacarias/" TargetMode="External"/><Relationship Id="rId2621" Type="http://schemas.openxmlformats.org/officeDocument/2006/relationships/hyperlink" Target="https://universidade.pipelovers.net/m/lessons/follow-up-na-pratica-o-que-falar-quando-e-por-que1769550060222?classId=3217" TargetMode="External"/><Relationship Id="rId83" Type="http://schemas.openxmlformats.org/officeDocument/2006/relationships/hyperlink" Target="https://universidade.pipelovers.net/m/lessons/opcoes-de-carreira-para-sdrs1769552018631?classId=3386" TargetMode="External"/><Relationship Id="rId1775" Type="http://schemas.openxmlformats.org/officeDocument/2006/relationships/hyperlink" Target="https://universidade.pipelovers.net/m/lessons/a-importancia-de-conectar-vendas-externas-com-revops-1774988845409?classId=3877" TargetMode="External"/><Relationship Id="rId2622" Type="http://schemas.openxmlformats.org/officeDocument/2006/relationships/hyperlink" Target="https://universidade.pipelovers.net/m/lessons/follow-up-na-pratica-o-que-falar-quando-e-por-que1769550060222?classId=3217" TargetMode="External"/><Relationship Id="rId86" Type="http://schemas.openxmlformats.org/officeDocument/2006/relationships/hyperlink" Target="https://www.linkedin.com/in/bonaroti/" TargetMode="External"/><Relationship Id="rId1776" Type="http://schemas.openxmlformats.org/officeDocument/2006/relationships/hyperlink" Target="https://universidade.pipelovers.net/m/lessons/a-importancia-de-conectar-vendas-externas-com-revops-1774988845409?classId=3877" TargetMode="External"/><Relationship Id="rId2623" Type="http://schemas.openxmlformats.org/officeDocument/2006/relationships/hyperlink" Target="https://www.linkedin.com/in/mauricio-vergani-8b7765/" TargetMode="External"/><Relationship Id="rId85" Type="http://schemas.openxmlformats.org/officeDocument/2006/relationships/hyperlink" Target="https://universidade.pipelovers.net/m/lessons/estruturando-uma-operacao-de-pre-vendas1769552018768?classId=3387" TargetMode="External"/><Relationship Id="rId1777" Type="http://schemas.openxmlformats.org/officeDocument/2006/relationships/hyperlink" Target="https://www.linkedin.com/in/pirinelli/" TargetMode="External"/><Relationship Id="rId2624" Type="http://schemas.openxmlformats.org/officeDocument/2006/relationships/hyperlink" Target="https://universidade.pipelovers.net/m/lessons/conferencia-gartner-2025-as-principais-tendencias-na-area-de-vendas1769550060615?classId=3218" TargetMode="External"/><Relationship Id="rId88" Type="http://schemas.openxmlformats.org/officeDocument/2006/relationships/hyperlink" Target="https://universidade.pipelovers.net/m/lessons/escuta-ativa1769552018798?classId=3388" TargetMode="External"/><Relationship Id="rId1778" Type="http://schemas.openxmlformats.org/officeDocument/2006/relationships/hyperlink" Target="https://universidade.pipelovers.net/m/lessons/como-revisar-e-melhorar-seu-processo-comercial-1773687658454?classId=3810" TargetMode="External"/><Relationship Id="rId2625" Type="http://schemas.openxmlformats.org/officeDocument/2006/relationships/hyperlink" Target="https://universidade.pipelovers.net/m/lessons/conferencia-gartner-2025-as-principais-tendencias-na-area-de-vendas1769550060615?classId=3218" TargetMode="External"/><Relationship Id="rId87" Type="http://schemas.openxmlformats.org/officeDocument/2006/relationships/hyperlink" Target="https://universidade.pipelovers.net/m/lessons/escuta-ativa1769552018798?classId=3388" TargetMode="External"/><Relationship Id="rId1779" Type="http://schemas.openxmlformats.org/officeDocument/2006/relationships/hyperlink" Target="https://universidade.pipelovers.net/m/lessons/como-revisar-e-melhorar-seu-processo-comercial-1773687658454?classId=3810" TargetMode="External"/><Relationship Id="rId2626" Type="http://schemas.openxmlformats.org/officeDocument/2006/relationships/hyperlink" Target="https://www.linkedin.com/in/pedro-paulo-iglesias/" TargetMode="External"/><Relationship Id="rId2627" Type="http://schemas.openxmlformats.org/officeDocument/2006/relationships/hyperlink" Target="https://universidade.pipelovers.net/m/lessons/arquitetura-de-uma-oferta-irrecusavel1769550060272?classId=3628" TargetMode="External"/><Relationship Id="rId89" Type="http://schemas.openxmlformats.org/officeDocument/2006/relationships/hyperlink" Target="https://universidade.pipelovers.net/m/lessons/planejamento-de-territorio-de-prospeccao1769552018953?classId=3389" TargetMode="External"/><Relationship Id="rId2628" Type="http://schemas.openxmlformats.org/officeDocument/2006/relationships/hyperlink" Target="https://universidade.pipelovers.net/m/lessons/arquitetura-de-uma-oferta-irrecusavel1769550060272?classId=3628" TargetMode="External"/><Relationship Id="rId709" Type="http://schemas.openxmlformats.org/officeDocument/2006/relationships/hyperlink" Target="https://www.linkedin.com/in/b%C3%A1rbara-ribeiro-martins-460aa764/" TargetMode="External"/><Relationship Id="rId2629" Type="http://schemas.openxmlformats.org/officeDocument/2006/relationships/hyperlink" Target="https://www.linkedin.com/in/romucasp/" TargetMode="External"/><Relationship Id="rId708" Type="http://schemas.openxmlformats.org/officeDocument/2006/relationships/hyperlink" Target="https://drive.google.com/file/d/1JBWXIbQzovQVCt7EDJ16glJi4ENfC8jv/view?usp=drive_link" TargetMode="External"/><Relationship Id="rId707" Type="http://schemas.openxmlformats.org/officeDocument/2006/relationships/hyperlink" Target="https://universidade.pipelovers.net/m/lessons/administrando-a-rejeicao-em-vendas1769552344637?classId=3608" TargetMode="External"/><Relationship Id="rId706" Type="http://schemas.openxmlformats.org/officeDocument/2006/relationships/hyperlink" Target="https://universidade.pipelovers.net/m/lessons/administrando-a-rejeicao-em-vendas1769552344637?classId=3608" TargetMode="External"/><Relationship Id="rId80" Type="http://schemas.openxmlformats.org/officeDocument/2006/relationships/hyperlink" Target="https://universidade.pipelovers.net/m/lessons/resiliencia-na-area-de-vendas1769552018214?classId=3385" TargetMode="External"/><Relationship Id="rId82" Type="http://schemas.openxmlformats.org/officeDocument/2006/relationships/hyperlink" Target="https://universidade.pipelovers.net/m/lessons/opcoes-de-carreira-para-sdrs1769552018631?classId=3386" TargetMode="External"/><Relationship Id="rId81" Type="http://schemas.openxmlformats.org/officeDocument/2006/relationships/hyperlink" Target="https://www.linkedin.com/in/rodrigomaranha/" TargetMode="External"/><Relationship Id="rId701" Type="http://schemas.openxmlformats.org/officeDocument/2006/relationships/hyperlink" Target="https://www.linkedin.com/in/edney-quaresma-7a327564/" TargetMode="External"/><Relationship Id="rId700" Type="http://schemas.openxmlformats.org/officeDocument/2006/relationships/hyperlink" Target="https://drive.google.com/file/d/1xXLQ-m2IYwLrxSp14ac0COFriiFiKf2G/view?usp=drive_link" TargetMode="External"/><Relationship Id="rId705" Type="http://schemas.openxmlformats.org/officeDocument/2006/relationships/hyperlink" Target="https://www.linkedin.com/in/renatolamardo/" TargetMode="External"/><Relationship Id="rId704" Type="http://schemas.openxmlformats.org/officeDocument/2006/relationships/hyperlink" Target="https://drive.google.com/file/d/1rTzVntgxDJmwBNtHBZPdN6VRyckKo9IJ/view?usp=drive_link" TargetMode="External"/><Relationship Id="rId703" Type="http://schemas.openxmlformats.org/officeDocument/2006/relationships/hyperlink" Target="https://universidade.pipelovers.net/aulas/tecnicas-de-negociacao-1775076476292" TargetMode="External"/><Relationship Id="rId702" Type="http://schemas.openxmlformats.org/officeDocument/2006/relationships/hyperlink" Target="https://universidade.pipelovers.net/aulas/tecnicas-de-negociacao-1775076476292" TargetMode="External"/><Relationship Id="rId1770" Type="http://schemas.openxmlformats.org/officeDocument/2006/relationships/hyperlink" Target="https://universidade.pipelovers.net/m/lessons/como-usar-autoconhecimento-para-ajustar-seu-estilo-de-gestao-1773686456054?classId=3808" TargetMode="External"/><Relationship Id="rId1771" Type="http://schemas.openxmlformats.org/officeDocument/2006/relationships/hyperlink" Target="https://www.linkedin.com/in/kelmerteixeira/" TargetMode="External"/><Relationship Id="rId1772" Type="http://schemas.openxmlformats.org/officeDocument/2006/relationships/hyperlink" Target="https://universidade.pipelovers.net/m/lessons/vendas-enterprise-e-abm-como-identificar-contas-estrategicas-e-escalar-receita-1773687243812?classId=3809" TargetMode="External"/><Relationship Id="rId1773" Type="http://schemas.openxmlformats.org/officeDocument/2006/relationships/hyperlink" Target="https://universidade.pipelovers.net/m/lessons/vendas-enterprise-e-abm-como-identificar-contas-estrategicas-e-escalar-receita-1773687243812?classId=3809" TargetMode="External"/><Relationship Id="rId2620" Type="http://schemas.openxmlformats.org/officeDocument/2006/relationships/hyperlink" Target="https://www.linkedin.com/in/carloshacampos/" TargetMode="External"/><Relationship Id="rId73" Type="http://schemas.openxmlformats.org/officeDocument/2006/relationships/hyperlink" Target="https://universidade.pipelovers.net/m/lessons/construindo-um-pdi-como-pre-vendedor1769552018835?classId=3379" TargetMode="External"/><Relationship Id="rId1763" Type="http://schemas.openxmlformats.org/officeDocument/2006/relationships/hyperlink" Target="https://universidade.pipelovers.net/m/lessons/lideranca-do-futuro-menos-controle-mais-autonomia-e-resultado-1773685130767?classId=3805" TargetMode="External"/><Relationship Id="rId2610" Type="http://schemas.openxmlformats.org/officeDocument/2006/relationships/hyperlink" Target="https://universidade.pipelovers.net/m/lessons/como-fazer-vendas-para-grandes-contas1769550060331?classId=3199" TargetMode="External"/><Relationship Id="rId72" Type="http://schemas.openxmlformats.org/officeDocument/2006/relationships/hyperlink" Target="https://www.linkedin.com/in/juliaennes/" TargetMode="External"/><Relationship Id="rId1764" Type="http://schemas.openxmlformats.org/officeDocument/2006/relationships/hyperlink" Target="http://socialprompts.ai" TargetMode="External"/><Relationship Id="rId2611" Type="http://schemas.openxmlformats.org/officeDocument/2006/relationships/hyperlink" Target="https://www.linkedin.com/in/nicolas-frajhof/" TargetMode="External"/><Relationship Id="rId75" Type="http://schemas.openxmlformats.org/officeDocument/2006/relationships/hyperlink" Target="https://www.linkedin.com/in/matheusqcosta/" TargetMode="External"/><Relationship Id="rId1765" Type="http://schemas.openxmlformats.org/officeDocument/2006/relationships/hyperlink" Target="https://www.linkedin.com/in/rodrigopinto100/" TargetMode="External"/><Relationship Id="rId2612" Type="http://schemas.openxmlformats.org/officeDocument/2006/relationships/hyperlink" Target="https://universidade.pipelovers.net/m/lessons/saude-financeira-pra-quem-vive-de-meta1769550060585?classId=3213" TargetMode="External"/><Relationship Id="rId74" Type="http://schemas.openxmlformats.org/officeDocument/2006/relationships/hyperlink" Target="https://universidade.pipelovers.net/m/lessons/construindo-um-pdi-como-pre-vendedor1769552018835?classId=3379" TargetMode="External"/><Relationship Id="rId1766" Type="http://schemas.openxmlformats.org/officeDocument/2006/relationships/hyperlink" Target="https://universidade.pipelovers.net/m/lessons/usando-ia-para-nao-ser-gargalo-na-operacao-comercial-1773338964304?classId=3799" TargetMode="External"/><Relationship Id="rId2613" Type="http://schemas.openxmlformats.org/officeDocument/2006/relationships/hyperlink" Target="https://universidade.pipelovers.net/m/lessons/saude-financeira-pra-quem-vive-de-meta1769550060585?classId=3213" TargetMode="External"/><Relationship Id="rId77" Type="http://schemas.openxmlformats.org/officeDocument/2006/relationships/hyperlink" Target="https://universidade.pipelovers.net/m/lessons/fluxos-de-cadencia-de-prospeccao1769552018874?classId=3380" TargetMode="External"/><Relationship Id="rId1767" Type="http://schemas.openxmlformats.org/officeDocument/2006/relationships/hyperlink" Target="https://universidade.pipelovers.net/m/lessons/usando-ia-para-nao-ser-gargalo-na-operacao-comercial-1773338964304?classId=3799" TargetMode="External"/><Relationship Id="rId2614" Type="http://schemas.openxmlformats.org/officeDocument/2006/relationships/hyperlink" Target="https://www.linkedin.com/in/jo%C3%A3o-filgueiras/" TargetMode="External"/><Relationship Id="rId76" Type="http://schemas.openxmlformats.org/officeDocument/2006/relationships/hyperlink" Target="https://universidade.pipelovers.net/m/lessons/fluxos-de-cadencia-de-prospeccao1769552018874?classId=3380" TargetMode="External"/><Relationship Id="rId1768" Type="http://schemas.openxmlformats.org/officeDocument/2006/relationships/hyperlink" Target="https://www.linkedin.com/in/milena-brentan/" TargetMode="External"/><Relationship Id="rId2615" Type="http://schemas.openxmlformats.org/officeDocument/2006/relationships/hyperlink" Target="https://universidade.pipelovers.net/m/lessons/geracao-de-demanda-de-leads-potencializada-com-ia1769550060086?classId=3215" TargetMode="External"/><Relationship Id="rId79" Type="http://schemas.openxmlformats.org/officeDocument/2006/relationships/hyperlink" Target="https://universidade.pipelovers.net/m/lessons/resiliencia-na-area-de-vendas1769552018214?classId=3385" TargetMode="External"/><Relationship Id="rId1769" Type="http://schemas.openxmlformats.org/officeDocument/2006/relationships/hyperlink" Target="https://universidade.pipelovers.net/m/lessons/como-usar-autoconhecimento-para-ajustar-seu-estilo-de-gestao-1773686456054?classId=3808" TargetMode="External"/><Relationship Id="rId2616" Type="http://schemas.openxmlformats.org/officeDocument/2006/relationships/hyperlink" Target="https://universidade.pipelovers.net/m/lessons/geracao-de-demanda-de-leads-potencializada-com-ia1769550060086?classId=3215" TargetMode="External"/><Relationship Id="rId78" Type="http://schemas.openxmlformats.org/officeDocument/2006/relationships/hyperlink" Target="https://www.linkedin.com/in/giovanna-prosa" TargetMode="External"/><Relationship Id="rId2617" Type="http://schemas.openxmlformats.org/officeDocument/2006/relationships/hyperlink" Target="https://www.linkedin.com/in/tiagoribeiro1/" TargetMode="External"/><Relationship Id="rId2618" Type="http://schemas.openxmlformats.org/officeDocument/2006/relationships/hyperlink" Target="https://universidade.pipelovers.net/m/lessons/manual-de-persuasao-do-fbi-aplicado-a-venda-consultiva1769550060182?classId=3216" TargetMode="External"/><Relationship Id="rId2619" Type="http://schemas.openxmlformats.org/officeDocument/2006/relationships/hyperlink" Target="https://universidade.pipelovers.net/m/lessons/manual-de-persuasao-do-fbi-aplicado-a-venda-consultiva1769550060182?classId=3216" TargetMode="External"/><Relationship Id="rId71" Type="http://schemas.openxmlformats.org/officeDocument/2006/relationships/hyperlink" Target="https://universidade.pipelovers.net/m/lessons/case-de-vendas-gupy1769552006171?classId=3378" TargetMode="External"/><Relationship Id="rId70" Type="http://schemas.openxmlformats.org/officeDocument/2006/relationships/hyperlink" Target="https://universidade.pipelovers.net/m/lessons/case-de-vendas-gupy1769552006171?classId=3378" TargetMode="External"/><Relationship Id="rId1760" Type="http://schemas.openxmlformats.org/officeDocument/2006/relationships/hyperlink" Target="https://universidade.pipelovers.net/m/lessons/decisoes-comerciais-baseadas-no-ciclo-de-vida-do-produto-1771879842617?classId=3814" TargetMode="External"/><Relationship Id="rId1761" Type="http://schemas.openxmlformats.org/officeDocument/2006/relationships/hyperlink" Target="https://www.linkedin.com/in/brgoncalves/" TargetMode="External"/><Relationship Id="rId1762" Type="http://schemas.openxmlformats.org/officeDocument/2006/relationships/hyperlink" Target="https://universidade.pipelovers.net/m/lessons/lideranca-do-futuro-menos-controle-mais-autonomia-e-resultado-1773685130767?classId=3805" TargetMode="External"/><Relationship Id="rId62" Type="http://schemas.openxmlformats.org/officeDocument/2006/relationships/hyperlink" Target="https://universidade.pipelovers.net/m/lessons/modelo-gpct1769552006045?classId=3370" TargetMode="External"/><Relationship Id="rId1312" Type="http://schemas.openxmlformats.org/officeDocument/2006/relationships/hyperlink" Target="https://www.linkedin.com/in/fabio-moreira-0141b121/" TargetMode="External"/><Relationship Id="rId1796" Type="http://schemas.openxmlformats.org/officeDocument/2006/relationships/hyperlink" Target="https://www.linkedin.com/in/rodrigoformento/" TargetMode="External"/><Relationship Id="rId2643" Type="http://schemas.openxmlformats.org/officeDocument/2006/relationships/hyperlink" Target="https://universidade.pipelovers.net/m/lessons/como-construir-business-cases-em-vendas-complexas1769550060829?classId=3662" TargetMode="External"/><Relationship Id="rId61" Type="http://schemas.openxmlformats.org/officeDocument/2006/relationships/hyperlink" Target="https://universidade.pipelovers.net/m/lessons/modelo-gpct1769552006045?classId=3370" TargetMode="External"/><Relationship Id="rId1313" Type="http://schemas.openxmlformats.org/officeDocument/2006/relationships/hyperlink" Target="https://universidade.pipelovers.net/m/lessons/comunicacao-conciliadora-para-conversas-dificeis1769552227312?classId=3087" TargetMode="External"/><Relationship Id="rId1797" Type="http://schemas.openxmlformats.org/officeDocument/2006/relationships/hyperlink" Target="https://universidade.pipelovers.net/m/lessons/organizacao-de-rotina-e-agenda-para-lideres-de-vendas-1775679204466?moduleId=1335&amp;classId=3917" TargetMode="External"/><Relationship Id="rId2644" Type="http://schemas.openxmlformats.org/officeDocument/2006/relationships/hyperlink" Target="https://www.linkedin.com/in/gabriel-civinski/" TargetMode="External"/><Relationship Id="rId64" Type="http://schemas.openxmlformats.org/officeDocument/2006/relationships/hyperlink" Target="https://universidade.pipelovers.net/m/lessons/aumento-de-produtividade-com-ferramentas-de-sales-engagement1769552006095?classId=3371" TargetMode="External"/><Relationship Id="rId1314" Type="http://schemas.openxmlformats.org/officeDocument/2006/relationships/hyperlink" Target="https://universidade.pipelovers.net/m/lessons/comunicacao-conciliadora-para-conversas-dificeis1769552227312?classId=3087" TargetMode="External"/><Relationship Id="rId1798" Type="http://schemas.openxmlformats.org/officeDocument/2006/relationships/hyperlink" Target="https://universidade.pipelovers.net/m/lessons/organizacao-de-rotina-e-agenda-para-lideres-de-vendas-1775679204466?moduleId=1335&amp;classId=3917" TargetMode="External"/><Relationship Id="rId2645" Type="http://schemas.openxmlformats.org/officeDocument/2006/relationships/hyperlink" Target="https://universidade.pipelovers.net/m/lessons/o-que-sao-battlecards-e-como-eles-ajudam-voce-a-vencer-a-concorrencia1769550060940?classId=3663" TargetMode="External"/><Relationship Id="rId63" Type="http://schemas.openxmlformats.org/officeDocument/2006/relationships/hyperlink" Target="https://www.linkedin.com/in/s%C3%A9rgio-albuquerque-68985b14a/" TargetMode="External"/><Relationship Id="rId1315" Type="http://schemas.openxmlformats.org/officeDocument/2006/relationships/hyperlink" Target="https://universidade.pipelovers.net/m/lessons/erros-de-calculo-de-comissao-impactos-e-alternativas1769552227361?classId=3088" TargetMode="External"/><Relationship Id="rId1799" Type="http://schemas.openxmlformats.org/officeDocument/2006/relationships/hyperlink" Target="https://www.linkedin.com/in/eduardofaccio/" TargetMode="External"/><Relationship Id="rId2646" Type="http://schemas.openxmlformats.org/officeDocument/2006/relationships/hyperlink" Target="https://universidade.pipelovers.net/m/lessons/o-que-sao-battlecards-e-como-eles-ajudam-voce-a-vencer-a-concorrencia1769550060940?classId=3663" TargetMode="External"/><Relationship Id="rId66" Type="http://schemas.openxmlformats.org/officeDocument/2006/relationships/hyperlink" Target="https://www.linkedin.com/in/marina-p-mello/" TargetMode="External"/><Relationship Id="rId1316" Type="http://schemas.openxmlformats.org/officeDocument/2006/relationships/hyperlink" Target="https://universidade.pipelovers.net/m/lessons/erros-de-calculo-de-comissao-impactos-e-alternativas1769552227361?classId=3088" TargetMode="External"/><Relationship Id="rId2647" Type="http://schemas.openxmlformats.org/officeDocument/2006/relationships/hyperlink" Target="https://www.linkedin.com/in/ricardookino/" TargetMode="External"/><Relationship Id="rId65" Type="http://schemas.openxmlformats.org/officeDocument/2006/relationships/hyperlink" Target="https://universidade.pipelovers.net/m/lessons/aumento-de-produtividade-com-ferramentas-de-sales-engagement1769552006095?classId=3371" TargetMode="External"/><Relationship Id="rId1317" Type="http://schemas.openxmlformats.org/officeDocument/2006/relationships/hyperlink" Target="https://universidade.pipelovers.net/m/lessons/os-desafios-de-um-country-manager-em-novos-mercados1769552231015?classId=3067" TargetMode="External"/><Relationship Id="rId2648" Type="http://schemas.openxmlformats.org/officeDocument/2006/relationships/hyperlink" Target="https://universidade.pipelovers.net/m/lessons/estrategias-de-venda-para-base1769550060793?classId=3664" TargetMode="External"/><Relationship Id="rId68" Type="http://schemas.openxmlformats.org/officeDocument/2006/relationships/hyperlink" Target="https://universidade.pipelovers.net/m/lessons/case-g4-educacao1769552006142?classId=3372" TargetMode="External"/><Relationship Id="rId1318" Type="http://schemas.openxmlformats.org/officeDocument/2006/relationships/hyperlink" Target="https://universidade.pipelovers.net/m/lessons/os-desafios-de-um-country-manager-em-novos-mercados1769552231015?classId=3067" TargetMode="External"/><Relationship Id="rId2649" Type="http://schemas.openxmlformats.org/officeDocument/2006/relationships/hyperlink" Target="https://universidade.pipelovers.net/m/lessons/estrategias-de-venda-para-base1769550060793?classId=3664" TargetMode="External"/><Relationship Id="rId67" Type="http://schemas.openxmlformats.org/officeDocument/2006/relationships/hyperlink" Target="https://universidade.pipelovers.net/m/lessons/case-g4-educacao1769552006142?classId=3372" TargetMode="External"/><Relationship Id="rId1319" Type="http://schemas.openxmlformats.org/officeDocument/2006/relationships/hyperlink" Target="https://www.linkedin.com/in/marcio-pereira-5327939/" TargetMode="External"/><Relationship Id="rId729" Type="http://schemas.openxmlformats.org/officeDocument/2006/relationships/hyperlink" Target="https://www.linkedin.com/in/caroline-andreola/" TargetMode="External"/><Relationship Id="rId728" Type="http://schemas.openxmlformats.org/officeDocument/2006/relationships/hyperlink" Target="https://drive.google.com/file/d/1n8RRekHtI4suDuAKjCUyADxhcSHqKtrA/view?usp=drive_link" TargetMode="External"/><Relationship Id="rId60" Type="http://schemas.openxmlformats.org/officeDocument/2006/relationships/hyperlink" Target="https://www.linkedin.com/in/gabrielbaeta/" TargetMode="External"/><Relationship Id="rId723" Type="http://schemas.openxmlformats.org/officeDocument/2006/relationships/hyperlink" Target="https://universidade.pipelovers.net/m/lessons/account-based-marketing-o-papel-do-vendedor-nessa-estrategia1769552344814?classId=3611" TargetMode="External"/><Relationship Id="rId722" Type="http://schemas.openxmlformats.org/officeDocument/2006/relationships/hyperlink" Target="https://universidade.pipelovers.net/m/lessons/account-based-marketing-o-papel-do-vendedor-nessa-estrategia1769552344814?classId=3611" TargetMode="External"/><Relationship Id="rId721" Type="http://schemas.openxmlformats.org/officeDocument/2006/relationships/hyperlink" Target="https://www.linkedin.com/in/fspina/" TargetMode="External"/><Relationship Id="rId720" Type="http://schemas.openxmlformats.org/officeDocument/2006/relationships/hyperlink" Target="https://drive.google.com/file/d/1cmYTjs_gFn_EsCAVeRaEXqMiYrv91Wmp/view?usp=drive_link" TargetMode="External"/><Relationship Id="rId727" Type="http://schemas.openxmlformats.org/officeDocument/2006/relationships/hyperlink" Target="https://universidade.pipelovers.net/m/lessons/entendendo-as-raizes-das-objecoes1769552344891?classId=3612" TargetMode="External"/><Relationship Id="rId726" Type="http://schemas.openxmlformats.org/officeDocument/2006/relationships/hyperlink" Target="https://universidade.pipelovers.net/m/lessons/entendendo-as-raizes-das-objecoes1769552344891?classId=3612" TargetMode="External"/><Relationship Id="rId725" Type="http://schemas.openxmlformats.org/officeDocument/2006/relationships/hyperlink" Target="https://www.linkedin.com/in/marinarlemos/" TargetMode="External"/><Relationship Id="rId724" Type="http://schemas.openxmlformats.org/officeDocument/2006/relationships/hyperlink" Target="https://drive.google.com/file/d/1SuLkDAXT_t0wbdyULxNodXlzUZQ9IrD6/view?usp=drive_link" TargetMode="External"/><Relationship Id="rId69" Type="http://schemas.openxmlformats.org/officeDocument/2006/relationships/hyperlink" Target="https://www.linkedin.com/in/iezadeoliveira/" TargetMode="External"/><Relationship Id="rId1790" Type="http://schemas.openxmlformats.org/officeDocument/2006/relationships/hyperlink" Target="https://www.linkedin.com/in/leandrohirose" TargetMode="External"/><Relationship Id="rId1791" Type="http://schemas.openxmlformats.org/officeDocument/2006/relationships/hyperlink" Target="https://universidade.pipelovers.net/m/lessons/estrutura-de-uma-operacao-de-aquisicao-de-novos-clientes-1779132718608?moduleId=1420&amp;classId=4006" TargetMode="External"/><Relationship Id="rId1792" Type="http://schemas.openxmlformats.org/officeDocument/2006/relationships/hyperlink" Target="https://universidade.pipelovers.net/m/lessons/estrutura-de-uma-operacao-de-aquisicao-de-novos-clientes-1779132718608?moduleId=1420&amp;classId=4006" TargetMode="External"/><Relationship Id="rId1793" Type="http://schemas.openxmlformats.org/officeDocument/2006/relationships/hyperlink" Target="https://www.linkedin.com/in/andrezacarias/" TargetMode="External"/><Relationship Id="rId2640" Type="http://schemas.openxmlformats.org/officeDocument/2006/relationships/hyperlink" Target="https://universidade.pipelovers.net/m/lessons/prospeccao-analitica-estrategias-para-aumentar-a-conversao1769550060910?classId=3646" TargetMode="External"/><Relationship Id="rId1310" Type="http://schemas.openxmlformats.org/officeDocument/2006/relationships/hyperlink" Target="https://universidade.pipelovers.net/m/lessons/mapeando-os-gargalos-nos-processos-e-sistemas-internos1769552227282?classId=3086" TargetMode="External"/><Relationship Id="rId1794" Type="http://schemas.openxmlformats.org/officeDocument/2006/relationships/hyperlink" Target="https://universidade.pipelovers.net/m/lessons/5-praticas-para-alavancar-vendas-externas-1780516324791?moduleId=1432&amp;classId=4020" TargetMode="External"/><Relationship Id="rId2641" Type="http://schemas.openxmlformats.org/officeDocument/2006/relationships/hyperlink" Target="https://www.linkedin.com/in/chriscornehl/" TargetMode="External"/><Relationship Id="rId1311" Type="http://schemas.openxmlformats.org/officeDocument/2006/relationships/hyperlink" Target="https://universidade.pipelovers.net/m/lessons/mapeando-os-gargalos-nos-processos-e-sistemas-internos1769552227282?classId=3086" TargetMode="External"/><Relationship Id="rId1795" Type="http://schemas.openxmlformats.org/officeDocument/2006/relationships/hyperlink" Target="https://universidade.pipelovers.net/m/lessons/5-praticas-para-alavancar-vendas-externas-1780516324791?moduleId=1432&amp;classId=4020" TargetMode="External"/><Relationship Id="rId2642" Type="http://schemas.openxmlformats.org/officeDocument/2006/relationships/hyperlink" Target="https://universidade.pipelovers.net/m/lessons/como-construir-business-cases-em-vendas-complexas1769550060829?classId=3662" TargetMode="External"/><Relationship Id="rId51" Type="http://schemas.openxmlformats.org/officeDocument/2006/relationships/hyperlink" Target="https://www.linkedin.com/in/bianca-junqueira/" TargetMode="External"/><Relationship Id="rId1301" Type="http://schemas.openxmlformats.org/officeDocument/2006/relationships/hyperlink" Target="https://universidade.pipelovers.net/m/lessons/inteligencia-artificial-aplicada-a-planejamento-comercial1769552226867?classId=3461" TargetMode="External"/><Relationship Id="rId1785" Type="http://schemas.openxmlformats.org/officeDocument/2006/relationships/hyperlink" Target="https://www.linkedin.com/in/carloseduardomerlin/" TargetMode="External"/><Relationship Id="rId2632" Type="http://schemas.openxmlformats.org/officeDocument/2006/relationships/hyperlink" Target="https://www.linkedin.com/in/igorbatista/" TargetMode="External"/><Relationship Id="rId50" Type="http://schemas.openxmlformats.org/officeDocument/2006/relationships/hyperlink" Target="https://universidade.pipelovers.net/m/lessons/carreira-e-mulheres-em-vendas1769552003169?classId=3363" TargetMode="External"/><Relationship Id="rId1302" Type="http://schemas.openxmlformats.org/officeDocument/2006/relationships/hyperlink" Target="https://universidade.pipelovers.net/m/lessons/inteligencia-artificial-aplicada-a-planejamento-comercial1769552226867?classId=3461" TargetMode="External"/><Relationship Id="rId1786" Type="http://schemas.openxmlformats.org/officeDocument/2006/relationships/hyperlink" Target="https://universidade.pipelovers.net/m/lessons/como-tomar-decisoes-dificeis-na-lideranca-comercial-1775044173022?classId=3879" TargetMode="External"/><Relationship Id="rId2633" Type="http://schemas.openxmlformats.org/officeDocument/2006/relationships/hyperlink" Target="https://universidade.pipelovers.net/m/lessons/o-que-o-livro-negocio-fechado-pode-te-ensinar-sobre-negociacao1769550060655?classId=3642" TargetMode="External"/><Relationship Id="rId53" Type="http://schemas.openxmlformats.org/officeDocument/2006/relationships/hyperlink" Target="https://universidade.pipelovers.net/m/lessons/spin-selling-na-prospeccao1769552005937?classId=3364" TargetMode="External"/><Relationship Id="rId1303" Type="http://schemas.openxmlformats.org/officeDocument/2006/relationships/hyperlink" Target="https://universidade.pipelovers.net/aulas/melhores-praticas-de-rampagem-de-vendedores-1775159616248" TargetMode="External"/><Relationship Id="rId1787" Type="http://schemas.openxmlformats.org/officeDocument/2006/relationships/hyperlink" Target="https://universidade.pipelovers.net/m/lessons/como-tomar-decisoes-dificeis-na-lideranca-comercial-1775044173022?classId=3879" TargetMode="External"/><Relationship Id="rId2634" Type="http://schemas.openxmlformats.org/officeDocument/2006/relationships/hyperlink" Target="https://universidade.pipelovers.net/m/lessons/o-que-o-livro-negocio-fechado-pode-te-ensinar-sobre-negociacao1769550060655?classId=3642" TargetMode="External"/><Relationship Id="rId52" Type="http://schemas.openxmlformats.org/officeDocument/2006/relationships/hyperlink" Target="https://universidade.pipelovers.net/m/lessons/spin-selling-na-prospeccao1769552005937?classId=3364" TargetMode="External"/><Relationship Id="rId1304" Type="http://schemas.openxmlformats.org/officeDocument/2006/relationships/hyperlink" Target="https://universidade.pipelovers.net/aulas/melhores-praticas-de-rampagem-de-vendedores-1775159616248" TargetMode="External"/><Relationship Id="rId1788" Type="http://schemas.openxmlformats.org/officeDocument/2006/relationships/hyperlink" Target="https://universidade.pipelovers.net/m/lessons/atuacao-com-segmentos-especificos-como-personalizar-abordagens-e-estrutura-1778682804297?classId=4001" TargetMode="External"/><Relationship Id="rId2635" Type="http://schemas.openxmlformats.org/officeDocument/2006/relationships/hyperlink" Target="https://www.linkedin.com/in/wevsoares/" TargetMode="External"/><Relationship Id="rId55" Type="http://schemas.openxmlformats.org/officeDocument/2006/relationships/hyperlink" Target="https://universidade.pipelovers.net/m/lessons/tecnicas-de-pnl-e-gatilhos-mentais1769552005987?classId=3365" TargetMode="External"/><Relationship Id="rId1305" Type="http://schemas.openxmlformats.org/officeDocument/2006/relationships/hyperlink" Target="https://universidade.pipelovers.net/m/lessons/storytelling-em-paineis-de-gestao-para-vendedores1769552227163?classId=3459" TargetMode="External"/><Relationship Id="rId1789" Type="http://schemas.openxmlformats.org/officeDocument/2006/relationships/hyperlink" Target="https://universidade.pipelovers.net/m/lessons/atuacao-com-segmentos-especificos-como-personalizar-abordagens-e-estrutura-1778682804297?classId=4001" TargetMode="External"/><Relationship Id="rId2636" Type="http://schemas.openxmlformats.org/officeDocument/2006/relationships/hyperlink" Target="https://universidade.pipelovers.net/m/lessons/leads-nao-pagam-boletos-o-que-falta-na-ponte-entre-marketing-e-vendas1769550060715?classId=3644" TargetMode="External"/><Relationship Id="rId54" Type="http://schemas.openxmlformats.org/officeDocument/2006/relationships/hyperlink" Target="https://www.linkedin.com/in/juliocesarramone/" TargetMode="External"/><Relationship Id="rId1306" Type="http://schemas.openxmlformats.org/officeDocument/2006/relationships/hyperlink" Target="https://universidade.pipelovers.net/m/lessons/storytelling-em-paineis-de-gestao-para-vendedores1769552227163?classId=3459" TargetMode="External"/><Relationship Id="rId2637" Type="http://schemas.openxmlformats.org/officeDocument/2006/relationships/hyperlink" Target="https://universidade.pipelovers.net/m/lessons/leads-nao-pagam-boletos-o-que-falta-na-ponte-entre-marketing-e-vendas1769550060715?classId=3644" TargetMode="External"/><Relationship Id="rId57" Type="http://schemas.openxmlformats.org/officeDocument/2006/relationships/hyperlink" Target="https://www.linkedin.com/in/marcelosalesops/" TargetMode="External"/><Relationship Id="rId1307" Type="http://schemas.openxmlformats.org/officeDocument/2006/relationships/hyperlink" Target="https://universidade.pipelovers.net/m/lessons/processos-e-qualidade-de-bases-de-dados-para-planejamento-comercial1769552227223?classId=3085" TargetMode="External"/><Relationship Id="rId2638" Type="http://schemas.openxmlformats.org/officeDocument/2006/relationships/hyperlink" Target="https://www.linkedin.com/in/flaviomaciel/" TargetMode="External"/><Relationship Id="rId56" Type="http://schemas.openxmlformats.org/officeDocument/2006/relationships/hyperlink" Target="https://universidade.pipelovers.net/m/lessons/tecnicas-de-pnl-e-gatilhos-mentais1769552005987?moduleId=776&amp;classId=3365" TargetMode="External"/><Relationship Id="rId1308" Type="http://schemas.openxmlformats.org/officeDocument/2006/relationships/hyperlink" Target="https://universidade.pipelovers.net/m/lessons/processos-e-qualidade-de-bases-de-dados-para-planejamento-comercial1769552227223?classId=3085" TargetMode="External"/><Relationship Id="rId2639" Type="http://schemas.openxmlformats.org/officeDocument/2006/relationships/hyperlink" Target="https://universidade.pipelovers.net/m/lessons/prospeccao-analitica-estrategias-para-aumentar-a-conversao1769550060910?classId=3646" TargetMode="External"/><Relationship Id="rId1309" Type="http://schemas.openxmlformats.org/officeDocument/2006/relationships/hyperlink" Target="http://runrun.it" TargetMode="External"/><Relationship Id="rId719" Type="http://schemas.openxmlformats.org/officeDocument/2006/relationships/hyperlink" Target="https://universidade.pipelovers.net/m/lessons/vendendo-para-cliente-bilionarios1769552344699?classId=3610" TargetMode="External"/><Relationship Id="rId718" Type="http://schemas.openxmlformats.org/officeDocument/2006/relationships/hyperlink" Target="https://universidade.pipelovers.net/m/lessons/vendendo-para-cliente-bilionarios1769552344699?classId=3610" TargetMode="External"/><Relationship Id="rId717" Type="http://schemas.openxmlformats.org/officeDocument/2006/relationships/hyperlink" Target="https://www.linkedin.com/in/daniel-prado-3815b93b/" TargetMode="External"/><Relationship Id="rId712" Type="http://schemas.openxmlformats.org/officeDocument/2006/relationships/hyperlink" Target="https://drive.google.com/file/d/1G0Ithdnd1KqxW3NgqSzOScjb60S3U0Kw/view?usp=drive_link" TargetMode="External"/><Relationship Id="rId711" Type="http://schemas.openxmlformats.org/officeDocument/2006/relationships/hyperlink" Target="https://universidade.pipelovers.net/m/lessons/aprendendo-com-oportunidades-perdidas1769552344431?classId=2775" TargetMode="External"/><Relationship Id="rId710" Type="http://schemas.openxmlformats.org/officeDocument/2006/relationships/hyperlink" Target="https://universidade.pipelovers.net/m/lessons/aprendendo-com-oportunidades-perdidas1769552344431?classId=2775" TargetMode="External"/><Relationship Id="rId716" Type="http://schemas.openxmlformats.org/officeDocument/2006/relationships/hyperlink" Target="https://drive.google.com/file/d/1Ytv1PpZFEX8k4L2f92IYcFp4Vg18JUrI/view?usp=drive_link" TargetMode="External"/><Relationship Id="rId715" Type="http://schemas.openxmlformats.org/officeDocument/2006/relationships/hyperlink" Target="https://universidade.pipelovers.net/m/lessons/feiras-e-eventos-hacks-para-valer-a-pena-para-o-vendedor1769552344753?classId=3609" TargetMode="External"/><Relationship Id="rId714" Type="http://schemas.openxmlformats.org/officeDocument/2006/relationships/hyperlink" Target="https://universidade.pipelovers.net/m/lessons/feiras-e-eventos-hacks-para-valer-a-pena-para-o-vendedor1769552344753?classId=3609" TargetMode="External"/><Relationship Id="rId713" Type="http://schemas.openxmlformats.org/officeDocument/2006/relationships/hyperlink" Target="https://www.linkedin.com/in/marcelosinhorini/" TargetMode="External"/><Relationship Id="rId59" Type="http://schemas.openxmlformats.org/officeDocument/2006/relationships/hyperlink" Target="https://universidade.pipelovers.net/m/lessons/automacoes-produtivas-para-sdrs1769552006015?classId=3369" TargetMode="External"/><Relationship Id="rId58" Type="http://schemas.openxmlformats.org/officeDocument/2006/relationships/hyperlink" Target="https://universidade.pipelovers.net/m/lessons/automacoes-produtivas-para-sdrs1769552006015?classId=3369" TargetMode="External"/><Relationship Id="rId1780" Type="http://schemas.openxmlformats.org/officeDocument/2006/relationships/hyperlink" Target="https://universidade.pipelovers.net/m/lessons/estrutura-de-uma-operacao-de-gestao-de-carteira-cs-1773688863277?moduleId=1237&amp;classId=3812" TargetMode="External"/><Relationship Id="rId1781" Type="http://schemas.openxmlformats.org/officeDocument/2006/relationships/hyperlink" Target="https://universidade.pipelovers.net/m/lessons/estrutura-de-uma-operacao-de-gestao-de-carteira-cs-1773688863277?moduleId=1237&amp;classId=3812" TargetMode="External"/><Relationship Id="rId1782" Type="http://schemas.openxmlformats.org/officeDocument/2006/relationships/hyperlink" Target="https://www.linkedin.com/in/nathalia-koga-0072261b9/" TargetMode="External"/><Relationship Id="rId1783" Type="http://schemas.openxmlformats.org/officeDocument/2006/relationships/hyperlink" Target="https://universidade.pipelovers.net/m/lessons/gestao-de-canais-como-estruturar-ativar-e-acompanhar-parceiros-1775675970943?classId=3916" TargetMode="External"/><Relationship Id="rId2630" Type="http://schemas.openxmlformats.org/officeDocument/2006/relationships/hyperlink" Target="https://universidade.pipelovers.net/m/lessons/controle-de-ansiedade-em-meio-as-mudancas1769550060686?classId=3641" TargetMode="External"/><Relationship Id="rId1300" Type="http://schemas.openxmlformats.org/officeDocument/2006/relationships/hyperlink" Target="https://www.linkedin.com/in/thiago-reis-/" TargetMode="External"/><Relationship Id="rId1784" Type="http://schemas.openxmlformats.org/officeDocument/2006/relationships/hyperlink" Target="https://universidade.pipelovers.net/m/lessons/gestao-de-canais-como-estruturar-ativar-e-acompanhar-parceiros-1775675970943?classId=3916" TargetMode="External"/><Relationship Id="rId2631" Type="http://schemas.openxmlformats.org/officeDocument/2006/relationships/hyperlink" Target="https://universidade.pipelovers.net/m/lessons/controle-de-ansiedade-em-meio-as-mudancas1769550060686?classId=3641" TargetMode="External"/><Relationship Id="rId2269" Type="http://schemas.openxmlformats.org/officeDocument/2006/relationships/hyperlink" Target="https://universidade.pipelovers.net/m/lessons/programa-de-canais-sob-a-otica-do-canal1769552458437?classId=3399" TargetMode="External"/><Relationship Id="rId349" Type="http://schemas.openxmlformats.org/officeDocument/2006/relationships/hyperlink" Target="https://universidade.pipelovers.net/m/lessons/prospeccao-na-base-de-clientes1769552060458?classId=3548" TargetMode="External"/><Relationship Id="rId348" Type="http://schemas.openxmlformats.org/officeDocument/2006/relationships/hyperlink" Target="https://www.linkedin.com/in/guntherweissbock/" TargetMode="External"/><Relationship Id="rId347" Type="http://schemas.openxmlformats.org/officeDocument/2006/relationships/hyperlink" Target="https://universidade.pipelovers.net/m/lessons/por-que-o-telefone-ainda-supera-e-mails-e-mensagens-na-primeira-conexao1769552060394?classId=3038" TargetMode="External"/><Relationship Id="rId346" Type="http://schemas.openxmlformats.org/officeDocument/2006/relationships/hyperlink" Target="https://universidade.pipelovers.net/m/lessons/por-que-o-telefone-ainda-supera-e-mails-e-mensagens-na-primeira-conexao1769552060394?classId=3038" TargetMode="External"/><Relationship Id="rId2260" Type="http://schemas.openxmlformats.org/officeDocument/2006/relationships/hyperlink" Target="https://universidade.pipelovers.net/m/lessons/dar-e-receber-feedback-com-clareza1769552060864?classId=3028" TargetMode="External"/><Relationship Id="rId341" Type="http://schemas.openxmlformats.org/officeDocument/2006/relationships/hyperlink" Target="https://universidade.pipelovers.net/m/lessons/grave-envie-e-converta-como-os-videos-podem-ajudar-na-prospeccao1769552060338?classId=3545" TargetMode="External"/><Relationship Id="rId2261" Type="http://schemas.openxmlformats.org/officeDocument/2006/relationships/hyperlink" Target="https://universidade.pipelovers.net/m/lessons/dar-e-receber-feedback-com-clareza1769552060864?classId=3028" TargetMode="External"/><Relationship Id="rId340" Type="http://schemas.openxmlformats.org/officeDocument/2006/relationships/hyperlink" Target="https://universidade.pipelovers.net/m/lessons/grave-envie-e-converta-como-os-videos-podem-ajudar-na-prospeccao1769552060338?classId=3545" TargetMode="External"/><Relationship Id="rId2262" Type="http://schemas.openxmlformats.org/officeDocument/2006/relationships/hyperlink" Target="https://drive.google.com/file/d/1kx3qd-vXwyVj-YX_GdfWRlWuzR2BlrOZ/view?usp=drive_link" TargetMode="External"/><Relationship Id="rId2263" Type="http://schemas.openxmlformats.org/officeDocument/2006/relationships/hyperlink" Target="https://www.linkedin.com/in/jose-backes/" TargetMode="External"/><Relationship Id="rId2264" Type="http://schemas.openxmlformats.org/officeDocument/2006/relationships/hyperlink" Target="https://universidade.pipelovers.net/m/lessons/de-cpf-a-cnpj-o-essencial-para-seu-canal-virar-empresa1769552449628?classId=3398" TargetMode="External"/><Relationship Id="rId345" Type="http://schemas.openxmlformats.org/officeDocument/2006/relationships/hyperlink" Target="https://www.linkedin.com/in/mari-genovez/" TargetMode="External"/><Relationship Id="rId2265" Type="http://schemas.openxmlformats.org/officeDocument/2006/relationships/hyperlink" Target="https://universidade.pipelovers.net/m/lessons/de-cpf-a-cnpj-o-essencial-para-seu-canal-virar-empresa1769552449628?classId=3398" TargetMode="External"/><Relationship Id="rId344" Type="http://schemas.openxmlformats.org/officeDocument/2006/relationships/hyperlink" Target="https://universidade.pipelovers.net/m/lessons/nutricao-de-leads-para-maximizar-conversoes1769552060365?classId=3547" TargetMode="External"/><Relationship Id="rId2266" Type="http://schemas.openxmlformats.org/officeDocument/2006/relationships/hyperlink" Target="https://drive.google.com/file/d/1IUSkJRxFYNU61XGG-7YrM7LajCR8-kIk/view?usp=drive_link" TargetMode="External"/><Relationship Id="rId343" Type="http://schemas.openxmlformats.org/officeDocument/2006/relationships/hyperlink" Target="https://universidade.pipelovers.net/m/lessons/nutricao-de-leads-para-maximizar-conversoes1769552060365?classId=3547" TargetMode="External"/><Relationship Id="rId2267" Type="http://schemas.openxmlformats.org/officeDocument/2006/relationships/hyperlink" Target="https://www.linkedin.com/in/marcos-biazi-10580a26/" TargetMode="External"/><Relationship Id="rId342" Type="http://schemas.openxmlformats.org/officeDocument/2006/relationships/hyperlink" Target="https://www.linkedin.com/in/thiagoavelinoq/" TargetMode="External"/><Relationship Id="rId2268" Type="http://schemas.openxmlformats.org/officeDocument/2006/relationships/hyperlink" Target="https://universidade.pipelovers.net/m/lessons/programa-de-canais-sob-a-otica-do-canal1769552458437?classId=3399" TargetMode="External"/><Relationship Id="rId2258" Type="http://schemas.openxmlformats.org/officeDocument/2006/relationships/hyperlink" Target="https://drive.google.com/file/d/1ThWsYlFESI0pgSORJmOxGTEFu9dbwMiF/view?usp=drive_link" TargetMode="External"/><Relationship Id="rId2259" Type="http://schemas.openxmlformats.org/officeDocument/2006/relationships/hyperlink" Target="https://www.linkedin.com/in/carol-deberaldini-21793442/" TargetMode="External"/><Relationship Id="rId338" Type="http://schemas.openxmlformats.org/officeDocument/2006/relationships/hyperlink" Target="https://universidade.pipelovers.net/m/lessons/primeira-impressao-na-prospeccao-o-impacto-da-imagem-profissional1769552060299?classId=3546" TargetMode="External"/><Relationship Id="rId337" Type="http://schemas.openxmlformats.org/officeDocument/2006/relationships/hyperlink" Target="https://universidade.pipelovers.net/m/lessons/primeira-impressao-na-prospeccao-o-impacto-da-imagem-profissional1769552060299?classId=3546" TargetMode="External"/><Relationship Id="rId336" Type="http://schemas.openxmlformats.org/officeDocument/2006/relationships/hyperlink" Target="https://universidade.pipelovers.net/m/lessons/como-big-data-pode-ser-um-aliado-em-pre-vendas1769552060261?classId=3544" TargetMode="External"/><Relationship Id="rId335" Type="http://schemas.openxmlformats.org/officeDocument/2006/relationships/hyperlink" Target="https://universidade.pipelovers.net/m/lessons/como-big-data-pode-ser-um-aliado-em-pre-vendas1769552060261?classId=3544" TargetMode="External"/><Relationship Id="rId339" Type="http://schemas.openxmlformats.org/officeDocument/2006/relationships/hyperlink" Target="https://www.linkedin.com/in/sarah-f-oliveira/" TargetMode="External"/><Relationship Id="rId330" Type="http://schemas.openxmlformats.org/officeDocument/2006/relationships/hyperlink" Target="https://universidade.pipelovers.net/m/lessons/rd-summit-2024-niveis-de-maturidade-em-vendas-b2b1769552060152?classId=3026" TargetMode="External"/><Relationship Id="rId2250" Type="http://schemas.openxmlformats.org/officeDocument/2006/relationships/hyperlink" Target="https://drive.google.com/file/d/1NDjIWVhI_N42XK4-hGL_fBPopRWEmKZe/view?usp=drive_link" TargetMode="External"/><Relationship Id="rId2251" Type="http://schemas.openxmlformats.org/officeDocument/2006/relationships/hyperlink" Target="https://www.linkedin.com/in/naravazguimaraes/" TargetMode="External"/><Relationship Id="rId2252" Type="http://schemas.openxmlformats.org/officeDocument/2006/relationships/hyperlink" Target="https://universidade.pipelovers.net/m/lessons/exemplos-praticos-explorando-o-uso-de-ia-em-programas-de-parcerias1769552449505?classId=3194" TargetMode="External"/><Relationship Id="rId2253" Type="http://schemas.openxmlformats.org/officeDocument/2006/relationships/hyperlink" Target="https://universidade.pipelovers.net/m/lessons/exemplos-praticos-explorando-o-uso-de-ia-em-programas-de-parcerias1769552449505?classId=3194" TargetMode="External"/><Relationship Id="rId334" Type="http://schemas.openxmlformats.org/officeDocument/2006/relationships/hyperlink" Target="https://www.linkedin.com/in/kesleybarros/" TargetMode="External"/><Relationship Id="rId2254" Type="http://schemas.openxmlformats.org/officeDocument/2006/relationships/hyperlink" Target="https://drive.google.com/file/d/1M1V_Rm2HjIJqRzrflkTSjLPXD2c_Bdxn/view?usp=drive_link" TargetMode="External"/><Relationship Id="rId333" Type="http://schemas.openxmlformats.org/officeDocument/2006/relationships/hyperlink" Target="https://universidade.pipelovers.net/m/lessons/mapeando-e-contornando-objecoes-com-ia1769552060177?classId=3543" TargetMode="External"/><Relationship Id="rId2255" Type="http://schemas.openxmlformats.org/officeDocument/2006/relationships/hyperlink" Target="https://www.linkedin.com/in/managerprado/" TargetMode="External"/><Relationship Id="rId332" Type="http://schemas.openxmlformats.org/officeDocument/2006/relationships/hyperlink" Target="https://universidade.pipelovers.net/m/lessons/mapeando-e-contornando-objecoes-com-ia1769552060177?classId=3543" TargetMode="External"/><Relationship Id="rId2256" Type="http://schemas.openxmlformats.org/officeDocument/2006/relationships/hyperlink" Target="https://universidade.pipelovers.net/m/lessons/arquitetura-de-canais-como-construir-e-escalar-um-modelo-de-representacao-comercial1769552449538?classId=3394" TargetMode="External"/><Relationship Id="rId331" Type="http://schemas.openxmlformats.org/officeDocument/2006/relationships/hyperlink" Target="https://www.linkedin.com/in/hugosoaresnascimento/" TargetMode="External"/><Relationship Id="rId2257" Type="http://schemas.openxmlformats.org/officeDocument/2006/relationships/hyperlink" Target="https://universidade.pipelovers.net/m/lessons/arquitetura-de-canais-como-construir-e-escalar-um-modelo-de-representacao-comercial1769552449538?classId=3394" TargetMode="External"/><Relationship Id="rId370" Type="http://schemas.openxmlformats.org/officeDocument/2006/relationships/hyperlink" Target="https://universidade.pipelovers.net/m/lessons/gatilhos-certeiros-como-deixar-seu-pitch-impossivel-de-ignorar1769552060763?classId=3555" TargetMode="External"/><Relationship Id="rId369" Type="http://schemas.openxmlformats.org/officeDocument/2006/relationships/hyperlink" Target="https://www.linkedin.com/in/michelkurc/" TargetMode="External"/><Relationship Id="rId368" Type="http://schemas.openxmlformats.org/officeDocument/2006/relationships/hyperlink" Target="https://universidade.pipelovers.net/m/lessons/como-identificar-e-explorar-oportunidades-de-upsell-1769552060700?classId=3554" TargetMode="External"/><Relationship Id="rId2280" Type="http://schemas.openxmlformats.org/officeDocument/2006/relationships/hyperlink" Target="https://universidade.pipelovers.net/m/lessons/cs-canais-a-colaboracao-que-transforma-base-em-receita1769552459068?classId=3404" TargetMode="External"/><Relationship Id="rId2281" Type="http://schemas.openxmlformats.org/officeDocument/2006/relationships/hyperlink" Target="https://universidade.pipelovers.net/m/lessons/cs-canais-a-colaboracao-que-transforma-base-em-receita1769552459068?classId=3404" TargetMode="External"/><Relationship Id="rId2282" Type="http://schemas.openxmlformats.org/officeDocument/2006/relationships/hyperlink" Target="https://drive.google.com/file/d/1v4mykldKpCgDJ-8GAz9dvBh6fKwglJre/view?usp=drive_link" TargetMode="External"/><Relationship Id="rId363" Type="http://schemas.openxmlformats.org/officeDocument/2006/relationships/hyperlink" Target="https://www.linkedin.com/in/pedrohdeassis/" TargetMode="External"/><Relationship Id="rId2283" Type="http://schemas.openxmlformats.org/officeDocument/2006/relationships/hyperlink" Target="https://www.linkedin.com/in/gabriella-montini/" TargetMode="External"/><Relationship Id="rId362" Type="http://schemas.openxmlformats.org/officeDocument/2006/relationships/hyperlink" Target="https://universidade.pipelovers.net/m/lessons/6-formas-diferentes-de-aprender-todos-os-dias1769552060624?classId=3552" TargetMode="External"/><Relationship Id="rId2284" Type="http://schemas.openxmlformats.org/officeDocument/2006/relationships/hyperlink" Target="https://universidade.pipelovers.net/m/lessons/estrategias-win-win-como-construir-sinergia-real-com-parceiros1769552459120?classId=3406" TargetMode="External"/><Relationship Id="rId361" Type="http://schemas.openxmlformats.org/officeDocument/2006/relationships/hyperlink" Target="https://universidade.pipelovers.net/m/lessons/6-formas-diferentes-de-aprender-todos-os-dias1769552060624?classId=3552" TargetMode="External"/><Relationship Id="rId2285" Type="http://schemas.openxmlformats.org/officeDocument/2006/relationships/hyperlink" Target="https://universidade.pipelovers.net/m/lessons/estrategias-win-win-como-construir-sinergia-real-com-parceiros1769552459120?classId=3406" TargetMode="External"/><Relationship Id="rId360" Type="http://schemas.openxmlformats.org/officeDocument/2006/relationships/hyperlink" Target="https://www.linkedin.com/in/carol-deberaldini-21793442/" TargetMode="External"/><Relationship Id="rId2286" Type="http://schemas.openxmlformats.org/officeDocument/2006/relationships/hyperlink" Target="https://drive.google.com/file/d/1duYmG7JyDvpm2S_NCTyzrxOXChuUJHlv/view?usp=drive_link" TargetMode="External"/><Relationship Id="rId367" Type="http://schemas.openxmlformats.org/officeDocument/2006/relationships/hyperlink" Target="https://universidade.pipelovers.net/m/lessons/como-identificar-e-explorar-oportunidades-de-upsell-1769552060700?classId=3554" TargetMode="External"/><Relationship Id="rId2287" Type="http://schemas.openxmlformats.org/officeDocument/2006/relationships/hyperlink" Target="https://www.linkedin.com/in/jorge-fernando-baya/" TargetMode="External"/><Relationship Id="rId366" Type="http://schemas.openxmlformats.org/officeDocument/2006/relationships/hyperlink" Target="https://www.linkedin.com/in/esthernam2020/" TargetMode="External"/><Relationship Id="rId2288" Type="http://schemas.openxmlformats.org/officeDocument/2006/relationships/hyperlink" Target="https://universidade.pipelovers.net/m/lessons/avaliacao-de-expansao-de-canais-na-america-latina-diferencas-e-tracos-culturais-a-observar1769552459320?classId=3407" TargetMode="External"/><Relationship Id="rId365" Type="http://schemas.openxmlformats.org/officeDocument/2006/relationships/hyperlink" Target="https://universidade.pipelovers.net/m/lessons/cac-e-ltv-o-que-esses-numeros-significam-para-a-prospeccao1769552060674?classId=3553" TargetMode="External"/><Relationship Id="rId2289" Type="http://schemas.openxmlformats.org/officeDocument/2006/relationships/hyperlink" Target="https://universidade.pipelovers.net/m/lessons/avaliacao-de-expansao-de-canais-na-america-latina-diferencas-e-tracos-culturais-a-observar1769552459320?classId=3407" TargetMode="External"/><Relationship Id="rId364" Type="http://schemas.openxmlformats.org/officeDocument/2006/relationships/hyperlink" Target="https://universidade.pipelovers.net/m/lessons/cac-e-ltv-o-que-esses-numeros-significam-para-a-prospeccao1769552060674?classId=3553" TargetMode="External"/><Relationship Id="rId95" Type="http://schemas.openxmlformats.org/officeDocument/2006/relationships/hyperlink" Target="https://universidade.pipelovers.net/m/lessons/case-rock-content1769552018997?classId=3391" TargetMode="External"/><Relationship Id="rId94" Type="http://schemas.openxmlformats.org/officeDocument/2006/relationships/hyperlink" Target="https://www.linkedin.com/in/izebolzan/" TargetMode="External"/><Relationship Id="rId97" Type="http://schemas.openxmlformats.org/officeDocument/2006/relationships/hyperlink" Target="https://universidade.pipelovers.net/m/lessons/assedio-nao-e-normal-ok1769552019039?classId=3392" TargetMode="External"/><Relationship Id="rId96" Type="http://schemas.openxmlformats.org/officeDocument/2006/relationships/hyperlink" Target="https://universidade.pipelovers.net/m/lessons/case-rock-content1769552018997?classId=3391" TargetMode="External"/><Relationship Id="rId99" Type="http://schemas.openxmlformats.org/officeDocument/2006/relationships/hyperlink" Target="https://universidade.pipelovers.net/m/lessons/autogestao-baseada-em-indicadores1769552019066?classId=3393" TargetMode="External"/><Relationship Id="rId98" Type="http://schemas.openxmlformats.org/officeDocument/2006/relationships/hyperlink" Target="https://universidade.pipelovers.net/m/lessons/assedio-nao-e-normal-ok1769552019039?classId=3392" TargetMode="External"/><Relationship Id="rId91" Type="http://schemas.openxmlformats.org/officeDocument/2006/relationships/hyperlink" Target="https://www.linkedin.com/in/admpatriciaribeiro" TargetMode="External"/><Relationship Id="rId90" Type="http://schemas.openxmlformats.org/officeDocument/2006/relationships/hyperlink" Target="https://universidade.pipelovers.net/m/lessons/planejamento-de-territorio-de-prospeccao1769552018953?classId=3389" TargetMode="External"/><Relationship Id="rId93" Type="http://schemas.openxmlformats.org/officeDocument/2006/relationships/hyperlink" Target="https://universidade.pipelovers.net/m/lessons/desafios-do-sdr-que-vira-vendedor1769552018922?classId=3390" TargetMode="External"/><Relationship Id="rId92" Type="http://schemas.openxmlformats.org/officeDocument/2006/relationships/hyperlink" Target="https://universidade.pipelovers.net/m/lessons/desafios-do-sdr-que-vira-vendedor1769552018922?classId=3390" TargetMode="External"/><Relationship Id="rId359" Type="http://schemas.openxmlformats.org/officeDocument/2006/relationships/hyperlink" Target="https://universidade.pipelovers.net/m/lessons/o-pitch-perfeito-gancho-valor-e-call-to-action1769552060577?classId=3551" TargetMode="External"/><Relationship Id="rId358" Type="http://schemas.openxmlformats.org/officeDocument/2006/relationships/hyperlink" Target="https://universidade.pipelovers.net/m/lessons/o-pitch-perfeito-gancho-valor-e-call-to-action1769552060577?classId=3551" TargetMode="External"/><Relationship Id="rId357" Type="http://schemas.openxmlformats.org/officeDocument/2006/relationships/hyperlink" Target="https://www.linkedin.com/in/rafaela-schultz/" TargetMode="External"/><Relationship Id="rId2270" Type="http://schemas.openxmlformats.org/officeDocument/2006/relationships/hyperlink" Target="https://drive.google.com/file/d/1Rj4i9i7MgEA4MuiDkuJ904l9z7gPAWIL/view?usp=drive_link" TargetMode="External"/><Relationship Id="rId2271" Type="http://schemas.openxmlformats.org/officeDocument/2006/relationships/hyperlink" Target="https://www.linkedin.com/in/gabriel-sbrasil/" TargetMode="External"/><Relationship Id="rId352" Type="http://schemas.openxmlformats.org/officeDocument/2006/relationships/hyperlink" Target="https://universidade.pipelovers.net/m/lessons/tecnicas-para-transformar-agora-nao-em-vamos-marcar1769552060514?classId=3549" TargetMode="External"/><Relationship Id="rId2272" Type="http://schemas.openxmlformats.org/officeDocument/2006/relationships/hyperlink" Target="https://universidade.pipelovers.net/m/lessons/como-estruturar-um-prm-em-um-crm-comum1769552458621?classId=3402" TargetMode="External"/><Relationship Id="rId351" Type="http://schemas.openxmlformats.org/officeDocument/2006/relationships/hyperlink" Target="https://www.linkedin.com/in/ricardoalvarinho/" TargetMode="External"/><Relationship Id="rId2273" Type="http://schemas.openxmlformats.org/officeDocument/2006/relationships/hyperlink" Target="https://universidade.pipelovers.net/m/lessons/como-estruturar-um-prm-em-um-crm-comum1769552458621?classId=3402" TargetMode="External"/><Relationship Id="rId350" Type="http://schemas.openxmlformats.org/officeDocument/2006/relationships/hyperlink" Target="https://universidade.pipelovers.net/m/lessons/prospeccao-na-base-de-clientes1769552060458?classId=3548" TargetMode="External"/><Relationship Id="rId2274" Type="http://schemas.openxmlformats.org/officeDocument/2006/relationships/hyperlink" Target="https://drive.google.com/file/d/1Yc33YSE283m2rf76hrnsPm-4ftxdZ4x1/view?usp=drive_link" TargetMode="External"/><Relationship Id="rId2275" Type="http://schemas.openxmlformats.org/officeDocument/2006/relationships/hyperlink" Target="https://www.linkedin.com/in/luiz-gustavo-tozo/" TargetMode="External"/><Relationship Id="rId356" Type="http://schemas.openxmlformats.org/officeDocument/2006/relationships/hyperlink" Target="https://universidade.pipelovers.net/m/lessons/como-falar-do-produto-sem-sobrecarregar-o-lead1769552060487?classId=3550" TargetMode="External"/><Relationship Id="rId2276" Type="http://schemas.openxmlformats.org/officeDocument/2006/relationships/hyperlink" Target="https://universidade.pipelovers.net/m/lessons/como-impulsionar-o-crescimento-de-receita-alavancando-canais-de-distribuicao1769552458868?classId=3403" TargetMode="External"/><Relationship Id="rId355" Type="http://schemas.openxmlformats.org/officeDocument/2006/relationships/hyperlink" Target="https://universidade.pipelovers.net/m/lessons/como-falar-do-produto-sem-sobrecarregar-o-lead1769552060487?classId=3550" TargetMode="External"/><Relationship Id="rId2277" Type="http://schemas.openxmlformats.org/officeDocument/2006/relationships/hyperlink" Target="https://universidade.pipelovers.net/m/lessons/como-impulsionar-o-crescimento-de-receita-alavancando-canais-de-distribuicao1769552458868?classId=3403" TargetMode="External"/><Relationship Id="rId354" Type="http://schemas.openxmlformats.org/officeDocument/2006/relationships/hyperlink" Target="https://www.linkedin.com/in/thiagocherem/" TargetMode="External"/><Relationship Id="rId2278" Type="http://schemas.openxmlformats.org/officeDocument/2006/relationships/hyperlink" Target="https://drive.google.com/file/d/1qpY0sFmqtihqXASX5qVCc7TNFas3duMp/view?usp=drive_link" TargetMode="External"/><Relationship Id="rId353" Type="http://schemas.openxmlformats.org/officeDocument/2006/relationships/hyperlink" Target="https://universidade.pipelovers.net/m/lessons/tecnicas-para-transformar-agora-nao-em-vamos-marcar1769552060514?classId=3549" TargetMode="External"/><Relationship Id="rId2279" Type="http://schemas.openxmlformats.org/officeDocument/2006/relationships/hyperlink" Target="https://www.linkedin.com/in/daniela-dos-santos-cruz-neves/" TargetMode="External"/><Relationship Id="rId1378" Type="http://schemas.openxmlformats.org/officeDocument/2006/relationships/hyperlink" Target="https://universidade.pipelovers.net/m/lessons/vendas-gestao-40-educacao-e-empreendedorismo1769552243459?classId=3116" TargetMode="External"/><Relationship Id="rId2225" Type="http://schemas.openxmlformats.org/officeDocument/2006/relationships/hyperlink" Target="https://universidade.pipelovers.net/m/lessons/a-culpa-nao-e-do-canal-erros-que-cometemos-e-como-evita-los1769552446280?classId=3181" TargetMode="External"/><Relationship Id="rId1379" Type="http://schemas.openxmlformats.org/officeDocument/2006/relationships/hyperlink" Target="https://universidade.pipelovers.net/m/lessons/vendas-gestao-40-educacao-e-empreendedorismo1769552243459?classId=3116" TargetMode="External"/><Relationship Id="rId2226" Type="http://schemas.openxmlformats.org/officeDocument/2006/relationships/hyperlink" Target="https://drive.google.com/file/d/1_YefoCUxXQPY7UzgGRljmHiN3QOicOhW/view?usp=drive_link" TargetMode="External"/><Relationship Id="rId2227" Type="http://schemas.openxmlformats.org/officeDocument/2006/relationships/hyperlink" Target="https://www.linkedin.com/in/renatasrico/" TargetMode="External"/><Relationship Id="rId2228" Type="http://schemas.openxmlformats.org/officeDocument/2006/relationships/hyperlink" Target="https://universidade.pipelovers.net/m/lessons/plano-de-carreira-em-vendas-indiretas1769552446341?classId=3182" TargetMode="External"/><Relationship Id="rId2229" Type="http://schemas.openxmlformats.org/officeDocument/2006/relationships/hyperlink" Target="https://universidade.pipelovers.net/m/lessons/plano-de-carreira-em-vendas-indiretas1769552446341?classId=3182" TargetMode="External"/><Relationship Id="rId305" Type="http://schemas.openxmlformats.org/officeDocument/2006/relationships/hyperlink" Target="https://universidade.pipelovers.net/m/lessons/ascensao-de-sdr-a-gestor1769552059566?classId=3522" TargetMode="External"/><Relationship Id="rId789" Type="http://schemas.openxmlformats.org/officeDocument/2006/relationships/hyperlink" Target="https://www.linkedin.com/in/manuelalenzi/" TargetMode="External"/><Relationship Id="rId304" Type="http://schemas.openxmlformats.org/officeDocument/2006/relationships/hyperlink" Target="https://www.linkedin.com/in/elen-lima/" TargetMode="External"/><Relationship Id="rId788" Type="http://schemas.openxmlformats.org/officeDocument/2006/relationships/hyperlink" Target="https://drive.google.com/file/d/1ubln9iH4G4aZLhR7iJLS6nNu_9FDZ5Cs/view?usp=drive_link" TargetMode="External"/><Relationship Id="rId303" Type="http://schemas.openxmlformats.org/officeDocument/2006/relationships/hyperlink" Target="https://universidade.pipelovers.net/m/lessons/como-usar-os-gatilhos-mentais-a-seu-favor1769552046459?classId=3521" TargetMode="External"/><Relationship Id="rId787" Type="http://schemas.openxmlformats.org/officeDocument/2006/relationships/hyperlink" Target="https://universidade.pipelovers.net/m/lessons/crescimento-de-carreira-dentro-da-mesma-organizacao1769552345927?classId=3005" TargetMode="External"/><Relationship Id="rId302" Type="http://schemas.openxmlformats.org/officeDocument/2006/relationships/hyperlink" Target="https://universidade.pipelovers.net/m/lessons/como-usar-os-gatilhos-mentais-a-seu-favor1769552046459?classId=3521" TargetMode="External"/><Relationship Id="rId786" Type="http://schemas.openxmlformats.org/officeDocument/2006/relationships/hyperlink" Target="https://universidade.pipelovers.net/m/lessons/crescimento-de-carreira-dentro-da-mesma-organizacao1769552345927?classId=3005" TargetMode="External"/><Relationship Id="rId309" Type="http://schemas.openxmlformats.org/officeDocument/2006/relationships/hyperlink" Target="https://universidade.pipelovers.net/m/lessons/personalizando-pitches-para-diferentes-segmentos1769552059893?classId=3523" TargetMode="External"/><Relationship Id="rId308" Type="http://schemas.openxmlformats.org/officeDocument/2006/relationships/hyperlink" Target="https://universidade.pipelovers.net/m/lessons/personalizando-pitches-para-diferentes-segmentos1769552059893?classId=3523" TargetMode="External"/><Relationship Id="rId307" Type="http://schemas.openxmlformats.org/officeDocument/2006/relationships/hyperlink" Target="https://www.linkedin.com/in/camelyrabelo/" TargetMode="External"/><Relationship Id="rId306" Type="http://schemas.openxmlformats.org/officeDocument/2006/relationships/hyperlink" Target="https://universidade.pipelovers.net/m/lessons/ascensao-de-sdr-a-gestor1769552059566?classId=3522" TargetMode="External"/><Relationship Id="rId781" Type="http://schemas.openxmlformats.org/officeDocument/2006/relationships/hyperlink" Target="https://www.linkedin.com/in/eduedulima/" TargetMode="External"/><Relationship Id="rId1370" Type="http://schemas.openxmlformats.org/officeDocument/2006/relationships/hyperlink" Target="https://universidade.pipelovers.net/m/lessons/melhores-praticas-para-elaborar-um-planejamento-top-down1769552243353?classId=3115" TargetMode="External"/><Relationship Id="rId780" Type="http://schemas.openxmlformats.org/officeDocument/2006/relationships/hyperlink" Target="https://drive.google.com/file/d/1bxT0RxHSIQJdvGcLnoavzbnLBsGq1ybp/view?usp=drive_link" TargetMode="External"/><Relationship Id="rId1371" Type="http://schemas.openxmlformats.org/officeDocument/2006/relationships/hyperlink" Target="https://universidade.pipelovers.net/m/lessons/melhores-praticas-para-elaborar-um-planejamento-top-down1769552243353?classId=3115" TargetMode="External"/><Relationship Id="rId1372" Type="http://schemas.openxmlformats.org/officeDocument/2006/relationships/hyperlink" Target="https://universidade.pipelovers.net/aulas/planejamento-de-vendas-b2b-na-pratica-1775494022190" TargetMode="External"/><Relationship Id="rId1373" Type="http://schemas.openxmlformats.org/officeDocument/2006/relationships/hyperlink" Target="https://universidade.pipelovers.net/aulas/planejamento-de-vendas-b2b-na-pratica-1775494022190" TargetMode="External"/><Relationship Id="rId2220" Type="http://schemas.openxmlformats.org/officeDocument/2006/relationships/hyperlink" Target="https://universidade.pipelovers.net/m/lessons/canais-de-distribuicao-estruturando-o-essencial-para-crescer1769552446221?classId=3180" TargetMode="External"/><Relationship Id="rId301" Type="http://schemas.openxmlformats.org/officeDocument/2006/relationships/hyperlink" Target="https://www.linkedin.com/in/paulaolaf/" TargetMode="External"/><Relationship Id="rId785" Type="http://schemas.openxmlformats.org/officeDocument/2006/relationships/hyperlink" Target="https://www.linkedin.com/in/vinicius-tirapelle-da-silva-51451349/" TargetMode="External"/><Relationship Id="rId1374" Type="http://schemas.openxmlformats.org/officeDocument/2006/relationships/hyperlink" Target="https://universidade.pipelovers.net/aulas/recrutamento-de-equipes-de-vendas-de-alta-performance-1775495873086" TargetMode="External"/><Relationship Id="rId2221" Type="http://schemas.openxmlformats.org/officeDocument/2006/relationships/hyperlink" Target="https://universidade.pipelovers.net/m/lessons/canais-de-distribuicao-estruturando-o-essencial-para-crescer1769552446221?classId=3180" TargetMode="External"/><Relationship Id="rId300" Type="http://schemas.openxmlformats.org/officeDocument/2006/relationships/hyperlink" Target="https://universidade.pipelovers.net/m/lessons/rotinas-de-autoavaliacao-de-performance-de-pre-vendedores1769552046415?classId=3520" TargetMode="External"/><Relationship Id="rId784" Type="http://schemas.openxmlformats.org/officeDocument/2006/relationships/hyperlink" Target="https://drive.google.com/file/d/16k-LoD9YvrM7YikBOmD-TyNmtu7BXIX9/view?usp=drive_link" TargetMode="External"/><Relationship Id="rId1375" Type="http://schemas.openxmlformats.org/officeDocument/2006/relationships/hyperlink" Target="https://universidade.pipelovers.net/aulas/recrutamento-de-equipes-de-vendas-de-alta-performance-1775495873086" TargetMode="External"/><Relationship Id="rId2222" Type="http://schemas.openxmlformats.org/officeDocument/2006/relationships/hyperlink" Target="https://drive.google.com/file/d/18FukbMvOIFORT0sbk7jWq44Y8CYdbwno/view?usp=drive_link" TargetMode="External"/><Relationship Id="rId783" Type="http://schemas.openxmlformats.org/officeDocument/2006/relationships/hyperlink" Target="https://universidade.pipelovers.net/m/lessons/como-chegar-ao-presidents-club1769552345813?classId=3006" TargetMode="External"/><Relationship Id="rId1376" Type="http://schemas.openxmlformats.org/officeDocument/2006/relationships/hyperlink" Target="https://universidade.pipelovers.net/aulas/como-montar-seu-stack-de-ferramentas-1775505416458" TargetMode="External"/><Relationship Id="rId2223" Type="http://schemas.openxmlformats.org/officeDocument/2006/relationships/hyperlink" Target="https://www.linkedin.com/in/denys-vojnovskis/" TargetMode="External"/><Relationship Id="rId782" Type="http://schemas.openxmlformats.org/officeDocument/2006/relationships/hyperlink" Target="https://universidade.pipelovers.net/m/lessons/como-chegar-ao-presidents-club1769552345813?classId=3006" TargetMode="External"/><Relationship Id="rId1377" Type="http://schemas.openxmlformats.org/officeDocument/2006/relationships/hyperlink" Target="https://universidade.pipelovers.net/aulas/como-montar-seu-stack-de-ferramentas-1775505416458" TargetMode="External"/><Relationship Id="rId2224" Type="http://schemas.openxmlformats.org/officeDocument/2006/relationships/hyperlink" Target="https://universidade.pipelovers.net/m/lessons/a-culpa-nao-e-do-canal-erros-que-cometemos-e-como-evita-los1769552446280?classId=3181" TargetMode="External"/><Relationship Id="rId1367" Type="http://schemas.openxmlformats.org/officeDocument/2006/relationships/hyperlink" Target="https://universidade.pipelovers.net/aulas/comunicacao-de-metas-baseado-em-dados-1775493397166" TargetMode="External"/><Relationship Id="rId2214" Type="http://schemas.openxmlformats.org/officeDocument/2006/relationships/hyperlink" Target="https://drive.google.com/file/d/1f8DYkTvSkZ-QIyqiYnbPXFS21n1dg_PE/view?usp=drive_link" TargetMode="External"/><Relationship Id="rId2698" Type="http://schemas.openxmlformats.org/officeDocument/2006/relationships/hyperlink" Target="https://universidade.pipelovers.net/m/lessons/por-que-operacoes-de-vendas-externas-fracassam-e-como-blindar-a-sua1769550061647?classId=3777" TargetMode="External"/><Relationship Id="rId1368" Type="http://schemas.openxmlformats.org/officeDocument/2006/relationships/hyperlink" Target="https://universidade.pipelovers.net/m/lessons/metologia-lean-aplicado-ao-planejamento-de-vendas1769552243324?classId=3482" TargetMode="External"/><Relationship Id="rId2215" Type="http://schemas.openxmlformats.org/officeDocument/2006/relationships/hyperlink" Target="https://www.linkedin.com/in/ricardomtanaka/" TargetMode="External"/><Relationship Id="rId2699" Type="http://schemas.openxmlformats.org/officeDocument/2006/relationships/hyperlink" Target="https://www.linkedin.com/in/thiagoangulski/" TargetMode="External"/><Relationship Id="rId1369" Type="http://schemas.openxmlformats.org/officeDocument/2006/relationships/hyperlink" Target="https://universidade.pipelovers.net/m/lessons/metologia-lean-aplicado-ao-planejamento-de-vendas1769552243324?classId=3482" TargetMode="External"/><Relationship Id="rId2216" Type="http://schemas.openxmlformats.org/officeDocument/2006/relationships/hyperlink" Target="https://universidade.pipelovers.net/m/lessons/planejando-o-ano-com-canais-franqueado1769552446135?classId=3179" TargetMode="External"/><Relationship Id="rId2217" Type="http://schemas.openxmlformats.org/officeDocument/2006/relationships/hyperlink" Target="https://universidade.pipelovers.net/m/lessons/planejando-o-ano-com-canais-franqueado1769552446135?classId=3179" TargetMode="External"/><Relationship Id="rId2218" Type="http://schemas.openxmlformats.org/officeDocument/2006/relationships/hyperlink" Target="https://drive.google.com/file/d/1FB-gW09ARnmM9R4DKWxbdh8hAYH76nSw/view?usp=drive_link" TargetMode="External"/><Relationship Id="rId2219" Type="http://schemas.openxmlformats.org/officeDocument/2006/relationships/hyperlink" Target="https://www.linkedin.com/in/douglas-a-medeiros/" TargetMode="External"/><Relationship Id="rId778" Type="http://schemas.openxmlformats.org/officeDocument/2006/relationships/hyperlink" Target="https://universidade.pipelovers.net/m/lessons/palestra-rd-summit-20231769552039345?classId=3108" TargetMode="External"/><Relationship Id="rId777" Type="http://schemas.openxmlformats.org/officeDocument/2006/relationships/hyperlink" Target="https://www.linkedin.com/in/gpagotto/" TargetMode="External"/><Relationship Id="rId776" Type="http://schemas.openxmlformats.org/officeDocument/2006/relationships/hyperlink" Target="https://drive.google.com/file/d/1bMFZnMkLsFp150NQzceBtWew92fqXNVi/view?usp=drive_link" TargetMode="External"/><Relationship Id="rId775" Type="http://schemas.openxmlformats.org/officeDocument/2006/relationships/hyperlink" Target="https://universidade.pipelovers.net/m/lessons/aprendendo-com-a-concorrencia1769552345692?classId=3706" TargetMode="External"/><Relationship Id="rId779" Type="http://schemas.openxmlformats.org/officeDocument/2006/relationships/hyperlink" Target="https://universidade.pipelovers.net/m/lessons/palestra-rd-summit-20231769552039345?classId=3108" TargetMode="External"/><Relationship Id="rId770" Type="http://schemas.openxmlformats.org/officeDocument/2006/relationships/hyperlink" Target="https://universidade.pipelovers.net/m/lessons/teaching-and-learning-aprendendo-com-seu-cliente1769552345612?classId=3623" TargetMode="External"/><Relationship Id="rId2690" Type="http://schemas.openxmlformats.org/officeDocument/2006/relationships/hyperlink" Target="https://www.linkedin.com/in/marcao8d/" TargetMode="External"/><Relationship Id="rId1360" Type="http://schemas.openxmlformats.org/officeDocument/2006/relationships/hyperlink" Target="https://universidade.pipelovers.net/m/lessons/como-alinhar-expectativas-entre-diferentes-niveis-de-senioridade1769552243258?classId=3109" TargetMode="External"/><Relationship Id="rId2691" Type="http://schemas.openxmlformats.org/officeDocument/2006/relationships/hyperlink" Target="https://universidade.pipelovers.net/m/lessons/revops-crm-dados-integrados-entre-marketing-vendas-e-atendimento1769550061587?classId=3678" TargetMode="External"/><Relationship Id="rId1361" Type="http://schemas.openxmlformats.org/officeDocument/2006/relationships/hyperlink" Target="https://universidade.pipelovers.net/m/lessons/como-alinhar-expectativas-entre-diferentes-niveis-de-senioridade1769552243258?classId=3109" TargetMode="External"/><Relationship Id="rId2692" Type="http://schemas.openxmlformats.org/officeDocument/2006/relationships/hyperlink" Target="https://universidade.pipelovers.net/m/lessons/revops-crm-dados-integrados-entre-marketing-vendas-e-atendimento1769550061587?classId=3678" TargetMode="External"/><Relationship Id="rId1362" Type="http://schemas.openxmlformats.org/officeDocument/2006/relationships/hyperlink" Target="https://universidade.pipelovers.net/m/lessons/sales-coaching-baseado-em-metricas1769552243176?classId=3110" TargetMode="External"/><Relationship Id="rId2693" Type="http://schemas.openxmlformats.org/officeDocument/2006/relationships/hyperlink" Target="https://www.linkedin.com/in/ivanwelter/" TargetMode="External"/><Relationship Id="rId774" Type="http://schemas.openxmlformats.org/officeDocument/2006/relationships/hyperlink" Target="https://universidade.pipelovers.net/m/lessons/aprendendo-com-a-concorrencia1769552345692?classId=3706" TargetMode="External"/><Relationship Id="rId1363" Type="http://schemas.openxmlformats.org/officeDocument/2006/relationships/hyperlink" Target="https://universidade.pipelovers.net/m/lessons/sales-coaching-baseado-em-metricas1769552243176?classId=3110" TargetMode="External"/><Relationship Id="rId2210" Type="http://schemas.openxmlformats.org/officeDocument/2006/relationships/hyperlink" Target="https://drive.google.com/file/d/1bUWFIrllxugzmZgIjVwwXyFIVtnpDZqO/view?usp=drive_link" TargetMode="External"/><Relationship Id="rId2694" Type="http://schemas.openxmlformats.org/officeDocument/2006/relationships/hyperlink" Target="https://universidade.pipelovers.net/m/lessons/tendencias-2026-como-os-tomadores-de-decisao-estao-definindo-prioridades1769550061618?classId=3776" TargetMode="External"/><Relationship Id="rId773" Type="http://schemas.openxmlformats.org/officeDocument/2006/relationships/hyperlink" Target="https://www.linkedin.com/in/fernandesfigueiredo/" TargetMode="External"/><Relationship Id="rId1364" Type="http://schemas.openxmlformats.org/officeDocument/2006/relationships/hyperlink" Target="https://universidade.pipelovers.net/m/lessons/integrando-times-de-produto-e-comercial1769552243229?classId=3111" TargetMode="External"/><Relationship Id="rId2211" Type="http://schemas.openxmlformats.org/officeDocument/2006/relationships/hyperlink" Target="https://www.linkedin.com/in/antonio-forte-9211762/" TargetMode="External"/><Relationship Id="rId2695" Type="http://schemas.openxmlformats.org/officeDocument/2006/relationships/hyperlink" Target="https://universidade.pipelovers.net/m/lessons/tendencias-2026-como-os-tomadores-de-decisao-estao-definindo-prioridades1769550061618?classId=3776" TargetMode="External"/><Relationship Id="rId772" Type="http://schemas.openxmlformats.org/officeDocument/2006/relationships/hyperlink" Target="https://drive.google.com/file/d/1YsdBol8Hu0-c_I_gy-ZjCRVk5f_IfSOs/view?usp=drive_link" TargetMode="External"/><Relationship Id="rId1365" Type="http://schemas.openxmlformats.org/officeDocument/2006/relationships/hyperlink" Target="https://universidade.pipelovers.net/m/lessons/integrando-times-de-produto-e-comercial1769552243229?classId=3111" TargetMode="External"/><Relationship Id="rId2212" Type="http://schemas.openxmlformats.org/officeDocument/2006/relationships/hyperlink" Target="https://universidade.pipelovers.net/m/lessons/primeiros-passos-para-criar-um-playbook-de-canais1769552446074?classId=3178" TargetMode="External"/><Relationship Id="rId2696" Type="http://schemas.openxmlformats.org/officeDocument/2006/relationships/hyperlink" Target="https://www.linkedin.com/in/andrezacarias/" TargetMode="External"/><Relationship Id="rId771" Type="http://schemas.openxmlformats.org/officeDocument/2006/relationships/hyperlink" Target="https://universidade.pipelovers.net/m/lessons/teaching-and-learning-aprendendo-com-seu-cliente1769552345612?classId=3623" TargetMode="External"/><Relationship Id="rId1366" Type="http://schemas.openxmlformats.org/officeDocument/2006/relationships/hyperlink" Target="https://universidade.pipelovers.net/aulas/comunicacao-de-metas-baseado-em-dados-1775493397166" TargetMode="External"/><Relationship Id="rId2213" Type="http://schemas.openxmlformats.org/officeDocument/2006/relationships/hyperlink" Target="https://universidade.pipelovers.net/m/lessons/primeiros-passos-para-criar-um-playbook-de-canais1769552446074?classId=3178" TargetMode="External"/><Relationship Id="rId2697" Type="http://schemas.openxmlformats.org/officeDocument/2006/relationships/hyperlink" Target="https://universidade.pipelovers.net/m/lessons/por-que-operacoes-de-vendas-externas-fracassam-e-como-blindar-a-sua1769550061647?classId=3777" TargetMode="External"/><Relationship Id="rId2247" Type="http://schemas.openxmlformats.org/officeDocument/2006/relationships/hyperlink" Target="https://www.linkedin.com/in/joiceferreira2025/" TargetMode="External"/><Relationship Id="rId2248" Type="http://schemas.openxmlformats.org/officeDocument/2006/relationships/hyperlink" Target="https://universidade.pipelovers.net/m/lessons/estrategia-de-governanca-para-diferentes-canais-de-vendas1769552449470?classId=3193" TargetMode="External"/><Relationship Id="rId2249" Type="http://schemas.openxmlformats.org/officeDocument/2006/relationships/hyperlink" Target="https://universidade.pipelovers.net/m/lessons/estrategia-de-governanca-para-diferentes-canais-de-vendas1769552449470?classId=3193" TargetMode="External"/><Relationship Id="rId327" Type="http://schemas.openxmlformats.org/officeDocument/2006/relationships/hyperlink" Target="https://universidade.pipelovers.net/m/lessons/prospectando-o-segmento-de-manufatura1769552060103?classId=3542" TargetMode="External"/><Relationship Id="rId326" Type="http://schemas.openxmlformats.org/officeDocument/2006/relationships/hyperlink" Target="https://universidade.pipelovers.net/m/lessons/prospectando-o-segmento-de-manufatura1769552060103?classId=3542" TargetMode="External"/><Relationship Id="rId325" Type="http://schemas.openxmlformats.org/officeDocument/2006/relationships/hyperlink" Target="https://www.linkedin.com/in/paula-yunes-629b5ba2/" TargetMode="External"/><Relationship Id="rId324" Type="http://schemas.openxmlformats.org/officeDocument/2006/relationships/hyperlink" Target="https://universidade.pipelovers.net/m/lessons/ciencia-para-validacao-de-mensagens-de-prospeccao1769552060064?classId=3528" TargetMode="External"/><Relationship Id="rId329" Type="http://schemas.openxmlformats.org/officeDocument/2006/relationships/hyperlink" Target="https://universidade.pipelovers.net/m/lessons/rd-summit-2024-niveis-de-maturidade-em-vendas-b2b1769552060152?classId=3026" TargetMode="External"/><Relationship Id="rId1390" Type="http://schemas.openxmlformats.org/officeDocument/2006/relationships/hyperlink" Target="https://universidade.pipelovers.net/m/lessons/escalando-equipes-de-prospeccao1769552247342?classId=3478" TargetMode="External"/><Relationship Id="rId328" Type="http://schemas.openxmlformats.org/officeDocument/2006/relationships/hyperlink" Target="https://www.linkedin.com/in/gpagotto/" TargetMode="External"/><Relationship Id="rId1391" Type="http://schemas.openxmlformats.org/officeDocument/2006/relationships/hyperlink" Target="https://universidade.pipelovers.net/m/lessons/parcerias-estrategicas-e-canais-indiretos1769552247370?classId=3477" TargetMode="External"/><Relationship Id="rId1392" Type="http://schemas.openxmlformats.org/officeDocument/2006/relationships/hyperlink" Target="https://universidade.pipelovers.net/m/lessons/parcerias-estrategicas-e-canais-indiretos1769552247370?classId=3477" TargetMode="External"/><Relationship Id="rId1393" Type="http://schemas.openxmlformats.org/officeDocument/2006/relationships/hyperlink" Target="https://universidade.pipelovers.net/m/lessons/estrategias-de-customer-success-para-aceleracao-e-crescimento1769552247399?classId=3475" TargetMode="External"/><Relationship Id="rId2240" Type="http://schemas.openxmlformats.org/officeDocument/2006/relationships/hyperlink" Target="https://universidade.pipelovers.net/m/lessons/aliancas-estrategicas-para-ampliacao-de-portfolio-de-ofertas1769552449341?classId=3191" TargetMode="External"/><Relationship Id="rId1394" Type="http://schemas.openxmlformats.org/officeDocument/2006/relationships/hyperlink" Target="https://universidade.pipelovers.net/m/lessons/estrategias-de-customer-success-para-aceleracao-e-crescimento1769552247399?classId=3475" TargetMode="External"/><Relationship Id="rId2241" Type="http://schemas.openxmlformats.org/officeDocument/2006/relationships/hyperlink" Target="https://universidade.pipelovers.net/m/lessons/aliancas-estrategicas-para-ampliacao-de-portfolio-de-ofertas1769552449341?classId=3191" TargetMode="External"/><Relationship Id="rId1395" Type="http://schemas.openxmlformats.org/officeDocument/2006/relationships/hyperlink" Target="https://universidade.pipelovers.net/m/lessons/gestao-de-equipes-de-vendas-enterprise1769552247429?classId=3472" TargetMode="External"/><Relationship Id="rId2242" Type="http://schemas.openxmlformats.org/officeDocument/2006/relationships/hyperlink" Target="https://drive.google.com/file/d/1wTQOWYr8YSWAM9X4JJwu_3pkrNQ-BwHh/view?usp=drive_link" TargetMode="External"/><Relationship Id="rId323" Type="http://schemas.openxmlformats.org/officeDocument/2006/relationships/hyperlink" Target="https://universidade.pipelovers.net/m/lessons/ciencia-para-validacao-de-mensagens-de-prospeccao1769552060064?classId=3528" TargetMode="External"/><Relationship Id="rId1396" Type="http://schemas.openxmlformats.org/officeDocument/2006/relationships/hyperlink" Target="https://universidade.pipelovers.net/m/lessons/gestao-de-equipes-de-vendas-enterprise1769552247429?classId=3472" TargetMode="External"/><Relationship Id="rId2243" Type="http://schemas.openxmlformats.org/officeDocument/2006/relationships/hyperlink" Target="https://www.linkedin.com/in/hannahmattos/" TargetMode="External"/><Relationship Id="rId322" Type="http://schemas.openxmlformats.org/officeDocument/2006/relationships/hyperlink" Target="https://www.linkedin.com/in/kayua/" TargetMode="External"/><Relationship Id="rId1397" Type="http://schemas.openxmlformats.org/officeDocument/2006/relationships/hyperlink" Target="https://universidade.pipelovers.net/m/lessons/escalando-operacoes-de-vendas-para-pmes1769552247459?moduleId=910&amp;classId=3501" TargetMode="External"/><Relationship Id="rId2244" Type="http://schemas.openxmlformats.org/officeDocument/2006/relationships/hyperlink" Target="https://universidade.pipelovers.net/m/lessons/gerenciando-revendas-em-mercados-regulados1769552449390?classId=3192" TargetMode="External"/><Relationship Id="rId321" Type="http://schemas.openxmlformats.org/officeDocument/2006/relationships/hyperlink" Target="https://universidade.pipelovers.net/m/lessons/como-receber-e-responder-ao-feedback-dos-lideres1769552060036?classId=3527" TargetMode="External"/><Relationship Id="rId1398" Type="http://schemas.openxmlformats.org/officeDocument/2006/relationships/hyperlink" Target="https://universidade.pipelovers.net/m/lessons/estrategias-de-pricing-para-b2b1769552247505?classId=3120" TargetMode="External"/><Relationship Id="rId2245" Type="http://schemas.openxmlformats.org/officeDocument/2006/relationships/hyperlink" Target="https://universidade.pipelovers.net/m/lessons/gerenciando-revendas-em-mercados-regulados1769552449390?classId=3192" TargetMode="External"/><Relationship Id="rId320" Type="http://schemas.openxmlformats.org/officeDocument/2006/relationships/hyperlink" Target="https://universidade.pipelovers.net/m/lessons/como-receber-e-responder-ao-feedback-dos-lideres1769552060036?classId=3527" TargetMode="External"/><Relationship Id="rId1399" Type="http://schemas.openxmlformats.org/officeDocument/2006/relationships/hyperlink" Target="https://universidade.pipelovers.net/m/lessons/estrategias-de-pricing-para-b2b1769552247505?classId=3120" TargetMode="External"/><Relationship Id="rId2246" Type="http://schemas.openxmlformats.org/officeDocument/2006/relationships/hyperlink" Target="https://drive.google.com/file/d/1PIpV-a3ApS4HTNaV_GOVxVdDSBpb38y7/view?usp=drive_link" TargetMode="External"/><Relationship Id="rId1389" Type="http://schemas.openxmlformats.org/officeDocument/2006/relationships/hyperlink" Target="https://universidade.pipelovers.net/m/lessons/escalando-equipes-de-prospeccao1769552247342?classId=3478" TargetMode="External"/><Relationship Id="rId2236" Type="http://schemas.openxmlformats.org/officeDocument/2006/relationships/hyperlink" Target="https://universidade.pipelovers.net/m/lessons/kpis-estrategicos-para-escalar-e-otimizar-canais-de-vendas1769552446472?classId=3190" TargetMode="External"/><Relationship Id="rId2237" Type="http://schemas.openxmlformats.org/officeDocument/2006/relationships/hyperlink" Target="https://universidade.pipelovers.net/m/lessons/kpis-estrategicos-para-escalar-e-otimizar-canais-de-vendas1769552446472?classId=3190" TargetMode="External"/><Relationship Id="rId2238" Type="http://schemas.openxmlformats.org/officeDocument/2006/relationships/hyperlink" Target="https://drive.google.com/file/d/1pM4ZtYtv5NazezZqIUSEH2W57xH2bF__/view?usp=drive_link" TargetMode="External"/><Relationship Id="rId2239" Type="http://schemas.openxmlformats.org/officeDocument/2006/relationships/hyperlink" Target="https://www.linkedin.com/in/fabio-moreira-0141b121/" TargetMode="External"/><Relationship Id="rId316" Type="http://schemas.openxmlformats.org/officeDocument/2006/relationships/hyperlink" Target="https://www.linkedin.com/in/acanabrava/" TargetMode="External"/><Relationship Id="rId315" Type="http://schemas.openxmlformats.org/officeDocument/2006/relationships/hyperlink" Target="https://universidade.pipelovers.net/m/lessons/abertura-de-oportunidades-atraves-de-contatos-operacionais1769552059926?classId=3525" TargetMode="External"/><Relationship Id="rId799" Type="http://schemas.openxmlformats.org/officeDocument/2006/relationships/hyperlink" Target="https://universidade.pipelovers.net/m/lessons/planejamento-e-estrategia-de-territorios1769552348416?classId=3002" TargetMode="External"/><Relationship Id="rId314" Type="http://schemas.openxmlformats.org/officeDocument/2006/relationships/hyperlink" Target="https://universidade.pipelovers.net/m/lessons/abertura-de-oportunidades-atraves-de-contatos-operacionais1769552059926?classId=3525" TargetMode="External"/><Relationship Id="rId798" Type="http://schemas.openxmlformats.org/officeDocument/2006/relationships/hyperlink" Target="https://universidade.pipelovers.net/m/lessons/planejamento-e-estrategia-de-territorios1769552348416?classId=3002" TargetMode="External"/><Relationship Id="rId313" Type="http://schemas.openxmlformats.org/officeDocument/2006/relationships/hyperlink" Target="https://www.linkedin.com/in/fernandesoliver/" TargetMode="External"/><Relationship Id="rId797" Type="http://schemas.openxmlformats.org/officeDocument/2006/relationships/hyperlink" Target="https://www.linkedin.com/in/diogomarra/" TargetMode="External"/><Relationship Id="rId319" Type="http://schemas.openxmlformats.org/officeDocument/2006/relationships/hyperlink" Target="https://www.linkedin.com/in/paula-coscarelli/" TargetMode="External"/><Relationship Id="rId318" Type="http://schemas.openxmlformats.org/officeDocument/2006/relationships/hyperlink" Target="https://universidade.pipelovers.net/m/lessons/mapeando-o-comportamento-de-diferentes-consumidores1769552060000?classId=3526" TargetMode="External"/><Relationship Id="rId317" Type="http://schemas.openxmlformats.org/officeDocument/2006/relationships/hyperlink" Target="https://universidade.pipelovers.net/m/lessons/mapeando-o-comportamento-de-diferentes-consumidores1769552060000?classId=3526" TargetMode="External"/><Relationship Id="rId1380" Type="http://schemas.openxmlformats.org/officeDocument/2006/relationships/hyperlink" Target="https://universidade.pipelovers.net/m/lessons/cultura-de-equipes-de-vendas-de-alta-performance1769552243539?classId=3481" TargetMode="External"/><Relationship Id="rId792" Type="http://schemas.openxmlformats.org/officeDocument/2006/relationships/hyperlink" Target="https://drive.google.com/file/d/1DCLBW5xrlWHHi4F9TyoFr_zPD8uiJhTk/view?usp=drive_link" TargetMode="External"/><Relationship Id="rId1381" Type="http://schemas.openxmlformats.org/officeDocument/2006/relationships/hyperlink" Target="https://universidade.pipelovers.net/m/lessons/cultura-de-equipes-de-vendas-de-alta-performance1769552243539?classId=3481" TargetMode="External"/><Relationship Id="rId791" Type="http://schemas.openxmlformats.org/officeDocument/2006/relationships/hyperlink" Target="https://universidade.pipelovers.net/m/lessons/aprendendo-com-benchmarking1769552348296?classId=3004" TargetMode="External"/><Relationship Id="rId1382" Type="http://schemas.openxmlformats.org/officeDocument/2006/relationships/hyperlink" Target="https://www.linkedin.com/in/gpagotto/" TargetMode="External"/><Relationship Id="rId790" Type="http://schemas.openxmlformats.org/officeDocument/2006/relationships/hyperlink" Target="https://universidade.pipelovers.net/m/lessons/aprendendo-com-benchmarking1769552348296?classId=3004" TargetMode="External"/><Relationship Id="rId1383" Type="http://schemas.openxmlformats.org/officeDocument/2006/relationships/hyperlink" Target="https://universidade.pipelovers.net/m/lessons/carreira-em-vendas-desafios-da-lideranca-comercial1769552243571?classId=3775" TargetMode="External"/><Relationship Id="rId2230" Type="http://schemas.openxmlformats.org/officeDocument/2006/relationships/hyperlink" Target="https://drive.google.com/file/d/1RiXrauHOOr9Am5IrvOrQliIqC502Ejt-/view?usp=drive_link" TargetMode="External"/><Relationship Id="rId1384" Type="http://schemas.openxmlformats.org/officeDocument/2006/relationships/hyperlink" Target="https://universidade.pipelovers.net/m/lessons/carreira-em-vendas-desafios-da-lideranca-comercial1769552243571?classId=3775" TargetMode="External"/><Relationship Id="rId2231" Type="http://schemas.openxmlformats.org/officeDocument/2006/relationships/hyperlink" Target="https://www.linkedin.com/in/c%C3%A9lio-pupo-ab745623/" TargetMode="External"/><Relationship Id="rId312" Type="http://schemas.openxmlformats.org/officeDocument/2006/relationships/hyperlink" Target="https://universidade.pipelovers.net/m/lessons/principais-indicadores-na-area-de-pre-vendas1769552059975?classId=3524" TargetMode="External"/><Relationship Id="rId796" Type="http://schemas.openxmlformats.org/officeDocument/2006/relationships/hyperlink" Target="https://drive.google.com/file/d/1lJo0feJ2mjElWy_-ZvDtSaCuflNu_wh6/view?usp=drive_link" TargetMode="External"/><Relationship Id="rId1385" Type="http://schemas.openxmlformats.org/officeDocument/2006/relationships/hyperlink" Target="https://universidade.pipelovers.net/m/lessons/alinhamento-entre-marketing-e-vendas-b2b1769552247196?classId=3118" TargetMode="External"/><Relationship Id="rId2232" Type="http://schemas.openxmlformats.org/officeDocument/2006/relationships/hyperlink" Target="https://universidade.pipelovers.net/m/lessons/captacao-de-canais-de-ticket-baixo1769552446416?classId=3189" TargetMode="External"/><Relationship Id="rId311" Type="http://schemas.openxmlformats.org/officeDocument/2006/relationships/hyperlink" Target="https://universidade.pipelovers.net/m/lessons/principais-indicadores-na-area-de-pre-vendas1769552059975?classId=3524" TargetMode="External"/><Relationship Id="rId795" Type="http://schemas.openxmlformats.org/officeDocument/2006/relationships/hyperlink" Target="https://universidade.pipelovers.net/aulas/como-se-preparar-para-uma-reunia0-de-forecast-1775076746828" TargetMode="External"/><Relationship Id="rId1386" Type="http://schemas.openxmlformats.org/officeDocument/2006/relationships/hyperlink" Target="https://universidade.pipelovers.net/m/lessons/alinhamento-entre-marketing-e-vendas-b2b1769552247196?classId=3118" TargetMode="External"/><Relationship Id="rId2233" Type="http://schemas.openxmlformats.org/officeDocument/2006/relationships/hyperlink" Target="https://universidade.pipelovers.net/m/lessons/captacao-de-canais-de-ticket-baixo1769552446416?classId=3189" TargetMode="External"/><Relationship Id="rId310" Type="http://schemas.openxmlformats.org/officeDocument/2006/relationships/hyperlink" Target="https://www.linkedin.com/in/karyndesouza/" TargetMode="External"/><Relationship Id="rId794" Type="http://schemas.openxmlformats.org/officeDocument/2006/relationships/hyperlink" Target="https://universidade.pipelovers.net/aulas/como-se-preparar-para-uma-reunia0-de-forecast-1775076746828" TargetMode="External"/><Relationship Id="rId1387" Type="http://schemas.openxmlformats.org/officeDocument/2006/relationships/hyperlink" Target="https://universidade.pipelovers.net/m/lessons/construindo-uma-maquina-de-vendas-inbound1769552247256?classId=3479" TargetMode="External"/><Relationship Id="rId2234" Type="http://schemas.openxmlformats.org/officeDocument/2006/relationships/hyperlink" Target="https://drive.google.com/file/d/1W7qqINTwUZsdKi394wOuUaiU1_-gRxKl/view?usp=drive_link" TargetMode="External"/><Relationship Id="rId793" Type="http://schemas.openxmlformats.org/officeDocument/2006/relationships/hyperlink" Target="https://www.linkedin.com/in/carlos-gustavo-bortolotto/" TargetMode="External"/><Relationship Id="rId1388" Type="http://schemas.openxmlformats.org/officeDocument/2006/relationships/hyperlink" Target="https://universidade.pipelovers.net/m/lessons/construindo-uma-maquina-de-vendas-inbound1769552247256?classId=3479" TargetMode="External"/><Relationship Id="rId2235" Type="http://schemas.openxmlformats.org/officeDocument/2006/relationships/hyperlink" Target="https://www.linkedin.com/in/adrianogan/" TargetMode="External"/><Relationship Id="rId297" Type="http://schemas.openxmlformats.org/officeDocument/2006/relationships/hyperlink" Target="https://universidade.pipelovers.net/m/lessons/maximizando-o-potencial-do-e-mail1769552046385?classId=3519" TargetMode="External"/><Relationship Id="rId296" Type="http://schemas.openxmlformats.org/officeDocument/2006/relationships/hyperlink" Target="https://universidade.pipelovers.net/m/lessons/maximizando-o-potencial-do-e-mail1769552046385?classId=3519" TargetMode="External"/><Relationship Id="rId295" Type="http://schemas.openxmlformats.org/officeDocument/2006/relationships/hyperlink" Target="https://www.linkedin.com/in/denise-ozaki/" TargetMode="External"/><Relationship Id="rId294" Type="http://schemas.openxmlformats.org/officeDocument/2006/relationships/hyperlink" Target="https://universidade.pipelovers.net/m/lessons/convertendo-indicacoes-em-oportunidades1769552046336?classId=3518" TargetMode="External"/><Relationship Id="rId299" Type="http://schemas.openxmlformats.org/officeDocument/2006/relationships/hyperlink" Target="https://universidade.pipelovers.net/m/lessons/rotinas-de-autoavaliacao-de-performance-de-pre-vendedores1769552046415?classId=3520" TargetMode="External"/><Relationship Id="rId298" Type="http://schemas.openxmlformats.org/officeDocument/2006/relationships/hyperlink" Target="https://www.linkedin.com/in/danndhara/" TargetMode="External"/><Relationship Id="rId271" Type="http://schemas.openxmlformats.org/officeDocument/2006/relationships/hyperlink" Target="https://universidade.pipelovers.net/m/lessons/transformar-objecoes-em-oportunidades1769552042964?classId=3510" TargetMode="External"/><Relationship Id="rId270" Type="http://schemas.openxmlformats.org/officeDocument/2006/relationships/hyperlink" Target="https://universidade.pipelovers.net/m/lessons/transformar-objecoes-em-oportunidades1769552042964?classId=3510" TargetMode="External"/><Relationship Id="rId269" Type="http://schemas.openxmlformats.org/officeDocument/2006/relationships/hyperlink" Target="https://www.linkedin.com/in/winnicius-cunha/" TargetMode="External"/><Relationship Id="rId264" Type="http://schemas.openxmlformats.org/officeDocument/2006/relationships/hyperlink" Target="https://universidade.pipelovers.net/m/lessons/como-um-assistente-de-ai-pode-ajudar-o-pre-vendedor1769552042841?classId=3508" TargetMode="External"/><Relationship Id="rId263" Type="http://schemas.openxmlformats.org/officeDocument/2006/relationships/hyperlink" Target="https://www.linkedin.com/in/lilian-lopes-642a49144/" TargetMode="External"/><Relationship Id="rId262" Type="http://schemas.openxmlformats.org/officeDocument/2006/relationships/hyperlink" Target="https://universidade.pipelovers.net/m/lessons/estrategias-para-aumentar-a-produtividade-na-prospeccao1769552040074?classId=3506" TargetMode="External"/><Relationship Id="rId261" Type="http://schemas.openxmlformats.org/officeDocument/2006/relationships/hyperlink" Target="https://universidade.pipelovers.net/m/lessons/estrategias-para-aumentar-a-produtividade-na-prospeccao1769552040074?classId=3506" TargetMode="External"/><Relationship Id="rId268" Type="http://schemas.openxmlformats.org/officeDocument/2006/relationships/hyperlink" Target="https://universidade.pipelovers.net/m/lessons/otimizando-o-fluxo-de-contato-com-leads1769552042897?classId=3509" TargetMode="External"/><Relationship Id="rId267" Type="http://schemas.openxmlformats.org/officeDocument/2006/relationships/hyperlink" Target="https://universidade.pipelovers.net/m/lessons/otimizando-o-fluxo-de-contato-com-leads1769552042897?classId=3509" TargetMode="External"/><Relationship Id="rId266" Type="http://schemas.openxmlformats.org/officeDocument/2006/relationships/hyperlink" Target="https://www.linkedin.com/in/myrianmourao/" TargetMode="External"/><Relationship Id="rId265" Type="http://schemas.openxmlformats.org/officeDocument/2006/relationships/hyperlink" Target="https://universidade.pipelovers.net/m/lessons/como-um-assistente-de-ai-pode-ajudar-o-pre-vendedor1769552042841?classId=3508" TargetMode="External"/><Relationship Id="rId260" Type="http://schemas.openxmlformats.org/officeDocument/2006/relationships/hyperlink" Target="https://www.linkedin.com/in/felipe-traina/" TargetMode="External"/><Relationship Id="rId259" Type="http://schemas.openxmlformats.org/officeDocument/2006/relationships/hyperlink" Target="https://universidade.pipelovers.net/m/lessons/reduzindo-no-show-na-prospeccao-outbound1769552040033?classId=3507" TargetMode="External"/><Relationship Id="rId258" Type="http://schemas.openxmlformats.org/officeDocument/2006/relationships/hyperlink" Target="https://universidade.pipelovers.net/m/lessons/reduzindo-no-show-na-prospeccao-outbound1769552040033?classId=3507" TargetMode="External"/><Relationship Id="rId2290" Type="http://schemas.openxmlformats.org/officeDocument/2006/relationships/hyperlink" Target="https://drive.google.com/file/d/1yeRnABUw-R4j9J2yvM5qBde-WyskMoW-/view?usp=drive_link" TargetMode="External"/><Relationship Id="rId2291" Type="http://schemas.openxmlformats.org/officeDocument/2006/relationships/hyperlink" Target="https://www.linkedin.com/in/janainarost/" TargetMode="External"/><Relationship Id="rId2292" Type="http://schemas.openxmlformats.org/officeDocument/2006/relationships/hyperlink" Target="https://universidade.pipelovers.net/m/lessons/como-liderar-projetos-e-pessoas-sem-ser-gestor-direto1769552459959?classId=3408" TargetMode="External"/><Relationship Id="rId2293" Type="http://schemas.openxmlformats.org/officeDocument/2006/relationships/hyperlink" Target="https://universidade.pipelovers.net/m/lessons/como-liderar-projetos-e-pessoas-sem-ser-gestor-direto1769552459959?classId=3408" TargetMode="External"/><Relationship Id="rId253" Type="http://schemas.openxmlformats.org/officeDocument/2006/relationships/hyperlink" Target="https://universidade.pipelovers.net/m/lessons/retomada-de-leads-perdidos1769552039907?classId=3504" TargetMode="External"/><Relationship Id="rId2294" Type="http://schemas.openxmlformats.org/officeDocument/2006/relationships/hyperlink" Target="https://drive.google.com/file/d/1Qih9JNqBK5vGx9meumA_Y2HIinamo_od/view?usp=drive_link" TargetMode="External"/><Relationship Id="rId252" Type="http://schemas.openxmlformats.org/officeDocument/2006/relationships/hyperlink" Target="https://universidade.pipelovers.net/m/lessons/retomada-de-leads-perdidos1769552039907?classId=3504" TargetMode="External"/><Relationship Id="rId2295" Type="http://schemas.openxmlformats.org/officeDocument/2006/relationships/hyperlink" Target="https://www.linkedin.com/in/carol-deberaldini-21793442/" TargetMode="External"/><Relationship Id="rId251" Type="http://schemas.openxmlformats.org/officeDocument/2006/relationships/hyperlink" Target="https://www.linkedin.com/in/lucas-axel-7b0321153/" TargetMode="External"/><Relationship Id="rId2296" Type="http://schemas.openxmlformats.org/officeDocument/2006/relationships/hyperlink" Target="https://universidade.pipelovers.net/m/lessons/gestao-do-tempo-tecnicas-de-organizacao-e-produtividade1769552460040?classId=3409" TargetMode="External"/><Relationship Id="rId250" Type="http://schemas.openxmlformats.org/officeDocument/2006/relationships/hyperlink" Target="https://universidade.pipelovers.net/m/lessons/mapeando-contas-enterprise-e-entendendo-o-processo-de-compra1769552039932?classId=3503" TargetMode="External"/><Relationship Id="rId2297" Type="http://schemas.openxmlformats.org/officeDocument/2006/relationships/hyperlink" Target="https://universidade.pipelovers.net/m/lessons/gestao-do-tempo-tecnicas-de-organizacao-e-produtividade1769552460040?classId=3409" TargetMode="External"/><Relationship Id="rId257" Type="http://schemas.openxmlformats.org/officeDocument/2006/relationships/hyperlink" Target="https://www.linkedin.com/in/sharon-santos-783944184/?utm_source=share&amp;utm_campaign=share_via&amp;utm_content=profile&amp;utm_medium=ios_app" TargetMode="External"/><Relationship Id="rId2298" Type="http://schemas.openxmlformats.org/officeDocument/2006/relationships/hyperlink" Target="https://drive.google.com/file/d/1rgDmA5fFA_diuTZZti9fGzPeVfKGuHRq/view?usp=drive_link" TargetMode="External"/><Relationship Id="rId256" Type="http://schemas.openxmlformats.org/officeDocument/2006/relationships/hyperlink" Target="https://universidade.pipelovers.net/m/lessons/como-prospectar-a-nova-geracao-de-decisores1769552039958?classId=3505" TargetMode="External"/><Relationship Id="rId2299" Type="http://schemas.openxmlformats.org/officeDocument/2006/relationships/hyperlink" Target="https://www.linkedin.com/in/duda-salvy/" TargetMode="External"/><Relationship Id="rId255" Type="http://schemas.openxmlformats.org/officeDocument/2006/relationships/hyperlink" Target="https://universidade.pipelovers.net/m/lessons/como-prospectar-a-nova-geracao-de-decisores1769552039958?classId=3505" TargetMode="External"/><Relationship Id="rId254" Type="http://schemas.openxmlformats.org/officeDocument/2006/relationships/hyperlink" Target="https://www.linkedin.com/in/fernanda-guidolin-40a3b4156/" TargetMode="External"/><Relationship Id="rId293" Type="http://schemas.openxmlformats.org/officeDocument/2006/relationships/hyperlink" Target="https://universidade.pipelovers.net/m/lessons/convertendo-indicacoes-em-oportunidades1769552046336?classId=3518" TargetMode="External"/><Relationship Id="rId292" Type="http://schemas.openxmlformats.org/officeDocument/2006/relationships/hyperlink" Target="https://www.linkedin.com/in/gabriel-sbrasil/" TargetMode="External"/><Relationship Id="rId291" Type="http://schemas.openxmlformats.org/officeDocument/2006/relationships/hyperlink" Target="https://universidade.pipelovers.net/m/lessons/aumentando-a-qualidade-dos-dados-em-bases-de-prospeccao1769552046304?classId=3517" TargetMode="External"/><Relationship Id="rId290" Type="http://schemas.openxmlformats.org/officeDocument/2006/relationships/hyperlink" Target="https://universidade.pipelovers.net/m/lessons/aumentando-a-qualidade-dos-dados-em-bases-de-prospeccao1769552046304?classId=3517" TargetMode="External"/><Relationship Id="rId286" Type="http://schemas.openxmlformats.org/officeDocument/2006/relationships/hyperlink" Target="https://www.linkedin.com/in/brunnatheobaldo/" TargetMode="External"/><Relationship Id="rId285" Type="http://schemas.openxmlformats.org/officeDocument/2006/relationships/hyperlink" Target="https://universidade.pipelovers.net/aulas/como-realizar-testes-ab-para-maximizar-resultados-1775074847289" TargetMode="External"/><Relationship Id="rId284" Type="http://schemas.openxmlformats.org/officeDocument/2006/relationships/hyperlink" Target="https://universidade.pipelovers.net/aulas/como-realizar-testes-ab-para-maximizar-resultados-1775074847289" TargetMode="External"/><Relationship Id="rId283" Type="http://schemas.openxmlformats.org/officeDocument/2006/relationships/hyperlink" Target="https://www.linkedin.com/in/otavioborba/" TargetMode="External"/><Relationship Id="rId289" Type="http://schemas.openxmlformats.org/officeDocument/2006/relationships/hyperlink" Target="https://www.linkedin.com/in/pauloaakrieser/" TargetMode="External"/><Relationship Id="rId288" Type="http://schemas.openxmlformats.org/officeDocument/2006/relationships/hyperlink" Target="https://universidade.pipelovers.net/m/lessons/planejamento-de-atividades-diarias-para-maximizar-a-qualificacao-de-leads1769552046272?classId=3516" TargetMode="External"/><Relationship Id="rId287" Type="http://schemas.openxmlformats.org/officeDocument/2006/relationships/hyperlink" Target="https://universidade.pipelovers.net/m/lessons/planejamento-de-atividades-diarias-para-maximizar-a-qualificacao-de-leads1769552046272?classId=3516" TargetMode="External"/><Relationship Id="rId282" Type="http://schemas.openxmlformats.org/officeDocument/2006/relationships/hyperlink" Target="https://universidade.pipelovers.net/aulas/bestsellers-1775504294126" TargetMode="External"/><Relationship Id="rId281" Type="http://schemas.openxmlformats.org/officeDocument/2006/relationships/hyperlink" Target="https://universidade.pipelovers.net/aulas/bestsellers-1775504294126" TargetMode="External"/><Relationship Id="rId280" Type="http://schemas.openxmlformats.org/officeDocument/2006/relationships/hyperlink" Target="https://www.linkedin.com/in/aaronross/" TargetMode="External"/><Relationship Id="rId275" Type="http://schemas.openxmlformats.org/officeDocument/2006/relationships/hyperlink" Target="https://www.linkedin.com/in/jessicabosco/" TargetMode="External"/><Relationship Id="rId274" Type="http://schemas.openxmlformats.org/officeDocument/2006/relationships/hyperlink" Target="https://universidade.pipelovers.net/m/lessons/melhores-praticas-de-role-play-para-pre-vendedores1769552043115?classId=3511" TargetMode="External"/><Relationship Id="rId273" Type="http://schemas.openxmlformats.org/officeDocument/2006/relationships/hyperlink" Target="https://universidade.pipelovers.net/m/lessons/melhores-praticas-de-role-play-para-pre-vendedores1769552043115?classId=3511" TargetMode="External"/><Relationship Id="rId272" Type="http://schemas.openxmlformats.org/officeDocument/2006/relationships/hyperlink" Target="https://www.linkedin.com/in/renatamayer/" TargetMode="External"/><Relationship Id="rId279" Type="http://schemas.openxmlformats.org/officeDocument/2006/relationships/hyperlink" Target="https://universidade.pipelovers.net/m/lessons/colaboracao-entre-pre-vendas-e-vendas-para-conquistar-grandes-contas1769552043185?classId=3513" TargetMode="External"/><Relationship Id="rId278" Type="http://schemas.openxmlformats.org/officeDocument/2006/relationships/hyperlink" Target="https://universidade.pipelovers.net/m/lessons/colaboracao-entre-pre-vendas-e-vendas-para-conquistar-grandes-contas1769552043185?classId=3513" TargetMode="External"/><Relationship Id="rId277" Type="http://schemas.openxmlformats.org/officeDocument/2006/relationships/hyperlink" Target="https://universidade.pipelovers.net/m/lessons/como-encantar-engajar-e-converter-atraves-do-whatsapp1769552043024?classId=3512" TargetMode="External"/><Relationship Id="rId276" Type="http://schemas.openxmlformats.org/officeDocument/2006/relationships/hyperlink" Target="https://universidade.pipelovers.net/m/lessons/como-encantar-engajar-e-converter-atraves-do-whatsapp1769552043024?classId=3512" TargetMode="External"/><Relationship Id="rId1851" Type="http://schemas.openxmlformats.org/officeDocument/2006/relationships/hyperlink" Target="https://universidade.pipelovers.net/m/lessons/case-xp-inc1769552397542?classId=3324" TargetMode="External"/><Relationship Id="rId1852" Type="http://schemas.openxmlformats.org/officeDocument/2006/relationships/hyperlink" Target="https://universidade.pipelovers.net/m/lessons/case-xp-inc1769552397542?classId=3324" TargetMode="External"/><Relationship Id="rId1853" Type="http://schemas.openxmlformats.org/officeDocument/2006/relationships/hyperlink" Target="https://drive.google.com/file/d/1rNmJQwxdo63nw_IjCAMbpGrcwbOL8JQl/view?usp=drive_link" TargetMode="External"/><Relationship Id="rId2700" Type="http://schemas.openxmlformats.org/officeDocument/2006/relationships/hyperlink" Target="https://universidade.pipelovers.net/m/lessons/10-verdades-que-aceleram-seu-desenvolvimento-profissional1772542641585?classId=3745" TargetMode="External"/><Relationship Id="rId1854" Type="http://schemas.openxmlformats.org/officeDocument/2006/relationships/hyperlink" Target="https://www.linkedin.com/in/samircarlton/" TargetMode="External"/><Relationship Id="rId2701" Type="http://schemas.openxmlformats.org/officeDocument/2006/relationships/hyperlink" Target="https://universidade.pipelovers.net/m/lessons/10-verdades-que-aceleram-seu-desenvolvimento-profissional1772542641585?classId=3745" TargetMode="External"/><Relationship Id="rId1855" Type="http://schemas.openxmlformats.org/officeDocument/2006/relationships/hyperlink" Target="https://universidade.pipelovers.net/m/lessons/case-mercado-pago1769552405200?classId=3325" TargetMode="External"/><Relationship Id="rId2702" Type="http://schemas.openxmlformats.org/officeDocument/2006/relationships/hyperlink" Target="https://www.linkedin.com/in/gabriel-civinski/" TargetMode="External"/><Relationship Id="rId1856" Type="http://schemas.openxmlformats.org/officeDocument/2006/relationships/hyperlink" Target="https://universidade.pipelovers.net/m/lessons/case-mercado-pago1769552405200?classId=3325" TargetMode="External"/><Relationship Id="rId2703" Type="http://schemas.openxmlformats.org/officeDocument/2006/relationships/hyperlink" Target="https://universidade.pipelovers.net/m/lessons/metodologia-nepq-neurociencia-aplicada-a-vendas1772542642696?classId=3762" TargetMode="External"/><Relationship Id="rId1857" Type="http://schemas.openxmlformats.org/officeDocument/2006/relationships/hyperlink" Target="https://drive.google.com/file/d/1OQhj281BDkd8AQ1w32dTIdQDhf7vPiB8/view?usp=drive_link" TargetMode="External"/><Relationship Id="rId2704" Type="http://schemas.openxmlformats.org/officeDocument/2006/relationships/hyperlink" Target="https://universidade.pipelovers.net/m/lessons/metodologia-nepq-neurociencia-aplicada-a-vendas1772542642696?classId=3762" TargetMode="External"/><Relationship Id="rId1858" Type="http://schemas.openxmlformats.org/officeDocument/2006/relationships/hyperlink" Target="https://www.linkedin.com/in/yasmim-dib-loureiro/" TargetMode="External"/><Relationship Id="rId2705" Type="http://schemas.openxmlformats.org/officeDocument/2006/relationships/hyperlink" Target="https://www.linkedin.com/in/gabrielbonela/" TargetMode="External"/><Relationship Id="rId1859" Type="http://schemas.openxmlformats.org/officeDocument/2006/relationships/hyperlink" Target="https://universidade.pipelovers.net/m/lessons/case-amazon-aws1769552405299?classId=3329" TargetMode="External"/><Relationship Id="rId2706" Type="http://schemas.openxmlformats.org/officeDocument/2006/relationships/hyperlink" Target="https://universidade.pipelovers.net/m/lessons/rotinas-e-ferramentas-para-melhorar-o-pitch-do-seu-time1772542661925?classId=3769" TargetMode="External"/><Relationship Id="rId2707" Type="http://schemas.openxmlformats.org/officeDocument/2006/relationships/hyperlink" Target="https://universidade.pipelovers.net/m/lessons/rotinas-e-ferramentas-para-melhorar-o-pitch-do-seu-time1772542661925?classId=3769" TargetMode="External"/><Relationship Id="rId2708" Type="http://schemas.openxmlformats.org/officeDocument/2006/relationships/hyperlink" Target="https://www.linkedin.com/in/fernanda3garcia/" TargetMode="External"/><Relationship Id="rId2709" Type="http://schemas.openxmlformats.org/officeDocument/2006/relationships/hyperlink" Target="https://universidade.pipelovers.net/m/lessons/aprendizados-do-livro-prospeccao-fanatica-1773152052605?classId=3779" TargetMode="External"/><Relationship Id="rId1850" Type="http://schemas.openxmlformats.org/officeDocument/2006/relationships/hyperlink" Target="https://www.linkedin.com/in/caio-peres-cfa-57253693/" TargetMode="External"/><Relationship Id="rId1840" Type="http://schemas.openxmlformats.org/officeDocument/2006/relationships/hyperlink" Target="https://universidade.pipelovers.net/m/lessons/programa-de-canais-ter-ou-nao-ter1769552397371?classId=2854" TargetMode="External"/><Relationship Id="rId1841" Type="http://schemas.openxmlformats.org/officeDocument/2006/relationships/hyperlink" Target="https://drive.google.com/file/d/1oEbDazy7jyGwS3S1H-rwTzwPEos7ocdS/view?usp=drive_link" TargetMode="External"/><Relationship Id="rId1842" Type="http://schemas.openxmlformats.org/officeDocument/2006/relationships/hyperlink" Target="https://www.linkedin.com/in/naravazguimaraes/" TargetMode="External"/><Relationship Id="rId1843" Type="http://schemas.openxmlformats.org/officeDocument/2006/relationships/hyperlink" Target="https://universidade.pipelovers.net/m/lessons/modelos-de-programas-de-canais1769552397431?classId=3070" TargetMode="External"/><Relationship Id="rId1844" Type="http://schemas.openxmlformats.org/officeDocument/2006/relationships/hyperlink" Target="https://universidade.pipelovers.net/m/lessons/modelos-de-programas-de-canais1769552397431?classId=3070" TargetMode="External"/><Relationship Id="rId1845" Type="http://schemas.openxmlformats.org/officeDocument/2006/relationships/hyperlink" Target="https://drive.google.com/file/d/12nFgcrvx4hzQnpkfltYCJUtWh9uD8732/view?usp=drive_link" TargetMode="External"/><Relationship Id="rId1846" Type="http://schemas.openxmlformats.org/officeDocument/2006/relationships/hyperlink" Target="https://www.linkedin.com/in/joaobarcellos/" TargetMode="External"/><Relationship Id="rId1847" Type="http://schemas.openxmlformats.org/officeDocument/2006/relationships/hyperlink" Target="https://universidade.pipelovers.net/aulas/case-stone-1775081594547" TargetMode="External"/><Relationship Id="rId1848" Type="http://schemas.openxmlformats.org/officeDocument/2006/relationships/hyperlink" Target="https://universidade.pipelovers.net/aulas/case-stone-1775081594547" TargetMode="External"/><Relationship Id="rId1849" Type="http://schemas.openxmlformats.org/officeDocument/2006/relationships/hyperlink" Target="https://drive.google.com/file/d/1zHd5bPR6Uvfc-6Ei-ElhlqyhQQPiYbSI/view?usp=drive_link" TargetMode="External"/><Relationship Id="rId1873" Type="http://schemas.openxmlformats.org/officeDocument/2006/relationships/hyperlink" Target="https://drive.google.com/file/d/1rH_qvpxRSPbKHPPtqleCsVYyNaxJ8hJ5/view?usp=drive_link" TargetMode="External"/><Relationship Id="rId2720" Type="http://schemas.openxmlformats.org/officeDocument/2006/relationships/hyperlink" Target="https://www.linkedin.com/in/bonaroti/" TargetMode="External"/><Relationship Id="rId1874" Type="http://schemas.openxmlformats.org/officeDocument/2006/relationships/hyperlink" Target="https://www.linkedin.com/in/vitorcesar/" TargetMode="External"/><Relationship Id="rId2721" Type="http://schemas.openxmlformats.org/officeDocument/2006/relationships/hyperlink" Target="https://universidade.pipelovers.net/m/lessons/pare-de-fazer-networking-e-comece-a-se-conectar-1774385257123?classId=3845" TargetMode="External"/><Relationship Id="rId1875" Type="http://schemas.openxmlformats.org/officeDocument/2006/relationships/hyperlink" Target="https://universidade.pipelovers.net/m/lessons/engajamento-de-parceiros1769552405642?classId=3331" TargetMode="External"/><Relationship Id="rId2722" Type="http://schemas.openxmlformats.org/officeDocument/2006/relationships/hyperlink" Target="https://universidade.pipelovers.net/m/lessons/pare-de-fazer-networking-e-comece-a-se-conectar-1774385257123?classId=3845" TargetMode="External"/><Relationship Id="rId1876" Type="http://schemas.openxmlformats.org/officeDocument/2006/relationships/hyperlink" Target="https://universidade.pipelovers.net/m/lessons/engajamento-de-parceiros1769552405642?classId=3331" TargetMode="External"/><Relationship Id="rId2723" Type="http://schemas.openxmlformats.org/officeDocument/2006/relationships/hyperlink" Target="https://www.linkedin.com/in/anaamorimoficial/" TargetMode="External"/><Relationship Id="rId1877" Type="http://schemas.openxmlformats.org/officeDocument/2006/relationships/hyperlink" Target="https://drive.google.com/file/d/1rSG6mI38aeptXw3dRu2zDfyhmZU0bYkP/view?usp=drive_link" TargetMode="External"/><Relationship Id="rId2724" Type="http://schemas.openxmlformats.org/officeDocument/2006/relationships/hyperlink" Target="https://universidade.pipelovers.net/m/lessons/licoes-do-esporte-aplicadas-a-alta-performance-1773773449865" TargetMode="External"/><Relationship Id="rId1878" Type="http://schemas.openxmlformats.org/officeDocument/2006/relationships/hyperlink" Target="https://www.linkedin.com/in/danielaspinardi/" TargetMode="External"/><Relationship Id="rId2725" Type="http://schemas.openxmlformats.org/officeDocument/2006/relationships/hyperlink" Target="https://universidade.pipelovers.net/m/lessons/licoes-do-esporte-aplicadas-a-alta-performance-1773773449865" TargetMode="External"/><Relationship Id="rId1879" Type="http://schemas.openxmlformats.org/officeDocument/2006/relationships/hyperlink" Target="https://universidade.pipelovers.net/m/lessons/internacionalizacao-via-canais1769552405580?classId=3333" TargetMode="External"/><Relationship Id="rId2726" Type="http://schemas.openxmlformats.org/officeDocument/2006/relationships/hyperlink" Target="https://www.linkedin.com/in/urldopedro/" TargetMode="External"/><Relationship Id="rId2727" Type="http://schemas.openxmlformats.org/officeDocument/2006/relationships/hyperlink" Target="https://universidade.pipelovers.net/m/lessons/como-dobrar-a-receita-sem-dobrar-o-volume-de-leads-1773774431464?moduleId=1258&amp;classId=3833" TargetMode="External"/><Relationship Id="rId2728" Type="http://schemas.openxmlformats.org/officeDocument/2006/relationships/hyperlink" Target="https://universidade.pipelovers.net/m/lessons/como-dobrar-a-receita-sem-dobrar-o-volume-de-leads-1773774431464?moduleId=1258&amp;classId=3833" TargetMode="External"/><Relationship Id="rId2729" Type="http://schemas.openxmlformats.org/officeDocument/2006/relationships/hyperlink" Target="https://www.linkedin.com/in/rodrigoportes/" TargetMode="External"/><Relationship Id="rId1870" Type="http://schemas.openxmlformats.org/officeDocument/2006/relationships/hyperlink" Target="https://www.linkedin.com/in/raphael-gouvea-b9788624/" TargetMode="External"/><Relationship Id="rId1871" Type="http://schemas.openxmlformats.org/officeDocument/2006/relationships/hyperlink" Target="https://universidade.pipelovers.net/m/lessons/case-gympass1769552405373?classId=3328" TargetMode="External"/><Relationship Id="rId1872" Type="http://schemas.openxmlformats.org/officeDocument/2006/relationships/hyperlink" Target="https://universidade.pipelovers.net/m/lessons/case-gympass1769552405373?classId=3328" TargetMode="External"/><Relationship Id="rId1862" Type="http://schemas.openxmlformats.org/officeDocument/2006/relationships/hyperlink" Target="https://www.linkedin.com/in/anaduccini/" TargetMode="External"/><Relationship Id="rId1863" Type="http://schemas.openxmlformats.org/officeDocument/2006/relationships/hyperlink" Target="https://universidade.pipelovers.net/m/lessons/case-loja-integrada1769552405489?classId=3326" TargetMode="External"/><Relationship Id="rId2710" Type="http://schemas.openxmlformats.org/officeDocument/2006/relationships/hyperlink" Target="https://universidade.pipelovers.net/m/lessons/aprendizados-do-livro-prospeccao-fanatica-1773152052605?classId=3779" TargetMode="External"/><Relationship Id="rId1864" Type="http://schemas.openxmlformats.org/officeDocument/2006/relationships/hyperlink" Target="https://universidade.pipelovers.net/m/lessons/case-loja-integrada1769552405489?classId=3326" TargetMode="External"/><Relationship Id="rId2711" Type="http://schemas.openxmlformats.org/officeDocument/2006/relationships/hyperlink" Target="https://www.linkedin.com/in/gabrielbat/?locale=pt_BR" TargetMode="External"/><Relationship Id="rId1865" Type="http://schemas.openxmlformats.org/officeDocument/2006/relationships/hyperlink" Target="https://drive.google.com/file/d/1sgVDl9fiu3yVKf-VNKsvR9XcktbfOUhe/view?usp=drive_link" TargetMode="External"/><Relationship Id="rId2712" Type="http://schemas.openxmlformats.org/officeDocument/2006/relationships/hyperlink" Target="https://universidade.pipelovers.net/m/lessons/guia-completo-de-papeis-em-vendas-4-cargos-que-voce-precisa-conhecer-1771880116451?classId=3842" TargetMode="External"/><Relationship Id="rId1866" Type="http://schemas.openxmlformats.org/officeDocument/2006/relationships/hyperlink" Target="https://www.linkedin.com/in/barbara-luchese/overlay/photo/" TargetMode="External"/><Relationship Id="rId2713" Type="http://schemas.openxmlformats.org/officeDocument/2006/relationships/hyperlink" Target="https://universidade.pipelovers.net/m/lessons/guia-completo-de-papeis-em-vendas-4-cargos-que-voce-precisa-conhecer-1771880116451?classId=3842" TargetMode="External"/><Relationship Id="rId1867" Type="http://schemas.openxmlformats.org/officeDocument/2006/relationships/hyperlink" Target="https://universidade.pipelovers.net/m/lessons/case-alelo1769552405429?classId=3327" TargetMode="External"/><Relationship Id="rId2714" Type="http://schemas.openxmlformats.org/officeDocument/2006/relationships/hyperlink" Target="https://www.linkedin.com/in/daniela-dalmolin-feldens/" TargetMode="External"/><Relationship Id="rId1868" Type="http://schemas.openxmlformats.org/officeDocument/2006/relationships/hyperlink" Target="https://universidade.pipelovers.net/m/lessons/case-alelo1769552405429?classId=3327" TargetMode="External"/><Relationship Id="rId2715" Type="http://schemas.openxmlformats.org/officeDocument/2006/relationships/hyperlink" Target="https://universidade.pipelovers.net/m/lessons/aprendizados-da-maior-feira-de-varejo-do-mundo-nrf-1774279496516?classId=3843" TargetMode="External"/><Relationship Id="rId1869" Type="http://schemas.openxmlformats.org/officeDocument/2006/relationships/hyperlink" Target="https://drive.google.com/file/d/1eSIV5fkLxGHvGGbSZ2J6-aUk7LI9MNBd/view?usp=drive_link" TargetMode="External"/><Relationship Id="rId2716" Type="http://schemas.openxmlformats.org/officeDocument/2006/relationships/hyperlink" Target="https://universidade.pipelovers.net/m/lessons/aprendizados-da-maior-feira-de-varejo-do-mundo-nrf-1774279496516?classId=3843" TargetMode="External"/><Relationship Id="rId2717" Type="http://schemas.openxmlformats.org/officeDocument/2006/relationships/hyperlink" Target="https://www.linkedin.com/in/twverissimo/" TargetMode="External"/><Relationship Id="rId2718" Type="http://schemas.openxmlformats.org/officeDocument/2006/relationships/hyperlink" Target="https://universidade.pipelovers.net/m/lessons/alta-performance-comeca-por-dentro-1774383463813?classId=3844" TargetMode="External"/><Relationship Id="rId2719" Type="http://schemas.openxmlformats.org/officeDocument/2006/relationships/hyperlink" Target="https://universidade.pipelovers.net/m/lessons/alta-performance-comeca-por-dentro-1774383463813?classId=3844" TargetMode="External"/><Relationship Id="rId1860" Type="http://schemas.openxmlformats.org/officeDocument/2006/relationships/hyperlink" Target="https://universidade.pipelovers.net/m/lessons/case-amazon-aws1769552405299?classId=3329" TargetMode="External"/><Relationship Id="rId1861" Type="http://schemas.openxmlformats.org/officeDocument/2006/relationships/hyperlink" Target="https://drive.google.com/file/d/1tlZMm7HVNBAJYRQMTJnXSkynDwr9oJs0/view?usp=drive_link" TargetMode="External"/><Relationship Id="rId1810" Type="http://schemas.openxmlformats.org/officeDocument/2006/relationships/hyperlink" Target="https://universidade.pipelovers.net/m/lessons/acoes-praticas-para-desenvolver-e-reter-os-talentos-do-seu-time-1782224168574?moduleId=1563&amp;classId=4415" TargetMode="External"/><Relationship Id="rId1811" Type="http://schemas.openxmlformats.org/officeDocument/2006/relationships/hyperlink" Target="https://www.linkedin.com/in/vinicius-tirapelle-da-silva-51451349/" TargetMode="External"/><Relationship Id="rId1812" Type="http://schemas.openxmlformats.org/officeDocument/2006/relationships/hyperlink" Target="https://universidade.pipelovers.net/m/lessons/aumento-de-taxa-de-conversao-atraves-de-coaching-de-vendedores-1783099432674" TargetMode="External"/><Relationship Id="rId1813" Type="http://schemas.openxmlformats.org/officeDocument/2006/relationships/hyperlink" Target="https://www.linkedin.com/in/david-mattos/" TargetMode="External"/><Relationship Id="rId1814" Type="http://schemas.openxmlformats.org/officeDocument/2006/relationships/hyperlink" Target="https://universidade.pipelovers.net/m/lessons/gestao-de-vendas-internacionais-a-partir-do-brasil-1783099942622?moduleId=1470&amp;classId=4052" TargetMode="External"/><Relationship Id="rId1815" Type="http://schemas.openxmlformats.org/officeDocument/2006/relationships/hyperlink" Target="https://www.linkedin.com/in/marcelopereira/" TargetMode="External"/><Relationship Id="rId1816" Type="http://schemas.openxmlformats.org/officeDocument/2006/relationships/hyperlink" Target="https://universidade.pipelovers.net/m/lessons/a-indicacao-como-canal-de-vendas-1784050890632?moduleId=1507&amp;classId=4206" TargetMode="External"/><Relationship Id="rId1817" Type="http://schemas.openxmlformats.org/officeDocument/2006/relationships/hyperlink" Target="https://www.linkedin.com/in/marcelopereira/" TargetMode="External"/><Relationship Id="rId1818" Type="http://schemas.openxmlformats.org/officeDocument/2006/relationships/hyperlink" Target="https://universidade.pipelovers.net/m/lessons/a-persona-do-indicador-e-a-definicao-do-modelo-de-recompensa-1784051189434?moduleId=1508&amp;classId=4207" TargetMode="External"/><Relationship Id="rId1819" Type="http://schemas.openxmlformats.org/officeDocument/2006/relationships/hyperlink" Target="https://www.linkedin.com/in/marcelopereira/" TargetMode="External"/><Relationship Id="rId1800" Type="http://schemas.openxmlformats.org/officeDocument/2006/relationships/hyperlink" Target="https://universidade.pipelovers.net/m/lessons/modelos-de-incentivo-e-recompensa-para-vendedores-1778011143206?moduleId=1404&amp;classId=3989" TargetMode="External"/><Relationship Id="rId1801" Type="http://schemas.openxmlformats.org/officeDocument/2006/relationships/hyperlink" Target="https://universidade.pipelovers.net/m/lessons/modelos-de-incentivo-e-recompensa-para-vendedores-1778011143206?moduleId=1404&amp;classId=3989" TargetMode="External"/><Relationship Id="rId1802" Type="http://schemas.openxmlformats.org/officeDocument/2006/relationships/hyperlink" Target="https://www.linkedin.com/in/lucasferreira123/?skipRedirect=true" TargetMode="External"/><Relationship Id="rId1803" Type="http://schemas.openxmlformats.org/officeDocument/2006/relationships/hyperlink" Target="https://universidade.pipelovers.net/m/lessons/gestao-de-territorio-de-vendas-externas-como-equilibrar-sua-equipe-1782225749478?moduleId=1457&amp;classId=4041" TargetMode="External"/><Relationship Id="rId1804" Type="http://schemas.openxmlformats.org/officeDocument/2006/relationships/hyperlink" Target="https://www.linkedin.com/in/alexandercabral/" TargetMode="External"/><Relationship Id="rId1805" Type="http://schemas.openxmlformats.org/officeDocument/2006/relationships/hyperlink" Target="https://universidade.pipelovers.net/m/lessons/cultura-de-valorizacao-como-engajar-times-de-vendas-no-dia-a-dia-1778615587418?moduleId=1414&amp;classId=4000" TargetMode="External"/><Relationship Id="rId1806" Type="http://schemas.openxmlformats.org/officeDocument/2006/relationships/hyperlink" Target="https://universidade.pipelovers.net/m/lessons/cultura-de-valorizacao-como-engajar-times-de-vendas-no-dia-a-dia-1778615587418?moduleId=1414&amp;classId=4000" TargetMode="External"/><Relationship Id="rId1807" Type="http://schemas.openxmlformats.org/officeDocument/2006/relationships/hyperlink" Target="https://www.linkedin.com/in/julia-drumond/" TargetMode="External"/><Relationship Id="rId1808" Type="http://schemas.openxmlformats.org/officeDocument/2006/relationships/hyperlink" Target="https://universidade.pipelovers.net/m/lessons/preparacao-para-promocao-como-se-tornar-lider-de-lideres-1781809613628" TargetMode="External"/><Relationship Id="rId1809" Type="http://schemas.openxmlformats.org/officeDocument/2006/relationships/hyperlink" Target="https://www.linkedin.com/in/felipebkroque/" TargetMode="External"/><Relationship Id="rId1830" Type="http://schemas.openxmlformats.org/officeDocument/2006/relationships/hyperlink" Target="https://universidade.pipelovers.net/m/lessons/sinais-de-intencao-de-compra-como-usar-dado-pra-saber-a-hora-certa-de-abordar-1788461986742?moduleId=1639&amp;classId=4546" TargetMode="External"/><Relationship Id="rId1831" Type="http://schemas.openxmlformats.org/officeDocument/2006/relationships/hyperlink" Target="https://www.linkedin.com/in/bonaroti/" TargetMode="External"/><Relationship Id="rId1832" Type="http://schemas.openxmlformats.org/officeDocument/2006/relationships/hyperlink" Target="https://universidade.pipelovers.net/m/lessons/resenha-do-livro-pipelines-da-lideranca-de-ram-charan-1789157418378?moduleId=1662&amp;classId=4598" TargetMode="External"/><Relationship Id="rId1833" Type="http://schemas.openxmlformats.org/officeDocument/2006/relationships/hyperlink" Target="https://www.linkedin.com/in/matheus-gomes-dasilva/" TargetMode="External"/><Relationship Id="rId1834" Type="http://schemas.openxmlformats.org/officeDocument/2006/relationships/hyperlink" Target="https://universidade.pipelovers.net/m/lessons/o-impacto-da-ia-na-jornada-de-compra-b2b-1789157620083?moduleId=1663&amp;classId=4599" TargetMode="External"/><Relationship Id="rId1835" Type="http://schemas.openxmlformats.org/officeDocument/2006/relationships/hyperlink" Target="https://www.linkedin.com/in/felipebkroque/" TargetMode="External"/><Relationship Id="rId1836" Type="http://schemas.openxmlformats.org/officeDocument/2006/relationships/hyperlink" Target="https://universidade.pipelovers.net/m/lessons/como-justificar-mais-investimentos-em-vendas-para-a-diretoria-1789157896633?moduleId=1664&amp;classId=4600" TargetMode="External"/><Relationship Id="rId1837" Type="http://schemas.openxmlformats.org/officeDocument/2006/relationships/hyperlink" Target="https://universidade.pipelovers.net/m/lessons/como-justificar-mais-investimentos-em-vendas-para-a-diretoria-1789157896633?moduleId=1664&amp;classId=4600" TargetMode="External"/><Relationship Id="rId1838" Type="http://schemas.openxmlformats.org/officeDocument/2006/relationships/hyperlink" Target="https://www.linkedin.com/in/rafael-milare/" TargetMode="External"/><Relationship Id="rId1839" Type="http://schemas.openxmlformats.org/officeDocument/2006/relationships/hyperlink" Target="https://universidade.pipelovers.net/m/lessons/programa-de-canais-ter-ou-nao-ter1769552397371?classId=2854" TargetMode="External"/><Relationship Id="rId1820" Type="http://schemas.openxmlformats.org/officeDocument/2006/relationships/hyperlink" Target="https://universidade.pipelovers.net/m/lessons/o-formato-da-indicacao-e-divulgacao-do-programa-1784051352689?moduleId=1509&amp;classId=4208" TargetMode="External"/><Relationship Id="rId1821" Type="http://schemas.openxmlformats.org/officeDocument/2006/relationships/hyperlink" Target="https://www.linkedin.com/in/marcelopereira/" TargetMode="External"/><Relationship Id="rId1822" Type="http://schemas.openxmlformats.org/officeDocument/2006/relationships/hyperlink" Target="https://universidade.pipelovers.net/m/lessons/consistencia-do-programa-1784051514542?moduleId=1510&amp;classId=4209" TargetMode="External"/><Relationship Id="rId1823" Type="http://schemas.openxmlformats.org/officeDocument/2006/relationships/hyperlink" Target="https://www.linkedin.com/in/robertakuzolitz/" TargetMode="External"/><Relationship Id="rId1824" Type="http://schemas.openxmlformats.org/officeDocument/2006/relationships/hyperlink" Target="https://universidade.pipelovers.net/m/lessons/eventos-como-maquina-de-geracao-de-demanda-e-roi-1786644544313?moduleId=1654&amp;classId=4560" TargetMode="External"/><Relationship Id="rId1825" Type="http://schemas.openxmlformats.org/officeDocument/2006/relationships/hyperlink" Target="https://www.linkedin.com/in/lorenavonhroch/" TargetMode="External"/><Relationship Id="rId1826" Type="http://schemas.openxmlformats.org/officeDocument/2006/relationships/hyperlink" Target="https://universidade.pipelovers.net/m/lessons/prontos-pro-confronto-a-ferramenta-que-seu-time-usa-contra-a-concorrencia-1786643367432?moduleId=1589&amp;classId=4480" TargetMode="External"/><Relationship Id="rId1827" Type="http://schemas.openxmlformats.org/officeDocument/2006/relationships/hyperlink" Target="http://elephan.ai" TargetMode="External"/><Relationship Id="rId1828" Type="http://schemas.openxmlformats.org/officeDocument/2006/relationships/hyperlink" Target="https://universidade.pipelovers.net/m/lessons/ia-aplicada-na-gestao-de-crm-1789503124269?moduleId=1676&amp;classId=4611" TargetMode="External"/><Relationship Id="rId1829" Type="http://schemas.openxmlformats.org/officeDocument/2006/relationships/hyperlink" Target="https://www.linkedin.com/in/edusmattos/" TargetMode="External"/><Relationship Id="rId1455" Type="http://schemas.openxmlformats.org/officeDocument/2006/relationships/hyperlink" Target="https://universidade.pipelovers.net/m/lessons/pesquisa-de-nps-como-fonte-de-insights1769552264439?classId=3204" TargetMode="External"/><Relationship Id="rId2302" Type="http://schemas.openxmlformats.org/officeDocument/2006/relationships/hyperlink" Target="https://drive.google.com/file/d/1JikgCVfhVaBCXP0V2M67NGiSksb-T3qi/view?usp=drive_link" TargetMode="External"/><Relationship Id="rId2786" Type="http://schemas.openxmlformats.org/officeDocument/2006/relationships/hyperlink" Target="https://www.linkedin.com/in/thiagogrissi/" TargetMode="External"/><Relationship Id="rId1456" Type="http://schemas.openxmlformats.org/officeDocument/2006/relationships/hyperlink" Target="https://universidade.pipelovers.net/m/lessons/pesquisa-de-nps-como-fonte-de-insights1769552264439?classId=3204" TargetMode="External"/><Relationship Id="rId2303" Type="http://schemas.openxmlformats.org/officeDocument/2006/relationships/hyperlink" Target="https://www.linkedin.com/in/gabriel-sbrasil/" TargetMode="External"/><Relationship Id="rId2787" Type="http://schemas.openxmlformats.org/officeDocument/2006/relationships/hyperlink" Target="https://universidade.pipelovers.net/m/lessons/ia-na-gestao-do-time-e-na-lideranca-comercial-1785177476751?moduleId=1569&amp;classId=4421" TargetMode="External"/><Relationship Id="rId1457" Type="http://schemas.openxmlformats.org/officeDocument/2006/relationships/hyperlink" Target="https://universidade.pipelovers.net/m/lessons/rituais-efetivos-para-gestao-de-vendas1769552264515?classId=3205" TargetMode="External"/><Relationship Id="rId2304" Type="http://schemas.openxmlformats.org/officeDocument/2006/relationships/hyperlink" Target="https://universidade.pipelovers.net/m/lessons/como-estabelecer-parcerias-estrategicas-para-impulsionar-sua-receita1769552460239?classId=3411" TargetMode="External"/><Relationship Id="rId2788" Type="http://schemas.openxmlformats.org/officeDocument/2006/relationships/hyperlink" Target="https://universidade.pipelovers.net/m/lessons/ia-na-gestao-do-time-e-na-lideranca-comercial-1785177476751?moduleId=1569&amp;classId=4421" TargetMode="External"/><Relationship Id="rId1458" Type="http://schemas.openxmlformats.org/officeDocument/2006/relationships/hyperlink" Target="https://universidade.pipelovers.net/m/lessons/rituais-efetivos-para-gestao-de-vendas1769552264515?classId=3205" TargetMode="External"/><Relationship Id="rId2305" Type="http://schemas.openxmlformats.org/officeDocument/2006/relationships/hyperlink" Target="https://universidade.pipelovers.net/m/lessons/como-estabelecer-parcerias-estrategicas-para-impulsionar-sua-receita1769552460239?classId=3411" TargetMode="External"/><Relationship Id="rId2789" Type="http://schemas.openxmlformats.org/officeDocument/2006/relationships/hyperlink" Target="https://www.linkedin.com/in/gpagotto/" TargetMode="External"/><Relationship Id="rId1459" Type="http://schemas.openxmlformats.org/officeDocument/2006/relationships/hyperlink" Target="https://universidade.pipelovers.net/m/lessons/planejamento-de-vendas-bottom-up1769552264540?classId=3206" TargetMode="External"/><Relationship Id="rId2306" Type="http://schemas.openxmlformats.org/officeDocument/2006/relationships/hyperlink" Target="https://drive.google.com/file/d/1Qj67PR9ewi0uPMU6Sbz-FzQc36Neqgl3/view?usp=drive_link" TargetMode="External"/><Relationship Id="rId2307" Type="http://schemas.openxmlformats.org/officeDocument/2006/relationships/hyperlink" Target="https://www.linkedin.com/in/marceloandradeb/" TargetMode="External"/><Relationship Id="rId2308" Type="http://schemas.openxmlformats.org/officeDocument/2006/relationships/hyperlink" Target="https://universidade.pipelovers.net/m/lessons/como-fazer-seu-canal-refletir-sua-cultura-para-o-mercado1769552460290?classId=3412" TargetMode="External"/><Relationship Id="rId2309" Type="http://schemas.openxmlformats.org/officeDocument/2006/relationships/hyperlink" Target="https://universidade.pipelovers.net/m/lessons/como-fazer-seu-canal-refletir-sua-cultura-para-o-mercado1769552460290?classId=3412" TargetMode="External"/><Relationship Id="rId629" Type="http://schemas.openxmlformats.org/officeDocument/2006/relationships/hyperlink" Target="https://www.linkedin.com/in/fabianocorreia/" TargetMode="External"/><Relationship Id="rId624" Type="http://schemas.openxmlformats.org/officeDocument/2006/relationships/hyperlink" Target="https://drive.google.com/file/d/1cWYNV-r9bKl5wD32N96HQyiD-GuXQQZT/view?usp=drive_link" TargetMode="External"/><Relationship Id="rId623" Type="http://schemas.openxmlformats.org/officeDocument/2006/relationships/hyperlink" Target="https://universidade.pipelovers.net/m/lessons/o-papel-do-vendedor-especialista1769552325022?classId=3591" TargetMode="External"/><Relationship Id="rId622" Type="http://schemas.openxmlformats.org/officeDocument/2006/relationships/hyperlink" Target="https://universidade.pipelovers.net/m/lessons/o-papel-do-vendedor-especialista1769552325022?classId=3591" TargetMode="External"/><Relationship Id="rId621" Type="http://schemas.openxmlformats.org/officeDocument/2006/relationships/hyperlink" Target="https://www.linkedin.com/in/brunnaremorborghezan/" TargetMode="External"/><Relationship Id="rId628" Type="http://schemas.openxmlformats.org/officeDocument/2006/relationships/hyperlink" Target="https://drive.google.com/file/d/1XATeggYCDSDaFml5xQxZyQ7-sjpCqj4R/view?usp=drive_link" TargetMode="External"/><Relationship Id="rId627" Type="http://schemas.openxmlformats.org/officeDocument/2006/relationships/hyperlink" Target="https://universidade.pipelovers.net/m/lessons/como-provar-valor-ao-cliente1769552325063?classId=3592" TargetMode="External"/><Relationship Id="rId626" Type="http://schemas.openxmlformats.org/officeDocument/2006/relationships/hyperlink" Target="https://universidade.pipelovers.net/m/lessons/como-provar-valor-ao-cliente1769552325063?classId=3592" TargetMode="External"/><Relationship Id="rId625" Type="http://schemas.openxmlformats.org/officeDocument/2006/relationships/hyperlink" Target="https://www.linkedin.com/in/beatrizpadrao/" TargetMode="External"/><Relationship Id="rId2780" Type="http://schemas.openxmlformats.org/officeDocument/2006/relationships/hyperlink" Target="https://www.linkedin.com/in/chriscornehl/" TargetMode="External"/><Relationship Id="rId1450" Type="http://schemas.openxmlformats.org/officeDocument/2006/relationships/hyperlink" Target="https://universidade.pipelovers.net/m/lessons/qual-perfil-de-vendedor-ideal-para-sua-empresa1769552264323?classId=3201" TargetMode="External"/><Relationship Id="rId2781" Type="http://schemas.openxmlformats.org/officeDocument/2006/relationships/hyperlink" Target="https://universidade.pipelovers.net/m/lessons/certificacao-em-inteligencia-artificial-em-vendas-b2b-1783114475289?moduleId=1474&amp;classId=4492" TargetMode="External"/><Relationship Id="rId620" Type="http://schemas.openxmlformats.org/officeDocument/2006/relationships/hyperlink" Target="https://drive.google.com/file/d/1vnfHe2Qc17gdbznuDxlH5jIdn-ZshXnK/view?usp=drive_link" TargetMode="External"/><Relationship Id="rId1451" Type="http://schemas.openxmlformats.org/officeDocument/2006/relationships/hyperlink" Target="https://universidade.pipelovers.net/m/lessons/relacoes-publicas-como-estrategia-de-crescimento1769552264352?classId=3202" TargetMode="External"/><Relationship Id="rId2782" Type="http://schemas.openxmlformats.org/officeDocument/2006/relationships/hyperlink" Target="https://universidade.pipelovers.net/m/lessons/certificacao-em-inteligencia-artificial-em-vendas-b2b-1783114475289?moduleId=1474&amp;classId=4492" TargetMode="External"/><Relationship Id="rId1452" Type="http://schemas.openxmlformats.org/officeDocument/2006/relationships/hyperlink" Target="https://universidade.pipelovers.net/m/lessons/relacoes-publicas-como-estrategia-de-crescimento1769552264352?classId=3202" TargetMode="External"/><Relationship Id="rId2783" Type="http://schemas.openxmlformats.org/officeDocument/2006/relationships/hyperlink" Target="https://www.linkedin.com/in/thais-sterenberg-de-oliveira/" TargetMode="External"/><Relationship Id="rId1453" Type="http://schemas.openxmlformats.org/officeDocument/2006/relationships/hyperlink" Target="https://universidade.pipelovers.net/m/lessons/alinhamento-entre-marketing-e-vendas1769552264387?classId=3203" TargetMode="External"/><Relationship Id="rId2300" Type="http://schemas.openxmlformats.org/officeDocument/2006/relationships/hyperlink" Target="https://universidade.pipelovers.net/m/lessons/revops-para-canais-como-desenhar-uma-operacao-que-ajuda-o-parceiro-a-vender-mais1769552460187?classId=3410" TargetMode="External"/><Relationship Id="rId2784" Type="http://schemas.openxmlformats.org/officeDocument/2006/relationships/hyperlink" Target="https://universidade.pipelovers.net/m/lessons/ia-na-gestao-de-objecoes-e-no-fechamento-1785177287741" TargetMode="External"/><Relationship Id="rId1454" Type="http://schemas.openxmlformats.org/officeDocument/2006/relationships/hyperlink" Target="https://universidade.pipelovers.net/m/lessons/alinhamento-entre-marketing-e-vendas1769552264387?classId=3203" TargetMode="External"/><Relationship Id="rId2301" Type="http://schemas.openxmlformats.org/officeDocument/2006/relationships/hyperlink" Target="https://universidade.pipelovers.net/m/lessons/revops-para-canais-como-desenhar-uma-operacao-que-ajuda-o-parceiro-a-vender-mais1769552460187?classId=3410" TargetMode="External"/><Relationship Id="rId2785" Type="http://schemas.openxmlformats.org/officeDocument/2006/relationships/hyperlink" Target="https://universidade.pipelovers.net/m/lessons/ia-na-gestao-de-objecoes-e-no-fechamento-1785177287741" TargetMode="External"/><Relationship Id="rId1444" Type="http://schemas.openxmlformats.org/officeDocument/2006/relationships/hyperlink" Target="https://universidade.pipelovers.net/m/lessons/como-conduzir-conversas-dificeis-com-vendedores1769552264271?classId=3146" TargetMode="External"/><Relationship Id="rId2775" Type="http://schemas.openxmlformats.org/officeDocument/2006/relationships/hyperlink" Target="https://universidade.pipelovers.net/m/lessons/ia-na-prospeccao-pesquisa-personalizacao-e-ritmo-1784049963676" TargetMode="External"/><Relationship Id="rId1445" Type="http://schemas.openxmlformats.org/officeDocument/2006/relationships/hyperlink" Target="https://universidade.pipelovers.net/m/lessons/como-conduzir-conversas-dificeis-com-vendedores1769552264271?classId=3146" TargetMode="External"/><Relationship Id="rId2776" Type="http://schemas.openxmlformats.org/officeDocument/2006/relationships/hyperlink" Target="https://universidade.pipelovers.net/m/lessons/ia-na-prospeccao-pesquisa-personalizacao-e-ritmo-1784049963676" TargetMode="External"/><Relationship Id="rId1446" Type="http://schemas.openxmlformats.org/officeDocument/2006/relationships/hyperlink" Target="https://universidade.pipelovers.net/m/lessons/o-impacto-de-comunicar-a-estrategia-da-empresa-para-vendedores1769552264297?classId=3200" TargetMode="External"/><Relationship Id="rId2777" Type="http://schemas.openxmlformats.org/officeDocument/2006/relationships/hyperlink" Target="https://www.linkedin.com/in/robsondelfiol/" TargetMode="External"/><Relationship Id="rId1447" Type="http://schemas.openxmlformats.org/officeDocument/2006/relationships/hyperlink" Target="https://universidade.pipelovers.net/m/lessons/o-impacto-de-comunicar-a-estrategia-da-empresa-para-vendedores1769552264297?classId=3200" TargetMode="External"/><Relationship Id="rId2778" Type="http://schemas.openxmlformats.org/officeDocument/2006/relationships/hyperlink" Target="https://universidade.pipelovers.net/m/lessons/ia-na-qualificacao-e-na-reuniao-de-descoberta-1784921425354" TargetMode="External"/><Relationship Id="rId1448" Type="http://schemas.openxmlformats.org/officeDocument/2006/relationships/hyperlink" Target="https://www.linkedin.com/in/gpagotto/" TargetMode="External"/><Relationship Id="rId2779" Type="http://schemas.openxmlformats.org/officeDocument/2006/relationships/hyperlink" Target="https://universidade.pipelovers.net/m/lessons/ia-na-qualificacao-e-na-reuniao-de-descoberta-1784921425354" TargetMode="External"/><Relationship Id="rId1449" Type="http://schemas.openxmlformats.org/officeDocument/2006/relationships/hyperlink" Target="https://universidade.pipelovers.net/m/lessons/qual-perfil-de-vendedor-ideal-para-sua-empresa1769552264323?classId=3201" TargetMode="External"/><Relationship Id="rId619" Type="http://schemas.openxmlformats.org/officeDocument/2006/relationships/hyperlink" Target="https://universidade.pipelovers.net/m/lessons/vendas-para-grandes-contas1769552324984?classId=3590" TargetMode="External"/><Relationship Id="rId618" Type="http://schemas.openxmlformats.org/officeDocument/2006/relationships/hyperlink" Target="https://universidade.pipelovers.net/m/lessons/vendas-para-grandes-contas1769552324984?classId=3590" TargetMode="External"/><Relationship Id="rId613" Type="http://schemas.openxmlformats.org/officeDocument/2006/relationships/hyperlink" Target="https://www.linkedin.com/in/talitapassos/" TargetMode="External"/><Relationship Id="rId612" Type="http://schemas.openxmlformats.org/officeDocument/2006/relationships/hyperlink" Target="https://drive.google.com/file/d/1w0D3Z3JWdjKFTIcJmoWEG1v-v7yHJ8ix/view?usp=drive_link" TargetMode="External"/><Relationship Id="rId611" Type="http://schemas.openxmlformats.org/officeDocument/2006/relationships/hyperlink" Target="https://universidade.pipelovers.net/m/lessons/vendendo-produtos-lideres-de-mercado1769552324928?classId=3588" TargetMode="External"/><Relationship Id="rId610" Type="http://schemas.openxmlformats.org/officeDocument/2006/relationships/hyperlink" Target="https://universidade.pipelovers.net/m/lessons/vendendo-produtos-lideres-de-mercado1769552324928?classId=3588" TargetMode="External"/><Relationship Id="rId617" Type="http://schemas.openxmlformats.org/officeDocument/2006/relationships/hyperlink" Target="https://www.linkedin.com/in/alanschultelinkedin/" TargetMode="External"/><Relationship Id="rId616" Type="http://schemas.openxmlformats.org/officeDocument/2006/relationships/hyperlink" Target="https://drive.google.com/file/d/1ibZt276CeRw0AYS6zlAnUvGDKxO6xCgh/view?usp=drive_link" TargetMode="External"/><Relationship Id="rId615" Type="http://schemas.openxmlformats.org/officeDocument/2006/relationships/hyperlink" Target="https://universidade.pipelovers.net/m/lessons/cross-selling-e-up-selling1769552324956?classId=3589" TargetMode="External"/><Relationship Id="rId614" Type="http://schemas.openxmlformats.org/officeDocument/2006/relationships/hyperlink" Target="https://universidade.pipelovers.net/m/lessons/cross-selling-e-up-selling1769552324956?classId=3589" TargetMode="External"/><Relationship Id="rId2770" Type="http://schemas.openxmlformats.org/officeDocument/2006/relationships/hyperlink" Target="https://universidade.pipelovers.net/m/lessons/programa-de-construcao-da-maquina-de-vendas-b2b-construcao-de-playbooks-de-vendas-com-ia-1790017719614" TargetMode="External"/><Relationship Id="rId1440" Type="http://schemas.openxmlformats.org/officeDocument/2006/relationships/hyperlink" Target="https://universidade.pipelovers.net/m/lessons/o-que-motiva-vendedores-de-alta-performance1769552264188?classId=3144" TargetMode="External"/><Relationship Id="rId2771" Type="http://schemas.openxmlformats.org/officeDocument/2006/relationships/hyperlink" Target="https://www.linkedin.com/in/yagomartins/" TargetMode="External"/><Relationship Id="rId1441" Type="http://schemas.openxmlformats.org/officeDocument/2006/relationships/hyperlink" Target="https://www.linkedin.com/in/rafaelalexandre/" TargetMode="External"/><Relationship Id="rId2772" Type="http://schemas.openxmlformats.org/officeDocument/2006/relationships/hyperlink" Target="https://pipelovers.curseduca.pro/m/lessons/modulo-1-certificacao-em-inteligencia-artificial-fundamentos-de-ia-em-vendas-1783114254816" TargetMode="External"/><Relationship Id="rId1442" Type="http://schemas.openxmlformats.org/officeDocument/2006/relationships/hyperlink" Target="https://universidade.pipelovers.net/m/lessons/extraindo-o-maximo-de-uma-sessao-de-benchmark1769552264244?classId=3145" TargetMode="External"/><Relationship Id="rId2773" Type="http://schemas.openxmlformats.org/officeDocument/2006/relationships/hyperlink" Target="https://pipelovers.curseduca.pro/m/lessons/modulo-1-certificacao-em-inteligencia-artificial-fundamentos-de-ia-em-vendas-1783114254816" TargetMode="External"/><Relationship Id="rId1443" Type="http://schemas.openxmlformats.org/officeDocument/2006/relationships/hyperlink" Target="https://universidade.pipelovers.net/m/lessons/extraindo-o-maximo-de-uma-sessao-de-benchmark1769552264244?classId=3145" TargetMode="External"/><Relationship Id="rId2774" Type="http://schemas.openxmlformats.org/officeDocument/2006/relationships/hyperlink" Target="https://www.linkedin.com/in/igorbatista/" TargetMode="External"/><Relationship Id="rId1477" Type="http://schemas.openxmlformats.org/officeDocument/2006/relationships/hyperlink" Target="https://universidade.pipelovers.net/m/lessons/construcao-e-gestao-de-playbooks-de-vendas1769552267688?classId=3220" TargetMode="External"/><Relationship Id="rId2324" Type="http://schemas.openxmlformats.org/officeDocument/2006/relationships/hyperlink" Target="https://universidade.pipelovers.net/m/lessons/como-criar-consistencia-no-canal-o-papel-da-disciplina-no-dia-a-dia-da-venda1769552460909?classId=3416" TargetMode="External"/><Relationship Id="rId1478" Type="http://schemas.openxmlformats.org/officeDocument/2006/relationships/hyperlink" Target="https://universidade.pipelovers.net/m/lessons/construcao-e-gestao-de-playbooks-de-vendas1769552267688?classId=3220" TargetMode="External"/><Relationship Id="rId2325" Type="http://schemas.openxmlformats.org/officeDocument/2006/relationships/hyperlink" Target="https://universidade.pipelovers.net/m/lessons/como-criar-consistencia-no-canal-o-papel-da-disciplina-no-dia-a-dia-da-venda1769552460909?classId=3416" TargetMode="External"/><Relationship Id="rId1479" Type="http://schemas.openxmlformats.org/officeDocument/2006/relationships/hyperlink" Target="https://universidade.pipelovers.net/m/lessons/aumento-de-conversao-basedo-em-nichos-e-especializacao1769552267720?classId=3221" TargetMode="External"/><Relationship Id="rId2326" Type="http://schemas.openxmlformats.org/officeDocument/2006/relationships/hyperlink" Target="https://drive.google.com/file/d/1a8xbwUUOj5N_wX2iQsywszLIDPtupZwg/view?usp=drive_link" TargetMode="External"/><Relationship Id="rId2327" Type="http://schemas.openxmlformats.org/officeDocument/2006/relationships/hyperlink" Target="https://www.linkedin.com/in/l%C3%A9o-neves-030a1a33/" TargetMode="External"/><Relationship Id="rId2328" Type="http://schemas.openxmlformats.org/officeDocument/2006/relationships/hyperlink" Target="https://universidade.pipelovers.net/m/lessons/estrategia-de-onboarding-e-rampagem-de-novos-canais-indiretos1769552461093?classId=3417" TargetMode="External"/><Relationship Id="rId2329" Type="http://schemas.openxmlformats.org/officeDocument/2006/relationships/hyperlink" Target="https://universidade.pipelovers.net/m/lessons/estrategia-de-onboarding-e-rampagem-de-novos-canais-indiretos1769552461093?classId=3417" TargetMode="External"/><Relationship Id="rId646" Type="http://schemas.openxmlformats.org/officeDocument/2006/relationships/hyperlink" Target="https://universidade.pipelovers.net/m/lessons/construindo-relacionamento-de-confianca-com-o-cliente1769552328181?classId=3596" TargetMode="External"/><Relationship Id="rId645" Type="http://schemas.openxmlformats.org/officeDocument/2006/relationships/hyperlink" Target="https://www.linkedin.com/in/v-pagotto/" TargetMode="External"/><Relationship Id="rId644" Type="http://schemas.openxmlformats.org/officeDocument/2006/relationships/hyperlink" Target="https://drive.google.com/file/d/1rQR8mcKpmOxkIj4BVM2OdYgIrscah3IE/view?usp=drive_link" TargetMode="External"/><Relationship Id="rId643" Type="http://schemas.openxmlformats.org/officeDocument/2006/relationships/hyperlink" Target="https://universidade.pipelovers.net/m/lessons/inteligencia-artificial-para-vendedores1769552328155?classId=3595" TargetMode="External"/><Relationship Id="rId649" Type="http://schemas.openxmlformats.org/officeDocument/2006/relationships/hyperlink" Target="https://www.linkedin.com/in/joaodamatta/" TargetMode="External"/><Relationship Id="rId648" Type="http://schemas.openxmlformats.org/officeDocument/2006/relationships/hyperlink" Target="https://drive.google.com/file/d/1jv5BjmU-pknBrAiDxp6Hih24NnzbRkFE/view?usp=drive_link" TargetMode="External"/><Relationship Id="rId647" Type="http://schemas.openxmlformats.org/officeDocument/2006/relationships/hyperlink" Target="https://universidade.pipelovers.net/m/lessons/construindo-relacionamento-de-confianca-com-o-cliente1769552328181?classId=3596" TargetMode="External"/><Relationship Id="rId1470" Type="http://schemas.openxmlformats.org/officeDocument/2006/relationships/hyperlink" Target="https://universidade.pipelovers.net/m/lessons/como-estruturar-uma-nova-unidade-de-negocios1769552264713?classId=3211" TargetMode="External"/><Relationship Id="rId1471" Type="http://schemas.openxmlformats.org/officeDocument/2006/relationships/hyperlink" Target="https://universidade.pipelovers.net/m/lessons/vendas-omnichannel-aumentando-a-conversao-de-vendas-com-comunicacao-3601769552264744?classId=3212" TargetMode="External"/><Relationship Id="rId1472" Type="http://schemas.openxmlformats.org/officeDocument/2006/relationships/hyperlink" Target="https://universidade.pipelovers.net/m/lessons/vendas-omnichannel-aumentando-a-conversao-de-vendas-com-comunicacao-3601769552264744?classId=3212" TargetMode="External"/><Relationship Id="rId642" Type="http://schemas.openxmlformats.org/officeDocument/2006/relationships/hyperlink" Target="https://universidade.pipelovers.net/m/lessons/inteligencia-artificial-para-vendedores1769552328155?classId=3595" TargetMode="External"/><Relationship Id="rId1473" Type="http://schemas.openxmlformats.org/officeDocument/2006/relationships/hyperlink" Target="https://universidade.pipelovers.net/m/lessons/carreira-em-rede-rotacionando-dentro-da-organizacao1769552267627?classId=3214" TargetMode="External"/><Relationship Id="rId2320" Type="http://schemas.openxmlformats.org/officeDocument/2006/relationships/hyperlink" Target="https://universidade.pipelovers.net/aulas/como-identificar-o-ipp-perfil-de-parceiro-ideal-1775812602394" TargetMode="External"/><Relationship Id="rId641" Type="http://schemas.openxmlformats.org/officeDocument/2006/relationships/hyperlink" Target="https://www.linkedin.com/in/marcosdocanto/" TargetMode="External"/><Relationship Id="rId1474" Type="http://schemas.openxmlformats.org/officeDocument/2006/relationships/hyperlink" Target="https://universidade.pipelovers.net/m/lessons/carreira-em-rede-rotacionando-dentro-da-organizacao1769552267627?classId=3214" TargetMode="External"/><Relationship Id="rId2321" Type="http://schemas.openxmlformats.org/officeDocument/2006/relationships/hyperlink" Target="https://universidade.pipelovers.net/aulas/como-identificar-o-ipp-perfil-de-parceiro-ideal-1775812602394" TargetMode="External"/><Relationship Id="rId640" Type="http://schemas.openxmlformats.org/officeDocument/2006/relationships/hyperlink" Target="https://drive.google.com/file/d/1YdXvfWqYlPaQpZNd4aKAlkgAOwbyGaVj/view?usp=drive_link" TargetMode="External"/><Relationship Id="rId1475" Type="http://schemas.openxmlformats.org/officeDocument/2006/relationships/hyperlink" Target="https://universidade.pipelovers.net/aulas/spin-selling-como-metodologia-em-todo-funil-de-vendas-1775811498821" TargetMode="External"/><Relationship Id="rId2322" Type="http://schemas.openxmlformats.org/officeDocument/2006/relationships/hyperlink" Target="https://drive.google.com/file/d/1LdxOaMCQyF-IX7pEeJNqCmmomOvZ2JM6/view?usp=drive_link" TargetMode="External"/><Relationship Id="rId1476" Type="http://schemas.openxmlformats.org/officeDocument/2006/relationships/hyperlink" Target="https://universidade.pipelovers.net/aulas/spin-selling-como-metodologia-em-todo-funil-de-vendas-1775811498821" TargetMode="External"/><Relationship Id="rId2323" Type="http://schemas.openxmlformats.org/officeDocument/2006/relationships/hyperlink" Target="https://www.linkedin.com/in/rzimermann/" TargetMode="External"/><Relationship Id="rId1466" Type="http://schemas.openxmlformats.org/officeDocument/2006/relationships/hyperlink" Target="https://universidade.pipelovers.net/m/lessons/como-formar-um-vendedor-como-seu-sucessor1769552264640?classId=3209" TargetMode="External"/><Relationship Id="rId2313" Type="http://schemas.openxmlformats.org/officeDocument/2006/relationships/hyperlink" Target="https://universidade.pipelovers.net/m/lessons/afiliados-que-vendem-como-criar-um-programa-de-parcerias-com-escala1769552460435?classId=3413" TargetMode="External"/><Relationship Id="rId2797" Type="http://schemas.openxmlformats.org/officeDocument/2006/relationships/hyperlink" Target="https://universidade.pipelovers.net/m/lessons/modulo-3-canais-de-aquisicao-e-geracao-de-demanda-b2b-1774884769463" TargetMode="External"/><Relationship Id="rId1467" Type="http://schemas.openxmlformats.org/officeDocument/2006/relationships/hyperlink" Target="https://universidade.pipelovers.net/aulas/a-importancia-de-idiomas-na-sua-carreira-1775811110807" TargetMode="External"/><Relationship Id="rId2314" Type="http://schemas.openxmlformats.org/officeDocument/2006/relationships/hyperlink" Target="https://drive.google.com/file/d/1b4zdRSXQIAsSZ48mPKY-E_BSoYZ5YBvb/view?usp=drive_link" TargetMode="External"/><Relationship Id="rId2798" Type="http://schemas.openxmlformats.org/officeDocument/2006/relationships/hyperlink" Target="https://www.linkedin.com/in/gpagotto/" TargetMode="External"/><Relationship Id="rId1468" Type="http://schemas.openxmlformats.org/officeDocument/2006/relationships/hyperlink" Target="https://universidade.pipelovers.net/aulas/a-importancia-de-idiomas-na-sua-carreira-1775811110807" TargetMode="External"/><Relationship Id="rId2315" Type="http://schemas.openxmlformats.org/officeDocument/2006/relationships/hyperlink" Target="https://www.linkedin.com/in/mariomorais/" TargetMode="External"/><Relationship Id="rId2799" Type="http://schemas.openxmlformats.org/officeDocument/2006/relationships/hyperlink" Target="https://universidade.pipelovers.net/m/lessons/modulo-4-expansao-de-receita-na-base-de-clientes-retencao-upsell-1774888126474" TargetMode="External"/><Relationship Id="rId1469" Type="http://schemas.openxmlformats.org/officeDocument/2006/relationships/hyperlink" Target="https://universidade.pipelovers.net/m/lessons/como-estruturar-uma-nova-unidade-de-negocios1769552264713?classId=3211" TargetMode="External"/><Relationship Id="rId2316" Type="http://schemas.openxmlformats.org/officeDocument/2006/relationships/hyperlink" Target="https://universidade.pipelovers.net/m/lessons/construcao-de-confianca-na-relacao-com-parceiros1769552460488?classId=3414" TargetMode="External"/><Relationship Id="rId2317" Type="http://schemas.openxmlformats.org/officeDocument/2006/relationships/hyperlink" Target="https://universidade.pipelovers.net/m/lessons/construcao-de-confianca-na-relacao-com-parceiros1769552460488?classId=3414" TargetMode="External"/><Relationship Id="rId2318" Type="http://schemas.openxmlformats.org/officeDocument/2006/relationships/hyperlink" Target="https://drive.google.com/file/d/1upBl9rFASOUgnYVFCrCAY2dJq49-A83u/view?usp=drive_link" TargetMode="External"/><Relationship Id="rId2319" Type="http://schemas.openxmlformats.org/officeDocument/2006/relationships/hyperlink" Target="https://www.linkedin.com/in/david-souza-32064a50/" TargetMode="External"/><Relationship Id="rId635" Type="http://schemas.openxmlformats.org/officeDocument/2006/relationships/hyperlink" Target="https://universidade.pipelovers.net/m/lessons/funil-de-vendas-porta-a-porta1769552328092?classId=3594" TargetMode="External"/><Relationship Id="rId634" Type="http://schemas.openxmlformats.org/officeDocument/2006/relationships/hyperlink" Target="https://universidade.pipelovers.net/m/lessons/funil-de-vendas-porta-a-porta1769552328092?classId=3594" TargetMode="External"/><Relationship Id="rId633" Type="http://schemas.openxmlformats.org/officeDocument/2006/relationships/hyperlink" Target="https://www.linkedin.com/in/fernando-baldan/" TargetMode="External"/><Relationship Id="rId632" Type="http://schemas.openxmlformats.org/officeDocument/2006/relationships/hyperlink" Target="https://drive.google.com/file/d/1XnKtbFflaK1Ltbko_YsV0TvPDy3-GPy3/view?usp=drive_link" TargetMode="External"/><Relationship Id="rId639" Type="http://schemas.openxmlformats.org/officeDocument/2006/relationships/hyperlink" Target="https://universidade.pipelovers.net/m/lessons/o-melhor-vendedor-do-mundo-no-linkedin1769552328127?classId=3679" TargetMode="External"/><Relationship Id="rId638" Type="http://schemas.openxmlformats.org/officeDocument/2006/relationships/hyperlink" Target="https://universidade.pipelovers.net/m/lessons/o-melhor-vendedor-do-mundo-no-linkedin1769552328127?classId=3679" TargetMode="External"/><Relationship Id="rId637" Type="http://schemas.openxmlformats.org/officeDocument/2006/relationships/hyperlink" Target="https://www.linkedin.com/in/borjacastelar/" TargetMode="External"/><Relationship Id="rId636" Type="http://schemas.openxmlformats.org/officeDocument/2006/relationships/hyperlink" Target="https://drive.google.com/file/d/1xekoux1poIpTVRYb5nGFSq0b_WQmHoNb/view?usp=drive_link" TargetMode="External"/><Relationship Id="rId2790" Type="http://schemas.openxmlformats.org/officeDocument/2006/relationships/hyperlink" Target="https://universidade.pipelovers.net/m/lessons/modulo-1-programa-de-gestao-de-vendas-b2b-estrategia-de-posicionamento-e-planejamento-comercial-1774882373795" TargetMode="External"/><Relationship Id="rId1460" Type="http://schemas.openxmlformats.org/officeDocument/2006/relationships/hyperlink" Target="https://universidade.pipelovers.net/m/lessons/planejamento-de-vendas-bottom-up1769552264540?classId=3206" TargetMode="External"/><Relationship Id="rId2791" Type="http://schemas.openxmlformats.org/officeDocument/2006/relationships/hyperlink" Target="https://universidade.pipelovers.net/m/lessons/modulo-1-programa-de-gestao-de-vendas-b2b-estrategia-de-posicionamento-e-planejamento-comercial-1774882373796" TargetMode="External"/><Relationship Id="rId1461" Type="http://schemas.openxmlformats.org/officeDocument/2006/relationships/hyperlink" Target="https://universidade.pipelovers.net/m/lessons/saude-mental-para-lideres-de-vendas1769552264576?classId=3207" TargetMode="External"/><Relationship Id="rId2792" Type="http://schemas.openxmlformats.org/officeDocument/2006/relationships/hyperlink" Target="https://www.linkedin.com/in/gpagotto/" TargetMode="External"/><Relationship Id="rId631" Type="http://schemas.openxmlformats.org/officeDocument/2006/relationships/hyperlink" Target="https://universidade.pipelovers.net/m/lessons/gerenciando-vendas-complexas1769552328060?classId=3593" TargetMode="External"/><Relationship Id="rId1462" Type="http://schemas.openxmlformats.org/officeDocument/2006/relationships/hyperlink" Target="https://universidade.pipelovers.net/m/lessons/saude-mental-para-lideres-de-vendas1769552264576?classId=3207" TargetMode="External"/><Relationship Id="rId2793" Type="http://schemas.openxmlformats.org/officeDocument/2006/relationships/hyperlink" Target="https://universidade.pipelovers.net/m/lessons/modulo-2-recrutamento-remuneracao-e-desenvolvimento-de-equipes-1774884083442" TargetMode="External"/><Relationship Id="rId630" Type="http://schemas.openxmlformats.org/officeDocument/2006/relationships/hyperlink" Target="https://universidade.pipelovers.net/m/lessons/gerenciando-vendas-complexas1769552328060?classId=3593" TargetMode="External"/><Relationship Id="rId1463" Type="http://schemas.openxmlformats.org/officeDocument/2006/relationships/hyperlink" Target="https://universidade.pipelovers.net/m/lessons/estrategias-de-internacionalizacao1769552264608?classId=3208" TargetMode="External"/><Relationship Id="rId2310" Type="http://schemas.openxmlformats.org/officeDocument/2006/relationships/hyperlink" Target="https://drive.google.com/file/d/1F1KfLOJfiX0_4DAMN3jLTuilLQUm3vCc/view?usp=drive_link" TargetMode="External"/><Relationship Id="rId2794" Type="http://schemas.openxmlformats.org/officeDocument/2006/relationships/hyperlink" Target="https://universidade.pipelovers.net/m/lessons/modulo-2-recrutamento-remuneracao-e-desenvolvimento-de-equipes-1774884083443" TargetMode="External"/><Relationship Id="rId1464" Type="http://schemas.openxmlformats.org/officeDocument/2006/relationships/hyperlink" Target="https://universidade.pipelovers.net/m/lessons/estrategias-de-internacionalizacao1769552264608?classId=3208" TargetMode="External"/><Relationship Id="rId2311" Type="http://schemas.openxmlformats.org/officeDocument/2006/relationships/hyperlink" Target="https://www.linkedin.com/in/fl%C3%A1via-paula-442a5a100/" TargetMode="External"/><Relationship Id="rId2795" Type="http://schemas.openxmlformats.org/officeDocument/2006/relationships/hyperlink" Target="https://www.linkedin.com/in/gpagotto/" TargetMode="External"/><Relationship Id="rId1465" Type="http://schemas.openxmlformats.org/officeDocument/2006/relationships/hyperlink" Target="https://universidade.pipelovers.net/m/lessons/como-formar-um-vendedor-como-seu-sucessor1769552264640?classId=3209" TargetMode="External"/><Relationship Id="rId2312" Type="http://schemas.openxmlformats.org/officeDocument/2006/relationships/hyperlink" Target="https://universidade.pipelovers.net/m/lessons/afiliados-que-vendem-como-criar-um-programa-de-parcerias-com-escala1769552460435?classId=3413" TargetMode="External"/><Relationship Id="rId2796" Type="http://schemas.openxmlformats.org/officeDocument/2006/relationships/hyperlink" Target="https://universidade.pipelovers.net/m/lessons/modulo-3-canais-de-aquisicao-e-geracao-de-demanda-b2b-1774884769462" TargetMode="External"/><Relationship Id="rId1411" Type="http://schemas.openxmlformats.org/officeDocument/2006/relationships/hyperlink" Target="https://universidade.pipelovers.net/m/lessons/criando-uma-cultura-de-alta-performance1769552251931?classId=3122" TargetMode="External"/><Relationship Id="rId1895" Type="http://schemas.openxmlformats.org/officeDocument/2006/relationships/hyperlink" Target="https://universidade.pipelovers.net/m/lessons/case-creditas1769552405918?classId=3343" TargetMode="External"/><Relationship Id="rId2742" Type="http://schemas.openxmlformats.org/officeDocument/2006/relationships/hyperlink" Target="https://www.linkedin.com/in/jessicabosco/" TargetMode="External"/><Relationship Id="rId1412" Type="http://schemas.openxmlformats.org/officeDocument/2006/relationships/hyperlink" Target="https://universidade.pipelovers.net/m/lessons/criando-uma-cultura-de-alta-performance1769552251931?classId=3122" TargetMode="External"/><Relationship Id="rId1896" Type="http://schemas.openxmlformats.org/officeDocument/2006/relationships/hyperlink" Target="https://universidade.pipelovers.net/m/lessons/case-creditas1769552405918?classId=3343" TargetMode="External"/><Relationship Id="rId2743" Type="http://schemas.openxmlformats.org/officeDocument/2006/relationships/hyperlink" Target="https://universidade.pipelovers.net/m/lessons/rampagem-de-vendedores-1782407840745?moduleId=1459&amp;classId=4043" TargetMode="External"/><Relationship Id="rId1413" Type="http://schemas.openxmlformats.org/officeDocument/2006/relationships/hyperlink" Target="https://www.linkedin.com/in/fspina/" TargetMode="External"/><Relationship Id="rId1897" Type="http://schemas.openxmlformats.org/officeDocument/2006/relationships/hyperlink" Target="https://www.linkedin.com/in/giovanni-batista-4091032/" TargetMode="External"/><Relationship Id="rId2744" Type="http://schemas.openxmlformats.org/officeDocument/2006/relationships/hyperlink" Target="https://www.linkedin.com/in/edusmattos/" TargetMode="External"/><Relationship Id="rId1414" Type="http://schemas.openxmlformats.org/officeDocument/2006/relationships/hyperlink" Target="https://universidade.pipelovers.net/m/lessons/account-based-marketing-o-papel-do-vendedor-nessa-estrategia1769552344814?classId=3611" TargetMode="External"/><Relationship Id="rId1898" Type="http://schemas.openxmlformats.org/officeDocument/2006/relationships/hyperlink" Target="https://universidade.pipelovers.net/m/lessons/o-outro-lado-como-e-ser-um-parceiro1769552405979?classId=3342" TargetMode="External"/><Relationship Id="rId2745" Type="http://schemas.openxmlformats.org/officeDocument/2006/relationships/hyperlink" Target="https://pipelovers.curseduca.pro/m/lessons/estruturando-seu-processo-de-gtm-atraves-de-inteligencia-comercial-1784049558211?moduleId=1528&amp;classId=4229" TargetMode="External"/><Relationship Id="rId1415" Type="http://schemas.openxmlformats.org/officeDocument/2006/relationships/hyperlink" Target="https://universidade.pipelovers.net/m/lessons/account-based-marketing-o-papel-do-vendedor-nessa-estrategia1769552344814?classId=3611" TargetMode="External"/><Relationship Id="rId1899" Type="http://schemas.openxmlformats.org/officeDocument/2006/relationships/hyperlink" Target="https://universidade.pipelovers.net/m/lessons/o-outro-lado-como-e-ser-um-parceiro1769552405979?classId=3342" TargetMode="External"/><Relationship Id="rId2746" Type="http://schemas.openxmlformats.org/officeDocument/2006/relationships/hyperlink" Target="https://pipelovers.curseduca.pro/m/lessons/inteligencia-artificial-no-crm-casos-reais-e-aplicacoes-praticas-1784832731227?moduleId=1565&amp;classId=4417" TargetMode="External"/><Relationship Id="rId1416" Type="http://schemas.openxmlformats.org/officeDocument/2006/relationships/hyperlink" Target="https://universidade.pipelovers.net/m/lessons/whatsapp-para-acelerar-vendas1769552252013?classId=3125" TargetMode="External"/><Relationship Id="rId2747" Type="http://schemas.openxmlformats.org/officeDocument/2006/relationships/hyperlink" Target="https://www.linkedin.com/in/guiteixeiraf/" TargetMode="External"/><Relationship Id="rId1417" Type="http://schemas.openxmlformats.org/officeDocument/2006/relationships/hyperlink" Target="https://universidade.pipelovers.net/m/lessons/whatsapp-para-acelerar-vendas1769552252013?classId=3125" TargetMode="External"/><Relationship Id="rId2748" Type="http://schemas.openxmlformats.org/officeDocument/2006/relationships/hyperlink" Target="https://universidade.pipelovers.net/m/lessons/por-que-sua-prospeccao-nao-e-falta-de-sorte-e-falta-de-processo-e-de-time-1785348689665?moduleId=1573&amp;classId=4448" TargetMode="External"/><Relationship Id="rId1418" Type="http://schemas.openxmlformats.org/officeDocument/2006/relationships/hyperlink" Target="https://universidade.pipelovers.net/aulas/metas-e-rampagem-de-vendedores-1775499932119" TargetMode="External"/><Relationship Id="rId2749" Type="http://schemas.openxmlformats.org/officeDocument/2006/relationships/hyperlink" Target="https://www.linkedin.com/in/matheus-gomes-dasilva/" TargetMode="External"/><Relationship Id="rId1419" Type="http://schemas.openxmlformats.org/officeDocument/2006/relationships/hyperlink" Target="https://universidade.pipelovers.net/aulas/metas-e-rampagem-de-vendedores-1775499932119" TargetMode="External"/><Relationship Id="rId1890" Type="http://schemas.openxmlformats.org/officeDocument/2006/relationships/hyperlink" Target="https://www.linkedin.com/in/mathiascosta/" TargetMode="External"/><Relationship Id="rId1891" Type="http://schemas.openxmlformats.org/officeDocument/2006/relationships/hyperlink" Target="https://universidade.pipelovers.net/m/lessons/processos-de-canais-b2b2c1769552405853?classId=3336" TargetMode="External"/><Relationship Id="rId1892" Type="http://schemas.openxmlformats.org/officeDocument/2006/relationships/hyperlink" Target="https://universidade.pipelovers.net/m/lessons/processos-de-canais-b2b2c1769552405853?classId=3336" TargetMode="External"/><Relationship Id="rId1893" Type="http://schemas.openxmlformats.org/officeDocument/2006/relationships/hyperlink" Target="https://drive.google.com/file/d/18y-pHiGn99dxXo4ZL78H9o0WPffv35jc/view?usp=drive_link" TargetMode="External"/><Relationship Id="rId2740" Type="http://schemas.openxmlformats.org/officeDocument/2006/relationships/hyperlink" Target="https://www.linkedin.com/in/lossio/" TargetMode="External"/><Relationship Id="rId1410" Type="http://schemas.openxmlformats.org/officeDocument/2006/relationships/hyperlink" Target="https://www.linkedin.com/in/liviaalves-/" TargetMode="External"/><Relationship Id="rId1894" Type="http://schemas.openxmlformats.org/officeDocument/2006/relationships/hyperlink" Target="https://www.linkedin.com/in/luccas-speranzini-56a39a78/" TargetMode="External"/><Relationship Id="rId2741" Type="http://schemas.openxmlformats.org/officeDocument/2006/relationships/hyperlink" Target="https://universidade.pipelovers.net/m/lessons/como-empresas-constroem-autoridade-e-reputacao-pela-midia-1778614487459?moduleId=1413&amp;classId=3998" TargetMode="External"/><Relationship Id="rId1400" Type="http://schemas.openxmlformats.org/officeDocument/2006/relationships/hyperlink" Target="https://universidade.pipelovers.net/m/lessons/vendas-no-mercado-de-midia-e-advertising1769552251526?classId=3499" TargetMode="External"/><Relationship Id="rId1884" Type="http://schemas.openxmlformats.org/officeDocument/2006/relationships/hyperlink" Target="https://universidade.pipelovers.net/m/lessons/metricas-de-gestao-de-canais1769552405737?classId=3334" TargetMode="External"/><Relationship Id="rId2731" Type="http://schemas.openxmlformats.org/officeDocument/2006/relationships/hyperlink" Target="https://universidade.pipelovers.net/m/lessons/industria-40-como-vender-para-esse-mercado-1773774828884?moduleId=1259&amp;classId=3834" TargetMode="External"/><Relationship Id="rId1401" Type="http://schemas.openxmlformats.org/officeDocument/2006/relationships/hyperlink" Target="https://universidade.pipelovers.net/m/lessons/vendas-no-mercado-de-midia-e-advertising1769552251526?classId=3499" TargetMode="External"/><Relationship Id="rId1885" Type="http://schemas.openxmlformats.org/officeDocument/2006/relationships/hyperlink" Target="https://drive.google.com/file/d/1xJsiRo_ElABaaS9HjSC97wLbDoYFYvGa/view?usp=drive_link" TargetMode="External"/><Relationship Id="rId2732" Type="http://schemas.openxmlformats.org/officeDocument/2006/relationships/hyperlink" Target="https://www.linkedin.com/in/bonaroti/" TargetMode="External"/><Relationship Id="rId1402" Type="http://schemas.openxmlformats.org/officeDocument/2006/relationships/hyperlink" Target="https://universidade.pipelovers.net/m/lessons/gestao-de-vendas-de-servicos1769552251657?classId=3496" TargetMode="External"/><Relationship Id="rId1886" Type="http://schemas.openxmlformats.org/officeDocument/2006/relationships/hyperlink" Target="https://www.linkedin.com/in/fcambraia/" TargetMode="External"/><Relationship Id="rId2733" Type="http://schemas.openxmlformats.org/officeDocument/2006/relationships/hyperlink" Target="https://universidade.pipelovers.net/m/lessons/escuta-prioridade-e-empatia-o-triangulo-da-negociacao-1778505387426?moduleId=1407&amp;classId=3993" TargetMode="External"/><Relationship Id="rId1403" Type="http://schemas.openxmlformats.org/officeDocument/2006/relationships/hyperlink" Target="https://universidade.pipelovers.net/m/lessons/gestao-de-vendas-de-servicos1769552251657?classId=3496" TargetMode="External"/><Relationship Id="rId1887" Type="http://schemas.openxmlformats.org/officeDocument/2006/relationships/hyperlink" Target="https://universidade.pipelovers.net/m/lessons/ferramentas-e-engajamento-de-parceiros1769552405791?classId=3335" TargetMode="External"/><Relationship Id="rId2734" Type="http://schemas.openxmlformats.org/officeDocument/2006/relationships/hyperlink" Target="https://universidade.pipelovers.net/m/lessons/escuta-prioridade-e-empatia-o-triangulo-da-negociacao-1778505387426?moduleId=1407&amp;classId=3993" TargetMode="External"/><Relationship Id="rId1404" Type="http://schemas.openxmlformats.org/officeDocument/2006/relationships/hyperlink" Target="https://universidade.pipelovers.net/m/lessons/gestao-de-vendas-nas-big-techs1769552251724?classId=3495" TargetMode="External"/><Relationship Id="rId1888" Type="http://schemas.openxmlformats.org/officeDocument/2006/relationships/hyperlink" Target="https://universidade.pipelovers.net/m/lessons/ferramentas-e-engajamento-de-parceiros1769552405791?classId=3335" TargetMode="External"/><Relationship Id="rId2735" Type="http://schemas.openxmlformats.org/officeDocument/2006/relationships/hyperlink" Target="https://www.linkedin.com/in/b%C3%A1rbara-hipolide-neves-958398b2/" TargetMode="External"/><Relationship Id="rId1405" Type="http://schemas.openxmlformats.org/officeDocument/2006/relationships/hyperlink" Target="https://universidade.pipelovers.net/m/lessons/gestao-de-vendas-nas-big-techs1769552251724?classId=3495" TargetMode="External"/><Relationship Id="rId1889" Type="http://schemas.openxmlformats.org/officeDocument/2006/relationships/hyperlink" Target="https://drive.google.com/file/d/1-iF4VSjkhmzKEZZBA8g40HTrNfj-nIpu/view?usp=drive_link" TargetMode="External"/><Relationship Id="rId2736" Type="http://schemas.openxmlformats.org/officeDocument/2006/relationships/hyperlink" Target="https://universidade.pipelovers.net/m/lessons/como-construir-um-time-de-vendas-que-escala-junto-1779220034956?moduleId=1423&amp;classId=4009" TargetMode="External"/><Relationship Id="rId1406" Type="http://schemas.openxmlformats.org/officeDocument/2006/relationships/hyperlink" Target="https://universidade.pipelovers.net/m/lessons/integrando-equipes-de-vendas-pos-ma1769552251793?classId=3494" TargetMode="External"/><Relationship Id="rId2737" Type="http://schemas.openxmlformats.org/officeDocument/2006/relationships/hyperlink" Target="https://universidade.pipelovers.net/m/lessons/como-construir-um-time-de-vendas-que-escala-junto-1779220034956?moduleId=1423&amp;classId=4009" TargetMode="External"/><Relationship Id="rId1407" Type="http://schemas.openxmlformats.org/officeDocument/2006/relationships/hyperlink" Target="https://universidade.pipelovers.net/m/lessons/integrando-equipes-de-vendas-pos-ma1769552251793?classId=3494" TargetMode="External"/><Relationship Id="rId2738" Type="http://schemas.openxmlformats.org/officeDocument/2006/relationships/hyperlink" Target="https://www.linkedin.com/in/gabriel-sbrasil/" TargetMode="External"/><Relationship Id="rId1408" Type="http://schemas.openxmlformats.org/officeDocument/2006/relationships/hyperlink" Target="https://universidade.pipelovers.net/m/lessons/demissoes-e-layoffs1769552251847?classId=3493" TargetMode="External"/><Relationship Id="rId2739" Type="http://schemas.openxmlformats.org/officeDocument/2006/relationships/hyperlink" Target="https://pipelovers.curseduca.pro/m/lessons/como-demonstrar-uma-boa-solucao-com-as-informacoes-certas-1778530991994" TargetMode="External"/><Relationship Id="rId1409" Type="http://schemas.openxmlformats.org/officeDocument/2006/relationships/hyperlink" Target="https://universidade.pipelovers.net/m/lessons/demissoes-e-layoffs1769552251847?classId=3493" TargetMode="External"/><Relationship Id="rId1880" Type="http://schemas.openxmlformats.org/officeDocument/2006/relationships/hyperlink" Target="https://universidade.pipelovers.net/m/lessons/internacionalizacao-via-canais1769552405580?classId=3333" TargetMode="External"/><Relationship Id="rId1881" Type="http://schemas.openxmlformats.org/officeDocument/2006/relationships/hyperlink" Target="https://drive.google.com/file/d/1iM15kaKIkKUaQ2NYqqNMtP7RZb5Tituq/view?usp=drive_link" TargetMode="External"/><Relationship Id="rId1882" Type="http://schemas.openxmlformats.org/officeDocument/2006/relationships/hyperlink" Target="https://www.linkedin.com/in/lourencoluis/" TargetMode="External"/><Relationship Id="rId1883" Type="http://schemas.openxmlformats.org/officeDocument/2006/relationships/hyperlink" Target="https://universidade.pipelovers.net/m/lessons/metricas-de-gestao-de-canais1769552405737?classId=3334" TargetMode="External"/><Relationship Id="rId2730" Type="http://schemas.openxmlformats.org/officeDocument/2006/relationships/hyperlink" Target="https://universidade.pipelovers.net/m/lessons/industria-40-como-vender-para-esse-mercado-1773774828884?moduleId=1259&amp;classId=3834" TargetMode="External"/><Relationship Id="rId1433" Type="http://schemas.openxmlformats.org/officeDocument/2006/relationships/hyperlink" Target="https://universidade.pipelovers.net/m/lessons/passagem-de-bastao-entre-hunters-farmers1769552264134?classId=3138" TargetMode="External"/><Relationship Id="rId2764" Type="http://schemas.openxmlformats.org/officeDocument/2006/relationships/hyperlink" Target="https://universidade.pipelovers.net/m/lessons/gestao-estrategica-de-carteira-de-clientes-1792158790252?moduleId=1735&amp;classId=4820" TargetMode="External"/><Relationship Id="rId1434" Type="http://schemas.openxmlformats.org/officeDocument/2006/relationships/hyperlink" Target="https://universidade.pipelovers.net/m/lessons/win-loss-analysis1769552264107?classId=3139" TargetMode="External"/><Relationship Id="rId2765" Type="http://schemas.openxmlformats.org/officeDocument/2006/relationships/hyperlink" Target="https://www.linkedin.com/in/gpagotto/" TargetMode="External"/><Relationship Id="rId1435" Type="http://schemas.openxmlformats.org/officeDocument/2006/relationships/hyperlink" Target="https://universidade.pipelovers.net/m/lessons/win-loss-analysis1769552264107?classId=3139" TargetMode="External"/><Relationship Id="rId2766" Type="http://schemas.openxmlformats.org/officeDocument/2006/relationships/hyperlink" Target="https://universidade.pipelovers.net/m/lessons/programa-de-construcao-da-maquina-de-vendas-b2b-estrategias-de-crescimento-e-go-to-market-gtm-1789586957052?moduleId=1677&amp;classId=4612" TargetMode="External"/><Relationship Id="rId1436" Type="http://schemas.openxmlformats.org/officeDocument/2006/relationships/hyperlink" Target="https://www.linkedin.com/in/mauricioschorsch/" TargetMode="External"/><Relationship Id="rId2767" Type="http://schemas.openxmlformats.org/officeDocument/2006/relationships/hyperlink" Target="https://universidade.pipelovers.net/m/lessons/programa-de-construcao-da-maquina-de-vendas-b2b-estrategias-de-crescimento-e-go-to-market-gtm-1789586957052?moduleId=1677&amp;classId=4612" TargetMode="External"/><Relationship Id="rId1437" Type="http://schemas.openxmlformats.org/officeDocument/2006/relationships/hyperlink" Target="https://universidade.pipelovers.net/m/lessons/o-papel-da-lideranca-no-work-life-balance1769552264162?classId=3143" TargetMode="External"/><Relationship Id="rId2768" Type="http://schemas.openxmlformats.org/officeDocument/2006/relationships/hyperlink" Target="https://www.linkedin.com/in/maucirnascimento/" TargetMode="External"/><Relationship Id="rId1438" Type="http://schemas.openxmlformats.org/officeDocument/2006/relationships/hyperlink" Target="https://universidade.pipelovers.net/m/lessons/o-papel-da-lideranca-no-work-life-balance1769552264162?classId=3143" TargetMode="External"/><Relationship Id="rId2769" Type="http://schemas.openxmlformats.org/officeDocument/2006/relationships/hyperlink" Target="https://universidade.pipelovers.net/m/lessons/programa-de-construcao-da-maquina-de-vendas-b2b-construcao-de-playbooks-de-vendas-com-ia-1790017719614" TargetMode="External"/><Relationship Id="rId1439" Type="http://schemas.openxmlformats.org/officeDocument/2006/relationships/hyperlink" Target="https://universidade.pipelovers.net/m/lessons/o-que-motiva-vendedores-de-alta-performance1769552264188?classId=3144" TargetMode="External"/><Relationship Id="rId609" Type="http://schemas.openxmlformats.org/officeDocument/2006/relationships/hyperlink" Target="https://www.linkedin.com/in/ricardo-dellova-5085427/" TargetMode="External"/><Relationship Id="rId608" Type="http://schemas.openxmlformats.org/officeDocument/2006/relationships/hyperlink" Target="https://drive.google.com/file/d/1nRY49bKvs483aFhX6_VfsBEQjwgy6CNA/view?usp=drive_link" TargetMode="External"/><Relationship Id="rId607" Type="http://schemas.openxmlformats.org/officeDocument/2006/relationships/hyperlink" Target="https://universidade.pipelovers.net/m/lessons/estrategias-de-negociacao1769552324893?classId=3587" TargetMode="External"/><Relationship Id="rId602" Type="http://schemas.openxmlformats.org/officeDocument/2006/relationships/hyperlink" Target="https://www.linkedin.com/in/marcellrosa/" TargetMode="External"/><Relationship Id="rId601" Type="http://schemas.openxmlformats.org/officeDocument/2006/relationships/hyperlink" Target="https://universidade.pipelovers.net/m/lessons/carreira-e-crescimento-em-vendas-para-executivos-de-vendas1769552324735?classId=2703" TargetMode="External"/><Relationship Id="rId600" Type="http://schemas.openxmlformats.org/officeDocument/2006/relationships/hyperlink" Target="https://universidade.pipelovers.net/m/lessons/carreira-e-crescimento-em-vendas-para-executivos-de-vendas1769552324735?classId=2703" TargetMode="External"/><Relationship Id="rId606" Type="http://schemas.openxmlformats.org/officeDocument/2006/relationships/hyperlink" Target="https://universidade.pipelovers.net/m/lessons/estrategias-de-negociacao1769552324893?classId=3587" TargetMode="External"/><Relationship Id="rId605" Type="http://schemas.openxmlformats.org/officeDocument/2006/relationships/hyperlink" Target="https://www.linkedin.com/in/thaisa-cesar-fausto/" TargetMode="External"/><Relationship Id="rId604" Type="http://schemas.openxmlformats.org/officeDocument/2006/relationships/hyperlink" Target="https://universidade.pipelovers.net/m/lessons/de-vendedor-a-vp-de-vendas1769552324867?classId=3586" TargetMode="External"/><Relationship Id="rId603" Type="http://schemas.openxmlformats.org/officeDocument/2006/relationships/hyperlink" Target="https://universidade.pipelovers.net/m/lessons/de-vendedor-a-vp-de-vendas1769552324867?classId=3586" TargetMode="External"/><Relationship Id="rId2760" Type="http://schemas.openxmlformats.org/officeDocument/2006/relationships/hyperlink" Target="https://universidade.pipelovers.net/m/lessons/vendas-consultivas-da-execucao-a-gestao-1791293252716?moduleId=1723&amp;classId=4808" TargetMode="External"/><Relationship Id="rId1430" Type="http://schemas.openxmlformats.org/officeDocument/2006/relationships/hyperlink" Target="https://universidade.pipelovers.net/m/lessons/cultura-de-feedback-para-lideres-de-vendas1769552264076?classId=3141" TargetMode="External"/><Relationship Id="rId2761" Type="http://schemas.openxmlformats.org/officeDocument/2006/relationships/hyperlink" Target="https://universidade.pipelovers.net/m/lessons/vendas-consultivas-da-execucao-a-gestao-1791293252716?moduleId=1723&amp;classId=4808" TargetMode="External"/><Relationship Id="rId1431" Type="http://schemas.openxmlformats.org/officeDocument/2006/relationships/hyperlink" Target="https://universidade.pipelovers.net/m/lessons/cultura-de-feedback-para-lideres-de-vendas1769552264076?classId=3141" TargetMode="External"/><Relationship Id="rId2762" Type="http://schemas.openxmlformats.org/officeDocument/2006/relationships/hyperlink" Target="https://www.linkedin.com/in/ricardookino/" TargetMode="External"/><Relationship Id="rId1432" Type="http://schemas.openxmlformats.org/officeDocument/2006/relationships/hyperlink" Target="https://universidade.pipelovers.net/m/lessons/passagem-de-bastao-entre-hunters-farmers1769552264134?classId=3138" TargetMode="External"/><Relationship Id="rId2763" Type="http://schemas.openxmlformats.org/officeDocument/2006/relationships/hyperlink" Target="https://universidade.pipelovers.net/m/lessons/gestao-estrategica-de-carteira-de-clientes-1792158790252?moduleId=1735&amp;classId=4820" TargetMode="External"/><Relationship Id="rId1422" Type="http://schemas.openxmlformats.org/officeDocument/2006/relationships/hyperlink" Target="https://universidade.pipelovers.net/m/lessons/terceirizacao-de-equipes-de-vendas1769552262930?classId=3130" TargetMode="External"/><Relationship Id="rId2753" Type="http://schemas.openxmlformats.org/officeDocument/2006/relationships/hyperlink" Target="https://www.linkedin.com/in/ricardookino/" TargetMode="External"/><Relationship Id="rId1423" Type="http://schemas.openxmlformats.org/officeDocument/2006/relationships/hyperlink" Target="https://universidade.pipelovers.net/m/lessons/land-expand1769552263983?classId=3132" TargetMode="External"/><Relationship Id="rId2754" Type="http://schemas.openxmlformats.org/officeDocument/2006/relationships/hyperlink" Target="https://universidade.pipelovers.net/m/lessons/planejamento-go-to-market-para-2027-1786047266518?moduleId=1702&amp;classId=4639" TargetMode="External"/><Relationship Id="rId1424" Type="http://schemas.openxmlformats.org/officeDocument/2006/relationships/hyperlink" Target="https://universidade.pipelovers.net/m/lessons/land-expand1769552263983?classId=3132" TargetMode="External"/><Relationship Id="rId2755" Type="http://schemas.openxmlformats.org/officeDocument/2006/relationships/hyperlink" Target="https://www.instagram.com/professor.tarcisio/" TargetMode="External"/><Relationship Id="rId1425" Type="http://schemas.openxmlformats.org/officeDocument/2006/relationships/hyperlink" Target="https://universidade.pipelovers.net/m/lessons/crm-hubspot-melhores-praticas1769552264024?classId=3134" TargetMode="External"/><Relationship Id="rId2756" Type="http://schemas.openxmlformats.org/officeDocument/2006/relationships/hyperlink" Target="https://universidade.pipelovers.net/m/lessons/do-sucesso-do-cliente-a-expansao-da-conta-1790368863964?moduleId=1705&amp;classId=4641" TargetMode="External"/><Relationship Id="rId1426" Type="http://schemas.openxmlformats.org/officeDocument/2006/relationships/hyperlink" Target="https://universidade.pipelovers.net/m/lessons/crm-hubspot-melhores-praticas1769552264024?classId=3134" TargetMode="External"/><Relationship Id="rId2757" Type="http://schemas.openxmlformats.org/officeDocument/2006/relationships/hyperlink" Target="https://www.linkedin.com/in/oyagobaia/" TargetMode="External"/><Relationship Id="rId1427" Type="http://schemas.openxmlformats.org/officeDocument/2006/relationships/hyperlink" Target="https://www.linkedin.com/in/paulofelix/" TargetMode="External"/><Relationship Id="rId2758" Type="http://schemas.openxmlformats.org/officeDocument/2006/relationships/hyperlink" Target="https://universidade.pipelovers.net/m/lessons/criacao-de-claude-gems-de-para-construcao-de-templates-de-cadencia-1790688694800?moduleId=1708&amp;classId=4646" TargetMode="External"/><Relationship Id="rId1428" Type="http://schemas.openxmlformats.org/officeDocument/2006/relationships/hyperlink" Target="https://universidade.pipelovers.net/m/lessons/e-commerce-como-canal-de-vendas-b2b1769552264051?classId=3136" TargetMode="External"/><Relationship Id="rId2759" Type="http://schemas.openxmlformats.org/officeDocument/2006/relationships/hyperlink" Target="http://linkedin.com/in/john-wilian-9076bbb6" TargetMode="External"/><Relationship Id="rId1429" Type="http://schemas.openxmlformats.org/officeDocument/2006/relationships/hyperlink" Target="https://universidade.pipelovers.net/m/lessons/e-commerce-como-canal-de-vendas-b2b1769552264051?classId=3136" TargetMode="External"/><Relationship Id="rId2750" Type="http://schemas.openxmlformats.org/officeDocument/2006/relationships/hyperlink" Target="https://universidade.pipelovers.net/m/lessons/venda-mais-desbloqueie-sua-performance-em-vendas-1787258456767?moduleId=1602&amp;classId=4491" TargetMode="External"/><Relationship Id="rId1420" Type="http://schemas.openxmlformats.org/officeDocument/2006/relationships/hyperlink" Target="https://www.linkedin.com/in/vidalo/" TargetMode="External"/><Relationship Id="rId2751" Type="http://schemas.openxmlformats.org/officeDocument/2006/relationships/hyperlink" Target="https://www.linkedin.com/in/guilhermo-caproni/" TargetMode="External"/><Relationship Id="rId1421" Type="http://schemas.openxmlformats.org/officeDocument/2006/relationships/hyperlink" Target="https://universidade.pipelovers.net/m/lessons/terceirizacao-de-equipes-de-vendas1769552262930?classId=3130" TargetMode="External"/><Relationship Id="rId2752" Type="http://schemas.openxmlformats.org/officeDocument/2006/relationships/hyperlink" Target="https://universidade.pipelovers.net/m/lessons/o-que-a-filosofia-pode-ensinar-para-quem-vende-1788460956665?moduleId=1637&amp;classId=4544" TargetMode="External"/><Relationship Id="rId1059" Type="http://schemas.openxmlformats.org/officeDocument/2006/relationships/hyperlink" Target="https://www.linkedin.com/in/ferruciojunior/" TargetMode="External"/><Relationship Id="rId228" Type="http://schemas.openxmlformats.org/officeDocument/2006/relationships/hyperlink" Target="https://universidade.pipelovers.net/m/lessons/preciso-ser-especialista-no-produto-para-saber-prospectar1769552039716?classId=3488" TargetMode="External"/><Relationship Id="rId227" Type="http://schemas.openxmlformats.org/officeDocument/2006/relationships/hyperlink" Target="https://www.linkedin.com/in/clarissa-vilela-martins/" TargetMode="External"/><Relationship Id="rId226" Type="http://schemas.openxmlformats.org/officeDocument/2006/relationships/hyperlink" Target="https://universidade.pipelovers.net/m/lessons/como-aproveitar-a-sobra-de-budget-na-prospeccao1769552039688?classId=3487" TargetMode="External"/><Relationship Id="rId225" Type="http://schemas.openxmlformats.org/officeDocument/2006/relationships/hyperlink" Target="https://universidade.pipelovers.net/m/lessons/como-aproveitar-a-sobra-de-budget-na-prospeccao1769552039688?classId=3487" TargetMode="External"/><Relationship Id="rId2380" Type="http://schemas.openxmlformats.org/officeDocument/2006/relationships/hyperlink" Target="https://universidade.pipelovers.net/aulas/escuta-ativa-com-parceiros-como-gerar-alinhamento-e-oportunidades-1775813044717" TargetMode="External"/><Relationship Id="rId229" Type="http://schemas.openxmlformats.org/officeDocument/2006/relationships/hyperlink" Target="https://universidade.pipelovers.net/m/lessons/preciso-ser-especialista-no-produto-para-saber-prospectar1769552039716?classId=3488" TargetMode="External"/><Relationship Id="rId1050" Type="http://schemas.openxmlformats.org/officeDocument/2006/relationships/hyperlink" Target="https://drive.google.com/file/d/1htGDNL1tYO_NUGvEp2xg8P6bP59lDp-j/view?usp=drive_link" TargetMode="External"/><Relationship Id="rId2381" Type="http://schemas.openxmlformats.org/officeDocument/2006/relationships/hyperlink" Target="https://universidade.pipelovers.net/aulas/escuta-ativa-com-parceiros-como-gerar-alinhamento-e-oportunidades-1775813044717" TargetMode="External"/><Relationship Id="rId220" Type="http://schemas.openxmlformats.org/officeDocument/2006/relationships/hyperlink" Target="https://universidade.pipelovers.net/m/lessons/funil-social-selling-para-sdrs-como-gerar-mais-leads-e-ligacoes-mornas-a-partir-do-linkedin1769552039621?classId=3485" TargetMode="External"/><Relationship Id="rId1051" Type="http://schemas.openxmlformats.org/officeDocument/2006/relationships/hyperlink" Target="https://www.linkedin.com/in/rafaela-frankenthal/" TargetMode="External"/><Relationship Id="rId2382" Type="http://schemas.openxmlformats.org/officeDocument/2006/relationships/hyperlink" Target="https://drive.google.com/file/d/1wQU73B5rt5BvPAhN3jvZO48iEr2N5P3k/view?usp=drive_link" TargetMode="External"/><Relationship Id="rId1052" Type="http://schemas.openxmlformats.org/officeDocument/2006/relationships/hyperlink" Target="https://universidade.pipelovers.net/m/lessons/como-lidar-com-conversas-dificeis1769552385567?classId=3630" TargetMode="External"/><Relationship Id="rId2383" Type="http://schemas.openxmlformats.org/officeDocument/2006/relationships/hyperlink" Target="https://www.linkedin.com/in/jvpalhares/" TargetMode="External"/><Relationship Id="rId1053" Type="http://schemas.openxmlformats.org/officeDocument/2006/relationships/hyperlink" Target="https://universidade.pipelovers.net/m/lessons/como-lidar-com-conversas-dificeis1769552385567?classId=3630" TargetMode="External"/><Relationship Id="rId2384" Type="http://schemas.openxmlformats.org/officeDocument/2006/relationships/hyperlink" Target="https://universidade.pipelovers.net/aulas/priorizacao-de-canais-com-base-em-roi-e-potencial-de-receita-1775075945715" TargetMode="External"/><Relationship Id="rId1054" Type="http://schemas.openxmlformats.org/officeDocument/2006/relationships/hyperlink" Target="https://drive.google.com/file/d/1sWfgEz8E2Gs4mi-LwY5hU31WUlOsYEEQ/view?usp=drive_link" TargetMode="External"/><Relationship Id="rId2385" Type="http://schemas.openxmlformats.org/officeDocument/2006/relationships/hyperlink" Target="https://universidade.pipelovers.net/aulas/priorizacao-de-canais-com-base-em-roi-e-potencial-de-receita-1775075945715" TargetMode="External"/><Relationship Id="rId224" Type="http://schemas.openxmlformats.org/officeDocument/2006/relationships/hyperlink" Target="https://www.linkedin.com/in/portellarafael/" TargetMode="External"/><Relationship Id="rId1055" Type="http://schemas.openxmlformats.org/officeDocument/2006/relationships/hyperlink" Target="https://www.linkedin.com/in/carolina-januzzi/" TargetMode="External"/><Relationship Id="rId2386" Type="http://schemas.openxmlformats.org/officeDocument/2006/relationships/hyperlink" Target="https://www.linkedin.com/in/juliocunha/" TargetMode="External"/><Relationship Id="rId223" Type="http://schemas.openxmlformats.org/officeDocument/2006/relationships/hyperlink" Target="https://universidade.pipelovers.net/m/lessons/gestao-de-marca-pessoal-para-pre-vendedores1769552039648?classId=3486" TargetMode="External"/><Relationship Id="rId1056" Type="http://schemas.openxmlformats.org/officeDocument/2006/relationships/hyperlink" Target="https://universidade.pipelovers.net/m/lessons/estrategias-para-evitar-o-burnout-no-ambiente-comercial1769552385638?classId=3629" TargetMode="External"/><Relationship Id="rId2387" Type="http://schemas.openxmlformats.org/officeDocument/2006/relationships/hyperlink" Target="https://universidade.pipelovers.net/m/lessons/certificacoes-para-canais-e-parcerias1769552466443?classId=3737" TargetMode="External"/><Relationship Id="rId222" Type="http://schemas.openxmlformats.org/officeDocument/2006/relationships/hyperlink" Target="https://universidade.pipelovers.net/m/lessons/gestao-de-marca-pessoal-para-pre-vendedores1769552039648?classId=3486" TargetMode="External"/><Relationship Id="rId1057" Type="http://schemas.openxmlformats.org/officeDocument/2006/relationships/hyperlink" Target="https://universidade.pipelovers.net/m/lessons/estrategias-para-evitar-o-burnout-no-ambiente-comercial1769552385638?classId=3629" TargetMode="External"/><Relationship Id="rId2388" Type="http://schemas.openxmlformats.org/officeDocument/2006/relationships/hyperlink" Target="https://universidade.pipelovers.net/m/lessons/certificacoes-para-canais-e-parcerias1769552466443?classId=3737" TargetMode="External"/><Relationship Id="rId221" Type="http://schemas.openxmlformats.org/officeDocument/2006/relationships/hyperlink" Target="https://www.linkedin.com/in/igor-paixao?utm_source=share&amp;utm_campaign=share_via&amp;utm_content=profile&amp;utm_medium=ios_app" TargetMode="External"/><Relationship Id="rId1058" Type="http://schemas.openxmlformats.org/officeDocument/2006/relationships/hyperlink" Target="https://drive.google.com/file/d/15j5QkKCqDjnPivaUJPQaqG9JliRSNfdc/view?usp=drive_link" TargetMode="External"/><Relationship Id="rId2389" Type="http://schemas.openxmlformats.org/officeDocument/2006/relationships/hyperlink" Target="https://www.linkedin.com/in/eliomarlobogois/" TargetMode="External"/><Relationship Id="rId1048" Type="http://schemas.openxmlformats.org/officeDocument/2006/relationships/hyperlink" Target="https://universidade.pipelovers.net/m/lessons/como-criar-um-senso-de-urgencia-sem-ser-agressivo1769552385445?classId=3631" TargetMode="External"/><Relationship Id="rId2379" Type="http://schemas.openxmlformats.org/officeDocument/2006/relationships/hyperlink" Target="https://www.linkedin.com/in/rachelparanhos/" TargetMode="External"/><Relationship Id="rId1049" Type="http://schemas.openxmlformats.org/officeDocument/2006/relationships/hyperlink" Target="https://universidade.pipelovers.net/m/lessons/como-criar-um-senso-de-urgencia-sem-ser-agressivo1769552385445?classId=3631" TargetMode="External"/><Relationship Id="rId217" Type="http://schemas.openxmlformats.org/officeDocument/2006/relationships/hyperlink" Target="https://universidade.pipelovers.net/m/lessons/como-montar-seu-mapa-de-desenvolvimento1769552039584?classId=3474" TargetMode="External"/><Relationship Id="rId216" Type="http://schemas.openxmlformats.org/officeDocument/2006/relationships/hyperlink" Target="https://universidade.pipelovers.net/m/lessons/como-montar-seu-mapa-de-desenvolvimento1769552039584?classId=3474" TargetMode="External"/><Relationship Id="rId215" Type="http://schemas.openxmlformats.org/officeDocument/2006/relationships/hyperlink" Target="https://www.linkedin.com/in/leoinsidesales/" TargetMode="External"/><Relationship Id="rId699" Type="http://schemas.openxmlformats.org/officeDocument/2006/relationships/hyperlink" Target="https://universidade.pipelovers.net/m/lessons/controlando-a-ansiedade-em-vendas1769552334427?classId=3606" TargetMode="External"/><Relationship Id="rId214" Type="http://schemas.openxmlformats.org/officeDocument/2006/relationships/hyperlink" Target="https://universidade.pipelovers.net/m/lessons/superando-a-barreira-das-secretarias-executivas1769552039558?classId=3473" TargetMode="External"/><Relationship Id="rId698" Type="http://schemas.openxmlformats.org/officeDocument/2006/relationships/hyperlink" Target="https://universidade.pipelovers.net/m/lessons/controlando-a-ansiedade-em-vendas1769552334427?classId=3606" TargetMode="External"/><Relationship Id="rId219" Type="http://schemas.openxmlformats.org/officeDocument/2006/relationships/hyperlink" Target="https://universidade.pipelovers.net/m/lessons/funil-social-selling-para-sdrs-como-gerar-mais-leads-e-ligacoes-mornas-a-partir-do-linkedin1769552039621?classId=3485" TargetMode="External"/><Relationship Id="rId218" Type="http://schemas.openxmlformats.org/officeDocument/2006/relationships/hyperlink" Target="https://www.linkedin.com/in/felipematheus-social-selling/" TargetMode="External"/><Relationship Id="rId2370" Type="http://schemas.openxmlformats.org/officeDocument/2006/relationships/hyperlink" Target="https://drive.google.com/file/d/1JbRFMRMr_RW1P_rUoxIybHEJIRTgOwKL/view?usp=drive_link" TargetMode="External"/><Relationship Id="rId693" Type="http://schemas.openxmlformats.org/officeDocument/2006/relationships/hyperlink" Target="https://www.linkedin.com/in/fernandanascimentow/" TargetMode="External"/><Relationship Id="rId1040" Type="http://schemas.openxmlformats.org/officeDocument/2006/relationships/hyperlink" Target="https://universidade.pipelovers.net/m/lessons/social-selling-para-dominar-nichos1769552385374?classId=3633" TargetMode="External"/><Relationship Id="rId2371" Type="http://schemas.openxmlformats.org/officeDocument/2006/relationships/hyperlink" Target="https://www.linkedin.com/in/lucasbezerrapinto/" TargetMode="External"/><Relationship Id="rId692" Type="http://schemas.openxmlformats.org/officeDocument/2006/relationships/hyperlink" Target="https://drive.google.com/file/d/1vYQcR3lIQ4uqQktV29gFYETbNrPrQ-aK/view?usp=drive_link" TargetMode="External"/><Relationship Id="rId1041" Type="http://schemas.openxmlformats.org/officeDocument/2006/relationships/hyperlink" Target="https://universidade.pipelovers.net/m/lessons/social-selling-para-dominar-nichos1769552385374?classId=3633" TargetMode="External"/><Relationship Id="rId2372" Type="http://schemas.openxmlformats.org/officeDocument/2006/relationships/hyperlink" Target="https://universidade.pipelovers.net/m/lessons/como-engajar-canais-a-distancia-de-forma-eficaz1769552465935?classId=3432" TargetMode="External"/><Relationship Id="rId691" Type="http://schemas.openxmlformats.org/officeDocument/2006/relationships/hyperlink" Target="https://universidade.pipelovers.net/m/lessons/usando-o-crm-para-gestao-de-tempo1769552334326?classId=3605" TargetMode="External"/><Relationship Id="rId1042" Type="http://schemas.openxmlformats.org/officeDocument/2006/relationships/hyperlink" Target="https://drive.google.com/file/d/1zAz95B8UHldfaJWvaADyJU02ZKMkfwdf/view?usp=drive_link" TargetMode="External"/><Relationship Id="rId2373" Type="http://schemas.openxmlformats.org/officeDocument/2006/relationships/hyperlink" Target="https://universidade.pipelovers.net/m/lessons/como-engajar-canais-a-distancia-de-forma-eficaz1769552465935?classId=3432" TargetMode="External"/><Relationship Id="rId690" Type="http://schemas.openxmlformats.org/officeDocument/2006/relationships/hyperlink" Target="https://universidade.pipelovers.net/m/lessons/usando-o-crm-para-gestao-de-tempo1769552334326?classId=3605" TargetMode="External"/><Relationship Id="rId1043" Type="http://schemas.openxmlformats.org/officeDocument/2006/relationships/hyperlink" Target="https://www.linkedin.com/in/marianaschaffer/" TargetMode="External"/><Relationship Id="rId2374" Type="http://schemas.openxmlformats.org/officeDocument/2006/relationships/hyperlink" Target="https://drive.google.com/file/d/1rIAeV6z_tEvAaxt3txl82Si9KmjA3uTS/view?usp=drive_link" TargetMode="External"/><Relationship Id="rId213" Type="http://schemas.openxmlformats.org/officeDocument/2006/relationships/hyperlink" Target="https://universidade.pipelovers.net/m/lessons/superando-a-barreira-das-secretarias-executivas1769552039558?classId=3473" TargetMode="External"/><Relationship Id="rId697" Type="http://schemas.openxmlformats.org/officeDocument/2006/relationships/hyperlink" Target="https://www.linkedin.com/in/fabiano-br" TargetMode="External"/><Relationship Id="rId1044" Type="http://schemas.openxmlformats.org/officeDocument/2006/relationships/hyperlink" Target="https://universidade.pipelovers.net/m/lessons/pratica-de-negociacao-com-metodologia-de-harvard1769552385506?classId=3632" TargetMode="External"/><Relationship Id="rId2375" Type="http://schemas.openxmlformats.org/officeDocument/2006/relationships/hyperlink" Target="https://www.linkedin.com/in/vincent-parachini/" TargetMode="External"/><Relationship Id="rId212" Type="http://schemas.openxmlformats.org/officeDocument/2006/relationships/hyperlink" Target="https://www.linkedin.com/in/regisfaccini/" TargetMode="External"/><Relationship Id="rId696" Type="http://schemas.openxmlformats.org/officeDocument/2006/relationships/hyperlink" Target="https://drive.google.com/file/d/1-JWKAYy5L9i8g8Echp_AVzNWAcvhwlBq/view?usp=drive_link" TargetMode="External"/><Relationship Id="rId1045" Type="http://schemas.openxmlformats.org/officeDocument/2006/relationships/hyperlink" Target="https://universidade.pipelovers.net/m/lessons/pratica-de-negociacao-com-metodologia-de-harvard1769552385506?classId=3632" TargetMode="External"/><Relationship Id="rId2376" Type="http://schemas.openxmlformats.org/officeDocument/2006/relationships/hyperlink" Target="https://universidade.pipelovers.net/m/lessons/posicionamento-conjunto-como-alinhar-proposta-de-valor-com-o-parceiro1769552465815?classId=3016" TargetMode="External"/><Relationship Id="rId211" Type="http://schemas.openxmlformats.org/officeDocument/2006/relationships/hyperlink" Target="https://universidade.pipelovers.net/m/lessons/segmentos-para-focar-sua-prospeccao-em-20241769552039464?classId=3471" TargetMode="External"/><Relationship Id="rId695" Type="http://schemas.openxmlformats.org/officeDocument/2006/relationships/hyperlink" Target="https://universidade.pipelovers.net/m/lessons/a-nova-era-das-vendas-sociais1769552334377?classId=3625" TargetMode="External"/><Relationship Id="rId1046" Type="http://schemas.openxmlformats.org/officeDocument/2006/relationships/hyperlink" Target="https://drive.google.com/file/d/1iFj83M3674iSTEgAJzMQrwLw2ZzJDfOM/view?usp=drive_link" TargetMode="External"/><Relationship Id="rId2377" Type="http://schemas.openxmlformats.org/officeDocument/2006/relationships/hyperlink" Target="https://universidade.pipelovers.net/m/lessons/posicionamento-conjunto-como-alinhar-proposta-de-valor-com-o-parceiro1769552465815?classId=3016" TargetMode="External"/><Relationship Id="rId210" Type="http://schemas.openxmlformats.org/officeDocument/2006/relationships/hyperlink" Target="https://universidade.pipelovers.net/m/lessons/segmentos-para-focar-sua-prospeccao-em-20241769552039464?classId=3471" TargetMode="External"/><Relationship Id="rId694" Type="http://schemas.openxmlformats.org/officeDocument/2006/relationships/hyperlink" Target="https://universidade.pipelovers.net/m/lessons/a-nova-era-das-vendas-sociais1769552334377?classId=3625" TargetMode="External"/><Relationship Id="rId1047" Type="http://schemas.openxmlformats.org/officeDocument/2006/relationships/hyperlink" Target="https://www.linkedin.com/in/rafael-morais-faria/" TargetMode="External"/><Relationship Id="rId2378" Type="http://schemas.openxmlformats.org/officeDocument/2006/relationships/hyperlink" Target="https://drive.google.com/file/d/1VDo-GaJRRUXCNfpssv7JFijS33_mfMMr/view?usp=drive_link" TargetMode="External"/><Relationship Id="rId249" Type="http://schemas.openxmlformats.org/officeDocument/2006/relationships/hyperlink" Target="https://universidade.pipelovers.net/m/lessons/mapeando-contas-enterprise-e-entendendo-o-processo-de-compra1769552039932?classId=3503" TargetMode="External"/><Relationship Id="rId248" Type="http://schemas.openxmlformats.org/officeDocument/2006/relationships/hyperlink" Target="https://www.linkedin.com/in/luiz-favoretto-28415397/overlay/photo/" TargetMode="External"/><Relationship Id="rId247" Type="http://schemas.openxmlformats.org/officeDocument/2006/relationships/hyperlink" Target="https://universidade.pipelovers.net/m/lessons/construcao-e-evolucao-de-cadencias-de-prospeccao-ativa1769552039882?classId=3502" TargetMode="External"/><Relationship Id="rId1070" Type="http://schemas.openxmlformats.org/officeDocument/2006/relationships/hyperlink" Target="https://drive.google.com/file/d/1iNkQ0ZvsaMqTG6GMfnNMkEmh4hynR6e_/view?usp=drive_link" TargetMode="External"/><Relationship Id="rId1071" Type="http://schemas.openxmlformats.org/officeDocument/2006/relationships/hyperlink" Target="https://www.linkedin.com/in/fiamma-cardoso-897934157/" TargetMode="External"/><Relationship Id="rId1072" Type="http://schemas.openxmlformats.org/officeDocument/2006/relationships/hyperlink" Target="https://universidade.pipelovers.net/m/lessons/gatilhos-que-aceleram-a-jornada-de-compra1769552385930" TargetMode="External"/><Relationship Id="rId242" Type="http://schemas.openxmlformats.org/officeDocument/2006/relationships/hyperlink" Target="https://www.linkedin.com/in/vitorhlourenco/" TargetMode="External"/><Relationship Id="rId1073" Type="http://schemas.openxmlformats.org/officeDocument/2006/relationships/hyperlink" Target="https://universidade.pipelovers.net/m/lessons/gatilhos-que-aceleram-a-jornada-de-compra1769552385930" TargetMode="External"/><Relationship Id="rId241" Type="http://schemas.openxmlformats.org/officeDocument/2006/relationships/hyperlink" Target="https://universidade.pipelovers.net/m/lessons/o-impacto-de-solucoes-de-sales-engagement-na-produtividade1769552039831?classId=3498" TargetMode="External"/><Relationship Id="rId1074" Type="http://schemas.openxmlformats.org/officeDocument/2006/relationships/hyperlink" Target="https://drive.google.com/file/d/1vA3iOk-kRjROKLpaHa1ZXmcfzhwgQn9p/view?usp=drive_link" TargetMode="External"/><Relationship Id="rId240" Type="http://schemas.openxmlformats.org/officeDocument/2006/relationships/hyperlink" Target="https://universidade.pipelovers.net/m/lessons/o-impacto-de-solucoes-de-sales-engagement-na-produtividade1769552039831?classId=3498" TargetMode="External"/><Relationship Id="rId1075" Type="http://schemas.openxmlformats.org/officeDocument/2006/relationships/hyperlink" Target="http://elephan.ai" TargetMode="External"/><Relationship Id="rId1076" Type="http://schemas.openxmlformats.org/officeDocument/2006/relationships/hyperlink" Target="https://www.linkedin.com/in/thais-sterenberg-de-oliveira/" TargetMode="External"/><Relationship Id="rId246" Type="http://schemas.openxmlformats.org/officeDocument/2006/relationships/hyperlink" Target="https://universidade.pipelovers.net/m/lessons/construcao-e-evolucao-de-cadencias-de-prospeccao-ativa1769552039882?classId=3502" TargetMode="External"/><Relationship Id="rId1077" Type="http://schemas.openxmlformats.org/officeDocument/2006/relationships/hyperlink" Target="https://universidade.pipelovers.net/aulas/escuta-estrategica-como-fechar-mais-negocios-so-ouvindo-melhor-1775086091746" TargetMode="External"/><Relationship Id="rId245" Type="http://schemas.openxmlformats.org/officeDocument/2006/relationships/hyperlink" Target="https://www.linkedin.com/in/samantalopesvieira/" TargetMode="External"/><Relationship Id="rId1078" Type="http://schemas.openxmlformats.org/officeDocument/2006/relationships/hyperlink" Target="https://universidade.pipelovers.net/aulas/escuta-estrategica-como-fechar-mais-negocios-so-ouvindo-melhor-1775086091746" TargetMode="External"/><Relationship Id="rId244" Type="http://schemas.openxmlformats.org/officeDocument/2006/relationships/hyperlink" Target="https://universidade.pipelovers.net/m/lessons/abordagens-de-prospeccao-para-o-rh1769552039856?classId=3500" TargetMode="External"/><Relationship Id="rId1079" Type="http://schemas.openxmlformats.org/officeDocument/2006/relationships/hyperlink" Target="https://drive.google.com/file/d/1NXtvj4rfvOuSZ5OmSmafVlnMJWnxkyo6/view?usp=drive_link" TargetMode="External"/><Relationship Id="rId243" Type="http://schemas.openxmlformats.org/officeDocument/2006/relationships/hyperlink" Target="https://universidade.pipelovers.net/m/lessons/abordagens-de-prospeccao-para-o-rh1769552039856?classId=3500" TargetMode="External"/><Relationship Id="rId239" Type="http://schemas.openxmlformats.org/officeDocument/2006/relationships/hyperlink" Target="https://www.linkedin.com/in/ruiaviz/" TargetMode="External"/><Relationship Id="rId238" Type="http://schemas.openxmlformats.org/officeDocument/2006/relationships/hyperlink" Target="https://universidade.pipelovers.net/m/lessons/tecnicas-de-cold-call-para-prospeccao-ativa1769552039776?classId=3497" TargetMode="External"/><Relationship Id="rId237" Type="http://schemas.openxmlformats.org/officeDocument/2006/relationships/hyperlink" Target="https://universidade.pipelovers.net/m/lessons/tecnicas-de-cold-call-para-prospeccao-ativa1769552039776?classId=3497" TargetMode="External"/><Relationship Id="rId236" Type="http://schemas.openxmlformats.org/officeDocument/2006/relationships/hyperlink" Target="https://www.linkedin.com/in/thiagojacomo/" TargetMode="External"/><Relationship Id="rId2390" Type="http://schemas.openxmlformats.org/officeDocument/2006/relationships/hyperlink" Target="https://universidade.pipelovers.net/aulas/modelos-de-incentivo-e-recompensa-para-parceiros-1775813520218" TargetMode="External"/><Relationship Id="rId1060" Type="http://schemas.openxmlformats.org/officeDocument/2006/relationships/hyperlink" Target="https://universidade.pipelovers.net/m/lessons/processo-forecast-e-previsibilidade-na-pratica1769552385773?classId=3707" TargetMode="External"/><Relationship Id="rId2391" Type="http://schemas.openxmlformats.org/officeDocument/2006/relationships/hyperlink" Target="https://universidade.pipelovers.net/aulas/modelos-de-incentivo-e-recompensa-para-parceiros-1775813520218" TargetMode="External"/><Relationship Id="rId1061" Type="http://schemas.openxmlformats.org/officeDocument/2006/relationships/hyperlink" Target="https://universidade.pipelovers.net/m/lessons/processo-forecast-e-previsibilidade-na-pratica1769552385773?classId=3707" TargetMode="External"/><Relationship Id="rId2392" Type="http://schemas.openxmlformats.org/officeDocument/2006/relationships/hyperlink" Target="https://www.linkedin.com/in/janinemotta/" TargetMode="External"/><Relationship Id="rId231" Type="http://schemas.openxmlformats.org/officeDocument/2006/relationships/hyperlink" Target="https://universidade.pipelovers.net/m/lessons/diferencas-de-pre-vendas-no-brasil-e-nos-eua1769552039741?classId=3492" TargetMode="External"/><Relationship Id="rId1062" Type="http://schemas.openxmlformats.org/officeDocument/2006/relationships/hyperlink" Target="https://drive.google.com/file/d/17JvKhaE2FIbROzRaNk2MUu0b8JME7ecR/view?usp=drive_link" TargetMode="External"/><Relationship Id="rId2393" Type="http://schemas.openxmlformats.org/officeDocument/2006/relationships/hyperlink" Target="https://universidade.pipelovers.net/m/lessons/como-fazer-upsell-na-base-de-parceiros1769552469419?classId=3020" TargetMode="External"/><Relationship Id="rId230" Type="http://schemas.openxmlformats.org/officeDocument/2006/relationships/hyperlink" Target="https://www.linkedin.com/in/marcellotorres/" TargetMode="External"/><Relationship Id="rId1063" Type="http://schemas.openxmlformats.org/officeDocument/2006/relationships/hyperlink" Target="https://www.linkedin.com/in/thiagofriedrich/" TargetMode="External"/><Relationship Id="rId2394" Type="http://schemas.openxmlformats.org/officeDocument/2006/relationships/hyperlink" Target="https://universidade.pipelovers.net/m/lessons/como-fazer-upsell-na-base-de-parceiros1769552469419?classId=3020" TargetMode="External"/><Relationship Id="rId1064" Type="http://schemas.openxmlformats.org/officeDocument/2006/relationships/hyperlink" Target="https://universidade.pipelovers.net/m/lessons/crm-na-pratica-o-que-importa-registrar1769552385716?classId=3627" TargetMode="External"/><Relationship Id="rId2395" Type="http://schemas.openxmlformats.org/officeDocument/2006/relationships/hyperlink" Target="https://www.linkedin.com/in/douglas-a-medeiros/" TargetMode="External"/><Relationship Id="rId1065" Type="http://schemas.openxmlformats.org/officeDocument/2006/relationships/hyperlink" Target="https://universidade.pipelovers.net/m/lessons/crm-na-pratica-o-que-importa-registrar1769552385716?classId=3627" TargetMode="External"/><Relationship Id="rId2396" Type="http://schemas.openxmlformats.org/officeDocument/2006/relationships/hyperlink" Target="https://universidade.pipelovers.net/m/lessons/estruturacao-de-um-plano-comercial-junto-ao-parceiro1772542642515?classId=3758" TargetMode="External"/><Relationship Id="rId235" Type="http://schemas.openxmlformats.org/officeDocument/2006/relationships/hyperlink" Target="https://universidade.pipelovers.net/m/lessons/contorno-de-objecoes-na-prospeccao-b2b1769552039804?classId=3489" TargetMode="External"/><Relationship Id="rId1066" Type="http://schemas.openxmlformats.org/officeDocument/2006/relationships/hyperlink" Target="https://drive.google.com/file/d/1P8FBQurkZF9_AZ1h3j1Nw4Rxy0zT1wMm/view?usp=drive_link" TargetMode="External"/><Relationship Id="rId2397" Type="http://schemas.openxmlformats.org/officeDocument/2006/relationships/hyperlink" Target="https://universidade.pipelovers.net/m/lessons/estruturacao-de-um-plano-comercial-junto-ao-parceiro1772542642515?classId=3758" TargetMode="External"/><Relationship Id="rId234" Type="http://schemas.openxmlformats.org/officeDocument/2006/relationships/hyperlink" Target="https://universidade.pipelovers.net/m/lessons/contorno-de-objecoes-na-prospeccao-b2b1769552039804?classId=3489" TargetMode="External"/><Relationship Id="rId1067" Type="http://schemas.openxmlformats.org/officeDocument/2006/relationships/hyperlink" Target="https://www.linkedin.com/in/falafelipecosta/" TargetMode="External"/><Relationship Id="rId2398" Type="http://schemas.openxmlformats.org/officeDocument/2006/relationships/hyperlink" Target="https://www.linkedin.com/in/filipebragaivo/" TargetMode="External"/><Relationship Id="rId233" Type="http://schemas.openxmlformats.org/officeDocument/2006/relationships/hyperlink" Target="https://www.linkedin.com/in/jordetebraga/" TargetMode="External"/><Relationship Id="rId1068" Type="http://schemas.openxmlformats.org/officeDocument/2006/relationships/hyperlink" Target="https://universidade.pipelovers.net/m/lessons/como-aumentar-a-conversao-melhorando-sua-proposta-comercial1769552385869?classId=3626" TargetMode="External"/><Relationship Id="rId2399" Type="http://schemas.openxmlformats.org/officeDocument/2006/relationships/hyperlink" Target="https://universidade.pipelovers.net/m/lessons/networking-estrategico-em-canais-como-ativar-e-expandir-sua-rede-de-parceiros1772542642782?classId=3764" TargetMode="External"/><Relationship Id="rId232" Type="http://schemas.openxmlformats.org/officeDocument/2006/relationships/hyperlink" Target="https://universidade.pipelovers.net/m/lessons/diferencas-de-pre-vendas-no-brasil-e-nos-eua1769552039741?classId=3492" TargetMode="External"/><Relationship Id="rId1069" Type="http://schemas.openxmlformats.org/officeDocument/2006/relationships/hyperlink" Target="https://universidade.pipelovers.net/m/lessons/como-aumentar-a-conversao-melhorando-sua-proposta-comercial1769552385869?classId=3626" TargetMode="External"/><Relationship Id="rId1015" Type="http://schemas.openxmlformats.org/officeDocument/2006/relationships/hyperlink" Target="https://www.linkedin.com/in/gustavotorrente/" TargetMode="External"/><Relationship Id="rId1499" Type="http://schemas.openxmlformats.org/officeDocument/2006/relationships/hyperlink" Target="https://universidade.pipelovers.net/m/lessons/como-estimular-o-autodesenvolvimento-do-seu-time-de-vendas1769552272391?classId=3230" TargetMode="External"/><Relationship Id="rId2346" Type="http://schemas.openxmlformats.org/officeDocument/2006/relationships/hyperlink" Target="https://drive.google.com/file/d/1AaTlY8l_ObFxD_gm5T7N7xJFlRW_vcze/view?usp=drive_link" TargetMode="External"/><Relationship Id="rId1016" Type="http://schemas.openxmlformats.org/officeDocument/2006/relationships/hyperlink" Target="https://universidade.pipelovers.net/m/lessons/descomplicando-a-venda-de-servicos-dicas-para-fechar-mais-negocios1769552376715?classId=3637" TargetMode="External"/><Relationship Id="rId2347" Type="http://schemas.openxmlformats.org/officeDocument/2006/relationships/hyperlink" Target="https://www.linkedin.com/in/antoniocustodiog/" TargetMode="External"/><Relationship Id="rId1017" Type="http://schemas.openxmlformats.org/officeDocument/2006/relationships/hyperlink" Target="https://universidade.pipelovers.net/m/lessons/descomplicando-a-venda-de-servicos-dicas-para-fechar-mais-negocios1769552376715?classId=3637" TargetMode="External"/><Relationship Id="rId2348" Type="http://schemas.openxmlformats.org/officeDocument/2006/relationships/hyperlink" Target="https://universidade.pipelovers.net/m/lessons/gestao-estrategica-na-era-de-ia-automacao-e-o-novo-papel-do-parceiro1769552466319?classId=3421" TargetMode="External"/><Relationship Id="rId1018" Type="http://schemas.openxmlformats.org/officeDocument/2006/relationships/hyperlink" Target="https://drive.google.com/file/d/1r2hRc9bXKNIvPnyv22DqZJi-4u88xHUY/view?usp=drive_link" TargetMode="External"/><Relationship Id="rId2349" Type="http://schemas.openxmlformats.org/officeDocument/2006/relationships/hyperlink" Target="https://universidade.pipelovers.net/m/lessons/gestao-estrategica-na-era-de-ia-automacao-e-o-novo-papel-do-parceiro1769552466319?classId=3421" TargetMode="External"/><Relationship Id="rId1019" Type="http://schemas.openxmlformats.org/officeDocument/2006/relationships/hyperlink" Target="https://www.linkedin.com/in/chriscornehl/" TargetMode="External"/><Relationship Id="rId668" Type="http://schemas.openxmlformats.org/officeDocument/2006/relationships/hyperlink" Target="https://drive.google.com/file/d/1L6gZb8U7prUDzu3eUH0qS_FuyGwf5uQ7/view?usp=drive_link" TargetMode="External"/><Relationship Id="rId667" Type="http://schemas.openxmlformats.org/officeDocument/2006/relationships/hyperlink" Target="https://universidade.pipelovers.net/m/lessons/white-spaces-e-priorizacao-de-portfolio1769552333856?classId=3601" TargetMode="External"/><Relationship Id="rId666" Type="http://schemas.openxmlformats.org/officeDocument/2006/relationships/hyperlink" Target="https://universidade.pipelovers.net/m/lessons/white-spaces-e-priorizacao-de-portfolio1769552333856?classId=3601" TargetMode="External"/><Relationship Id="rId665" Type="http://schemas.openxmlformats.org/officeDocument/2006/relationships/hyperlink" Target="https://www.linkedin.com/in/vinicius-vilela-vieira/" TargetMode="External"/><Relationship Id="rId669" Type="http://schemas.openxmlformats.org/officeDocument/2006/relationships/hyperlink" Target="https://www.linkedin.com/in/eugusouza/" TargetMode="External"/><Relationship Id="rId1490" Type="http://schemas.openxmlformats.org/officeDocument/2006/relationships/hyperlink" Target="https://universidade.pipelovers.net/m/lessons/o-futuro-de-big-data-na-prospeccao1769552272118?classId=3226" TargetMode="External"/><Relationship Id="rId660" Type="http://schemas.openxmlformats.org/officeDocument/2006/relationships/hyperlink" Target="https://drive.google.com/file/d/1_1a-Qag8dRzcIQSU97O9A9aS6ZAXzOBN/view?usp=drive_link" TargetMode="External"/><Relationship Id="rId1491" Type="http://schemas.openxmlformats.org/officeDocument/2006/relationships/hyperlink" Target="https://universidade.pipelovers.net/m/lessons/o-futuro-de-big-data-na-prospeccao1769552272118?classId=3226" TargetMode="External"/><Relationship Id="rId1492" Type="http://schemas.openxmlformats.org/officeDocument/2006/relationships/hyperlink" Target="https://universidade.pipelovers.net/m/lessons/como-aumentar-a-participacao-de-mercado1769552272169?classId=3227" TargetMode="External"/><Relationship Id="rId1493" Type="http://schemas.openxmlformats.org/officeDocument/2006/relationships/hyperlink" Target="https://universidade.pipelovers.net/m/lessons/como-aumentar-a-participacao-de-mercado1769552272169?classId=3227" TargetMode="External"/><Relationship Id="rId2340" Type="http://schemas.openxmlformats.org/officeDocument/2006/relationships/hyperlink" Target="https://universidade.pipelovers.net/m/lessons/gestao-de-expectativa-com-stakeholders-em-canais1769552466005?classId=3419" TargetMode="External"/><Relationship Id="rId1010" Type="http://schemas.openxmlformats.org/officeDocument/2006/relationships/hyperlink" Target="https://drive.google.com/file/d/1hDGFdPHp4_6jXKc80ra8RHVyoYxgIWLu/view?usp=drive_link" TargetMode="External"/><Relationship Id="rId1494" Type="http://schemas.openxmlformats.org/officeDocument/2006/relationships/hyperlink" Target="https://universidade.pipelovers.net/m/lessons/escolhendo-um-mentor-para-sua-carreira1769552272246?classId=3228" TargetMode="External"/><Relationship Id="rId2341" Type="http://schemas.openxmlformats.org/officeDocument/2006/relationships/hyperlink" Target="https://universidade.pipelovers.net/m/lessons/gestao-de-expectativa-com-stakeholders-em-canais1769552466005?classId=3419" TargetMode="External"/><Relationship Id="rId664" Type="http://schemas.openxmlformats.org/officeDocument/2006/relationships/hyperlink" Target="https://drive.google.com/file/d/19BSbEUi5ANmguOp5jP4-mXn1ZVBBfa14/view?usp=drive_link" TargetMode="External"/><Relationship Id="rId1011" Type="http://schemas.openxmlformats.org/officeDocument/2006/relationships/hyperlink" Target="https://www.linkedin.com/in/thiagocherem/" TargetMode="External"/><Relationship Id="rId1495" Type="http://schemas.openxmlformats.org/officeDocument/2006/relationships/hyperlink" Target="https://universidade.pipelovers.net/m/lessons/escolhendo-um-mentor-para-sua-carreira1769552272246?classId=3228" TargetMode="External"/><Relationship Id="rId2342" Type="http://schemas.openxmlformats.org/officeDocument/2006/relationships/hyperlink" Target="https://drive.google.com/file/d/1e2kAP3Lvq9mltU2LMmfWPLUVXpALe-Ol/view?usp=drive_link" TargetMode="External"/><Relationship Id="rId663" Type="http://schemas.openxmlformats.org/officeDocument/2006/relationships/hyperlink" Target="https://universidade.pipelovers.net/aulas/motivacao-em-pre-vendas-como-descobrir-o-que-sustenta-sua-alta-performance-1775685383496" TargetMode="External"/><Relationship Id="rId1012" Type="http://schemas.openxmlformats.org/officeDocument/2006/relationships/hyperlink" Target="https://universidade.pipelovers.net/m/lessons/como-estruturar-um-roadmap-to-close-alinhado-ao-ciclo-de-compra1769552376649?classId=3638" TargetMode="External"/><Relationship Id="rId1496" Type="http://schemas.openxmlformats.org/officeDocument/2006/relationships/hyperlink" Target="https://universidade.pipelovers.net/m/lessons/chief-revenue-officer-papeis-e-responsabilidades1769552272299?classId=3229" TargetMode="External"/><Relationship Id="rId2343" Type="http://schemas.openxmlformats.org/officeDocument/2006/relationships/hyperlink" Target="https://www.linkedin.com/in/adrianoluizdossantos/" TargetMode="External"/><Relationship Id="rId662" Type="http://schemas.openxmlformats.org/officeDocument/2006/relationships/hyperlink" Target="https://universidade.pipelovers.net/aulas/motivacao-em-pre-vendas-como-descobrir-o-que-sustenta-sua-alta-performance-1775685383496" TargetMode="External"/><Relationship Id="rId1013" Type="http://schemas.openxmlformats.org/officeDocument/2006/relationships/hyperlink" Target="https://universidade.pipelovers.net/m/lessons/como-estruturar-um-roadmap-to-close-alinhado-ao-ciclo-de-compra1769552376649?classId=3638" TargetMode="External"/><Relationship Id="rId1497" Type="http://schemas.openxmlformats.org/officeDocument/2006/relationships/hyperlink" Target="https://universidade.pipelovers.net/m/lessons/chief-revenue-officer-papeis-e-responsabilidades1769552272299?classId=3229" TargetMode="External"/><Relationship Id="rId2344" Type="http://schemas.openxmlformats.org/officeDocument/2006/relationships/hyperlink" Target="https://universidade.pipelovers.net/m/lessons/como-estruturar-um-programa-de-canais-do-zero1769552466069?classId=3420" TargetMode="External"/><Relationship Id="rId661" Type="http://schemas.openxmlformats.org/officeDocument/2006/relationships/hyperlink" Target="https://www.linkedin.com/in/cirofalcao/" TargetMode="External"/><Relationship Id="rId1014" Type="http://schemas.openxmlformats.org/officeDocument/2006/relationships/hyperlink" Target="https://drive.google.com/file/d/1UkBd0eki_AU3Z-bFuCS7KDJbPPHdtyHU/view?usp=drive_link" TargetMode="External"/><Relationship Id="rId1498" Type="http://schemas.openxmlformats.org/officeDocument/2006/relationships/hyperlink" Target="https://universidade.pipelovers.net/m/lessons/como-estimular-o-autodesenvolvimento-do-seu-time-de-vendas1769552272391?classId=3230" TargetMode="External"/><Relationship Id="rId2345" Type="http://schemas.openxmlformats.org/officeDocument/2006/relationships/hyperlink" Target="https://universidade.pipelovers.net/m/lessons/como-estruturar-um-programa-de-canais-do-zero1769552466069?classId=3420" TargetMode="External"/><Relationship Id="rId1004" Type="http://schemas.openxmlformats.org/officeDocument/2006/relationships/hyperlink" Target="https://universidade.pipelovers.net/m/lessons/vendas-enterprise-estrategias-para-fechar-grandes-contas1769552376494?classId=3640" TargetMode="External"/><Relationship Id="rId1488" Type="http://schemas.openxmlformats.org/officeDocument/2006/relationships/hyperlink" Target="https://universidade.pipelovers.net/m/lessons/sucessao-de-um-founder-na-diretoria-de-vendas1769552272009?classId=3225" TargetMode="External"/><Relationship Id="rId2335" Type="http://schemas.openxmlformats.org/officeDocument/2006/relationships/hyperlink" Target="https://www.linkedin.com/in/marcusvcsaraiva/" TargetMode="External"/><Relationship Id="rId1005" Type="http://schemas.openxmlformats.org/officeDocument/2006/relationships/hyperlink" Target="https://universidade.pipelovers.net/m/lessons/vendas-enterprise-estrategias-para-fechar-grandes-contas1769552376494?classId=3640" TargetMode="External"/><Relationship Id="rId1489" Type="http://schemas.openxmlformats.org/officeDocument/2006/relationships/hyperlink" Target="https://universidade.pipelovers.net/m/lessons/sucessao-de-um-founder-na-diretoria-de-vendas1769552272009?classId=3225" TargetMode="External"/><Relationship Id="rId2336" Type="http://schemas.openxmlformats.org/officeDocument/2006/relationships/hyperlink" Target="https://universidade.pipelovers.net/m/lessons/tam-sam-som-para-canais1769552460341?classId=3418" TargetMode="External"/><Relationship Id="rId1006" Type="http://schemas.openxmlformats.org/officeDocument/2006/relationships/hyperlink" Target="https://drive.google.com/file/d/1hDGFdPHp4_6jXKc80ra8RHVyoYxgIWLu/view?usp=drive_link" TargetMode="External"/><Relationship Id="rId2337" Type="http://schemas.openxmlformats.org/officeDocument/2006/relationships/hyperlink" Target="https://universidade.pipelovers.net/m/lessons/tam-sam-som-para-canais1769552460341?classId=3418" TargetMode="External"/><Relationship Id="rId1007" Type="http://schemas.openxmlformats.org/officeDocument/2006/relationships/hyperlink" Target="https://www.linkedin.com/in/leandromunhozmoreira/" TargetMode="External"/><Relationship Id="rId2338" Type="http://schemas.openxmlformats.org/officeDocument/2006/relationships/hyperlink" Target="https://drive.google.com/file/d/16qejif0e6VXXcXbqoR81craZpiptoO5b/view?usp=drive_link" TargetMode="External"/><Relationship Id="rId1008" Type="http://schemas.openxmlformats.org/officeDocument/2006/relationships/hyperlink" Target="https://universidade.pipelovers.net/m/lessons/estrategias-de-cadencia-no-whatsapp-para-leads-inbound1769552376588?classId=3639" TargetMode="External"/><Relationship Id="rId2339" Type="http://schemas.openxmlformats.org/officeDocument/2006/relationships/hyperlink" Target="https://www.linkedin.com/in/cristiano-gregorius-b73bb7/" TargetMode="External"/><Relationship Id="rId1009" Type="http://schemas.openxmlformats.org/officeDocument/2006/relationships/hyperlink" Target="https://universidade.pipelovers.net/m/lessons/estrategias-de-cadencia-no-whatsapp-para-leads-inbound1769552376588?classId=3639" TargetMode="External"/><Relationship Id="rId657" Type="http://schemas.openxmlformats.org/officeDocument/2006/relationships/hyperlink" Target="https://www.linkedin.com/in/felipepervelli/" TargetMode="External"/><Relationship Id="rId656" Type="http://schemas.openxmlformats.org/officeDocument/2006/relationships/hyperlink" Target="https://drive.google.com/file/d/1AiUiYE4XKGa-Nh7m8QDQh_vVED8sTvd-/view?usp=drive_link" TargetMode="External"/><Relationship Id="rId655" Type="http://schemas.openxmlformats.org/officeDocument/2006/relationships/hyperlink" Target="https://universidade.pipelovers.net/m/lessons/engenharia-de-valor-para-provar-roi1769552328262?classId=3598" TargetMode="External"/><Relationship Id="rId654" Type="http://schemas.openxmlformats.org/officeDocument/2006/relationships/hyperlink" Target="https://universidade.pipelovers.net/m/lessons/engenharia-de-valor-para-provar-roi1769552328262?classId=3598" TargetMode="External"/><Relationship Id="rId659" Type="http://schemas.openxmlformats.org/officeDocument/2006/relationships/hyperlink" Target="https://universidade.pipelovers.net/m/lessons/vendas-tecnicas-para-vendedores-generalistas1769552333569?classId=3599" TargetMode="External"/><Relationship Id="rId658" Type="http://schemas.openxmlformats.org/officeDocument/2006/relationships/hyperlink" Target="https://universidade.pipelovers.net/m/lessons/vendas-tecnicas-para-vendedores-generalistas1769552333569?classId=3599" TargetMode="External"/><Relationship Id="rId1480" Type="http://schemas.openxmlformats.org/officeDocument/2006/relationships/hyperlink" Target="https://universidade.pipelovers.net/m/lessons/aumento-de-conversao-basedo-em-nichos-e-especializacao1769552267720?classId=3221" TargetMode="External"/><Relationship Id="rId1481" Type="http://schemas.openxmlformats.org/officeDocument/2006/relationships/hyperlink" Target="https://universidade.pipelovers.net/m/lessons/o-cfo-como-um-aliado-do-time-de-vendas1769552267798?classId=3222" TargetMode="External"/><Relationship Id="rId1482" Type="http://schemas.openxmlformats.org/officeDocument/2006/relationships/hyperlink" Target="https://universidade.pipelovers.net/m/lessons/o-cfo-como-um-aliado-do-time-de-vendas1769552267798?classId=3222" TargetMode="External"/><Relationship Id="rId1483" Type="http://schemas.openxmlformats.org/officeDocument/2006/relationships/hyperlink" Target="https://universidade.pipelovers.net/m/lessons/aumento-de-portfolio-de-produtos-desafios-e-oportunidades1769552267829?classId=3223" TargetMode="External"/><Relationship Id="rId2330" Type="http://schemas.openxmlformats.org/officeDocument/2006/relationships/hyperlink" Target="https://drive.google.com/file/d/13szKRNgjDwdHAZAII9trZL1Ov4reV0rI/view?usp=drive_link" TargetMode="External"/><Relationship Id="rId653" Type="http://schemas.openxmlformats.org/officeDocument/2006/relationships/hyperlink" Target="https://www.linkedin.com/in/marcosmylius/" TargetMode="External"/><Relationship Id="rId1000" Type="http://schemas.openxmlformats.org/officeDocument/2006/relationships/hyperlink" Target="https://universidade.pipelovers.net/aulas/acelerando-negociacoes-hacks-praticos-para-fechamento-1775686254317" TargetMode="External"/><Relationship Id="rId1484" Type="http://schemas.openxmlformats.org/officeDocument/2006/relationships/hyperlink" Target="https://universidade.pipelovers.net/m/lessons/aumento-de-portfolio-de-produtos-desafios-e-oportunidades1769552267829?classId=3223" TargetMode="External"/><Relationship Id="rId2331" Type="http://schemas.openxmlformats.org/officeDocument/2006/relationships/hyperlink" Target="https://www.linkedin.com/in/andreiavavassorigerentecomercial/" TargetMode="External"/><Relationship Id="rId652" Type="http://schemas.openxmlformats.org/officeDocument/2006/relationships/hyperlink" Target="https://drive.google.com/file/d/11PTrhSjgp71nUssBTJWFOlHYw4i4YjF-/view?usp=drive_link" TargetMode="External"/><Relationship Id="rId1001" Type="http://schemas.openxmlformats.org/officeDocument/2006/relationships/hyperlink" Target="https://universidade.pipelovers.net/aulas/acelerando-negociacoes-hacks-praticos-para-fechamento-1775686254317" TargetMode="External"/><Relationship Id="rId1485" Type="http://schemas.openxmlformats.org/officeDocument/2006/relationships/hyperlink" Target="https://www.linkedin.com/in/felipeplay2sell/" TargetMode="External"/><Relationship Id="rId2332" Type="http://schemas.openxmlformats.org/officeDocument/2006/relationships/hyperlink" Target="https://universidade.pipelovers.net/m/lessons/gestao-de-relacionamento-com-parceiros-estrategicos1769552461242?classId=3023" TargetMode="External"/><Relationship Id="rId651" Type="http://schemas.openxmlformats.org/officeDocument/2006/relationships/hyperlink" Target="https://universidade.pipelovers.net/m/lessons/priorizacao-de-carteira-de-clientes1769552328210?classId=3597" TargetMode="External"/><Relationship Id="rId1002" Type="http://schemas.openxmlformats.org/officeDocument/2006/relationships/hyperlink" Target="https://drive.google.com/file/d/1YPEVYeSYNdC3irr733EJbsHJRNINNdK3/view?usp=drive_link" TargetMode="External"/><Relationship Id="rId1486" Type="http://schemas.openxmlformats.org/officeDocument/2006/relationships/hyperlink" Target="https://universidade.pipelovers.net/m/lessons/gamification-na-gestao-comercial1769552267860?classId=3224" TargetMode="External"/><Relationship Id="rId2333" Type="http://schemas.openxmlformats.org/officeDocument/2006/relationships/hyperlink" Target="https://universidade.pipelovers.net/m/lessons/gestao-de-relacionamento-com-parceiros-estrategicos1769552461242?classId=3023" TargetMode="External"/><Relationship Id="rId650" Type="http://schemas.openxmlformats.org/officeDocument/2006/relationships/hyperlink" Target="https://universidade.pipelovers.net/m/lessons/priorizacao-de-carteira-de-clientes1769552328210?classId=3597" TargetMode="External"/><Relationship Id="rId1003" Type="http://schemas.openxmlformats.org/officeDocument/2006/relationships/hyperlink" Target="https://www.linkedin.com/in/julio--vigna/" TargetMode="External"/><Relationship Id="rId1487" Type="http://schemas.openxmlformats.org/officeDocument/2006/relationships/hyperlink" Target="https://universidade.pipelovers.net/m/lessons/gamification-na-gestao-comercial1769552267860?classId=3224" TargetMode="External"/><Relationship Id="rId2334" Type="http://schemas.openxmlformats.org/officeDocument/2006/relationships/hyperlink" Target="https://drive.google.com/file/d/1MqbTMk57dAhwzmzao-ebAUX7TVEx06KZ/view?usp=drive_link" TargetMode="External"/><Relationship Id="rId1037" Type="http://schemas.openxmlformats.org/officeDocument/2006/relationships/hyperlink" Target="https://universidade.pipelovers.net/m/lessons/venda-com-autoridade-como-dominar-o-negocio-e-segmento-do-cliente1769552385007?classId=3634" TargetMode="External"/><Relationship Id="rId2368" Type="http://schemas.openxmlformats.org/officeDocument/2006/relationships/hyperlink" Target="https://universidade.pipelovers.net/m/lessons/aprendizado-em-rede-como-escalar-conhecimento-entre-representantes1769552465872?classId=3431" TargetMode="External"/><Relationship Id="rId1038" Type="http://schemas.openxmlformats.org/officeDocument/2006/relationships/hyperlink" Target="https://drive.google.com/file/d/11_QV1H2RA66sBmjdnBFPGPUf4YGsu3d4/view?usp=drive_link" TargetMode="External"/><Relationship Id="rId2369" Type="http://schemas.openxmlformats.org/officeDocument/2006/relationships/hyperlink" Target="https://universidade.pipelovers.net/m/lessons/aprendizado-em-rede-como-escalar-conhecimento-entre-representantes1769552465872?classId=3431" TargetMode="External"/><Relationship Id="rId1039" Type="http://schemas.openxmlformats.org/officeDocument/2006/relationships/hyperlink" Target="https://www.linkedin.com/in/matheus-weigand/" TargetMode="External"/><Relationship Id="rId206" Type="http://schemas.openxmlformats.org/officeDocument/2006/relationships/hyperlink" Target="https://www.linkedin.com/in/otavioafortunato/" TargetMode="External"/><Relationship Id="rId205" Type="http://schemas.openxmlformats.org/officeDocument/2006/relationships/hyperlink" Target="https://universidade.pipelovers.net/m/lessons/ia-na-pratica-potencialize-sua-performance-como-pre-vendedor1769552039520?classId=3469" TargetMode="External"/><Relationship Id="rId689" Type="http://schemas.openxmlformats.org/officeDocument/2006/relationships/hyperlink" Target="https://www.linkedin.com/in/thiagoschioppa/" TargetMode="External"/><Relationship Id="rId204" Type="http://schemas.openxmlformats.org/officeDocument/2006/relationships/hyperlink" Target="https://universidade.pipelovers.net/m/lessons/ia-na-pratica-potencialize-sua-performance-como-pre-vendedor1769552039520?classId=3469" TargetMode="External"/><Relationship Id="rId688" Type="http://schemas.openxmlformats.org/officeDocument/2006/relationships/hyperlink" Target="https://drive.google.com/file/d/12xH2_jtwi2pj0DBcUdyk2TvBaBrAvtuo/view?usp=drive_link" TargetMode="External"/><Relationship Id="rId203" Type="http://schemas.openxmlformats.org/officeDocument/2006/relationships/hyperlink" Target="https://www.linkedin.com/in/ot%C3%A1vio-ponciano-a5b04018b/" TargetMode="External"/><Relationship Id="rId687" Type="http://schemas.openxmlformats.org/officeDocument/2006/relationships/hyperlink" Target="https://universidade.pipelovers.net/m/lessons/escolhendo-sua-metodologia-de-vendas1769552334242?classId=3624" TargetMode="External"/><Relationship Id="rId209" Type="http://schemas.openxmlformats.org/officeDocument/2006/relationships/hyperlink" Target="https://www.linkedin.com/in/carloshacampos/" TargetMode="External"/><Relationship Id="rId208" Type="http://schemas.openxmlformats.org/officeDocument/2006/relationships/hyperlink" Target="https://universidade.pipelovers.net/m/lessons/tecnicas-de-aprendizado-lado-a-lado-com-pares1769552039424?classId=3470" TargetMode="External"/><Relationship Id="rId207" Type="http://schemas.openxmlformats.org/officeDocument/2006/relationships/hyperlink" Target="https://universidade.pipelovers.net/m/lessons/tecnicas-de-aprendizado-lado-a-lado-com-pares1769552039424?classId=3470" TargetMode="External"/><Relationship Id="rId682" Type="http://schemas.openxmlformats.org/officeDocument/2006/relationships/hyperlink" Target="https://universidade.pipelovers.net/m/lessons/o-impacto-do-ecommerce-b2b-para-vendedores1769552334177?classId=3604" TargetMode="External"/><Relationship Id="rId2360" Type="http://schemas.openxmlformats.org/officeDocument/2006/relationships/hyperlink" Target="https://universidade.pipelovers.net/m/lessons/estrutura-de-um-pitch-de-aquisicao-de-novos-parceiros1769552466257?classId=3426" TargetMode="External"/><Relationship Id="rId681" Type="http://schemas.openxmlformats.org/officeDocument/2006/relationships/hyperlink" Target="https://www.linkedin.com/in/caraujo-ecomm/" TargetMode="External"/><Relationship Id="rId1030" Type="http://schemas.openxmlformats.org/officeDocument/2006/relationships/hyperlink" Target="https://drive.google.com/file/d/1j0crhYJwWfmMrhXvUI4m1RHrmE1Bnzxn/view?usp=drive_link" TargetMode="External"/><Relationship Id="rId2361" Type="http://schemas.openxmlformats.org/officeDocument/2006/relationships/hyperlink" Target="https://universidade.pipelovers.net/m/lessons/estrutura-de-um-pitch-de-aquisicao-de-novos-parceiros1769552466257?classId=3426" TargetMode="External"/><Relationship Id="rId680" Type="http://schemas.openxmlformats.org/officeDocument/2006/relationships/hyperlink" Target="https://drive.google.com/file/d/1ui47Iu0PTs5KiYIKNiaN8vAudQDof9ma/view?usp=drive_link" TargetMode="External"/><Relationship Id="rId1031" Type="http://schemas.openxmlformats.org/officeDocument/2006/relationships/hyperlink" Target="https://www.linkedin.com/in/flaubifarias/" TargetMode="External"/><Relationship Id="rId2362" Type="http://schemas.openxmlformats.org/officeDocument/2006/relationships/hyperlink" Target="https://drive.google.com/file/d/12Bl_6laIoe2WOGwM9CN2MJ46ba7foC65/view?usp=drive_link" TargetMode="External"/><Relationship Id="rId1032" Type="http://schemas.openxmlformats.org/officeDocument/2006/relationships/hyperlink" Target="https://universidade.pipelovers.net/m/lessons/tecnicas-para-reducao-do-ciclo-de-venda-ativando-senso-de-urgencia1769552376960?classId=3635" TargetMode="External"/><Relationship Id="rId2363" Type="http://schemas.openxmlformats.org/officeDocument/2006/relationships/hyperlink" Target="https://www.linkedin.com/in/danielhollander/" TargetMode="External"/><Relationship Id="rId202" Type="http://schemas.openxmlformats.org/officeDocument/2006/relationships/hyperlink" Target="https://universidade.pipelovers.net/m/lessons/autoestima-e-autoconfianca-a-favor-do-vendedor1769552039399?classId=3468" TargetMode="External"/><Relationship Id="rId686" Type="http://schemas.openxmlformats.org/officeDocument/2006/relationships/hyperlink" Target="https://universidade.pipelovers.net/m/lessons/escolhendo-sua-metodologia-de-vendas1769552334242?classId=3624" TargetMode="External"/><Relationship Id="rId1033" Type="http://schemas.openxmlformats.org/officeDocument/2006/relationships/hyperlink" Target="https://universidade.pipelovers.net/m/lessons/tecnicas-para-reducao-do-ciclo-de-venda-ativando-senso-de-urgencia1769552376960?classId=3635" TargetMode="External"/><Relationship Id="rId2364" Type="http://schemas.openxmlformats.org/officeDocument/2006/relationships/hyperlink" Target="https://universidade.pipelovers.net/m/lessons/segmentacao-de-parceiros-para-desenvolver-canais-com-eficiencia1769552465755?classId=3430" TargetMode="External"/><Relationship Id="rId201" Type="http://schemas.openxmlformats.org/officeDocument/2006/relationships/hyperlink" Target="https://universidade.pipelovers.net/m/lessons/autoestima-e-autoconfianca-a-favor-do-vendedor1769552039399?classId=3468" TargetMode="External"/><Relationship Id="rId685" Type="http://schemas.openxmlformats.org/officeDocument/2006/relationships/hyperlink" Target="https://www.linkedin.com/in/helioazevedo/" TargetMode="External"/><Relationship Id="rId1034" Type="http://schemas.openxmlformats.org/officeDocument/2006/relationships/hyperlink" Target="https://drive.google.com/file/d/1LidZuuIg6m0TkGgGJQNcT1R4MdMGumBn/view?usp=drive_link" TargetMode="External"/><Relationship Id="rId2365" Type="http://schemas.openxmlformats.org/officeDocument/2006/relationships/hyperlink" Target="https://universidade.pipelovers.net/m/lessons/segmentacao-de-parceiros-para-desenvolver-canais-com-eficiencia1769552465755?classId=3430" TargetMode="External"/><Relationship Id="rId200" Type="http://schemas.openxmlformats.org/officeDocument/2006/relationships/hyperlink" Target="https://www.linkedin.com/in/cassiogifford/" TargetMode="External"/><Relationship Id="rId684" Type="http://schemas.openxmlformats.org/officeDocument/2006/relationships/hyperlink" Target="https://drive.google.com/file/d/1Dv3NHPFXj0f3qEAo9RkSlx9DNuLB6onE/view?usp=drive_link" TargetMode="External"/><Relationship Id="rId1035" Type="http://schemas.openxmlformats.org/officeDocument/2006/relationships/hyperlink" Target="https://www.linkedin.com/in/gabriellpss/" TargetMode="External"/><Relationship Id="rId2366" Type="http://schemas.openxmlformats.org/officeDocument/2006/relationships/hyperlink" Target="https://drive.google.com/file/d/1XWsvcAqb3CHVwpDmgk8t0_87t93_x99P/view?usp=drive_link" TargetMode="External"/><Relationship Id="rId683" Type="http://schemas.openxmlformats.org/officeDocument/2006/relationships/hyperlink" Target="https://universidade.pipelovers.net/m/lessons/o-impacto-do-ecommerce-b2b-para-vendedores1769552334177?moduleId=1014&amp;classId=3604" TargetMode="External"/><Relationship Id="rId1036" Type="http://schemas.openxmlformats.org/officeDocument/2006/relationships/hyperlink" Target="https://universidade.pipelovers.net/m/lessons/venda-com-autoridade-como-dominar-o-negocio-e-segmento-do-cliente1769552385007?classId=3634" TargetMode="External"/><Relationship Id="rId2367" Type="http://schemas.openxmlformats.org/officeDocument/2006/relationships/hyperlink" Target="https://www.linkedin.com/in/eduardo-lara-weigert-789a3a143/" TargetMode="External"/><Relationship Id="rId1026" Type="http://schemas.openxmlformats.org/officeDocument/2006/relationships/hyperlink" Target="https://drive.google.com/file/d/1RYIMQf5ti5Rz72EUHTq413XxUn-MW3N4/view?usp=drive_link" TargetMode="External"/><Relationship Id="rId2357" Type="http://schemas.openxmlformats.org/officeDocument/2006/relationships/hyperlink" Target="https://universidade.pipelovers.net/m/lessons/gestao-de-funil-de-vendas-de-canais-indiretos1769552466194?classId=3425" TargetMode="External"/><Relationship Id="rId1027" Type="http://schemas.openxmlformats.org/officeDocument/2006/relationships/hyperlink" Target="https://www.linkedin.com/in/carol-deberaldini-21793442/" TargetMode="External"/><Relationship Id="rId2358" Type="http://schemas.openxmlformats.org/officeDocument/2006/relationships/hyperlink" Target="https://drive.google.com/file/d/1CJXsvuZ3QZf-HcS7lhS_HNUunANcSGgQ/view?usp=drive_link" TargetMode="External"/><Relationship Id="rId1028" Type="http://schemas.openxmlformats.org/officeDocument/2006/relationships/hyperlink" Target="https://universidade.pipelovers.net/m/lessons/dar-e-receber-feedback-com-clareza1769552060864?classId=3028" TargetMode="External"/><Relationship Id="rId2359" Type="http://schemas.openxmlformats.org/officeDocument/2006/relationships/hyperlink" Target="https://www.linkedin.com/in/felipedecarvalho1982/" TargetMode="External"/><Relationship Id="rId1029" Type="http://schemas.openxmlformats.org/officeDocument/2006/relationships/hyperlink" Target="https://universidade.pipelovers.net/m/lessons/dar-e-receber-feedback-com-clareza1769552060864?classId=3028" TargetMode="External"/><Relationship Id="rId679" Type="http://schemas.openxmlformats.org/officeDocument/2006/relationships/hyperlink" Target="https://universidade.pipelovers.net/m/lessons/autogestao-com-metas-de-execucao1769552334079?classId=3603" TargetMode="External"/><Relationship Id="rId678" Type="http://schemas.openxmlformats.org/officeDocument/2006/relationships/hyperlink" Target="https://universidade.pipelovers.net/m/lessons/autogestao-com-metas-de-execucao1769552334079?classId=3603" TargetMode="External"/><Relationship Id="rId677" Type="http://schemas.openxmlformats.org/officeDocument/2006/relationships/hyperlink" Target="https://www.linkedin.com/in/rodrigomdeoliveira/" TargetMode="External"/><Relationship Id="rId676" Type="http://schemas.openxmlformats.org/officeDocument/2006/relationships/hyperlink" Target="https://drive.google.com/file/d/1Cu02dvWdb_BNjckBoNxbj9bbXrk8mHzY/view?usp=drive_link" TargetMode="External"/><Relationship Id="rId671" Type="http://schemas.openxmlformats.org/officeDocument/2006/relationships/hyperlink" Target="https://universidade.pipelovers.net/m/lessons/qualificacao-de-oportunidades1769552333940?classId=3602" TargetMode="External"/><Relationship Id="rId670" Type="http://schemas.openxmlformats.org/officeDocument/2006/relationships/hyperlink" Target="https://universidade.pipelovers.net/m/lessons/qualificacao-de-oportunidades1769552333940?classId=3602" TargetMode="External"/><Relationship Id="rId2350" Type="http://schemas.openxmlformats.org/officeDocument/2006/relationships/hyperlink" Target="https://drive.google.com/file/d/17a2R7U9BkbTv3RGXTiEvyZCM0ywCWz4p/view?usp=drive_link" TargetMode="External"/><Relationship Id="rId1020" Type="http://schemas.openxmlformats.org/officeDocument/2006/relationships/hyperlink" Target="https://universidade.pipelovers.net/m/lessons/jolt-effect-como-vencer-a-indecisao-do-cliente1769552376803?classId=3636" TargetMode="External"/><Relationship Id="rId2351" Type="http://schemas.openxmlformats.org/officeDocument/2006/relationships/hyperlink" Target="https://www.linkedin.com/in/gabrielagapito/" TargetMode="External"/><Relationship Id="rId1021" Type="http://schemas.openxmlformats.org/officeDocument/2006/relationships/hyperlink" Target="https://universidade.pipelovers.net/m/lessons/jolt-effect-como-vencer-a-indecisao-do-cliente1769552376803?classId=3636" TargetMode="External"/><Relationship Id="rId2352" Type="http://schemas.openxmlformats.org/officeDocument/2006/relationships/hyperlink" Target="https://universidade.pipelovers.net/m/lessons/kpis-de-canais-como-medir-engajamento-e-performance1769552466132?classId=3018" TargetMode="External"/><Relationship Id="rId675" Type="http://schemas.openxmlformats.org/officeDocument/2006/relationships/hyperlink" Target="https://universidade.pipelovers.net/m/lessons/top-performers-habitos-rotinas-e-atitudes-de-vendedores-que-batem-meta1769552334011?classId=3572" TargetMode="External"/><Relationship Id="rId1022" Type="http://schemas.openxmlformats.org/officeDocument/2006/relationships/hyperlink" Target="https://drive.google.com/file/d/1VflqUYOve91nXNr8lq2B7YMwg0ABu8ky/view?usp=drive_link" TargetMode="External"/><Relationship Id="rId2353" Type="http://schemas.openxmlformats.org/officeDocument/2006/relationships/hyperlink" Target="https://universidade.pipelovers.net/m/lessons/kpis-de-canais-como-medir-engajamento-e-performance1769552466132?classId=3018" TargetMode="External"/><Relationship Id="rId674" Type="http://schemas.openxmlformats.org/officeDocument/2006/relationships/hyperlink" Target="https://universidade.pipelovers.net/m/lessons/top-performers-habitos-rotinas-e-atitudes-de-vendedores-que-batem-meta1769552334011?classId=3572" TargetMode="External"/><Relationship Id="rId1023" Type="http://schemas.openxmlformats.org/officeDocument/2006/relationships/hyperlink" Target="https://www.linkedin.com/in/luizfelipecrosa/" TargetMode="External"/><Relationship Id="rId2354" Type="http://schemas.openxmlformats.org/officeDocument/2006/relationships/hyperlink" Target="https://drive.google.com/file/d/1Qsz_FJsKWbSG-rQhKTHs0wlY4xgPHShj/view?usp=drive_link" TargetMode="External"/><Relationship Id="rId673" Type="http://schemas.openxmlformats.org/officeDocument/2006/relationships/hyperlink" Target="https://www.linkedin.com/in/coelhofarc/" TargetMode="External"/><Relationship Id="rId1024" Type="http://schemas.openxmlformats.org/officeDocument/2006/relationships/hyperlink" Target="https://universidade.pipelovers.net/m/lessons/reunioes-com-c-level-abordagem-consultiva-para-ganhar-credibilidade1769552376876?classId=3774" TargetMode="External"/><Relationship Id="rId2355" Type="http://schemas.openxmlformats.org/officeDocument/2006/relationships/hyperlink" Target="https://www.linkedin.com/in/carlos-d-hernandez-m/" TargetMode="External"/><Relationship Id="rId672" Type="http://schemas.openxmlformats.org/officeDocument/2006/relationships/hyperlink" Target="https://drive.google.com/file/d/11wMV1qBwK_d_LpO8OGN0HRElAYktCWaB/view?usp=drive_link" TargetMode="External"/><Relationship Id="rId1025" Type="http://schemas.openxmlformats.org/officeDocument/2006/relationships/hyperlink" Target="https://universidade.pipelovers.net/m/lessons/reunioes-com-c-level-abordagem-consultiva-para-ganhar-credibilidade1769552376876?classId=3774" TargetMode="External"/><Relationship Id="rId2356" Type="http://schemas.openxmlformats.org/officeDocument/2006/relationships/hyperlink" Target="https://universidade.pipelovers.net/m/lessons/gestao-de-funil-de-vendas-de-canais-indiretos1769552466194?classId=3425" TargetMode="External"/><Relationship Id="rId190" Type="http://schemas.openxmlformats.org/officeDocument/2006/relationships/hyperlink" Target="https://universidade.pipelovers.net/m/lessons/taticas-de-growth-mindset-para-pre-vendedores1769552039303?classId=3458" TargetMode="External"/><Relationship Id="rId194" Type="http://schemas.openxmlformats.org/officeDocument/2006/relationships/hyperlink" Target="https://www.linkedin.com/in/aura-d-khemani/" TargetMode="External"/><Relationship Id="rId193" Type="http://schemas.openxmlformats.org/officeDocument/2006/relationships/hyperlink" Target="https://universidade.pipelovers.net/m/lessons/palestra-rd-summit-20231769552039345?classId=3108" TargetMode="External"/><Relationship Id="rId192" Type="http://schemas.openxmlformats.org/officeDocument/2006/relationships/hyperlink" Target="https://universidade.pipelovers.net/m/lessons/palestra-rd-summit-20231769552039345?classId=3108" TargetMode="External"/><Relationship Id="rId191" Type="http://schemas.openxmlformats.org/officeDocument/2006/relationships/hyperlink" Target="https://www.linkedin.com/in/gpagotto/" TargetMode="External"/><Relationship Id="rId187" Type="http://schemas.openxmlformats.org/officeDocument/2006/relationships/hyperlink" Target="https://universidade.pipelovers.net/m/lessons/como-criar-account-planning-para-prospectar-contas-enterprise1769552039068?classId=3457" TargetMode="External"/><Relationship Id="rId186" Type="http://schemas.openxmlformats.org/officeDocument/2006/relationships/hyperlink" Target="https://universidade.pipelovers.net/m/lessons/como-criar-account-planning-para-prospectar-contas-enterprise1769552039068?classId=3457" TargetMode="External"/><Relationship Id="rId185" Type="http://schemas.openxmlformats.org/officeDocument/2006/relationships/hyperlink" Target="https://www.linkedin.com/in/gabriel-sbrasil/" TargetMode="External"/><Relationship Id="rId184" Type="http://schemas.openxmlformats.org/officeDocument/2006/relationships/hyperlink" Target="https://universidade.pipelovers.net/aulas/como-organizar-o-dia-a-dia-de-uma-operaca0-volumosa-em-pre-vendas-1775818200864" TargetMode="External"/><Relationship Id="rId189" Type="http://schemas.openxmlformats.org/officeDocument/2006/relationships/hyperlink" Target="https://universidade.pipelovers.net/m/lessons/taticas-de-growth-mindset-para-pre-vendedores1769552039303?classId=3458" TargetMode="External"/><Relationship Id="rId188" Type="http://schemas.openxmlformats.org/officeDocument/2006/relationships/hyperlink" Target="https://www.linkedin.com/in/rhulian/" TargetMode="External"/><Relationship Id="rId183" Type="http://schemas.openxmlformats.org/officeDocument/2006/relationships/hyperlink" Target="https://universidade.pipelovers.net/aulas/como-organizar-o-dia-a-dia-de-uma-operaca0-volumosa-em-pre-vendas-1775818200864" TargetMode="External"/><Relationship Id="rId182" Type="http://schemas.openxmlformats.org/officeDocument/2006/relationships/hyperlink" Target="https://www.linkedin.com/in/samara-anselmi/" TargetMode="External"/><Relationship Id="rId181" Type="http://schemas.openxmlformats.org/officeDocument/2006/relationships/hyperlink" Target="https://universidade.pipelovers.net/m/lessons/tecnicas-para-reduzir-no-show-de-prospects1769552026948?classId=3455" TargetMode="External"/><Relationship Id="rId180" Type="http://schemas.openxmlformats.org/officeDocument/2006/relationships/hyperlink" Target="https://universidade.pipelovers.net/m/lessons/tecnicas-para-reduzir-no-show-de-prospects1769552026948?classId=3455" TargetMode="External"/><Relationship Id="rId176" Type="http://schemas.openxmlformats.org/officeDocument/2006/relationships/hyperlink" Target="https://www.linkedin.com/in/bruna-verissimo/" TargetMode="External"/><Relationship Id="rId175" Type="http://schemas.openxmlformats.org/officeDocument/2006/relationships/hyperlink" Target="https://universidade.pipelovers.net/aulas/como-lidar-com-a-rejeica0-dos-clientes-1775074436382" TargetMode="External"/><Relationship Id="rId174" Type="http://schemas.openxmlformats.org/officeDocument/2006/relationships/hyperlink" Target="https://universidade.pipelovers.net/aulas/como-lidar-com-a-rejeica0-dos-clientes-1775074436382" TargetMode="External"/><Relationship Id="rId173" Type="http://schemas.openxmlformats.org/officeDocument/2006/relationships/hyperlink" Target="https://www.linkedin.com/in/larissahelenapereira/" TargetMode="External"/><Relationship Id="rId179" Type="http://schemas.openxmlformats.org/officeDocument/2006/relationships/hyperlink" Target="https://www.linkedin.com/in/jos%C3%A9-de-sousa-cunha-68093a200/" TargetMode="External"/><Relationship Id="rId178" Type="http://schemas.openxmlformats.org/officeDocument/2006/relationships/hyperlink" Target="https://universidade.pipelovers.net/m/lessons/prospeccao-em-mercados-altamente-concorridos1769552026894?classId=3454" TargetMode="External"/><Relationship Id="rId177" Type="http://schemas.openxmlformats.org/officeDocument/2006/relationships/hyperlink" Target="https://universidade.pipelovers.net/m/lessons/prospeccao-em-mercados-altamente-concorridos1769552026894?classId=3454" TargetMode="External"/><Relationship Id="rId1910" Type="http://schemas.openxmlformats.org/officeDocument/2006/relationships/hyperlink" Target="https://universidade.pipelovers.net/m/lessons/case-google-cloud1769552406256?classId=3338" TargetMode="External"/><Relationship Id="rId1911" Type="http://schemas.openxmlformats.org/officeDocument/2006/relationships/hyperlink" Target="https://universidade.pipelovers.net/m/lessons/case-google-cloud1769552406256?classId=3338" TargetMode="External"/><Relationship Id="rId1912" Type="http://schemas.openxmlformats.org/officeDocument/2006/relationships/hyperlink" Target="https://drive.google.com/file/d/1axhjSOdIiQiuyM3-560ZEUegCXLzUy2Q/view?usp=drive_link" TargetMode="External"/><Relationship Id="rId1913" Type="http://schemas.openxmlformats.org/officeDocument/2006/relationships/hyperlink" Target="https://www.linkedin.com/in/glaucio-goncalves/" TargetMode="External"/><Relationship Id="rId1914" Type="http://schemas.openxmlformats.org/officeDocument/2006/relationships/hyperlink" Target="https://universidade.pipelovers.net/m/lessons/rotinas-de-gestao-de-canais-indiretos1769552406333?classId=3350" TargetMode="External"/><Relationship Id="rId1915" Type="http://schemas.openxmlformats.org/officeDocument/2006/relationships/hyperlink" Target="https://universidade.pipelovers.net/m/lessons/rotinas-de-gestao-de-canais-indiretos1769552406333?classId=3350" TargetMode="External"/><Relationship Id="rId1916" Type="http://schemas.openxmlformats.org/officeDocument/2006/relationships/hyperlink" Target="https://drive.google.com/file/d/1D85FGxY-R4u1oTqWdwljMFBBN0Oo2Z0c/view?usp=drive_link" TargetMode="External"/><Relationship Id="rId1917" Type="http://schemas.openxmlformats.org/officeDocument/2006/relationships/hyperlink" Target="https://www.linkedin.com/in/anaflaviamartins/" TargetMode="External"/><Relationship Id="rId1918" Type="http://schemas.openxmlformats.org/officeDocument/2006/relationships/hyperlink" Target="https://universidade.pipelovers.net/m/lessons/modelo-de-franquias-case-algar-telecom1769552406396?classId=3349" TargetMode="External"/><Relationship Id="rId1919" Type="http://schemas.openxmlformats.org/officeDocument/2006/relationships/hyperlink" Target="https://universidade.pipelovers.net/m/lessons/modelo-de-franquias-case-algar-telecom1769552406396?classId=3349" TargetMode="External"/><Relationship Id="rId1900" Type="http://schemas.openxmlformats.org/officeDocument/2006/relationships/hyperlink" Target="https://drive.google.com/file/d/1yzxGyIvhq0BSZj1Noi7mobJG1lc75-FU/view?usp=drive_link" TargetMode="External"/><Relationship Id="rId1901" Type="http://schemas.openxmlformats.org/officeDocument/2006/relationships/hyperlink" Target="https://www.linkedin.com/in/gtsuchida/" TargetMode="External"/><Relationship Id="rId1902" Type="http://schemas.openxmlformats.org/officeDocument/2006/relationships/hyperlink" Target="https://universidade.pipelovers.net/m/lessons/case-microsoft1769552406083?classId=3341" TargetMode="External"/><Relationship Id="rId1903" Type="http://schemas.openxmlformats.org/officeDocument/2006/relationships/hyperlink" Target="https://universidade.pipelovers.net/m/lessons/case-microsoft1769552406083?classId=3341" TargetMode="External"/><Relationship Id="rId1904" Type="http://schemas.openxmlformats.org/officeDocument/2006/relationships/hyperlink" Target="https://drive.google.com/file/d/18aN0VjQMeDKQMjaAO_UsI5HSuHeB_2I9/view?usp=drive_link" TargetMode="External"/><Relationship Id="rId1905" Type="http://schemas.openxmlformats.org/officeDocument/2006/relationships/hyperlink" Target="https://www.linkedin.com/in/cristiano-gregorius-b73bb7/" TargetMode="External"/><Relationship Id="rId1906" Type="http://schemas.openxmlformats.org/officeDocument/2006/relationships/hyperlink" Target="https://universidade.pipelovers.net/m/lessons/fusao-de-programas-de-canais-pos-ma1769552406157?classId=3340" TargetMode="External"/><Relationship Id="rId1907" Type="http://schemas.openxmlformats.org/officeDocument/2006/relationships/hyperlink" Target="https://universidade.pipelovers.net/m/lessons/fusao-de-programas-de-canais-pos-ma1769552406157?classId=3340" TargetMode="External"/><Relationship Id="rId1908" Type="http://schemas.openxmlformats.org/officeDocument/2006/relationships/hyperlink" Target="https://drive.google.com/file/d/1Hx_sKoh5HHbnjoIFYZTu3Q3-4PWNBya4/view?usp=drive_link" TargetMode="External"/><Relationship Id="rId1909" Type="http://schemas.openxmlformats.org/officeDocument/2006/relationships/hyperlink" Target="https://www.linkedin.com/in/henriquesaraiva/" TargetMode="External"/><Relationship Id="rId198" Type="http://schemas.openxmlformats.org/officeDocument/2006/relationships/hyperlink" Target="https://universidade.pipelovers.net/m/lessons/estruturacao-e-avaliacao-de-testes-na-prospeccao1769552039490?classId=3467" TargetMode="External"/><Relationship Id="rId197" Type="http://schemas.openxmlformats.org/officeDocument/2006/relationships/hyperlink" Target="https://www.linkedin.com/in/vittor-amaral/" TargetMode="External"/><Relationship Id="rId196" Type="http://schemas.openxmlformats.org/officeDocument/2006/relationships/hyperlink" Target="https://universidade.pipelovers.net/m/lessons/alem-da-meta-o-que-e-preciso-para-ser-promovido1769552039372?classId=3466" TargetMode="External"/><Relationship Id="rId195" Type="http://schemas.openxmlformats.org/officeDocument/2006/relationships/hyperlink" Target="https://universidade.pipelovers.net/m/lessons/alem-da-meta-o-que-e-preciso-para-ser-promovido1769552039372?classId=3466" TargetMode="External"/><Relationship Id="rId199" Type="http://schemas.openxmlformats.org/officeDocument/2006/relationships/hyperlink" Target="https://universidade.pipelovers.net/m/lessons/estruturacao-e-avaliacao-de-testes-na-prospeccao1769552039490?classId=3467" TargetMode="External"/><Relationship Id="rId150" Type="http://schemas.openxmlformats.org/officeDocument/2006/relationships/hyperlink" Target="https://universidade.pipelovers.net/m/lessons/o-papel-do-pre-vendedor-em-account-based-marketing1769552022846?classId=3443" TargetMode="External"/><Relationship Id="rId149" Type="http://schemas.openxmlformats.org/officeDocument/2006/relationships/hyperlink" Target="https://www.linkedin.com/in/amandafeitosa/" TargetMode="External"/><Relationship Id="rId148" Type="http://schemas.openxmlformats.org/officeDocument/2006/relationships/hyperlink" Target="https://universidade.pipelovers.net/m/lessons/framework-de-avaliacao-de-ligacoes1769552022715?classId=3442" TargetMode="External"/><Relationship Id="rId1090" Type="http://schemas.openxmlformats.org/officeDocument/2006/relationships/hyperlink" Target="https://universidade.pipelovers.net/m/lessons/o-que-realmente-funciona-em-contas-estrategicas1769552386212?classId=3042" TargetMode="External"/><Relationship Id="rId1091" Type="http://schemas.openxmlformats.org/officeDocument/2006/relationships/hyperlink" Target="https://drive.google.com/file/d/1yPg9eX_RqgMF8IZZ9ye7VhXTvn2BUm8Z/view?usp=drive_link" TargetMode="External"/><Relationship Id="rId1092" Type="http://schemas.openxmlformats.org/officeDocument/2006/relationships/hyperlink" Target="https://www.linkedin.com/in/matheus-raulino/" TargetMode="External"/><Relationship Id="rId1093" Type="http://schemas.openxmlformats.org/officeDocument/2006/relationships/hyperlink" Target="https://universidade.pipelovers.net/m/lessons/resiliencia-em-vendas-como-superar-rejeicoes-constantes1769552386411?classId=3043" TargetMode="External"/><Relationship Id="rId1094" Type="http://schemas.openxmlformats.org/officeDocument/2006/relationships/hyperlink" Target="https://universidade.pipelovers.net/m/lessons/resiliencia-em-vendas-como-superar-rejeicoes-constantes1769552386411?classId=3043" TargetMode="External"/><Relationship Id="rId143" Type="http://schemas.openxmlformats.org/officeDocument/2006/relationships/hyperlink" Target="https://www.linkedin.com/in/gustavo-gomes-sales/" TargetMode="External"/><Relationship Id="rId1095" Type="http://schemas.openxmlformats.org/officeDocument/2006/relationships/hyperlink" Target="https://drive.google.com/file/d/1LyHPjzA5wI6xnC8r3J6iF7XaINxOkHj4/view?usp=drive_link" TargetMode="External"/><Relationship Id="rId142" Type="http://schemas.openxmlformats.org/officeDocument/2006/relationships/hyperlink" Target="https://universidade.pipelovers.net/m/lessons/como-ser-um-influenciador-corporativo-nas-redes-sociais1769552019545?classId=3434" TargetMode="External"/><Relationship Id="rId1096" Type="http://schemas.openxmlformats.org/officeDocument/2006/relationships/hyperlink" Target="https://www.linkedin.com/in/daniel-maldonado-forin/" TargetMode="External"/><Relationship Id="rId141" Type="http://schemas.openxmlformats.org/officeDocument/2006/relationships/hyperlink" Target="https://universidade.pipelovers.net/m/lessons/como-ser-um-influenciador-corporativo-nas-redes-sociais1769552019545?classId=3434" TargetMode="External"/><Relationship Id="rId1097" Type="http://schemas.openxmlformats.org/officeDocument/2006/relationships/hyperlink" Target="https://universidade.pipelovers.net/m/lessons/discovery-e-causa-raiz-como-investigar-o-problema-certo-antes-de-vender1769552386471?classId=3044" TargetMode="External"/><Relationship Id="rId140" Type="http://schemas.openxmlformats.org/officeDocument/2006/relationships/hyperlink" Target="https://www.linkedin.com/in/dronda/" TargetMode="External"/><Relationship Id="rId1098" Type="http://schemas.openxmlformats.org/officeDocument/2006/relationships/hyperlink" Target="https://universidade.pipelovers.net/m/lessons/discovery-e-causa-raiz-como-investigar-o-problema-certo-antes-de-vender1769552386471?classId=3044" TargetMode="External"/><Relationship Id="rId147" Type="http://schemas.openxmlformats.org/officeDocument/2006/relationships/hyperlink" Target="https://universidade.pipelovers.net/m/lessons/framework-de-avaliacao-de-ligacoes1769552022715?classId=3442" TargetMode="External"/><Relationship Id="rId1099" Type="http://schemas.openxmlformats.org/officeDocument/2006/relationships/hyperlink" Target="https://drive.google.com/file/d/1ZaWC6mPkN0BkpR6ftOD6He7yWsZDAmxE/view?usp=drive_link" TargetMode="External"/><Relationship Id="rId146" Type="http://schemas.openxmlformats.org/officeDocument/2006/relationships/hyperlink" Target="https://www.linkedin.com/in/matheus-gomes-dasilva/" TargetMode="External"/><Relationship Id="rId145" Type="http://schemas.openxmlformats.org/officeDocument/2006/relationships/hyperlink" Target="https://universidade.pipelovers.net/m/lessons/aprendizados-da-semana-de-prospeccao-b2b1769552022786?classId=3436" TargetMode="External"/><Relationship Id="rId144" Type="http://schemas.openxmlformats.org/officeDocument/2006/relationships/hyperlink" Target="https://universidade.pipelovers.net/m/lessons/aprendizados-da-semana-de-prospeccao-b2b1769552022786?classId=3436" TargetMode="External"/><Relationship Id="rId139" Type="http://schemas.openxmlformats.org/officeDocument/2006/relationships/hyperlink" Target="https://universidade.pipelovers.net/m/lessons/operacao-de-pre-vendas-como-motor-de-crescimento-de-startups1769552019468?classId=3435" TargetMode="External"/><Relationship Id="rId138" Type="http://schemas.openxmlformats.org/officeDocument/2006/relationships/hyperlink" Target="https://universidade.pipelovers.net/m/lessons/operacao-de-pre-vendas-como-motor-de-crescimento-de-startups1769552019468?classId=3435" TargetMode="External"/><Relationship Id="rId137" Type="http://schemas.openxmlformats.org/officeDocument/2006/relationships/hyperlink" Target="https://www.linkedin.com/in/angelagarbin/" TargetMode="External"/><Relationship Id="rId1080" Type="http://schemas.openxmlformats.org/officeDocument/2006/relationships/hyperlink" Target="https://www.linkedin.com/in/ebersonterra/" TargetMode="External"/><Relationship Id="rId1081" Type="http://schemas.openxmlformats.org/officeDocument/2006/relationships/hyperlink" Target="https://universidade.pipelovers.net/m/lessons/da-pra-se-desenvolver-mesmo-com-um-chefe-ruim1769552386064?classId=3040" TargetMode="External"/><Relationship Id="rId1082" Type="http://schemas.openxmlformats.org/officeDocument/2006/relationships/hyperlink" Target="https://universidade.pipelovers.net/m/lessons/da-pra-se-desenvolver-mesmo-com-um-chefe-ruim1769552386064?classId=3040" TargetMode="External"/><Relationship Id="rId1083" Type="http://schemas.openxmlformats.org/officeDocument/2006/relationships/hyperlink" Target="https://drive.google.com/file/d/1Z8eWnlgxhja2OuEADoyIyu4BaVXhG0Rq/view?usp=drive_link" TargetMode="External"/><Relationship Id="rId132" Type="http://schemas.openxmlformats.org/officeDocument/2006/relationships/hyperlink" Target="https://universidade.pipelovers.net/m/lessons/a-importancia-do-posicionamento-de-produto-na-prospeccao1769552019439?classId=3428" TargetMode="External"/><Relationship Id="rId1084" Type="http://schemas.openxmlformats.org/officeDocument/2006/relationships/hyperlink" Target="https://www.linkedin.com/in/arthurfrota/" TargetMode="External"/><Relationship Id="rId131" Type="http://schemas.openxmlformats.org/officeDocument/2006/relationships/hyperlink" Target="https://www.linkedin.com/in/thiagoalisboa/" TargetMode="External"/><Relationship Id="rId1085" Type="http://schemas.openxmlformats.org/officeDocument/2006/relationships/hyperlink" Target="https://universidade.pipelovers.net/m/lessons/mapeando-influenciadores-e-decisores-na-venda-b2b1769552386126?classId=3041" TargetMode="External"/><Relationship Id="rId130" Type="http://schemas.openxmlformats.org/officeDocument/2006/relationships/hyperlink" Target="https://universidade.pipelovers.net/m/lessons/como-seu-lider-pode-te-ajudar-a-ter-sucesso1769552019399?classId=3427" TargetMode="External"/><Relationship Id="rId1086" Type="http://schemas.openxmlformats.org/officeDocument/2006/relationships/hyperlink" Target="https://universidade.pipelovers.net/m/lessons/mapeando-influenciadores-e-decisores-na-venda-b2b1769552386126?classId=3041" TargetMode="External"/><Relationship Id="rId1087" Type="http://schemas.openxmlformats.org/officeDocument/2006/relationships/hyperlink" Target="https://drive.google.com/file/d/1I4CyIAbVhGj_n89kIJcnjN6-52N3sZBV/view?usp=drive_link" TargetMode="External"/><Relationship Id="rId136" Type="http://schemas.openxmlformats.org/officeDocument/2006/relationships/hyperlink" Target="https://universidade.pipelovers.net/m/lessons/como-ser-mais-produtivo-em-pre-vendas1769552019505?classId=3429" TargetMode="External"/><Relationship Id="rId1088" Type="http://schemas.openxmlformats.org/officeDocument/2006/relationships/hyperlink" Target="https://www.linkedin.com/in/frederico-martendal-621b8648/" TargetMode="External"/><Relationship Id="rId135" Type="http://schemas.openxmlformats.org/officeDocument/2006/relationships/hyperlink" Target="https://universidade.pipelovers.net/m/lessons/como-ser-mais-produtivo-em-pre-vendas1769552019505?classId=3429" TargetMode="External"/><Relationship Id="rId1089" Type="http://schemas.openxmlformats.org/officeDocument/2006/relationships/hyperlink" Target="https://universidade.pipelovers.net/m/lessons/o-que-realmente-funciona-em-contas-estrategicas1769552386212?classId=3042" TargetMode="External"/><Relationship Id="rId134" Type="http://schemas.openxmlformats.org/officeDocument/2006/relationships/hyperlink" Target="https://www.linkedin.com/in/laura-freitas1/" TargetMode="External"/><Relationship Id="rId133" Type="http://schemas.openxmlformats.org/officeDocument/2006/relationships/hyperlink" Target="https://universidade.pipelovers.net/m/lessons/a-importancia-do-posicionamento-de-produto-na-prospeccao1769552019439?classId=3428" TargetMode="External"/><Relationship Id="rId172" Type="http://schemas.openxmlformats.org/officeDocument/2006/relationships/hyperlink" Target="https://universidade.pipelovers.net/m/lessons/voce-esta-qualificando-ou-so-fazendo-agendamento1769552026277?classId=3452" TargetMode="External"/><Relationship Id="rId171" Type="http://schemas.openxmlformats.org/officeDocument/2006/relationships/hyperlink" Target="https://universidade.pipelovers.net/m/lessons/voce-esta-qualificando-ou-so-fazendo-agendamento1769552026277?classId=3452" TargetMode="External"/><Relationship Id="rId170" Type="http://schemas.openxmlformats.org/officeDocument/2006/relationships/hyperlink" Target="https://www.linkedin.com/in/dhionas-milo-roell/" TargetMode="External"/><Relationship Id="rId165" Type="http://schemas.openxmlformats.org/officeDocument/2006/relationships/hyperlink" Target="https://universidade.pipelovers.net/m/lessons/como-montar-uma-rotina-de-sucesso-e-equilibrio1769552023178?classId=3450" TargetMode="External"/><Relationship Id="rId164" Type="http://schemas.openxmlformats.org/officeDocument/2006/relationships/hyperlink" Target="https://www.linkedin.com/in/fabianekobayashi/" TargetMode="External"/><Relationship Id="rId163" Type="http://schemas.openxmlformats.org/officeDocument/2006/relationships/hyperlink" Target="https://universidade.pipelovers.net/m/lessons/prospectando-a-base-de-concorrentes1769552023105?classId=3449" TargetMode="External"/><Relationship Id="rId162" Type="http://schemas.openxmlformats.org/officeDocument/2006/relationships/hyperlink" Target="https://universidade.pipelovers.net/m/lessons/prospectando-a-base-de-concorrentes1769552023105?classId=3449" TargetMode="External"/><Relationship Id="rId169" Type="http://schemas.openxmlformats.org/officeDocument/2006/relationships/hyperlink" Target="https://universidade.pipelovers.net/m/lessons/como-a-sazonalidade-pode-impactar-seu-icp1769552026153?classId=3451" TargetMode="External"/><Relationship Id="rId168" Type="http://schemas.openxmlformats.org/officeDocument/2006/relationships/hyperlink" Target="https://universidade.pipelovers.net/m/lessons/como-a-sazonalidade-pode-impactar-seu-icp1769552026153?classId=3451" TargetMode="External"/><Relationship Id="rId167" Type="http://schemas.openxmlformats.org/officeDocument/2006/relationships/hyperlink" Target="https://www.linkedin.com/in/pamelamartins/" TargetMode="External"/><Relationship Id="rId166" Type="http://schemas.openxmlformats.org/officeDocument/2006/relationships/hyperlink" Target="https://universidade.pipelovers.net/m/lessons/como-montar-uma-rotina-de-sucesso-e-equilibrio1769552023178?classId=3450" TargetMode="External"/><Relationship Id="rId161" Type="http://schemas.openxmlformats.org/officeDocument/2006/relationships/hyperlink" Target="https://www.linkedin.com/in/giovanneviana/" TargetMode="External"/><Relationship Id="rId160" Type="http://schemas.openxmlformats.org/officeDocument/2006/relationships/hyperlink" Target="https://universidade.pipelovers.net/m/lessons/indicacao-como-canal-de-geracao-de-oportunidades1769552023043?classId=3448" TargetMode="External"/><Relationship Id="rId159" Type="http://schemas.openxmlformats.org/officeDocument/2006/relationships/hyperlink" Target="https://universidade.pipelovers.net/m/lessons/indicacao-como-canal-de-geracao-de-oportunidades1769552023043?classId=3448" TargetMode="External"/><Relationship Id="rId154" Type="http://schemas.openxmlformats.org/officeDocument/2006/relationships/hyperlink" Target="https://universidade.pipelovers.net/m/lessons/praticas-de-comunicacao-escrita-efetiva1769552022917?classId=3444" TargetMode="External"/><Relationship Id="rId153" Type="http://schemas.openxmlformats.org/officeDocument/2006/relationships/hyperlink" Target="https://universidade.pipelovers.net/m/lessons/praticas-de-comunicacao-escrita-efetiva1769552022917?classId=3444" TargetMode="External"/><Relationship Id="rId152" Type="http://schemas.openxmlformats.org/officeDocument/2006/relationships/hyperlink" Target="https://www.linkedin.com/in/-danielasouza/" TargetMode="External"/><Relationship Id="rId151" Type="http://schemas.openxmlformats.org/officeDocument/2006/relationships/hyperlink" Target="https://universidade.pipelovers.net/m/lessons/o-papel-do-pre-vendedor-em-account-based-marketing1769552022846?classId=3443" TargetMode="External"/><Relationship Id="rId158" Type="http://schemas.openxmlformats.org/officeDocument/2006/relationships/hyperlink" Target="https://www.linkedin.com/in/nollrodrigo/" TargetMode="External"/><Relationship Id="rId157" Type="http://schemas.openxmlformats.org/officeDocument/2006/relationships/hyperlink" Target="https://universidade.pipelovers.net/m/lessons/o-papel-de-um-mentor-no-desenvolvimento-em-vendas1769552022982?classId=3447" TargetMode="External"/><Relationship Id="rId156" Type="http://schemas.openxmlformats.org/officeDocument/2006/relationships/hyperlink" Target="https://universidade.pipelovers.net/m/lessons/o-papel-de-um-mentor-no-desenvolvimento-em-vendas1769552022982?classId=3447" TargetMode="External"/><Relationship Id="rId155" Type="http://schemas.openxmlformats.org/officeDocument/2006/relationships/hyperlink" Target="https://www.linkedin.com/in/evdias/" TargetMode="External"/><Relationship Id="rId1972" Type="http://schemas.openxmlformats.org/officeDocument/2006/relationships/hyperlink" Target="https://drive.google.com/file/d/1fdtJn52ux1r2FzKCSrH06kKi64OnqOMu/view?usp=drive_link" TargetMode="External"/><Relationship Id="rId1973" Type="http://schemas.openxmlformats.org/officeDocument/2006/relationships/hyperlink" Target="https://www.linkedin.com/in/paula-chacur-de-arandas-67252228/" TargetMode="External"/><Relationship Id="rId2820" Type="http://schemas.openxmlformats.org/officeDocument/2006/relationships/hyperlink" Target="https://pipelovers.curseduca.pro/m/lessons/modulo-1-certificacao-de-vendedores-b2b-prospeccao-inteligente-e-geracao-de-demanda-1774620432269" TargetMode="External"/><Relationship Id="rId1974" Type="http://schemas.openxmlformats.org/officeDocument/2006/relationships/hyperlink" Target="https://universidade.pipelovers.net/m/lessons/segmentacao-de-canais-e-parceiros1769552418755?classId=3015" TargetMode="External"/><Relationship Id="rId2821" Type="http://schemas.openxmlformats.org/officeDocument/2006/relationships/hyperlink" Target="https://pipelovers.curseduca.pro/m/lessons/modulo-1-certificacao-de-vendedores-b2b-prospeccao-inteligente-e-geracao-de-demanda-1774620432269" TargetMode="External"/><Relationship Id="rId1975" Type="http://schemas.openxmlformats.org/officeDocument/2006/relationships/hyperlink" Target="https://universidade.pipelovers.net/m/lessons/segmentacao-de-canais-e-parceiros1769552418755?classId=3015" TargetMode="External"/><Relationship Id="rId2822" Type="http://schemas.openxmlformats.org/officeDocument/2006/relationships/hyperlink" Target="https://www.linkedin.com/in/rlcorrea/" TargetMode="External"/><Relationship Id="rId1976" Type="http://schemas.openxmlformats.org/officeDocument/2006/relationships/hyperlink" Target="https://drive.google.com/file/d/1pYZkxRGukn2HHuVeBXzb7ZYkejtI2Zh8/view?usp=drive_link" TargetMode="External"/><Relationship Id="rId2823" Type="http://schemas.openxmlformats.org/officeDocument/2006/relationships/hyperlink" Target="https://pipelovers.curseduca.pro/m/lessons/engenharia-da-atencao-por-que-o-prospect-responde-ou-ignora-voce-1774645021735?classId=3855" TargetMode="External"/><Relationship Id="rId1977" Type="http://schemas.openxmlformats.org/officeDocument/2006/relationships/hyperlink" Target="https://www.linkedin.com/in/roberto-miyahara-856198/" TargetMode="External"/><Relationship Id="rId2824" Type="http://schemas.openxmlformats.org/officeDocument/2006/relationships/hyperlink" Target="https://pipelovers.curseduca.pro/m/lessons/engenharia-da-atencao-por-que-o-prospect-responde-ou-ignora-voce-1774645021735?classId=3855" TargetMode="External"/><Relationship Id="rId1978" Type="http://schemas.openxmlformats.org/officeDocument/2006/relationships/hyperlink" Target="https://universidade.pipelovers.net/m/lessons/vendas-para-setor-publico-via-canais1769552418589?classId=3368" TargetMode="External"/><Relationship Id="rId2825" Type="http://schemas.openxmlformats.org/officeDocument/2006/relationships/hyperlink" Target="https://www.linkedin.com/in/diegocordovez/" TargetMode="External"/><Relationship Id="rId1979" Type="http://schemas.openxmlformats.org/officeDocument/2006/relationships/hyperlink" Target="https://universidade.pipelovers.net/m/lessons/vendas-para-setor-publico-via-canais1769552418589?classId=3368" TargetMode="External"/><Relationship Id="rId2826" Type="http://schemas.openxmlformats.org/officeDocument/2006/relationships/hyperlink" Target="https://pipelovers.curseduca.pro/m/lessons/programa-especializacao-em-prospeccao-1775859580421" TargetMode="External"/><Relationship Id="rId2827" Type="http://schemas.openxmlformats.org/officeDocument/2006/relationships/hyperlink" Target="https://pipelovers.curseduca.pro/m/lessons/programa-especializacao-em-prospeccao-1775859580421" TargetMode="External"/><Relationship Id="rId2828" Type="http://schemas.openxmlformats.org/officeDocument/2006/relationships/hyperlink" Target="https://www.linkedin.com/in/jessicabosco/" TargetMode="External"/><Relationship Id="rId2829" Type="http://schemas.openxmlformats.org/officeDocument/2006/relationships/hyperlink" Target="https://pipelovers.curseduca.pro/m/lessons/programa-especializacao-em-prospeccao-1775859580421" TargetMode="External"/><Relationship Id="rId1970" Type="http://schemas.openxmlformats.org/officeDocument/2006/relationships/hyperlink" Target="https://universidade.pipelovers.net/m/lessons/capacitacao-de-vendas-para-canais1769552418312?classId=3359" TargetMode="External"/><Relationship Id="rId1971" Type="http://schemas.openxmlformats.org/officeDocument/2006/relationships/hyperlink" Target="https://universidade.pipelovers.net/m/lessons/capacitacao-de-vendas-para-canais1769552418312?classId=3359" TargetMode="External"/><Relationship Id="rId1961" Type="http://schemas.openxmlformats.org/officeDocument/2006/relationships/hyperlink" Target="https://www.linkedin.com/in/brenoriether/" TargetMode="External"/><Relationship Id="rId1962" Type="http://schemas.openxmlformats.org/officeDocument/2006/relationships/hyperlink" Target="https://universidade.pipelovers.net/m/lessons/gestao-de-conflito-de-contas-entre-canais1769552418182?classId=3024" TargetMode="External"/><Relationship Id="rId1963" Type="http://schemas.openxmlformats.org/officeDocument/2006/relationships/hyperlink" Target="https://universidade.pipelovers.net/m/lessons/gestao-de-conflito-de-contas-entre-canais1769552418182?classId=3024" TargetMode="External"/><Relationship Id="rId2810" Type="http://schemas.openxmlformats.org/officeDocument/2006/relationships/hyperlink" Target="https://www.linkedin.com/in/ronaldonunes/" TargetMode="External"/><Relationship Id="rId1964" Type="http://schemas.openxmlformats.org/officeDocument/2006/relationships/hyperlink" Target="https://drive.google.com/file/d/1kc-eF0SIiVRL58wcCA2JYncaeEdMNWKh/view?usp=drive_link" TargetMode="External"/><Relationship Id="rId2811" Type="http://schemas.openxmlformats.org/officeDocument/2006/relationships/hyperlink" Target="https://pipelovers.curseduca.pro/m/lessons/modulo-3-certificacao-de-vendedores-b2b-negociacao-e-fechamento-descript-1774623205576?classId=3852" TargetMode="External"/><Relationship Id="rId1965" Type="http://schemas.openxmlformats.org/officeDocument/2006/relationships/hyperlink" Target="https://www.linkedin.com/in/paulofelix/" TargetMode="External"/><Relationship Id="rId2812" Type="http://schemas.openxmlformats.org/officeDocument/2006/relationships/hyperlink" Target="https://pipelovers.curseduca.pro/m/lessons/modulo-3-certificacao-de-vendedores-b2b-negociacao-e-fechamento-descript-1774623205576?classId=3852" TargetMode="External"/><Relationship Id="rId1966" Type="http://schemas.openxmlformats.org/officeDocument/2006/relationships/hyperlink" Target="https://universidade.pipelovers.net/m/lessons/como-implementar-uma-politica-de-mdf-marketing-development-fund1769552418260?classId=3360" TargetMode="External"/><Relationship Id="rId2813" Type="http://schemas.openxmlformats.org/officeDocument/2006/relationships/hyperlink" Target="https://www.linkedin.com/in/diegoazevedo1/" TargetMode="External"/><Relationship Id="rId1967" Type="http://schemas.openxmlformats.org/officeDocument/2006/relationships/hyperlink" Target="https://universidade.pipelovers.net/m/lessons/como-implementar-uma-politica-de-mdf-marketing-development-fund1769552418260?classId=3360" TargetMode="External"/><Relationship Id="rId2814" Type="http://schemas.openxmlformats.org/officeDocument/2006/relationships/hyperlink" Target="https://pipelovers.curseduca.pro/m/lessons/modulo-4-certificacao-de-vendedores-b2b-gestao-de-carteira-e-expansao-de-receita-1774629783806?classId=3851" TargetMode="External"/><Relationship Id="rId1968" Type="http://schemas.openxmlformats.org/officeDocument/2006/relationships/hyperlink" Target="https://drive.google.com/file/d/1p_NLstZiNDSHJhL1q9YNJ_3vwOnoB11d/view?usp=drive_link" TargetMode="External"/><Relationship Id="rId2815" Type="http://schemas.openxmlformats.org/officeDocument/2006/relationships/hyperlink" Target="https://pipelovers.curseduca.pro/m/lessons/modulo-4-certificacao-de-vendedores-b2b-gestao-de-carteira-e-expansao-de-receita-1774629783806?classId=3851" TargetMode="External"/><Relationship Id="rId1969" Type="http://schemas.openxmlformats.org/officeDocument/2006/relationships/hyperlink" Target="https://www.linkedin.com/in/daniele-barracas-13186925" TargetMode="External"/><Relationship Id="rId2816" Type="http://schemas.openxmlformats.org/officeDocument/2006/relationships/hyperlink" Target="https://www.linkedin.com/in/gpagotto/" TargetMode="External"/><Relationship Id="rId2817" Type="http://schemas.openxmlformats.org/officeDocument/2006/relationships/hyperlink" Target="https://pipelovers.curseduca.pro/m/lessons/modulo-5-habilidades-essenciais-e-rotina-do-vendedor-1775063260546" TargetMode="External"/><Relationship Id="rId2818" Type="http://schemas.openxmlformats.org/officeDocument/2006/relationships/hyperlink" Target="https://pipelovers.curseduca.pro/m/lessons/modulo-5-habilidades-essenciais-e-rotina-do-vendedor-1775063260546" TargetMode="External"/><Relationship Id="rId2819" Type="http://schemas.openxmlformats.org/officeDocument/2006/relationships/hyperlink" Target="https://www.linkedin.com/in/marcelobaratella/" TargetMode="External"/><Relationship Id="rId1960" Type="http://schemas.openxmlformats.org/officeDocument/2006/relationships/hyperlink" Target="https://drive.google.com/file/d/14iwI46uQTjUsWkOOrxf_2rZ4KQXTBQNm/view?usp=drive_link" TargetMode="External"/><Relationship Id="rId1510" Type="http://schemas.openxmlformats.org/officeDocument/2006/relationships/hyperlink" Target="https://universidade.pipelovers.net/m/lessons/como-aprender-com-a-concorrencia1769552283257?classId=3234" TargetMode="External"/><Relationship Id="rId1994" Type="http://schemas.openxmlformats.org/officeDocument/2006/relationships/hyperlink" Target="https://universidade.pipelovers.net/m/lessons/novas-linhas-de-receita-para-seu-parceiro1769552418990?classId=3366" TargetMode="External"/><Relationship Id="rId1511" Type="http://schemas.openxmlformats.org/officeDocument/2006/relationships/hyperlink" Target="https://universidade.pipelovers.net/m/lessons/como-aprender-com-a-concorrencia1769552283257?classId=3234" TargetMode="External"/><Relationship Id="rId1995" Type="http://schemas.openxmlformats.org/officeDocument/2006/relationships/hyperlink" Target="https://universidade.pipelovers.net/m/lessons/novas-linhas-de-receita-para-seu-parceiro1769552418990?classId=3366" TargetMode="External"/><Relationship Id="rId1512" Type="http://schemas.openxmlformats.org/officeDocument/2006/relationships/hyperlink" Target="https://www.linkedin.com/in/chriscornehl/" TargetMode="External"/><Relationship Id="rId1996" Type="http://schemas.openxmlformats.org/officeDocument/2006/relationships/hyperlink" Target="https://drive.google.com/file/d/1wwHK-trCM7PCtM4ejlGQNxrliZcKBnnR/view?usp=drive_link" TargetMode="External"/><Relationship Id="rId1513" Type="http://schemas.openxmlformats.org/officeDocument/2006/relationships/hyperlink" Target="https://universidade.pipelovers.net/m/lessons/jolt-effect-como-superar-a-indecisao-de-clientes1769552283527?classId=3235" TargetMode="External"/><Relationship Id="rId1997" Type="http://schemas.openxmlformats.org/officeDocument/2006/relationships/hyperlink" Target="https://www.linkedin.com/in/philemonmattos/" TargetMode="External"/><Relationship Id="rId1514" Type="http://schemas.openxmlformats.org/officeDocument/2006/relationships/hyperlink" Target="https://universidade.pipelovers.net/m/lessons/jolt-effect-como-superar-a-indecisao-de-clientes1769552283527?classId=3235" TargetMode="External"/><Relationship Id="rId1998" Type="http://schemas.openxmlformats.org/officeDocument/2006/relationships/hyperlink" Target="https://universidade.pipelovers.net/m/lessons/estrutura-organizacional-para-times-de-canais1769552419064?classId=3377" TargetMode="External"/><Relationship Id="rId1515" Type="http://schemas.openxmlformats.org/officeDocument/2006/relationships/hyperlink" Target="https://www.linkedin.com/in/renatacenturion/" TargetMode="External"/><Relationship Id="rId1999" Type="http://schemas.openxmlformats.org/officeDocument/2006/relationships/hyperlink" Target="https://universidade.pipelovers.net/m/lessons/estrutura-organizacional-para-times-de-canais1769552419064?classId=3377" TargetMode="External"/><Relationship Id="rId1516" Type="http://schemas.openxmlformats.org/officeDocument/2006/relationships/hyperlink" Target="https://universidade.pipelovers.net/m/lessons/como-calcular-o-roi-de-sales-enablement1769552283601?classId=3236" TargetMode="External"/><Relationship Id="rId1517" Type="http://schemas.openxmlformats.org/officeDocument/2006/relationships/hyperlink" Target="https://universidade.pipelovers.net/m/lessons/como-calcular-o-roi-de-sales-enablement1769552283601?classId=3236" TargetMode="External"/><Relationship Id="rId1518" Type="http://schemas.openxmlformats.org/officeDocument/2006/relationships/hyperlink" Target="https://universidade.pipelovers.net/m/lessons/validacao-e-escala-de-novos-canais-de-geracao-de-demanda1769552283674?classId=3237" TargetMode="External"/><Relationship Id="rId1519" Type="http://schemas.openxmlformats.org/officeDocument/2006/relationships/hyperlink" Target="https://universidade.pipelovers.net/m/lessons/validacao-e-escala-de-novos-canais-de-geracao-de-demanda1769552283674?classId=3237" TargetMode="External"/><Relationship Id="rId1990" Type="http://schemas.openxmlformats.org/officeDocument/2006/relationships/hyperlink" Target="https://universidade.pipelovers.net/m/lessons/o-que-um-canal-precisa-para-crescer1769552418873?classId=3367" TargetMode="External"/><Relationship Id="rId1991" Type="http://schemas.openxmlformats.org/officeDocument/2006/relationships/hyperlink" Target="https://universidade.pipelovers.net/m/lessons/o-que-um-canal-precisa-para-crescer1769552418873?classId=3367" TargetMode="External"/><Relationship Id="rId1992" Type="http://schemas.openxmlformats.org/officeDocument/2006/relationships/hyperlink" Target="https://drive.google.com/file/d/1nevWTU6jToILb0I-uZQ2mkD-kNBvr5zU/view?usp=drive_link" TargetMode="External"/><Relationship Id="rId1993" Type="http://schemas.openxmlformats.org/officeDocument/2006/relationships/hyperlink" Target="https://www.linkedin.com/in/thales-frade-1009461a7/" TargetMode="External"/><Relationship Id="rId1983" Type="http://schemas.openxmlformats.org/officeDocument/2006/relationships/hyperlink" Target="https://universidade.pipelovers.net/m/lessons/como-gerar-valor-para-o-canal-alem-da-comissao1769552418381?classId=3484" TargetMode="External"/><Relationship Id="rId2830" Type="http://schemas.openxmlformats.org/officeDocument/2006/relationships/hyperlink" Target="https://pipelovers.curseduca.pro/m/lessons/programa-especializacao-em-prospeccao-1775859580421" TargetMode="External"/><Relationship Id="rId1500" Type="http://schemas.openxmlformats.org/officeDocument/2006/relationships/hyperlink" Target="https://www.linkedin.com/in/gpagotto/" TargetMode="External"/><Relationship Id="rId1984" Type="http://schemas.openxmlformats.org/officeDocument/2006/relationships/hyperlink" Target="https://drive.google.com/file/d/1Rf9h4Hex4LPaZlbIhBGjt_NWJpOASKio/view?usp=drive_link" TargetMode="External"/><Relationship Id="rId2831" Type="http://schemas.openxmlformats.org/officeDocument/2006/relationships/hyperlink" Target="https://www.linkedin.com/in/samantalopesvieira/" TargetMode="External"/><Relationship Id="rId1501" Type="http://schemas.openxmlformats.org/officeDocument/2006/relationships/hyperlink" Target="https://universidade.pipelovers.net/m/lessons/palestra-rd-summit-20231769552039345?classId=3108" TargetMode="External"/><Relationship Id="rId1985" Type="http://schemas.openxmlformats.org/officeDocument/2006/relationships/hyperlink" Target="https://www.linkedin.com/in/guireitz/" TargetMode="External"/><Relationship Id="rId2832" Type="http://schemas.openxmlformats.org/officeDocument/2006/relationships/hyperlink" Target="https://pipelovers.curseduca.pro/m/lessons/programa-especializacao-em-prospeccao-1775859580421" TargetMode="External"/><Relationship Id="rId1502" Type="http://schemas.openxmlformats.org/officeDocument/2006/relationships/hyperlink" Target="https://universidade.pipelovers.net/m/lessons/palestra-rd-summit-20231769552039345?classId=3108" TargetMode="External"/><Relationship Id="rId1986" Type="http://schemas.openxmlformats.org/officeDocument/2006/relationships/hyperlink" Target="https://universidade.pipelovers.net/m/lessons/pesquisa-de-satisfacao-para-canais-1770488598048?classId=3483" TargetMode="External"/><Relationship Id="rId2833" Type="http://schemas.openxmlformats.org/officeDocument/2006/relationships/hyperlink" Target="https://pipelovers.curseduca.pro/m/lessons/programa-especializacao-em-prospeccao-1775859580421" TargetMode="External"/><Relationship Id="rId1503" Type="http://schemas.openxmlformats.org/officeDocument/2006/relationships/hyperlink" Target="https://universidade.pipelovers.net/m/lessons/resiliencia-e-adaptacao-as-mudancas-em-vendas1769552272446?classId=3231" TargetMode="External"/><Relationship Id="rId1987" Type="http://schemas.openxmlformats.org/officeDocument/2006/relationships/hyperlink" Target="https://universidade.pipelovers.net/m/lessons/pesquisa-de-satisfacao-para-canais-1770488598048?classId=3483" TargetMode="External"/><Relationship Id="rId2834" Type="http://schemas.openxmlformats.org/officeDocument/2006/relationships/hyperlink" Target="https://www.linkedin.com/in/gpagotto/" TargetMode="External"/><Relationship Id="rId1504" Type="http://schemas.openxmlformats.org/officeDocument/2006/relationships/hyperlink" Target="https://universidade.pipelovers.net/m/lessons/resiliencia-e-adaptacao-as-mudancas-em-vendas1769552272446?classId=3231" TargetMode="External"/><Relationship Id="rId1988" Type="http://schemas.openxmlformats.org/officeDocument/2006/relationships/hyperlink" Target="https://drive.google.com/file/d/1fBLohmT06rjs8rXHWVRh9cetz84b2Hfc/view?usp=drive_link" TargetMode="External"/><Relationship Id="rId2835" Type="http://schemas.openxmlformats.org/officeDocument/2006/relationships/hyperlink" Target="https://pipelovers.curseduca.pro/m/lessons/mapa-de-poder-multi-threading-1774647109566" TargetMode="External"/><Relationship Id="rId1505" Type="http://schemas.openxmlformats.org/officeDocument/2006/relationships/hyperlink" Target="https://universidade.pipelovers.net/m/lessons/inclusao-de-pcds-em-equipes-de-vendas1769552272512?classId=3232" TargetMode="External"/><Relationship Id="rId1989" Type="http://schemas.openxmlformats.org/officeDocument/2006/relationships/hyperlink" Target="https://www.linkedin.com/in/nathalia-koga-0072261b9/" TargetMode="External"/><Relationship Id="rId2836" Type="http://schemas.openxmlformats.org/officeDocument/2006/relationships/hyperlink" Target="https://pipelovers.curseduca.pro/m/lessons/mapa-de-poder-multi-threading-1774647109566" TargetMode="External"/><Relationship Id="rId1506" Type="http://schemas.openxmlformats.org/officeDocument/2006/relationships/hyperlink" Target="https://universidade.pipelovers.net/m/lessons/inclusao-de-pcds-em-equipes-de-vendas1769552272512?classId=3232" TargetMode="External"/><Relationship Id="rId2837" Type="http://schemas.openxmlformats.org/officeDocument/2006/relationships/drawing" Target="../drawings/drawing2.xml"/><Relationship Id="rId1507" Type="http://schemas.openxmlformats.org/officeDocument/2006/relationships/hyperlink" Target="https://www.linkedin.com/in/marcelopereira/" TargetMode="External"/><Relationship Id="rId1508" Type="http://schemas.openxmlformats.org/officeDocument/2006/relationships/hyperlink" Target="https://universidade.pipelovers.net/m/lessons/criando-um-programa-de-indicacao-de-clientes1769552272579?classId=3233" TargetMode="External"/><Relationship Id="rId1509" Type="http://schemas.openxmlformats.org/officeDocument/2006/relationships/hyperlink" Target="https://universidade.pipelovers.net/m/lessons/criando-um-programa-de-indicacao-de-clientes1769552272579?classId=3233" TargetMode="External"/><Relationship Id="rId1980" Type="http://schemas.openxmlformats.org/officeDocument/2006/relationships/hyperlink" Target="https://drive.google.com/file/d/1Z7B8ZXMKKw--2rDZY6Z9Z1iJZRC-_rl1/view?usp=drive_link" TargetMode="External"/><Relationship Id="rId1981" Type="http://schemas.openxmlformats.org/officeDocument/2006/relationships/hyperlink" Target="https://www.linkedin.com/in/jlquintella/" TargetMode="External"/><Relationship Id="rId1982" Type="http://schemas.openxmlformats.org/officeDocument/2006/relationships/hyperlink" Target="https://universidade.pipelovers.net/m/lessons/como-gerar-valor-para-o-canal-alem-da-comissao1769552418381?classId=3484" TargetMode="External"/><Relationship Id="rId1930" Type="http://schemas.openxmlformats.org/officeDocument/2006/relationships/hyperlink" Target="https://universidade.pipelovers.net/m/lessons/partner-enablement-o-que-funciona-para-capacitar-canais1769552409191?classId=3345" TargetMode="External"/><Relationship Id="rId1931" Type="http://schemas.openxmlformats.org/officeDocument/2006/relationships/hyperlink" Target="https://universidade.pipelovers.net/m/lessons/partner-enablement-o-que-funciona-para-capacitar-canais1769552409191?classId=3345" TargetMode="External"/><Relationship Id="rId1932" Type="http://schemas.openxmlformats.org/officeDocument/2006/relationships/hyperlink" Target="https://drive.google.com/file/d/1G1ehcDZtvchdM2tE9CmnpeatbFrA4rk1/view?usp=drive_link" TargetMode="External"/><Relationship Id="rId1933" Type="http://schemas.openxmlformats.org/officeDocument/2006/relationships/hyperlink" Target="https://www.linkedin.com/in/gabriel-mineiro/" TargetMode="External"/><Relationship Id="rId1934" Type="http://schemas.openxmlformats.org/officeDocument/2006/relationships/hyperlink" Target="https://universidade.pipelovers.net/m/lessons/estrategia-plg-como-canal-de-aquisicao1769552409221?classId=3017" TargetMode="External"/><Relationship Id="rId1935" Type="http://schemas.openxmlformats.org/officeDocument/2006/relationships/hyperlink" Target="https://universidade.pipelovers.net/m/lessons/estrategia-plg-como-canal-de-aquisicao1769552409221?classId=3017" TargetMode="External"/><Relationship Id="rId1936" Type="http://schemas.openxmlformats.org/officeDocument/2006/relationships/hyperlink" Target="https://drive.google.com/file/d/1NcOtet6Qqar0S_mTeCV5EUkCEM_Pfxyj/view?usp=drive_link" TargetMode="External"/><Relationship Id="rId1937" Type="http://schemas.openxmlformats.org/officeDocument/2006/relationships/hyperlink" Target="https://www.linkedin.com/in/carloseduardopedroza/" TargetMode="External"/><Relationship Id="rId1938" Type="http://schemas.openxmlformats.org/officeDocument/2006/relationships/hyperlink" Target="https://universidade.pipelovers.net/m/lessons/product-marketing-para-canais1769552409251?classId=3356" TargetMode="External"/><Relationship Id="rId1939" Type="http://schemas.openxmlformats.org/officeDocument/2006/relationships/hyperlink" Target="https://universidade.pipelovers.net/m/lessons/product-marketing-para-canais1769552409251?classId=3356" TargetMode="External"/><Relationship Id="rId1920" Type="http://schemas.openxmlformats.org/officeDocument/2006/relationships/hyperlink" Target="https://drive.google.com/file/d/1_TgBTU-utZ0QFU5aZFPAwt-dMoQEeOD4/view?usp=drive_link" TargetMode="External"/><Relationship Id="rId1921" Type="http://schemas.openxmlformats.org/officeDocument/2006/relationships/hyperlink" Target="https://www.linkedin.com/in/williantrovo/" TargetMode="External"/><Relationship Id="rId1922" Type="http://schemas.openxmlformats.org/officeDocument/2006/relationships/hyperlink" Target="https://universidade.pipelovers.net/m/lessons/como-estruturar-comissionamento-para-canais-indiretos1769552409063?classId=3348" TargetMode="External"/><Relationship Id="rId1923" Type="http://schemas.openxmlformats.org/officeDocument/2006/relationships/hyperlink" Target="https://universidade.pipelovers.net/m/lessons/como-estruturar-comissionamento-para-canais-indiretos1769552409063?classId=3348" TargetMode="External"/><Relationship Id="rId1924" Type="http://schemas.openxmlformats.org/officeDocument/2006/relationships/hyperlink" Target="https://drive.google.com/file/d/1IwHryiHGYttfYX5JwwJcZB-tbUmHzqn3/view?usp=drive_link" TargetMode="External"/><Relationship Id="rId1925" Type="http://schemas.openxmlformats.org/officeDocument/2006/relationships/hyperlink" Target="https://www.linkedin.com/in/douglas-a-medeiros/" TargetMode="External"/><Relationship Id="rId1926" Type="http://schemas.openxmlformats.org/officeDocument/2006/relationships/hyperlink" Target="https://universidade.pipelovers.net/m/lessons/partner-business-plan-como-construir-com-o-canal-um-plano-de-crescimento1769552409118?classId=3346" TargetMode="External"/><Relationship Id="rId1927" Type="http://schemas.openxmlformats.org/officeDocument/2006/relationships/hyperlink" Target="https://universidade.pipelovers.net/m/lessons/partner-business-plan-como-construir-com-o-canal-um-plano-de-crescimento1769552409118?classId=3346" TargetMode="External"/><Relationship Id="rId1928" Type="http://schemas.openxmlformats.org/officeDocument/2006/relationships/hyperlink" Target="https://drive.google.com/file/d/14a2faNNwnC_g185HRBXVIMsaxQie6a1b/view?usp=drive_link" TargetMode="External"/><Relationship Id="rId1929" Type="http://schemas.openxmlformats.org/officeDocument/2006/relationships/hyperlink" Target="https://www.linkedin.com/in/amanda-zeferino-duarte/" TargetMode="External"/><Relationship Id="rId1950" Type="http://schemas.openxmlformats.org/officeDocument/2006/relationships/hyperlink" Target="https://universidade.pipelovers.net/m/lessons/modelo-de-atendimento-high-touch-como-ferramenta-de-go-to-market1769552417300?classId=3353" TargetMode="External"/><Relationship Id="rId1951" Type="http://schemas.openxmlformats.org/officeDocument/2006/relationships/hyperlink" Target="https://universidade.pipelovers.net/m/lessons/modelo-de-atendimento-high-touch-como-ferramenta-de-go-to-market1769552417300?classId=3353" TargetMode="External"/><Relationship Id="rId1952" Type="http://schemas.openxmlformats.org/officeDocument/2006/relationships/hyperlink" Target="https://drive.google.com/file/d/1nSutgHJV6RuzRDeVOXHHgZKCsFZ6CxlS/view?usp=drive_link" TargetMode="External"/><Relationship Id="rId1953" Type="http://schemas.openxmlformats.org/officeDocument/2006/relationships/hyperlink" Target="https://www.linkedin.com/in/anacarolinavrezende/" TargetMode="External"/><Relationship Id="rId2800" Type="http://schemas.openxmlformats.org/officeDocument/2006/relationships/hyperlink" Target="https://universidade.pipelovers.net/m/lessons/modulo-4-expansao-de-receita-na-base-de-clientes-retencao-upsell-1774888126475" TargetMode="External"/><Relationship Id="rId1954" Type="http://schemas.openxmlformats.org/officeDocument/2006/relationships/hyperlink" Target="https://universidade.pipelovers.net/m/lessons/job-descrition-dos-executivos-de-canais-e-parcerias1769552417458?classId=3362" TargetMode="External"/><Relationship Id="rId2801" Type="http://schemas.openxmlformats.org/officeDocument/2006/relationships/hyperlink" Target="https://www.linkedin.com/in/gpagotto/" TargetMode="External"/><Relationship Id="rId1955" Type="http://schemas.openxmlformats.org/officeDocument/2006/relationships/hyperlink" Target="https://universidade.pipelovers.net/m/lessons/job-descrition-dos-executivos-de-canais-e-parcerias1769552417458?classId=3362" TargetMode="External"/><Relationship Id="rId2802" Type="http://schemas.openxmlformats.org/officeDocument/2006/relationships/hyperlink" Target="https://universidade.pipelovers.net/m/lessons/modulo-5-rotinas-de-gestao-comercial-rituais-processos-e-ferramentas-1774897016053" TargetMode="External"/><Relationship Id="rId1956" Type="http://schemas.openxmlformats.org/officeDocument/2006/relationships/hyperlink" Target="https://drive.google.com/file/d/1zAmATEq_qwzch0bEEg638HOwlLn9KRst/view?usp=drive_link" TargetMode="External"/><Relationship Id="rId2803" Type="http://schemas.openxmlformats.org/officeDocument/2006/relationships/hyperlink" Target="https://universidade.pipelovers.net/m/lessons/modulo-5-rotinas-de-gestao-comercial-rituais-processos-e-ferramentas-1774897016054" TargetMode="External"/><Relationship Id="rId1957" Type="http://schemas.openxmlformats.org/officeDocument/2006/relationships/hyperlink" Target="https://www.linkedin.com/in/anacarolinavrezende/" TargetMode="External"/><Relationship Id="rId2804" Type="http://schemas.openxmlformats.org/officeDocument/2006/relationships/hyperlink" Target="https://www.linkedin.com/in/marcelobaratella/" TargetMode="External"/><Relationship Id="rId1958" Type="http://schemas.openxmlformats.org/officeDocument/2006/relationships/hyperlink" Target="https://universidade.pipelovers.net/m/lessons/recrutamento-e-selecao-na-pratica1769552417523?classId=3361" TargetMode="External"/><Relationship Id="rId2805" Type="http://schemas.openxmlformats.org/officeDocument/2006/relationships/hyperlink" Target="https://pipelovers.curseduca.pro/m/lessons/modulo-1-certificacao-de-vendedores-b2b-prospeccao-inteligente-e-geracao-de-demanda-1774620432269" TargetMode="External"/><Relationship Id="rId1959" Type="http://schemas.openxmlformats.org/officeDocument/2006/relationships/hyperlink" Target="https://universidade.pipelovers.net/m/lessons/recrutamento-e-selecao-na-pratica1769552417523?classId=3361" TargetMode="External"/><Relationship Id="rId2806" Type="http://schemas.openxmlformats.org/officeDocument/2006/relationships/hyperlink" Target="https://pipelovers.curseduca.pro/m/lessons/modulo-1-certificacao-de-vendedores-b2b-prospeccao-inteligente-e-geracao-de-demanda-1774620432269" TargetMode="External"/><Relationship Id="rId2807" Type="http://schemas.openxmlformats.org/officeDocument/2006/relationships/hyperlink" Target="https://www.linkedin.com/in/helioazevedo/" TargetMode="External"/><Relationship Id="rId2808" Type="http://schemas.openxmlformats.org/officeDocument/2006/relationships/hyperlink" Target="https://pipelovers.curseduca.pro/m/lessons/modulo-2-certificacao-de-vendedores-b2b-pitch-storytelling-e-oratoria-comercial-descript-1774622506811?classId=3850" TargetMode="External"/><Relationship Id="rId2809" Type="http://schemas.openxmlformats.org/officeDocument/2006/relationships/hyperlink" Target="https://pipelovers.curseduca.pro/m/lessons/modulo-2-certificacao-de-vendedores-b2b-pitch-storytelling-e-oratoria-comercial-descript-1774622506811?classId=3850" TargetMode="External"/><Relationship Id="rId1940" Type="http://schemas.openxmlformats.org/officeDocument/2006/relationships/hyperlink" Target="https://drive.google.com/file/d/1czEICHqlxgSK848Ua-phhzYTlaQY-uuI/view?usp=drive_link" TargetMode="External"/><Relationship Id="rId1941" Type="http://schemas.openxmlformats.org/officeDocument/2006/relationships/hyperlink" Target="https://www.linkedin.com/in/naravazguimaraes/" TargetMode="External"/><Relationship Id="rId1942" Type="http://schemas.openxmlformats.org/officeDocument/2006/relationships/hyperlink" Target="https://universidade.pipelovers.net/m/lessons/como-avaliar-seu-programa-de-canais1769552409278?classId=3355" TargetMode="External"/><Relationship Id="rId1943" Type="http://schemas.openxmlformats.org/officeDocument/2006/relationships/hyperlink" Target="https://universidade.pipelovers.net/m/lessons/como-avaliar-seu-programa-de-canais1769552409278?classId=3355" TargetMode="External"/><Relationship Id="rId1944" Type="http://schemas.openxmlformats.org/officeDocument/2006/relationships/hyperlink" Target="https://drive.google.com/file/d/1SAOgX83iBKz6Ng4yIZNVm3SLt0BBkUKf/view?usp=drive_link" TargetMode="External"/><Relationship Id="rId1945" Type="http://schemas.openxmlformats.org/officeDocument/2006/relationships/hyperlink" Target="https://www.linkedin.com/in/edsonrigonatti/" TargetMode="External"/><Relationship Id="rId1946" Type="http://schemas.openxmlformats.org/officeDocument/2006/relationships/hyperlink" Target="https://universidade.pipelovers.net/m/lessons/como-criar-vantagem-competitiva-e-escalar-negocios-com-ecossistema-de-parceria1769552409306?classId=3354" TargetMode="External"/><Relationship Id="rId1947" Type="http://schemas.openxmlformats.org/officeDocument/2006/relationships/hyperlink" Target="https://universidade.pipelovers.net/m/lessons/como-criar-vantagem-competitiva-e-escalar-negocios-com-ecossistema-de-parceria1769552409306?classId=3354" TargetMode="External"/><Relationship Id="rId1948" Type="http://schemas.openxmlformats.org/officeDocument/2006/relationships/hyperlink" Target="https://drive.google.com/file/d/1-TtAXBt-rRp6QWY3UQzxIuLT7i5Bz3Fl/view?usp=drive_link" TargetMode="External"/><Relationship Id="rId1949" Type="http://schemas.openxmlformats.org/officeDocument/2006/relationships/hyperlink" Target="https://www.linkedin.com/in/gust-d/" TargetMode="External"/><Relationship Id="rId1576" Type="http://schemas.openxmlformats.org/officeDocument/2006/relationships/hyperlink" Target="https://universidade.pipelovers.net/m/lessons/impacto-de-cx-no-crescimento-de-receita1769552288154?classId=3264" TargetMode="External"/><Relationship Id="rId2423" Type="http://schemas.openxmlformats.org/officeDocument/2006/relationships/hyperlink" Target="https://universidade.pipelovers.net/m/lessons/estruturacao-e-gestao-de-co-marketing-com-parceiros-1773694700752?classId=3824" TargetMode="External"/><Relationship Id="rId1577" Type="http://schemas.openxmlformats.org/officeDocument/2006/relationships/hyperlink" Target="https://universidade.pipelovers.net/m/lessons/impacto-de-cx-no-crescimento-de-receita1769552288154?classId=3264" TargetMode="External"/><Relationship Id="rId2424" Type="http://schemas.openxmlformats.org/officeDocument/2006/relationships/hyperlink" Target="https://universidade.pipelovers.net/m/lessons/estruturacao-e-gestao-de-co-marketing-com-parceiros-1773694700752?classId=3824" TargetMode="External"/><Relationship Id="rId1578" Type="http://schemas.openxmlformats.org/officeDocument/2006/relationships/hyperlink" Target="https://universidade.pipelovers.net/m/lessons/como-estruturar-um-time-de-revenue-ops1769552292216?classId=3265" TargetMode="External"/><Relationship Id="rId2425" Type="http://schemas.openxmlformats.org/officeDocument/2006/relationships/hyperlink" Target="https://www.linkedin.com/in/caiovidalsoares/" TargetMode="External"/><Relationship Id="rId1579" Type="http://schemas.openxmlformats.org/officeDocument/2006/relationships/hyperlink" Target="https://universidade.pipelovers.net/m/lessons/como-estruturar-um-time-de-revenue-ops1769552292216?classId=3265" TargetMode="External"/><Relationship Id="rId2426" Type="http://schemas.openxmlformats.org/officeDocument/2006/relationships/hyperlink" Target="https://universidade.pipelovers.net/m/lessons/forecast-em-canais-como-montar-acompanhar-e-corrigir-a-rota-1773764797243?classId=3825" TargetMode="External"/><Relationship Id="rId2427" Type="http://schemas.openxmlformats.org/officeDocument/2006/relationships/hyperlink" Target="https://universidade.pipelovers.net/m/lessons/forecast-em-canais-como-montar-acompanhar-e-corrigir-a-rota-1773764797243?classId=3825" TargetMode="External"/><Relationship Id="rId2428" Type="http://schemas.openxmlformats.org/officeDocument/2006/relationships/hyperlink" Target="https://www.linkedin.com/in/jos%C3%A9-eduardo-hunzicker-antunes/" TargetMode="External"/><Relationship Id="rId2429" Type="http://schemas.openxmlformats.org/officeDocument/2006/relationships/hyperlink" Target="https://universidade.pipelovers.net/m/lessons/como-construir-um-pipeline-confiavel-em-vendas-indiretas-1773765565839?classId=3826" TargetMode="External"/><Relationship Id="rId509" Type="http://schemas.openxmlformats.org/officeDocument/2006/relationships/hyperlink" Target="https://universidade.pipelovers.net/m/lessons/como-usar-ia-para-acelerar-sua-prospeccao-1771878431926?classId=3835" TargetMode="External"/><Relationship Id="rId508" Type="http://schemas.openxmlformats.org/officeDocument/2006/relationships/hyperlink" Target="https://universidade.pipelovers.net/m/lessons/como-usar-ia-para-acelerar-sua-prospeccao-1771878431926?classId=3835" TargetMode="External"/><Relationship Id="rId503" Type="http://schemas.openxmlformats.org/officeDocument/2006/relationships/hyperlink" Target="https://universidade.pipelovers.net/m/lessons/gerando-conexao-com-o-lead-no-primeiro-contato1772542642630?classId=3760" TargetMode="External"/><Relationship Id="rId987" Type="http://schemas.openxmlformats.org/officeDocument/2006/relationships/hyperlink" Target="https://www.linkedin.com/in/gabriel-sbrasil/" TargetMode="External"/><Relationship Id="rId502" Type="http://schemas.openxmlformats.org/officeDocument/2006/relationships/hyperlink" Target="https://universidade.pipelovers.net/m/lessons/gerando-conexao-com-o-lead-no-primeiro-contato1772542642630?classId=3760" TargetMode="External"/><Relationship Id="rId986" Type="http://schemas.openxmlformats.org/officeDocument/2006/relationships/hyperlink" Target="https://drive.google.com/file/d/1agWjKDKkvDpw4-6MDkyjQ9nzl63yovja/view?usp=drive_link" TargetMode="External"/><Relationship Id="rId501" Type="http://schemas.openxmlformats.org/officeDocument/2006/relationships/hyperlink" Target="https://www.linkedin.com/in/tierrefonseca/" TargetMode="External"/><Relationship Id="rId985" Type="http://schemas.openxmlformats.org/officeDocument/2006/relationships/hyperlink" Target="https://universidade.pipelovers.net/m/lessons/estrategias-para-aplicacao-de-descontos-comerciais1769552376115?classId=3648" TargetMode="External"/><Relationship Id="rId500" Type="http://schemas.openxmlformats.org/officeDocument/2006/relationships/hyperlink" Target="https://universidade.pipelovers.net/m/lessons/metricas-que-todo-pre-vendedor-deve-saber-e-acompanhar1772542642743?classId=3763" TargetMode="External"/><Relationship Id="rId984" Type="http://schemas.openxmlformats.org/officeDocument/2006/relationships/hyperlink" Target="https://universidade.pipelovers.net/m/lessons/estrategias-para-aplicacao-de-descontos-comerciais1769552376115?classId=3648" TargetMode="External"/><Relationship Id="rId507" Type="http://schemas.openxmlformats.org/officeDocument/2006/relationships/hyperlink" Target="https://www.linkedin.com/in/manoel-victor-tomaz/" TargetMode="External"/><Relationship Id="rId506" Type="http://schemas.openxmlformats.org/officeDocument/2006/relationships/hyperlink" Target="https://universidade.pipelovers.net/m/lessons/como-passar-pela-secretaria1772542642357?classId=3754" TargetMode="External"/><Relationship Id="rId505" Type="http://schemas.openxmlformats.org/officeDocument/2006/relationships/hyperlink" Target="https://universidade.pipelovers.net/m/lessons/como-passar-pela-secretaria1772542642357?classId=3754" TargetMode="External"/><Relationship Id="rId989" Type="http://schemas.openxmlformats.org/officeDocument/2006/relationships/hyperlink" Target="https://universidade.pipelovers.net/m/lessons/acelerando-fechamentos-no-inicio-do-ano1769552376164?classId=3647" TargetMode="External"/><Relationship Id="rId504" Type="http://schemas.openxmlformats.org/officeDocument/2006/relationships/hyperlink" Target="https://www.linkedin.com/in/jessicabosco/" TargetMode="External"/><Relationship Id="rId988" Type="http://schemas.openxmlformats.org/officeDocument/2006/relationships/hyperlink" Target="https://universidade.pipelovers.net/m/lessons/acelerando-fechamentos-no-inicio-do-ano1769552376164?classId=3647" TargetMode="External"/><Relationship Id="rId1570" Type="http://schemas.openxmlformats.org/officeDocument/2006/relationships/hyperlink" Target="https://universidade.pipelovers.net/m/lessons/lidando-com-uma-nova-geracao-de-vendedores1769552288051?classId=3261" TargetMode="External"/><Relationship Id="rId1571" Type="http://schemas.openxmlformats.org/officeDocument/2006/relationships/hyperlink" Target="https://universidade.pipelovers.net/m/lessons/lidando-com-uma-nova-geracao-de-vendedores1769552288051?classId=3261" TargetMode="External"/><Relationship Id="rId983" Type="http://schemas.openxmlformats.org/officeDocument/2006/relationships/hyperlink" Target="https://www.linkedin.com/in/pedro-henrique-alves-872b0245/" TargetMode="External"/><Relationship Id="rId1572" Type="http://schemas.openxmlformats.org/officeDocument/2006/relationships/hyperlink" Target="https://universidade.pipelovers.net/m/lessons/como-avaliar-uma-agencia-de-marketing1769552288095?classId=3262" TargetMode="External"/><Relationship Id="rId982" Type="http://schemas.openxmlformats.org/officeDocument/2006/relationships/hyperlink" Target="https://drive.google.com/file/d/1aXmSTzQ0IE4MxT1fDb7gutqAtsf4h4GO/view?usp=drive_link" TargetMode="External"/><Relationship Id="rId1573" Type="http://schemas.openxmlformats.org/officeDocument/2006/relationships/hyperlink" Target="https://universidade.pipelovers.net/m/lessons/como-avaliar-uma-agencia-de-marketing1769552288095?classId=3262" TargetMode="External"/><Relationship Id="rId2420" Type="http://schemas.openxmlformats.org/officeDocument/2006/relationships/hyperlink" Target="https://universidade.pipelovers.net/m/lessons/inteligencia-artificial-para-engajar-parceiros-1773780201180?classId=3840" TargetMode="External"/><Relationship Id="rId981" Type="http://schemas.openxmlformats.org/officeDocument/2006/relationships/hyperlink" Target="https://universidade.pipelovers.net/m/lessons/tecnicas-de-oratoria-para-executivos-de-vendas1769552376065?classId=3571" TargetMode="External"/><Relationship Id="rId1574" Type="http://schemas.openxmlformats.org/officeDocument/2006/relationships/hyperlink" Target="https://universidade.pipelovers.net/m/lessons/diversidade-aumenta-as-vendas-como1769552288126?classId=3263" TargetMode="External"/><Relationship Id="rId2421" Type="http://schemas.openxmlformats.org/officeDocument/2006/relationships/hyperlink" Target="https://universidade.pipelovers.net/m/lessons/inteligencia-artificial-para-engajar-parceiros-1773780201180?classId=3840" TargetMode="External"/><Relationship Id="rId980" Type="http://schemas.openxmlformats.org/officeDocument/2006/relationships/hyperlink" Target="https://universidade.pipelovers.net/m/lessons/tecnicas-de-oratoria-para-executivos-de-vendas1769552376065?classId=3571" TargetMode="External"/><Relationship Id="rId1575" Type="http://schemas.openxmlformats.org/officeDocument/2006/relationships/hyperlink" Target="https://universidade.pipelovers.net/m/lessons/diversidade-aumenta-as-vendas-como1769552288126?classId=3263" TargetMode="External"/><Relationship Id="rId2422" Type="http://schemas.openxmlformats.org/officeDocument/2006/relationships/hyperlink" Target="https://www.linkedin.com/in/viniciusaguiarmorais/" TargetMode="External"/><Relationship Id="rId1565" Type="http://schemas.openxmlformats.org/officeDocument/2006/relationships/hyperlink" Target="https://universidade.pipelovers.net/m/lessons/alinhamento-entre-vendas-e-customer-success1769552287824?classId=3259" TargetMode="External"/><Relationship Id="rId2412" Type="http://schemas.openxmlformats.org/officeDocument/2006/relationships/hyperlink" Target="https://universidade.pipelovers.net/m/lessons/definicao-de-metas-internas-para-a-area-de-canais-1773152095428?classId=3778" TargetMode="External"/><Relationship Id="rId1566" Type="http://schemas.openxmlformats.org/officeDocument/2006/relationships/hyperlink" Target="https://universidade.pipelovers.net/m/lessons/alinhamento-entre-vendas-e-customer-success1769552287824?classId=3259" TargetMode="External"/><Relationship Id="rId2413" Type="http://schemas.openxmlformats.org/officeDocument/2006/relationships/hyperlink" Target="https://www.linkedin.com/in/henriquerrezende/" TargetMode="External"/><Relationship Id="rId1567" Type="http://schemas.openxmlformats.org/officeDocument/2006/relationships/hyperlink" Target="https://www.linkedin.com/in/aaronross/" TargetMode="External"/><Relationship Id="rId2414" Type="http://schemas.openxmlformats.org/officeDocument/2006/relationships/hyperlink" Target="https://universidade.pipelovers.net/m/lessons/como-manter-o-relacionamento-quando-o-parceiro-vende-para-concorrentes-1771879881462?classId=3837" TargetMode="External"/><Relationship Id="rId1568" Type="http://schemas.openxmlformats.org/officeDocument/2006/relationships/hyperlink" Target="https://universidade.pipelovers.net/aulas/bestsellers-1775504294126" TargetMode="External"/><Relationship Id="rId2415" Type="http://schemas.openxmlformats.org/officeDocument/2006/relationships/hyperlink" Target="https://universidade.pipelovers.net/m/lessons/como-manter-o-relacionamento-quando-o-parceiro-vende-para-concorrentes-1771879881462?classId=3837" TargetMode="External"/><Relationship Id="rId1569" Type="http://schemas.openxmlformats.org/officeDocument/2006/relationships/hyperlink" Target="https://universidade.pipelovers.net/aulas/bestsellers-1775504294126" TargetMode="External"/><Relationship Id="rId2416" Type="http://schemas.openxmlformats.org/officeDocument/2006/relationships/hyperlink" Target="https://www.linkedin.com/in/geovannalara/" TargetMode="External"/><Relationship Id="rId2417" Type="http://schemas.openxmlformats.org/officeDocument/2006/relationships/hyperlink" Target="https://universidade.pipelovers.net/aulas/como-manter-a-motivacao-quando-o-canal-nao-performa-1775814316323" TargetMode="External"/><Relationship Id="rId2418" Type="http://schemas.openxmlformats.org/officeDocument/2006/relationships/hyperlink" Target="https://universidade.pipelovers.net/aulas/como-manter-a-motivacao-quando-o-canal-nao-performa-1775814316323" TargetMode="External"/><Relationship Id="rId2419" Type="http://schemas.openxmlformats.org/officeDocument/2006/relationships/hyperlink" Target="https://www.linkedin.com/in/brunodanielmaia/" TargetMode="External"/><Relationship Id="rId976" Type="http://schemas.openxmlformats.org/officeDocument/2006/relationships/hyperlink" Target="https://universidade.pipelovers.net/m/lessons/como-fortalecer-sua-marca-pessoal-no-linkedin1769552375801?classId=3649" TargetMode="External"/><Relationship Id="rId975" Type="http://schemas.openxmlformats.org/officeDocument/2006/relationships/hyperlink" Target="https://www.linkedin.com/in/bonaroti/" TargetMode="External"/><Relationship Id="rId974" Type="http://schemas.openxmlformats.org/officeDocument/2006/relationships/hyperlink" Target="https://drive.google.com/file/d/1hhbK64FGtdKVG-aVvU-_9G4ulFknA0yC/view?usp=drive_link" TargetMode="External"/><Relationship Id="rId973" Type="http://schemas.openxmlformats.org/officeDocument/2006/relationships/hyperlink" Target="https://universidade.pipelovers.net/m/lessons/como-influenciar-a-percepcao-de-valor-do-cliente1769552368711?classId=3650" TargetMode="External"/><Relationship Id="rId979" Type="http://schemas.openxmlformats.org/officeDocument/2006/relationships/hyperlink" Target="https://www.linkedin.com/in/biakobal/" TargetMode="External"/><Relationship Id="rId978" Type="http://schemas.openxmlformats.org/officeDocument/2006/relationships/hyperlink" Target="https://drive.google.com/file/d/1P_2i1kDJogXG_DxhY8gvkuDNjkazeBuJ/view?usp=drive_link" TargetMode="External"/><Relationship Id="rId977" Type="http://schemas.openxmlformats.org/officeDocument/2006/relationships/hyperlink" Target="https://universidade.pipelovers.net/m/lessons/como-fortalecer-sua-marca-pessoal-no-linkedin1769552375801?classId=3649" TargetMode="External"/><Relationship Id="rId1560" Type="http://schemas.openxmlformats.org/officeDocument/2006/relationships/hyperlink" Target="https://universidade.pipelovers.net/m/lessons/automacoes-de-marketing-para-apoiar-vendas1769552284907?classId=3256" TargetMode="External"/><Relationship Id="rId972" Type="http://schemas.openxmlformats.org/officeDocument/2006/relationships/hyperlink" Target="https://universidade.pipelovers.net/m/lessons/como-influenciar-a-percepcao-de-valor-do-cliente1769552368711?classId=3650" TargetMode="External"/><Relationship Id="rId1561" Type="http://schemas.openxmlformats.org/officeDocument/2006/relationships/hyperlink" Target="https://universidade.pipelovers.net/m/lessons/estruturando-uma-operacao-de-vendas-para-o-setor-publico1769552285058?classId=3257" TargetMode="External"/><Relationship Id="rId971" Type="http://schemas.openxmlformats.org/officeDocument/2006/relationships/hyperlink" Target="https://www.linkedin.com/in/elderjascolka/" TargetMode="External"/><Relationship Id="rId1562" Type="http://schemas.openxmlformats.org/officeDocument/2006/relationships/hyperlink" Target="https://universidade.pipelovers.net/m/lessons/estruturando-uma-operacao-de-vendas-para-o-setor-publico1769552285058?classId=3257" TargetMode="External"/><Relationship Id="rId970" Type="http://schemas.openxmlformats.org/officeDocument/2006/relationships/hyperlink" Target="https://drive.google.com/file/d/1LjI-lGaBxKjqh7pMNrGtyR2ZqBIVy__e/view?usp=drive_link" TargetMode="External"/><Relationship Id="rId1563" Type="http://schemas.openxmlformats.org/officeDocument/2006/relationships/hyperlink" Target="https://universidade.pipelovers.net/m/lessons/aplicando-receita-previsivel-na-pratica1769552287788?classId=3258" TargetMode="External"/><Relationship Id="rId2410" Type="http://schemas.openxmlformats.org/officeDocument/2006/relationships/hyperlink" Target="https://www.linkedin.com/in/naravazguimaraes/" TargetMode="External"/><Relationship Id="rId1564" Type="http://schemas.openxmlformats.org/officeDocument/2006/relationships/hyperlink" Target="https://universidade.pipelovers.net/m/lessons/aplicando-receita-previsivel-na-pratica1769552287788?classId=3258" TargetMode="External"/><Relationship Id="rId2411" Type="http://schemas.openxmlformats.org/officeDocument/2006/relationships/hyperlink" Target="https://universidade.pipelovers.net/m/lessons/definicao-de-metas-internas-para-a-area-de-canais-1773152095428?classId=3778" TargetMode="External"/><Relationship Id="rId1114" Type="http://schemas.openxmlformats.org/officeDocument/2006/relationships/hyperlink" Target="https://universidade.pipelovers.net/m/lessons/como-gerar-engajamento-em-reunioes-online1769552388759?classId=3072" TargetMode="External"/><Relationship Id="rId1598" Type="http://schemas.openxmlformats.org/officeDocument/2006/relationships/hyperlink" Target="https://www.linkedin.com/in/romucasp/" TargetMode="External"/><Relationship Id="rId2445" Type="http://schemas.openxmlformats.org/officeDocument/2006/relationships/hyperlink" Target="https://universidade.pipelovers.net/m/lessons/o-peso-de-ecossistemas-na-tese-de-investimento-e-valuation-de-empresas-saas-1773766136629?classId=3827" TargetMode="External"/><Relationship Id="rId1115" Type="http://schemas.openxmlformats.org/officeDocument/2006/relationships/hyperlink" Target="https://drive.google.com/file/d/1gkhaHh2IYPTjTBIrvGJoHfToMW-2zeVr/view?usp=drive_link" TargetMode="External"/><Relationship Id="rId1599" Type="http://schemas.openxmlformats.org/officeDocument/2006/relationships/hyperlink" Target="https://universidade.pipelovers.net/m/lessons/riscos-na-integracao-de-sistemas-de-vendas1769552303799?classId=3274" TargetMode="External"/><Relationship Id="rId2446" Type="http://schemas.openxmlformats.org/officeDocument/2006/relationships/hyperlink" Target="https://www.linkedin.com/in/odouglassilva/" TargetMode="External"/><Relationship Id="rId1116" Type="http://schemas.openxmlformats.org/officeDocument/2006/relationships/hyperlink" Target="https://www.linkedin.com/in/gustavogadotti/" TargetMode="External"/><Relationship Id="rId2447" Type="http://schemas.openxmlformats.org/officeDocument/2006/relationships/hyperlink" Target="https://universidade.pipelovers.net/m/lessons/gestao-de-carteira-de-parceiros-com-a-matriz-rfm-1778012020540?classId=3990" TargetMode="External"/><Relationship Id="rId1117" Type="http://schemas.openxmlformats.org/officeDocument/2006/relationships/hyperlink" Target="https://universidade.pipelovers.net/m/lessons/segmentacao-e-definicao-do-seu-mercado-alvo1769552388883?classId=3048" TargetMode="External"/><Relationship Id="rId2448" Type="http://schemas.openxmlformats.org/officeDocument/2006/relationships/hyperlink" Target="https://universidade.pipelovers.net/m/lessons/gestao-de-carteira-de-parceiros-com-a-matriz-rfm-1778012020540?classId=3990" TargetMode="External"/><Relationship Id="rId1118" Type="http://schemas.openxmlformats.org/officeDocument/2006/relationships/hyperlink" Target="https://universidade.pipelovers.net/m/lessons/segmentacao-e-definicao-do-seu-mercado-alvo1769552388883?classId=3048" TargetMode="External"/><Relationship Id="rId2449" Type="http://schemas.openxmlformats.org/officeDocument/2006/relationships/hyperlink" Target="https://www.linkedin.com/in/beatrizschittino/" TargetMode="External"/><Relationship Id="rId1119" Type="http://schemas.openxmlformats.org/officeDocument/2006/relationships/hyperlink" Target="https://drive.google.com/file/d/1BPwseD8ZDl683T5fPE4YMj69Yr3-_myG/view?usp=drive_link" TargetMode="External"/><Relationship Id="rId525" Type="http://schemas.openxmlformats.org/officeDocument/2006/relationships/hyperlink" Target="https://www.linkedin.com/in/gabriel-heringer-b64498143/" TargetMode="External"/><Relationship Id="rId524" Type="http://schemas.openxmlformats.org/officeDocument/2006/relationships/hyperlink" Target="https://universidade.pipelovers.net/m/lessons/reativacao-de-contas-inativas-1773683936663?classId=3802" TargetMode="External"/><Relationship Id="rId523" Type="http://schemas.openxmlformats.org/officeDocument/2006/relationships/hyperlink" Target="https://universidade.pipelovers.net/m/lessons/reativacao-de-contas-inativas-1773683936663?classId=3802" TargetMode="External"/><Relationship Id="rId522" Type="http://schemas.openxmlformats.org/officeDocument/2006/relationships/hyperlink" Target="https://www.linkedin.com/in/tainahsubtil/" TargetMode="External"/><Relationship Id="rId529" Type="http://schemas.openxmlformats.org/officeDocument/2006/relationships/hyperlink" Target="https://universidade.pipelovers.net/aulas/como-pensar-como-um-pre-vendas-estrategico-1774880946682" TargetMode="External"/><Relationship Id="rId528" Type="http://schemas.openxmlformats.org/officeDocument/2006/relationships/hyperlink" Target="https://www.linkedin.com/in/pedroholz/" TargetMode="External"/><Relationship Id="rId527" Type="http://schemas.openxmlformats.org/officeDocument/2006/relationships/hyperlink" Target="https://universidade.pipelovers.net/aulas/como-priorizar-tarefas-no-dia-a-dia-de-prevenda-1773684689179" TargetMode="External"/><Relationship Id="rId526" Type="http://schemas.openxmlformats.org/officeDocument/2006/relationships/hyperlink" Target="https://universidade.pipelovers.net/aulas/como-priorizar-tarefas-no-dia-a-dia-de-prevenda-1773684689179" TargetMode="External"/><Relationship Id="rId1590" Type="http://schemas.openxmlformats.org/officeDocument/2006/relationships/hyperlink" Target="https://universidade.pipelovers.net/m/lessons/como-diminuir-a-rotatividade-da-sua-equipe1769552292529?classId=3270" TargetMode="External"/><Relationship Id="rId1591" Type="http://schemas.openxmlformats.org/officeDocument/2006/relationships/hyperlink" Target="https://universidade.pipelovers.net/m/lessons/o-que-growth-tem-a-ver-com-vendas-b2b1769552292579?classId=3271" TargetMode="External"/><Relationship Id="rId1592" Type="http://schemas.openxmlformats.org/officeDocument/2006/relationships/hyperlink" Target="https://universidade.pipelovers.net/m/lessons/o-que-growth-tem-a-ver-com-vendas-b2b1769552292579?classId=3271" TargetMode="External"/><Relationship Id="rId1593" Type="http://schemas.openxmlformats.org/officeDocument/2006/relationships/hyperlink" Target="https://www.linkedin.com/in/coelhofarc/" TargetMode="External"/><Relationship Id="rId2440" Type="http://schemas.openxmlformats.org/officeDocument/2006/relationships/hyperlink" Target="https://www.linkedin.com/in/bruno-colpaert-romera-335128134/" TargetMode="External"/><Relationship Id="rId521" Type="http://schemas.openxmlformats.org/officeDocument/2006/relationships/hyperlink" Target="https://universidade.pipelovers.net/m/lessons/metodologia-bant-para-qualificacao-de-oportunidades-1774546900949?classId=3848" TargetMode="External"/><Relationship Id="rId1110" Type="http://schemas.openxmlformats.org/officeDocument/2006/relationships/hyperlink" Target="https://universidade.pipelovers.net/m/lessons/identificacao-e-validacao-do-perfil-de-cliente-ideal1769552388727?classId=3047" TargetMode="External"/><Relationship Id="rId1594" Type="http://schemas.openxmlformats.org/officeDocument/2006/relationships/hyperlink" Target="https://universidade.pipelovers.net/m/lessons/insights-praticos-do-saastr-20241769552292632?classId=3272" TargetMode="External"/><Relationship Id="rId2441" Type="http://schemas.openxmlformats.org/officeDocument/2006/relationships/hyperlink" Target="https://universidade.pipelovers.net/m/lessons/como-adaptar-sua-comunicacao-para-diferentes-perfis-de-parceiros-1773767302165?classId=3829" TargetMode="External"/><Relationship Id="rId520" Type="http://schemas.openxmlformats.org/officeDocument/2006/relationships/hyperlink" Target="https://universidade.pipelovers.net/m/lessons/metodologia-bant-para-qualificacao-de-oportunidades-1774546900949?classId=3848" TargetMode="External"/><Relationship Id="rId1111" Type="http://schemas.openxmlformats.org/officeDocument/2006/relationships/hyperlink" Target="https://drive.google.com/file/d/1b_s2-3f-aYV7bs9z1ggvCvTzCs8CiNth/view?usp=drive_link" TargetMode="External"/><Relationship Id="rId1595" Type="http://schemas.openxmlformats.org/officeDocument/2006/relationships/hyperlink" Target="https://universidade.pipelovers.net/m/lessons/insights-praticos-do-saastr-20241769552292632?classId=3272" TargetMode="External"/><Relationship Id="rId2442" Type="http://schemas.openxmlformats.org/officeDocument/2006/relationships/hyperlink" Target="https://universidade.pipelovers.net/m/lessons/como-adaptar-sua-comunicacao-para-diferentes-perfis-de-parceiros-1773767302165?classId=3829" TargetMode="External"/><Relationship Id="rId1112" Type="http://schemas.openxmlformats.org/officeDocument/2006/relationships/hyperlink" Target="https://www.linkedin.com/in/jo%C3%A3ovictoraandrade/" TargetMode="External"/><Relationship Id="rId1596" Type="http://schemas.openxmlformats.org/officeDocument/2006/relationships/hyperlink" Target="https://universidade.pipelovers.net/m/lessons/como-employer-branding-ajuda-a-recrutar-um-time-de-vendas1769552292714?classId=3273" TargetMode="External"/><Relationship Id="rId2443" Type="http://schemas.openxmlformats.org/officeDocument/2006/relationships/hyperlink" Target="https://www.linkedin.com/in/edsonrigonatti/" TargetMode="External"/><Relationship Id="rId1113" Type="http://schemas.openxmlformats.org/officeDocument/2006/relationships/hyperlink" Target="https://universidade.pipelovers.net/m/lessons/como-gerar-engajamento-em-reunioes-online1769552388759?classId=3072" TargetMode="External"/><Relationship Id="rId1597" Type="http://schemas.openxmlformats.org/officeDocument/2006/relationships/hyperlink" Target="https://universidade.pipelovers.net/m/lessons/como-employer-branding-ajuda-a-recrutar-um-time-de-vendas1769552292714?classId=3273" TargetMode="External"/><Relationship Id="rId2444" Type="http://schemas.openxmlformats.org/officeDocument/2006/relationships/hyperlink" Target="https://universidade.pipelovers.net/m/lessons/o-peso-de-ecossistemas-na-tese-de-investimento-e-valuation-de-empresas-saas-1773766136629?classId=3827" TargetMode="External"/><Relationship Id="rId1103" Type="http://schemas.openxmlformats.org/officeDocument/2006/relationships/hyperlink" Target="https://drive.google.com/file/d/1O4QVFzqXTVtOgyNaQjxYGI7D6AAKKTb1/view?usp=drive_link" TargetMode="External"/><Relationship Id="rId1587" Type="http://schemas.openxmlformats.org/officeDocument/2006/relationships/hyperlink" Target="https://universidade.pipelovers.net/m/lessons/construcao-de-metas-comerciais1769552292479?classId=3269" TargetMode="External"/><Relationship Id="rId2434" Type="http://schemas.openxmlformats.org/officeDocument/2006/relationships/hyperlink" Target="https://www.linkedin.com/in/deizeschetz/" TargetMode="External"/><Relationship Id="rId1104" Type="http://schemas.openxmlformats.org/officeDocument/2006/relationships/hyperlink" Target="https://www.linkedin.com/in/pauloguidugli/" TargetMode="External"/><Relationship Id="rId1588" Type="http://schemas.openxmlformats.org/officeDocument/2006/relationships/hyperlink" Target="https://universidade.pipelovers.net/m/lessons/construcao-de-metas-comerciais1769552292479?classId=3269" TargetMode="External"/><Relationship Id="rId2435" Type="http://schemas.openxmlformats.org/officeDocument/2006/relationships/hyperlink" Target="https://universidade.pipelovers.net/m/lessons/channel-marketing-estrategias-de-aquisicao-engajamento-e-geracao-de-demanda-com-parceiros-1776197546039?classId=3955" TargetMode="External"/><Relationship Id="rId1105" Type="http://schemas.openxmlformats.org/officeDocument/2006/relationships/hyperlink" Target="https://universidade.pipelovers.net/m/lessons/construcao-de-networking-e-conexoes-de-valor1769552386580?classId=3046" TargetMode="External"/><Relationship Id="rId1589" Type="http://schemas.openxmlformats.org/officeDocument/2006/relationships/hyperlink" Target="https://universidade.pipelovers.net/m/lessons/como-diminuir-a-rotatividade-da-sua-equipe1769552292529?classId=3270" TargetMode="External"/><Relationship Id="rId2436" Type="http://schemas.openxmlformats.org/officeDocument/2006/relationships/hyperlink" Target="https://universidade.pipelovers.net/m/lessons/channel-marketing-estrategias-de-aquisicao-engajamento-e-geracao-de-demanda-com-parceiros-1776197546039?classId=3955" TargetMode="External"/><Relationship Id="rId1106" Type="http://schemas.openxmlformats.org/officeDocument/2006/relationships/hyperlink" Target="https://universidade.pipelovers.net/m/lessons/construcao-de-networking-e-conexoes-de-valor1769552386580?classId=3046" TargetMode="External"/><Relationship Id="rId2437" Type="http://schemas.openxmlformats.org/officeDocument/2006/relationships/hyperlink" Target="https://www.linkedin.com/in/bruno-xavier-11096514/" TargetMode="External"/><Relationship Id="rId1107" Type="http://schemas.openxmlformats.org/officeDocument/2006/relationships/hyperlink" Target="https://drive.google.com/file/d/1D-SKO2L90qrJmnbKCbq7ghdkYpXonj1q/view?usp=drive_link" TargetMode="External"/><Relationship Id="rId2438" Type="http://schemas.openxmlformats.org/officeDocument/2006/relationships/hyperlink" Target="https://universidade.pipelovers.net/m/lessons/co-sell-na-pratica-como-escalar-vendas-com-parceiros-atraves-da-tecnologia-1773766947918?classId=3828" TargetMode="External"/><Relationship Id="rId1108" Type="http://schemas.openxmlformats.org/officeDocument/2006/relationships/hyperlink" Target="https://www.linkedin.com/in/agmarin/" TargetMode="External"/><Relationship Id="rId2439" Type="http://schemas.openxmlformats.org/officeDocument/2006/relationships/hyperlink" Target="https://universidade.pipelovers.net/m/lessons/co-sell-na-pratica-como-escalar-vendas-com-parceiros-atraves-da-tecnologia-1773766947918?classId=3828" TargetMode="External"/><Relationship Id="rId1109" Type="http://schemas.openxmlformats.org/officeDocument/2006/relationships/hyperlink" Target="https://universidade.pipelovers.net/m/lessons/identificacao-e-validacao-do-perfil-de-cliente-ideal1769552388727?classId=3047" TargetMode="External"/><Relationship Id="rId519" Type="http://schemas.openxmlformats.org/officeDocument/2006/relationships/hyperlink" Target="https://www.linkedin.com/in/janine-gabriela-bosco-1525b0bb/" TargetMode="External"/><Relationship Id="rId514" Type="http://schemas.openxmlformats.org/officeDocument/2006/relationships/hyperlink" Target="https://universidade.pipelovers.net/m/lessons/diagnostico-de-oportunidade-como-identificar-o-cliente-certo-na-pre-venda-1771879498749?classId=3838" TargetMode="External"/><Relationship Id="rId998" Type="http://schemas.openxmlformats.org/officeDocument/2006/relationships/hyperlink" Target="https://drive.google.com/file/d/1yr6t1HdcjoSzcj94tFcFkLZIPD4Hd_3n/view?usp=drive_link" TargetMode="External"/><Relationship Id="rId513" Type="http://schemas.openxmlformats.org/officeDocument/2006/relationships/hyperlink" Target="https://www.linkedin.com/in/julia-drumond/" TargetMode="External"/><Relationship Id="rId997" Type="http://schemas.openxmlformats.org/officeDocument/2006/relationships/hyperlink" Target="https://universidade.pipelovers.net/m/lessons/spin-selling-em-negociacoes-complexas1769552376302?classId=3573" TargetMode="External"/><Relationship Id="rId512" Type="http://schemas.openxmlformats.org/officeDocument/2006/relationships/hyperlink" Target="https://universidade.pipelovers.net/m/lessons/whatsapp-que-converte-como-conduzir-a-conversa-ate-a-reuniao-1771879433094?classId=3836" TargetMode="External"/><Relationship Id="rId996" Type="http://schemas.openxmlformats.org/officeDocument/2006/relationships/hyperlink" Target="https://universidade.pipelovers.net/m/lessons/spin-selling-em-negociacoes-complexas1769552376302?classId=3573" TargetMode="External"/><Relationship Id="rId511" Type="http://schemas.openxmlformats.org/officeDocument/2006/relationships/hyperlink" Target="https://universidade.pipelovers.net/m/lessons/whatsapp-que-converte-como-conduzir-a-conversa-ate-a-reuniao-1771879433094?classId=3836" TargetMode="External"/><Relationship Id="rId995" Type="http://schemas.openxmlformats.org/officeDocument/2006/relationships/hyperlink" Target="https://www.linkedin.com/in/pamelagottschalk/" TargetMode="External"/><Relationship Id="rId518" Type="http://schemas.openxmlformats.org/officeDocument/2006/relationships/hyperlink" Target="https://universidade.pipelovers.net/m/lessons/entendendo-a-dor-do-cliente-desde-a-primeira-conversa-1773684269941?classId=3803" TargetMode="External"/><Relationship Id="rId517" Type="http://schemas.openxmlformats.org/officeDocument/2006/relationships/hyperlink" Target="https://universidade.pipelovers.net/m/lessons/entendendo-a-dor-do-cliente-desde-a-primeira-conversa-1773684269941?classId=3803" TargetMode="External"/><Relationship Id="rId516" Type="http://schemas.openxmlformats.org/officeDocument/2006/relationships/hyperlink" Target="https://www.linkedin.com/in/biancagimenezvalente/" TargetMode="External"/><Relationship Id="rId515" Type="http://schemas.openxmlformats.org/officeDocument/2006/relationships/hyperlink" Target="https://universidade.pipelovers.net/m/lessons/diagnostico-de-oportunidade-como-identificar-o-cliente-certo-na-pre-venda-1771879498749?classId=3838" TargetMode="External"/><Relationship Id="rId999" Type="http://schemas.openxmlformats.org/officeDocument/2006/relationships/hyperlink" Target="https://www.linkedin.com/in/arnold-frota-13974a182/" TargetMode="External"/><Relationship Id="rId990" Type="http://schemas.openxmlformats.org/officeDocument/2006/relationships/hyperlink" Target="https://drive.google.com/file/d/1ECIf7wPJ7gfZZ_CKF97AEg1ZC0VAVxRz/view?usp=drive_link" TargetMode="External"/><Relationship Id="rId1580" Type="http://schemas.openxmlformats.org/officeDocument/2006/relationships/hyperlink" Target="https://universidade.pipelovers.net/m/lessons/rituais-de-avaliacao-de-performance1769552292282?classId=3266" TargetMode="External"/><Relationship Id="rId1581" Type="http://schemas.openxmlformats.org/officeDocument/2006/relationships/hyperlink" Target="https://universidade.pipelovers.net/m/lessons/rituais-de-avaliacao-de-performance1769552292282?classId=3266" TargetMode="External"/><Relationship Id="rId1582" Type="http://schemas.openxmlformats.org/officeDocument/2006/relationships/hyperlink" Target="https://universidade.pipelovers.net/m/lessons/go-to-market-planejamento-para-resultados1769552292345?classId=3267" TargetMode="External"/><Relationship Id="rId510" Type="http://schemas.openxmlformats.org/officeDocument/2006/relationships/hyperlink" Target="https://www.linkedin.com/in/danielreginatto/" TargetMode="External"/><Relationship Id="rId994" Type="http://schemas.openxmlformats.org/officeDocument/2006/relationships/hyperlink" Target="https://drive.google.com/file/d/1vH3Lrl2olMfOII1kWmL7rdDYlejYr8av/view?usp=drive_link" TargetMode="External"/><Relationship Id="rId1583" Type="http://schemas.openxmlformats.org/officeDocument/2006/relationships/hyperlink" Target="https://universidade.pipelovers.net/m/lessons/go-to-market-planejamento-para-resultados1769552292345?classId=3267" TargetMode="External"/><Relationship Id="rId2430" Type="http://schemas.openxmlformats.org/officeDocument/2006/relationships/hyperlink" Target="https://universidade.pipelovers.net/m/lessons/como-construir-um-pipeline-confiavel-em-vendas-indiretas-1773765565839?classId=3826" TargetMode="External"/><Relationship Id="rId993" Type="http://schemas.openxmlformats.org/officeDocument/2006/relationships/hyperlink" Target="https://universidade.pipelovers.net/m/lessons/gatilhos-para-upsell-e-cross-sell-na-jornada-do-cliente1769552376252?classId=3645" TargetMode="External"/><Relationship Id="rId1100" Type="http://schemas.openxmlformats.org/officeDocument/2006/relationships/hyperlink" Target="https://www.linkedin.com/in/marcieli-pachecco-b9a7871bb/" TargetMode="External"/><Relationship Id="rId1584" Type="http://schemas.openxmlformats.org/officeDocument/2006/relationships/hyperlink" Target="https://universidade.pipelovers.net/m/lessons/como-melhorar-a-performance-profissional-com-a-gestao-do-aprendizado1769552292428?classId=3268" TargetMode="External"/><Relationship Id="rId2431" Type="http://schemas.openxmlformats.org/officeDocument/2006/relationships/hyperlink" Target="https://www.linkedin.com/in/stephan-calandrino-16649bb/" TargetMode="External"/><Relationship Id="rId992" Type="http://schemas.openxmlformats.org/officeDocument/2006/relationships/hyperlink" Target="https://universidade.pipelovers.net/m/lessons/gatilhos-para-upsell-e-cross-sell-na-jornada-do-cliente1769552376252?classId=3645" TargetMode="External"/><Relationship Id="rId1101" Type="http://schemas.openxmlformats.org/officeDocument/2006/relationships/hyperlink" Target="https://universidade.pipelovers.net/m/lessons/neurovendas-como-adaptar-seu-processo-comercial-a-logica-de-decisao-do-cerebro-humano1769552386512?classId=3045" TargetMode="External"/><Relationship Id="rId1585" Type="http://schemas.openxmlformats.org/officeDocument/2006/relationships/hyperlink" Target="https://universidade.pipelovers.net/m/lessons/como-melhorar-a-performance-profissional-com-a-gestao-do-aprendizado1769552292428?classId=3268" TargetMode="External"/><Relationship Id="rId2432" Type="http://schemas.openxmlformats.org/officeDocument/2006/relationships/hyperlink" Target="https://universidade.pipelovers.net/m/lessons/vendas-via-canal-como-negociar-sem-comprometer-a-margem-1773767978019?classId=3830" TargetMode="External"/><Relationship Id="rId991" Type="http://schemas.openxmlformats.org/officeDocument/2006/relationships/hyperlink" Target="https://www.linkedin.com/in/marianaassis/" TargetMode="External"/><Relationship Id="rId1102" Type="http://schemas.openxmlformats.org/officeDocument/2006/relationships/hyperlink" Target="https://universidade.pipelovers.net/m/lessons/neurovendas-como-adaptar-seu-processo-comercial-a-logica-de-decisao-do-cerebro-humano1769552386512?classId=3045" TargetMode="External"/><Relationship Id="rId1586" Type="http://schemas.openxmlformats.org/officeDocument/2006/relationships/hyperlink" Target="https://www.linkedin.com/in/matheusqcosta/" TargetMode="External"/><Relationship Id="rId2433" Type="http://schemas.openxmlformats.org/officeDocument/2006/relationships/hyperlink" Target="https://universidade.pipelovers.net/m/lessons/vendas-via-canal-como-negociar-sem-comprometer-a-margem-1773767978019?classId=3830" TargetMode="External"/><Relationship Id="rId1532" Type="http://schemas.openxmlformats.org/officeDocument/2006/relationships/hyperlink" Target="https://universidade.pipelovers.net/aulas/inteligencia-artificial-ia-aplicada-a-gestao-comercial-1775500447050" TargetMode="External"/><Relationship Id="rId2863" Type="http://schemas.openxmlformats.org/officeDocument/2006/relationships/table" Target="../tables/table9.xml"/><Relationship Id="rId1533" Type="http://schemas.openxmlformats.org/officeDocument/2006/relationships/hyperlink" Target="https://universidade.pipelovers.net/aulas/inteligencia-artificial-ia-aplicada-a-gestao-comercial-1775500447050" TargetMode="External"/><Relationship Id="rId2864" Type="http://schemas.openxmlformats.org/officeDocument/2006/relationships/table" Target="../tables/table10.xml"/><Relationship Id="rId1534" Type="http://schemas.openxmlformats.org/officeDocument/2006/relationships/hyperlink" Target="https://universidade.pipelovers.net/m/lessons/administrando-a-pressao-de-resultados-em-vendas1769552284126?classId=3244" TargetMode="External"/><Relationship Id="rId2865" Type="http://schemas.openxmlformats.org/officeDocument/2006/relationships/table" Target="../tables/table11.xml"/><Relationship Id="rId1535" Type="http://schemas.openxmlformats.org/officeDocument/2006/relationships/hyperlink" Target="https://universidade.pipelovers.net/m/lessons/administrando-a-pressao-de-resultados-em-vendas1769552284126?classId=3244" TargetMode="External"/><Relationship Id="rId2866" Type="http://schemas.openxmlformats.org/officeDocument/2006/relationships/table" Target="../tables/table12.xml"/><Relationship Id="rId1536" Type="http://schemas.openxmlformats.org/officeDocument/2006/relationships/hyperlink" Target="https://universidade.pipelovers.net/m/lessons/estrategias-para-expansao-internacional1769552284198?classId=3245" TargetMode="External"/><Relationship Id="rId2867" Type="http://schemas.openxmlformats.org/officeDocument/2006/relationships/table" Target="../tables/table13.xml"/><Relationship Id="rId1537" Type="http://schemas.openxmlformats.org/officeDocument/2006/relationships/hyperlink" Target="https://universidade.pipelovers.net/m/lessons/estrategias-para-expansao-internacional1769552284198?classId=3245" TargetMode="External"/><Relationship Id="rId2868" Type="http://schemas.openxmlformats.org/officeDocument/2006/relationships/table" Target="../tables/table14.xml"/><Relationship Id="rId1538" Type="http://schemas.openxmlformats.org/officeDocument/2006/relationships/hyperlink" Target="https://universidade.pipelovers.net/aulas/como-inteligencia-artificial-vai-transformar-o-marketing-b2b-1775501548850" TargetMode="External"/><Relationship Id="rId2869" Type="http://schemas.openxmlformats.org/officeDocument/2006/relationships/table" Target="../tables/table15.xml"/><Relationship Id="rId1539" Type="http://schemas.openxmlformats.org/officeDocument/2006/relationships/hyperlink" Target="https://universidade.pipelovers.net/aulas/como-inteligencia-artificial-vai-transformar-o-marketing-b2b-1775501548850" TargetMode="External"/><Relationship Id="rId949" Type="http://schemas.openxmlformats.org/officeDocument/2006/relationships/hyperlink" Target="https://universidade.pipelovers.net/m/lessons/value-based-selling-entregando-valor-ao-seu-cliente1769552368468?classId=3655" TargetMode="External"/><Relationship Id="rId948" Type="http://schemas.openxmlformats.org/officeDocument/2006/relationships/hyperlink" Target="https://universidade.pipelovers.net/m/lessons/value-based-selling-entregando-valor-ao-seu-cliente1769552368468?classId=3655" TargetMode="External"/><Relationship Id="rId943" Type="http://schemas.openxmlformats.org/officeDocument/2006/relationships/hyperlink" Target="https://www.linkedin.com/in/octavio-garbi/" TargetMode="External"/><Relationship Id="rId942" Type="http://schemas.openxmlformats.org/officeDocument/2006/relationships/hyperlink" Target="https://drive.google.com/file/d/1FSEOeHMUlATTm4_h7wzo1ltXe3QWrMMv/view?usp=drive_link" TargetMode="External"/><Relationship Id="rId941" Type="http://schemas.openxmlformats.org/officeDocument/2006/relationships/hyperlink" Target="https://universidade.pipelovers.net/m/lessons/criacao-de-um-territory-plan1769552365670?classId=3657" TargetMode="External"/><Relationship Id="rId940" Type="http://schemas.openxmlformats.org/officeDocument/2006/relationships/hyperlink" Target="https://universidade.pipelovers.net/m/lessons/criacao-de-um-territory-plan1769552365670?classId=3657" TargetMode="External"/><Relationship Id="rId947" Type="http://schemas.openxmlformats.org/officeDocument/2006/relationships/hyperlink" Target="https://www.linkedin.com/in/santosandre/" TargetMode="External"/><Relationship Id="rId946" Type="http://schemas.openxmlformats.org/officeDocument/2006/relationships/hyperlink" Target="https://drive.google.com/file/d/15XmPJbmuovX3qhEvuMAp-KfRvkN6S7c1/view?usp=drive_link" TargetMode="External"/><Relationship Id="rId945" Type="http://schemas.openxmlformats.org/officeDocument/2006/relationships/hyperlink" Target="https://universidade.pipelovers.net/m/lessons/caracteristicas-em-comum-dos-melhores-vendedores1769552365701?classId=3656" TargetMode="External"/><Relationship Id="rId944" Type="http://schemas.openxmlformats.org/officeDocument/2006/relationships/hyperlink" Target="https://universidade.pipelovers.net/m/lessons/caracteristicas-em-comum-dos-melhores-vendedores1769552365701?classId=3656" TargetMode="External"/><Relationship Id="rId2860" Type="http://schemas.openxmlformats.org/officeDocument/2006/relationships/table" Target="../tables/table6.xml"/><Relationship Id="rId1530" Type="http://schemas.openxmlformats.org/officeDocument/2006/relationships/hyperlink" Target="https://universidade.pipelovers.net/m/lessons/modelos-de-remuneracao-variavel-em-vendas-b2b1769552283989?classId=3242" TargetMode="External"/><Relationship Id="rId2861" Type="http://schemas.openxmlformats.org/officeDocument/2006/relationships/table" Target="../tables/table7.xml"/><Relationship Id="rId1531" Type="http://schemas.openxmlformats.org/officeDocument/2006/relationships/hyperlink" Target="https://universidade.pipelovers.net/m/lessons/modelos-de-remuneracao-variavel-em-vendas-b2b1769552283989?classId=3242" TargetMode="External"/><Relationship Id="rId2862" Type="http://schemas.openxmlformats.org/officeDocument/2006/relationships/table" Target="../tables/table8.xml"/><Relationship Id="rId1521" Type="http://schemas.openxmlformats.org/officeDocument/2006/relationships/hyperlink" Target="https://universidade.pipelovers.net/m/lessons/estruturando-uma-area-de-customer-success1769552283732?classId=3238" TargetMode="External"/><Relationship Id="rId1522" Type="http://schemas.openxmlformats.org/officeDocument/2006/relationships/hyperlink" Target="https://www.linkedin.com/in/julianodias/" TargetMode="External"/><Relationship Id="rId1523" Type="http://schemas.openxmlformats.org/officeDocument/2006/relationships/hyperlink" Target="https://universidade.pipelovers.net/m/lessons/criacao-de-bases-de-prospeccao-com-ldrs1769552283794?classId=3239" TargetMode="External"/><Relationship Id="rId1524" Type="http://schemas.openxmlformats.org/officeDocument/2006/relationships/hyperlink" Target="https://universidade.pipelovers.net/m/lessons/criacao-de-bases-de-prospeccao-com-ldrs1769552283794?classId=3239" TargetMode="External"/><Relationship Id="rId1525" Type="http://schemas.openxmlformats.org/officeDocument/2006/relationships/hyperlink" Target="https://universidade.pipelovers.net/m/lessons/community-led-growth-como-avenida-de-crescimento-em-vendas1769552283857?classId=3240" TargetMode="External"/><Relationship Id="rId1526" Type="http://schemas.openxmlformats.org/officeDocument/2006/relationships/hyperlink" Target="https://universidade.pipelovers.net/m/lessons/community-led-growth-como-avenida-de-crescimento-em-vendas1769552283857?classId=3240" TargetMode="External"/><Relationship Id="rId1527" Type="http://schemas.openxmlformats.org/officeDocument/2006/relationships/hyperlink" Target="https://universidade.pipelovers.net/m/lessons/estrategias-de-marketing-b2b-para-grandes-contas1769552283917?classId=3241" TargetMode="External"/><Relationship Id="rId2858" Type="http://schemas.openxmlformats.org/officeDocument/2006/relationships/table" Target="../tables/table4.xml"/><Relationship Id="rId1528" Type="http://schemas.openxmlformats.org/officeDocument/2006/relationships/hyperlink" Target="https://universidade.pipelovers.net/m/lessons/estrategias-de-marketing-b2b-para-grandes-contas1769552283917?classId=3241" TargetMode="External"/><Relationship Id="rId2859" Type="http://schemas.openxmlformats.org/officeDocument/2006/relationships/table" Target="../tables/table5.xml"/><Relationship Id="rId1529" Type="http://schemas.openxmlformats.org/officeDocument/2006/relationships/hyperlink" Target="https://www.linkedin.com/in/ricardookino/" TargetMode="External"/><Relationship Id="rId939" Type="http://schemas.openxmlformats.org/officeDocument/2006/relationships/hyperlink" Target="https://www.linkedin.com/in/edusmattos/" TargetMode="External"/><Relationship Id="rId938" Type="http://schemas.openxmlformats.org/officeDocument/2006/relationships/hyperlink" Target="https://drive.google.com/file/d/1ngaAA3ZYnx5cIs59KP67yJzSiVNcqIrP/view?usp=drive_link" TargetMode="External"/><Relationship Id="rId937" Type="http://schemas.openxmlformats.org/officeDocument/2006/relationships/hyperlink" Target="https://universidade.pipelovers.net/m/lessons/blockchain-e-crypto-como-isso-ira-transformar-vendas-b2b1769552365640?classId=3658" TargetMode="External"/><Relationship Id="rId932" Type="http://schemas.openxmlformats.org/officeDocument/2006/relationships/hyperlink" Target="https://universidade.pipelovers.net/m/lessons/melhores-praticas-de-role-plays-e-simulacoes-de-venda1769552365588?classId=3659" TargetMode="External"/><Relationship Id="rId931" Type="http://schemas.openxmlformats.org/officeDocument/2006/relationships/hyperlink" Target="https://www.linkedin.com/in/raquelavelar/" TargetMode="External"/><Relationship Id="rId930" Type="http://schemas.openxmlformats.org/officeDocument/2006/relationships/hyperlink" Target="https://drive.google.com/file/d/1htQxQ45GBFqdSPZrHBYEq_Q87g8-xLYO/view?usp=drive_link" TargetMode="External"/><Relationship Id="rId936" Type="http://schemas.openxmlformats.org/officeDocument/2006/relationships/hyperlink" Target="https://universidade.pipelovers.net/m/lessons/blockchain-e-crypto-como-isso-ira-transformar-vendas-b2b1769552365640?classId=3658" TargetMode="External"/><Relationship Id="rId935" Type="http://schemas.openxmlformats.org/officeDocument/2006/relationships/hyperlink" Target="https://www.linkedin.com/in/fmsoul/" TargetMode="External"/><Relationship Id="rId934" Type="http://schemas.openxmlformats.org/officeDocument/2006/relationships/hyperlink" Target="https://drive.google.com/file/d/12U2jDjxVdC5iK0DAH-Yp-QNI8knMz4J1/view?usp=drive_link" TargetMode="External"/><Relationship Id="rId933" Type="http://schemas.openxmlformats.org/officeDocument/2006/relationships/hyperlink" Target="https://universidade.pipelovers.net/m/lessons/melhores-praticas-de-role-plays-e-simulacoes-de-venda1769552365588?classId=3659" TargetMode="External"/><Relationship Id="rId1520" Type="http://schemas.openxmlformats.org/officeDocument/2006/relationships/hyperlink" Target="https://universidade.pipelovers.net/m/lessons/estruturando-uma-area-de-customer-success1769552283732?classId=3238" TargetMode="External"/><Relationship Id="rId1554" Type="http://schemas.openxmlformats.org/officeDocument/2006/relationships/hyperlink" Target="https://www.linkedin.com/in/matheus-weigand/" TargetMode="External"/><Relationship Id="rId2401" Type="http://schemas.openxmlformats.org/officeDocument/2006/relationships/hyperlink" Target="https://www.linkedin.com/in/liviazingallilima/" TargetMode="External"/><Relationship Id="rId1555" Type="http://schemas.openxmlformats.org/officeDocument/2006/relationships/hyperlink" Target="https://universidade.pipelovers.net/m/lessons/demonstracoes-interativas-a-nova-forma-de-vender-saas1769552284845?classId=3254" TargetMode="External"/><Relationship Id="rId2402" Type="http://schemas.openxmlformats.org/officeDocument/2006/relationships/hyperlink" Target="https://universidade.pipelovers.net/m/lessons/campanhas-que-funcionam-no-inicio-do-ano1772542642119?classId=3749" TargetMode="External"/><Relationship Id="rId1556" Type="http://schemas.openxmlformats.org/officeDocument/2006/relationships/hyperlink" Target="https://universidade.pipelovers.net/m/lessons/demonstracoes-interativas-a-nova-forma-de-vender-saas1769552284845?classId=3254" TargetMode="External"/><Relationship Id="rId2403" Type="http://schemas.openxmlformats.org/officeDocument/2006/relationships/hyperlink" Target="https://universidade.pipelovers.net/m/lessons/campanhas-que-funcionam-no-inicio-do-ano1772542642119?classId=3749" TargetMode="External"/><Relationship Id="rId1557" Type="http://schemas.openxmlformats.org/officeDocument/2006/relationships/hyperlink" Target="https://universidade.pipelovers.net/m/lessons/o-impacto-de-social-media-na-construcao-de-marca1769552284985?classId=3255" TargetMode="External"/><Relationship Id="rId2404" Type="http://schemas.openxmlformats.org/officeDocument/2006/relationships/hyperlink" Target="https://www.linkedin.com/in/senhorvinicius/" TargetMode="External"/><Relationship Id="rId1558" Type="http://schemas.openxmlformats.org/officeDocument/2006/relationships/hyperlink" Target="https://universidade.pipelovers.net/m/lessons/o-impacto-de-social-media-na-construcao-de-marca1769552284985?classId=3255" TargetMode="External"/><Relationship Id="rId2405" Type="http://schemas.openxmlformats.org/officeDocument/2006/relationships/hyperlink" Target="https://universidade.pipelovers.net/m/lessons/boas-praticas-de-relacionamento-para-parcerias-duradouras1772542642031?classId=3747" TargetMode="External"/><Relationship Id="rId1559" Type="http://schemas.openxmlformats.org/officeDocument/2006/relationships/hyperlink" Target="https://universidade.pipelovers.net/m/lessons/automacoes-de-marketing-para-apoiar-vendas1769552284907?classId=3256" TargetMode="External"/><Relationship Id="rId2406" Type="http://schemas.openxmlformats.org/officeDocument/2006/relationships/hyperlink" Target="https://universidade.pipelovers.net/m/lessons/boas-praticas-de-relacionamento-para-parcerias-duradouras1772542642031?classId=3747" TargetMode="External"/><Relationship Id="rId2407" Type="http://schemas.openxmlformats.org/officeDocument/2006/relationships/hyperlink" Target="https://www.linkedin.com/in/mariana-gomes-magalh%C3%A3es/" TargetMode="External"/><Relationship Id="rId2408" Type="http://schemas.openxmlformats.org/officeDocument/2006/relationships/hyperlink" Target="https://universidade.pipelovers.net/m/lessons/onboarding-e-customer-success-do-parceiro1772542642829?classId=3765" TargetMode="External"/><Relationship Id="rId2409" Type="http://schemas.openxmlformats.org/officeDocument/2006/relationships/hyperlink" Target="https://universidade.pipelovers.net/m/lessons/onboarding-e-customer-success-do-parceiro1772542642829?classId=3765" TargetMode="External"/><Relationship Id="rId965" Type="http://schemas.openxmlformats.org/officeDocument/2006/relationships/hyperlink" Target="https://universidade.pipelovers.net/m/lessons/desafios-comerciais-do-interior1769552368611?classId=3652" TargetMode="External"/><Relationship Id="rId964" Type="http://schemas.openxmlformats.org/officeDocument/2006/relationships/hyperlink" Target="https://universidade.pipelovers.net/m/lessons/desafios-comerciais-do-interior1769552368611?classId=3652" TargetMode="External"/><Relationship Id="rId963" Type="http://schemas.openxmlformats.org/officeDocument/2006/relationships/hyperlink" Target="https://www.linkedin.com/in/jandreynogueira/" TargetMode="External"/><Relationship Id="rId962" Type="http://schemas.openxmlformats.org/officeDocument/2006/relationships/hyperlink" Target="https://drive.google.com/file/d/1pWIC9wAgARv5cMHcraPbzw7_0EsKI8Jx/view?usp=drive_link" TargetMode="External"/><Relationship Id="rId969" Type="http://schemas.openxmlformats.org/officeDocument/2006/relationships/hyperlink" Target="https://universidade.pipelovers.net/m/lessons/consistencia-em-resultados-como-ter-previsibilidade-para-bater-metas1769552368647?classId=3651" TargetMode="External"/><Relationship Id="rId968" Type="http://schemas.openxmlformats.org/officeDocument/2006/relationships/hyperlink" Target="https://universidade.pipelovers.net/m/lessons/consistencia-em-resultados-como-ter-previsibilidade-para-bater-metas1769552368647?classId=3651" TargetMode="External"/><Relationship Id="rId967" Type="http://schemas.openxmlformats.org/officeDocument/2006/relationships/hyperlink" Target="https://www.linkedin.com/in/henrique-carrer/" TargetMode="External"/><Relationship Id="rId966" Type="http://schemas.openxmlformats.org/officeDocument/2006/relationships/hyperlink" Target="https://drive.google.com/file/d/1kg6PpAmSi-6HAobs-ksYqT0wnisV4E4R/view?usp=drive_link" TargetMode="External"/><Relationship Id="rId961" Type="http://schemas.openxmlformats.org/officeDocument/2006/relationships/hyperlink" Target="https://universidade.pipelovers.net/m/lessons/rd-summit-2024-niveis-de-maturidade-em-vendas-b2b1769552060152?classId=3026" TargetMode="External"/><Relationship Id="rId1550" Type="http://schemas.openxmlformats.org/officeDocument/2006/relationships/hyperlink" Target="https://universidade.pipelovers.net/m/lessons/panorama-de-geracao-de-leads-no-brasil-by-leadster1769552284639?classId=3252" TargetMode="External"/><Relationship Id="rId960" Type="http://schemas.openxmlformats.org/officeDocument/2006/relationships/hyperlink" Target="https://universidade.pipelovers.net/m/lessons/rd-summit-2024-niveis-de-maturidade-em-vendas-b2b1769552060152?classId=3026" TargetMode="External"/><Relationship Id="rId1551" Type="http://schemas.openxmlformats.org/officeDocument/2006/relationships/hyperlink" Target="https://universidade.pipelovers.net/m/lessons/panorama-de-geracao-de-leads-no-brasil-by-leadster1769552284639?classId=3252" TargetMode="External"/><Relationship Id="rId1552" Type="http://schemas.openxmlformats.org/officeDocument/2006/relationships/hyperlink" Target="https://universidade.pipelovers.net/m/lessons/melhores-praticas-na-gestao-de-crm1769552284784?classId=3253" TargetMode="External"/><Relationship Id="rId1553" Type="http://schemas.openxmlformats.org/officeDocument/2006/relationships/hyperlink" Target="https://universidade.pipelovers.net/m/lessons/melhores-praticas-na-gestao-de-crm1769552284784?classId=3253" TargetMode="External"/><Relationship Id="rId2400" Type="http://schemas.openxmlformats.org/officeDocument/2006/relationships/hyperlink" Target="https://universidade.pipelovers.net/m/lessons/networking-estrategico-em-canais-como-ativar-e-expandir-sua-rede-de-parceiros1772542642782?classId=3764" TargetMode="External"/><Relationship Id="rId1543" Type="http://schemas.openxmlformats.org/officeDocument/2006/relationships/hyperlink" Target="https://universidade.pipelovers.net/m/lessons/rituais-para-gestao-de-gestores-o-papel-do-diretor-de-vendas1769552284440?classId=3248" TargetMode="External"/><Relationship Id="rId2874" Type="http://schemas.openxmlformats.org/officeDocument/2006/relationships/table" Target="../tables/table20.xml"/><Relationship Id="rId1544" Type="http://schemas.openxmlformats.org/officeDocument/2006/relationships/hyperlink" Target="https://universidade.pipelovers.net/m/lessons/como-mapear-a-jornada-de-compra-do-seu-cliente1769552284500?classId=3249" TargetMode="External"/><Relationship Id="rId2875" Type="http://schemas.openxmlformats.org/officeDocument/2006/relationships/table" Target="../tables/table21.xml"/><Relationship Id="rId1545" Type="http://schemas.openxmlformats.org/officeDocument/2006/relationships/hyperlink" Target="https://universidade.pipelovers.net/m/lessons/como-mapear-a-jornada-de-compra-do-seu-cliente1769552284500?classId=3249" TargetMode="External"/><Relationship Id="rId2876" Type="http://schemas.openxmlformats.org/officeDocument/2006/relationships/table" Target="../tables/table22.xml"/><Relationship Id="rId1546" Type="http://schemas.openxmlformats.org/officeDocument/2006/relationships/hyperlink" Target="https://universidade.pipelovers.net/m/lessons/melhores-praticas-de-onboarding-de-vendedores1769552284569?classId=3250" TargetMode="External"/><Relationship Id="rId2877" Type="http://schemas.openxmlformats.org/officeDocument/2006/relationships/table" Target="../tables/table23.xml"/><Relationship Id="rId1547" Type="http://schemas.openxmlformats.org/officeDocument/2006/relationships/hyperlink" Target="https://universidade.pipelovers.net/m/lessons/melhores-praticas-de-onboarding-de-vendedores1769552284569?classId=3250" TargetMode="External"/><Relationship Id="rId1548" Type="http://schemas.openxmlformats.org/officeDocument/2006/relationships/hyperlink" Target="https://universidade.pipelovers.net/m/lessons/automacao-de-whatsapp-para-leads-inbound1769552284714?classId=3251" TargetMode="External"/><Relationship Id="rId1549" Type="http://schemas.openxmlformats.org/officeDocument/2006/relationships/hyperlink" Target="https://universidade.pipelovers.net/m/lessons/automacao-de-whatsapp-para-leads-inbound1769552284714?classId=3251" TargetMode="External"/><Relationship Id="rId959" Type="http://schemas.openxmlformats.org/officeDocument/2006/relationships/hyperlink" Target="https://www.linkedin.com/in/gpagotto/" TargetMode="External"/><Relationship Id="rId954" Type="http://schemas.openxmlformats.org/officeDocument/2006/relationships/hyperlink" Target="https://drive.google.com/file/d/1HqVD6UyUuo7MVuJ_VX2964spNFyHPwhD/view?usp=drive_link" TargetMode="External"/><Relationship Id="rId953" Type="http://schemas.openxmlformats.org/officeDocument/2006/relationships/hyperlink" Target="https://universidade.pipelovers.net/m/lessons/mapeando-objecoes-como-antecipar-e-reduzir-resistencias1769552368499?classId=3654" TargetMode="External"/><Relationship Id="rId952" Type="http://schemas.openxmlformats.org/officeDocument/2006/relationships/hyperlink" Target="https://universidade.pipelovers.net/m/lessons/mapeando-objecoes-como-antecipar-e-reduzir-resistencias1769552368499?classId=3654" TargetMode="External"/><Relationship Id="rId951" Type="http://schemas.openxmlformats.org/officeDocument/2006/relationships/hyperlink" Target="https://www.linkedin.com/in/raphael-gonzalez-portugal-b723a7115/" TargetMode="External"/><Relationship Id="rId958" Type="http://schemas.openxmlformats.org/officeDocument/2006/relationships/hyperlink" Target="https://drive.google.com/file/d/1XK-iKq5Plh3j8SEPqoRSYVhkUuWfx0Hw/view?usp=drive_link" TargetMode="External"/><Relationship Id="rId957" Type="http://schemas.openxmlformats.org/officeDocument/2006/relationships/hyperlink" Target="https://universidade.pipelovers.net/m/lessons/como-se-preparar-para-suas-reunioes-comerciais-usando-ia1769552368528?classId=3653" TargetMode="External"/><Relationship Id="rId956" Type="http://schemas.openxmlformats.org/officeDocument/2006/relationships/hyperlink" Target="https://universidade.pipelovers.net/m/lessons/como-se-preparar-para-suas-reunioes-comerciais-usando-ia1769552368528?classId=3653" TargetMode="External"/><Relationship Id="rId955" Type="http://schemas.openxmlformats.org/officeDocument/2006/relationships/hyperlink" Target="https://www.linkedin.com/in/marcelohamu/" TargetMode="External"/><Relationship Id="rId950" Type="http://schemas.openxmlformats.org/officeDocument/2006/relationships/hyperlink" Target="https://drive.google.com/file/d/1uAH_Ni8q7A_TjwBt00BSDTOBIrF1G1Ln/view?usp=drive_link" TargetMode="External"/><Relationship Id="rId2870" Type="http://schemas.openxmlformats.org/officeDocument/2006/relationships/table" Target="../tables/table16.xml"/><Relationship Id="rId1540" Type="http://schemas.openxmlformats.org/officeDocument/2006/relationships/hyperlink" Target="https://universidade.pipelovers.net/aulas/como-mapear-a-cultura-de-seu-time-de-vendas-1775502888465" TargetMode="External"/><Relationship Id="rId2871" Type="http://schemas.openxmlformats.org/officeDocument/2006/relationships/table" Target="../tables/table17.xml"/><Relationship Id="rId1541" Type="http://schemas.openxmlformats.org/officeDocument/2006/relationships/hyperlink" Target="https://universidade.pipelovers.net/aulas/como-mapear-a-cultura-de-seu-time-de-vendas-1775502888465" TargetMode="External"/><Relationship Id="rId2872" Type="http://schemas.openxmlformats.org/officeDocument/2006/relationships/table" Target="../tables/table18.xml"/><Relationship Id="rId1542" Type="http://schemas.openxmlformats.org/officeDocument/2006/relationships/hyperlink" Target="https://universidade.pipelovers.net/m/lessons/rituais-para-gestao-de-gestores-o-papel-do-diretor-de-vendas1769552284440?classId=3248" TargetMode="External"/><Relationship Id="rId2873" Type="http://schemas.openxmlformats.org/officeDocument/2006/relationships/table" Target="../tables/table19.xml"/><Relationship Id="rId2027" Type="http://schemas.openxmlformats.org/officeDocument/2006/relationships/hyperlink" Target="https://drive.google.com/file/d/1Gy-r4iipUWTpy7l73PTNqT2Oax4_27qr/view?usp=drive_link" TargetMode="External"/><Relationship Id="rId2028" Type="http://schemas.openxmlformats.org/officeDocument/2006/relationships/hyperlink" Target="https://www.linkedin.com/in/alexandre-valle/" TargetMode="External"/><Relationship Id="rId2029" Type="http://schemas.openxmlformats.org/officeDocument/2006/relationships/hyperlink" Target="https://universidade.pipelovers.net/m/lessons/como-construir-um-planejamento-estrategico-para-area-de-canais1769552425730?classId=3382" TargetMode="External"/><Relationship Id="rId590" Type="http://schemas.openxmlformats.org/officeDocument/2006/relationships/hyperlink" Target="https://www.linkedin.com/in/matheus-gomes-dasilva/" TargetMode="External"/><Relationship Id="rId107" Type="http://schemas.openxmlformats.org/officeDocument/2006/relationships/hyperlink" Target="https://www.linkedin.com/in/-sergioalonso/" TargetMode="External"/><Relationship Id="rId106" Type="http://schemas.openxmlformats.org/officeDocument/2006/relationships/hyperlink" Target="https://universidade.pipelovers.net/m/lessons/relacionamento-marketing-pre-vendas1769552019140?classId=3395" TargetMode="External"/><Relationship Id="rId105" Type="http://schemas.openxmlformats.org/officeDocument/2006/relationships/hyperlink" Target="https://universidade.pipelovers.net/m/lessons/relacionamento-marketing-pre-vendas1769552019140?classId=3395" TargetMode="External"/><Relationship Id="rId589" Type="http://schemas.openxmlformats.org/officeDocument/2006/relationships/hyperlink" Target="https://universidade.pipelovers.net/m/lessons/a-impacto-da-saude-fisica-na-resiliencia-de-prospeccao-1789502318244?moduleId=1673&amp;classId=4608" TargetMode="External"/><Relationship Id="rId104" Type="http://schemas.openxmlformats.org/officeDocument/2006/relationships/hyperlink" Target="https://www.linkedin.com/in/amandadeepaula/" TargetMode="External"/><Relationship Id="rId588" Type="http://schemas.openxmlformats.org/officeDocument/2006/relationships/hyperlink" Target="https://www.linkedin.com/in/d%C3%A9bora-menezes-06241094/" TargetMode="External"/><Relationship Id="rId109" Type="http://schemas.openxmlformats.org/officeDocument/2006/relationships/hyperlink" Target="https://universidade.pipelovers.net/aulas/mensagem-de-prospeccao-que-convertem-1775074225062" TargetMode="External"/><Relationship Id="rId1170" Type="http://schemas.openxmlformats.org/officeDocument/2006/relationships/hyperlink" Target="https://universidade.pipelovers.net/m/lessons/metodologia-meddpicc-para-vendas-enterprise1769552397053?classId=3060" TargetMode="External"/><Relationship Id="rId108" Type="http://schemas.openxmlformats.org/officeDocument/2006/relationships/hyperlink" Target="https://universidade.pipelovers.net/aulas/mensagem-de-prospeccao-que-convertem-1775074225062" TargetMode="External"/><Relationship Id="rId1171" Type="http://schemas.openxmlformats.org/officeDocument/2006/relationships/hyperlink" Target="https://www.linkedin.com/in/felipe-engelhardt-de-carvalho/" TargetMode="External"/><Relationship Id="rId583" Type="http://schemas.openxmlformats.org/officeDocument/2006/relationships/hyperlink" Target="https://universidade.pipelovers.net/m/lessons/criando-discursos-de-prospeccao-para-novas-ofertas-1786047063655?moduleId=1584&amp;classId=4473" TargetMode="External"/><Relationship Id="rId1172" Type="http://schemas.openxmlformats.org/officeDocument/2006/relationships/hyperlink" Target="https://universidade.pipelovers.net/m/lessons/como-calcular-e-demonstrar-o-roi-para-o-cliente1769552397183?classId=3061" TargetMode="External"/><Relationship Id="rId582" Type="http://schemas.openxmlformats.org/officeDocument/2006/relationships/hyperlink" Target="https://www.linkedin.com/in/correamari/" TargetMode="External"/><Relationship Id="rId1173" Type="http://schemas.openxmlformats.org/officeDocument/2006/relationships/hyperlink" Target="https://universidade.pipelovers.net/m/lessons/como-calcular-e-demonstrar-o-roi-para-o-cliente1769552397183?classId=3061" TargetMode="External"/><Relationship Id="rId2020" Type="http://schemas.openxmlformats.org/officeDocument/2006/relationships/hyperlink" Target="https://drive.google.com/file/d/1KQ_j5SOB-E9SGPPIPN0FHipu1qO_mm-E/view?usp=drive_link" TargetMode="External"/><Relationship Id="rId581" Type="http://schemas.openxmlformats.org/officeDocument/2006/relationships/hyperlink" Target="https://universidade.pipelovers.net/m/lessons/ciclo-de-feedback-de-leads-entre-pre-vendas-e-marketing-1785353653280?moduleId=1576&amp;classId=4451" TargetMode="External"/><Relationship Id="rId1174" Type="http://schemas.openxmlformats.org/officeDocument/2006/relationships/hyperlink" Target="https://www.linkedin.com/in/bruna-nabais/" TargetMode="External"/><Relationship Id="rId2021" Type="http://schemas.openxmlformats.org/officeDocument/2006/relationships/hyperlink" Target="https://universidade.pipelovers.net/m/lessons/metodo-octo1769552425646?classId=3384" TargetMode="External"/><Relationship Id="rId580" Type="http://schemas.openxmlformats.org/officeDocument/2006/relationships/hyperlink" Target="https://universidade.pipelovers.net/m/lessons/ciclo-de-feedback-de-leads-entre-pre-vendas-e-marketing-1785353653280?moduleId=1576&amp;classId=4451" TargetMode="External"/><Relationship Id="rId1175" Type="http://schemas.openxmlformats.org/officeDocument/2006/relationships/hyperlink" Target="https://universidade.pipelovers.net/m/lessons/vendas-para-cliente-que-ja-deram-churn1769552397267?classId=3740" TargetMode="External"/><Relationship Id="rId2022" Type="http://schemas.openxmlformats.org/officeDocument/2006/relationships/hyperlink" Target="https://universidade.pipelovers.net/m/lessons/metodo-octo1769552425646?classId=3384" TargetMode="External"/><Relationship Id="rId103" Type="http://schemas.openxmlformats.org/officeDocument/2006/relationships/hyperlink" Target="https://universidade.pipelovers.net/m/lessons/como-ter-um-perfil-de-autoridade-no-linkedin1769552019091?classId=3396" TargetMode="External"/><Relationship Id="rId587" Type="http://schemas.openxmlformats.org/officeDocument/2006/relationships/hyperlink" Target="https://universidade.pipelovers.net/m/lessons/criando-credibilidade-em-poucos-segundos-em-ligacoes-1786046756616?moduleId=1583&amp;classId=4472" TargetMode="External"/><Relationship Id="rId1176" Type="http://schemas.openxmlformats.org/officeDocument/2006/relationships/hyperlink" Target="https://universidade.pipelovers.net/m/lessons/vendas-para-cliente-que-ja-deram-churn1769552397267?classId=3740" TargetMode="External"/><Relationship Id="rId2023" Type="http://schemas.openxmlformats.org/officeDocument/2006/relationships/hyperlink" Target="https://drive.google.com/file/d/1nGnnMahe_s0OzzhiXfDOhH5FEoN6MlXN/view?usp=drive_link" TargetMode="External"/><Relationship Id="rId102" Type="http://schemas.openxmlformats.org/officeDocument/2006/relationships/hyperlink" Target="https://universidade.pipelovers.net/m/lessons/como-ter-um-perfil-de-autoridade-no-linkedin1769552019091?classId=3396" TargetMode="External"/><Relationship Id="rId586" Type="http://schemas.openxmlformats.org/officeDocument/2006/relationships/hyperlink" Target="https://www.linkedin.com/in/anecarolineborba888/" TargetMode="External"/><Relationship Id="rId1177" Type="http://schemas.openxmlformats.org/officeDocument/2006/relationships/hyperlink" Target="https://www.linkedin.com/in/malavota/" TargetMode="External"/><Relationship Id="rId2024" Type="http://schemas.openxmlformats.org/officeDocument/2006/relationships/hyperlink" Target="https://www.linkedin.com/in/romucasp/" TargetMode="External"/><Relationship Id="rId101" Type="http://schemas.openxmlformats.org/officeDocument/2006/relationships/hyperlink" Target="https://www.linkedin.com/in/daniel-fidelis-ab8700159/" TargetMode="External"/><Relationship Id="rId585" Type="http://schemas.openxmlformats.org/officeDocument/2006/relationships/hyperlink" Target="https://universidade.pipelovers.net/m/lessons/reativacao-de-leads-com-base-historica-do-crm-1787066536167?moduleId=1591&amp;classId=4482" TargetMode="External"/><Relationship Id="rId1178" Type="http://schemas.openxmlformats.org/officeDocument/2006/relationships/hyperlink" Target="https://universidade.pipelovers.net/m/lessons/fluxo-de-cadencia-e-follow-up1772542642554?classId=3759" TargetMode="External"/><Relationship Id="rId2025" Type="http://schemas.openxmlformats.org/officeDocument/2006/relationships/hyperlink" Target="https://universidade.pipelovers.net/m/lessons/podcast-como-canal-de-engajamento-com-parceiros-e-clientes1769552425690?classId=3383" TargetMode="External"/><Relationship Id="rId100" Type="http://schemas.openxmlformats.org/officeDocument/2006/relationships/hyperlink" Target="https://universidade.pipelovers.net/m/lessons/autogestao-baseada-em-indicadores1769552019066?classId=3393" TargetMode="External"/><Relationship Id="rId584" Type="http://schemas.openxmlformats.org/officeDocument/2006/relationships/hyperlink" Target="https://www.linkedin.com/in/juliana-eloi/" TargetMode="External"/><Relationship Id="rId1179" Type="http://schemas.openxmlformats.org/officeDocument/2006/relationships/hyperlink" Target="https://universidade.pipelovers.net/m/lessons/fluxo-de-cadencia-e-follow-up1772542642554?classId=3759" TargetMode="External"/><Relationship Id="rId2026" Type="http://schemas.openxmlformats.org/officeDocument/2006/relationships/hyperlink" Target="https://universidade.pipelovers.net/m/lessons/podcast-como-canal-de-engajamento-com-parceiros-e-clientes1769552425690?classId=3383" TargetMode="External"/><Relationship Id="rId1169" Type="http://schemas.openxmlformats.org/officeDocument/2006/relationships/hyperlink" Target="https://universidade.pipelovers.net/m/lessons/metodologia-meddpicc-para-vendas-enterprise1769552397053?classId=3060" TargetMode="External"/><Relationship Id="rId2016" Type="http://schemas.openxmlformats.org/officeDocument/2006/relationships/hyperlink" Target="https://drive.google.com/file/d/1mIsnyzlFpS9SPwkijHks_ODVNY84hc6B/view?usp=drive_link" TargetMode="External"/><Relationship Id="rId2017" Type="http://schemas.openxmlformats.org/officeDocument/2006/relationships/hyperlink" Target="https://www.linkedin.com/in/gpagotto/" TargetMode="External"/><Relationship Id="rId2018" Type="http://schemas.openxmlformats.org/officeDocument/2006/relationships/hyperlink" Target="https://universidade.pipelovers.net/m/lessons/palestra-rd-summit-20231769552039345?classId=3108" TargetMode="External"/><Relationship Id="rId2019" Type="http://schemas.openxmlformats.org/officeDocument/2006/relationships/hyperlink" Target="https://universidade.pipelovers.net/m/lessons/palestra-rd-summit-20231769552039345?classId=3108" TargetMode="External"/><Relationship Id="rId579" Type="http://schemas.openxmlformats.org/officeDocument/2006/relationships/hyperlink" Target="https://www.linkedin.com/in/leandroamarante/" TargetMode="External"/><Relationship Id="rId578" Type="http://schemas.openxmlformats.org/officeDocument/2006/relationships/hyperlink" Target="https://universidade.pipelovers.net/m/lessons/quantificando-a-dor-do-cliente-durante-a-prospeccao-1784053402102?moduleId=1513&amp;classId=4212" TargetMode="External"/><Relationship Id="rId577" Type="http://schemas.openxmlformats.org/officeDocument/2006/relationships/hyperlink" Target="https://www.linkedin.com/in/antoniomarcosj/" TargetMode="External"/><Relationship Id="rId2490" Type="http://schemas.openxmlformats.org/officeDocument/2006/relationships/hyperlink" Target="https://universidade.pipelovers.net/m/lessons/crm-como-aliado-e-nao-como-inimigo1769550039731?classId=3301" TargetMode="External"/><Relationship Id="rId1160" Type="http://schemas.openxmlformats.org/officeDocument/2006/relationships/hyperlink" Target="https://www.linkedin.com/in/felipedecarvalho1982/" TargetMode="External"/><Relationship Id="rId2491" Type="http://schemas.openxmlformats.org/officeDocument/2006/relationships/hyperlink" Target="https://www.linkedin.com/in/igorbatista/" TargetMode="External"/><Relationship Id="rId572" Type="http://schemas.openxmlformats.org/officeDocument/2006/relationships/hyperlink" Target="https://universidade.pipelovers.net/m/lessons/sdr-copiloto-de-ia-papeis-e-responsabilidades-1783098572036" TargetMode="External"/><Relationship Id="rId1161" Type="http://schemas.openxmlformats.org/officeDocument/2006/relationships/hyperlink" Target="https://universidade.pipelovers.net/m/lessons/identificando-seus-pontos-fortes-e-fracos-em-vendas1769552396894?classId=3058" TargetMode="External"/><Relationship Id="rId2492" Type="http://schemas.openxmlformats.org/officeDocument/2006/relationships/hyperlink" Target="https://universidade.pipelovers.net/m/lessons/como-vender-para-diferentes-perfis-comportamentais-disc1769550039702?classId=3723" TargetMode="External"/><Relationship Id="rId571" Type="http://schemas.openxmlformats.org/officeDocument/2006/relationships/hyperlink" Target="https://universidade.pipelovers.net/m/lessons/sdr-copiloto-de-ia-papeis-e-responsabilidades-1783098572036" TargetMode="External"/><Relationship Id="rId1162" Type="http://schemas.openxmlformats.org/officeDocument/2006/relationships/hyperlink" Target="https://universidade.pipelovers.net/m/lessons/identificando-seus-pontos-fortes-e-fracos-em-vendas1769552396894?classId=3058" TargetMode="External"/><Relationship Id="rId2493" Type="http://schemas.openxmlformats.org/officeDocument/2006/relationships/hyperlink" Target="https://universidade.pipelovers.net/m/lessons/como-vender-para-diferentes-perfis-comportamentais-disc1769550039702?classId=3723" TargetMode="External"/><Relationship Id="rId570" Type="http://schemas.openxmlformats.org/officeDocument/2006/relationships/hyperlink" Target="https://www.linkedin.com/in/andreialimaa/" TargetMode="External"/><Relationship Id="rId1163" Type="http://schemas.openxmlformats.org/officeDocument/2006/relationships/hyperlink" Target="https://drive.google.com/file/d/1fWXjNiJz7POGbjrDoR-aILxj9hDtyLVX/view?usp=drive_link" TargetMode="External"/><Relationship Id="rId2010" Type="http://schemas.openxmlformats.org/officeDocument/2006/relationships/hyperlink" Target="https://universidade.pipelovers.net/m/lessons/a-evolucao-dos-modelos-de-canais-indiretos-no-mundo-digital1769552419444?classId=3374" TargetMode="External"/><Relationship Id="rId2494" Type="http://schemas.openxmlformats.org/officeDocument/2006/relationships/hyperlink" Target="https://www.linkedin.com/in/maucirnascimento/" TargetMode="External"/><Relationship Id="rId1164" Type="http://schemas.openxmlformats.org/officeDocument/2006/relationships/hyperlink" Target="https://www.linkedin.com/in/leonardcastro/" TargetMode="External"/><Relationship Id="rId2011" Type="http://schemas.openxmlformats.org/officeDocument/2006/relationships/hyperlink" Target="https://universidade.pipelovers.net/m/lessons/a-evolucao-dos-modelos-de-canais-indiretos-no-mundo-digital1769552419444?classId=3374" TargetMode="External"/><Relationship Id="rId2495" Type="http://schemas.openxmlformats.org/officeDocument/2006/relationships/hyperlink" Target="https://universidade.pipelovers.net/aulas/trafego-pago-com-vendas-sem-blah-blah-blah-1775814611965" TargetMode="External"/><Relationship Id="rId576" Type="http://schemas.openxmlformats.org/officeDocument/2006/relationships/hyperlink" Target="https://universidade.pipelovers.net/m/lessons/como-sdrs-negociam-atencao-informacao-e-proximos-passos-antes-da-oportunidade-1785352612441?moduleId=1575&amp;classId=4450" TargetMode="External"/><Relationship Id="rId1165" Type="http://schemas.openxmlformats.org/officeDocument/2006/relationships/hyperlink" Target="https://universidade.pipelovers.net/m/lessons/inteligencia-de-mercado-aprendendo-com-a-concorrencia1769552396981?classId=3059" TargetMode="External"/><Relationship Id="rId2012" Type="http://schemas.openxmlformats.org/officeDocument/2006/relationships/hyperlink" Target="https://drive.google.com/file/d/19CCVR0AdP3xxMhJOAweroZBxhPCl0i1X/view?usp=drive_link" TargetMode="External"/><Relationship Id="rId2496" Type="http://schemas.openxmlformats.org/officeDocument/2006/relationships/hyperlink" Target="https://universidade.pipelovers.net/aulas/trafego-pago-com-vendas-sem-blah-blah-blah-1775814611965" TargetMode="External"/><Relationship Id="rId575" Type="http://schemas.openxmlformats.org/officeDocument/2006/relationships/hyperlink" Target="https://www.linkedin.com/in/matheus-gomes-dasilva/" TargetMode="External"/><Relationship Id="rId1166" Type="http://schemas.openxmlformats.org/officeDocument/2006/relationships/hyperlink" Target="https://universidade.pipelovers.net/m/lessons/inteligencia-de-mercado-aprendendo-com-a-concorrencia1769552396981?classId=3059" TargetMode="External"/><Relationship Id="rId2013" Type="http://schemas.openxmlformats.org/officeDocument/2006/relationships/hyperlink" Target="https://www.linkedin.com/in/luiholleben/" TargetMode="External"/><Relationship Id="rId2497" Type="http://schemas.openxmlformats.org/officeDocument/2006/relationships/hyperlink" Target="https://linkedin.com/in/RonaldoNunes" TargetMode="External"/><Relationship Id="rId574" Type="http://schemas.openxmlformats.org/officeDocument/2006/relationships/hyperlink" Target="https://universidade.pipelovers.net/m/lessons/10-passos-para-uma-cold-call-eficiente-1784052575247?moduleId=1512&amp;classId=4211" TargetMode="External"/><Relationship Id="rId1167" Type="http://schemas.openxmlformats.org/officeDocument/2006/relationships/hyperlink" Target="https://drive.google.com/file/d/1aRPgM9lQXhGTGnQX6KEEdBd_DhweEW-d/view?usp=drive_link" TargetMode="External"/><Relationship Id="rId2014" Type="http://schemas.openxmlformats.org/officeDocument/2006/relationships/hyperlink" Target="https://universidade.pipelovers.net/m/lessons/estrategias-de-customer-success-para-parceiros1769552419494?classId=3373" TargetMode="External"/><Relationship Id="rId2498" Type="http://schemas.openxmlformats.org/officeDocument/2006/relationships/hyperlink" Target="https://universidade.pipelovers.net/m/lessons/negociacao-faixa-preta-tecnicas-e-habilidades-para-vender-mais-e-superar-os-desafios-atuais1769550039490?classId=3725" TargetMode="External"/><Relationship Id="rId573" Type="http://schemas.openxmlformats.org/officeDocument/2006/relationships/hyperlink" Target="https://www.linkedin.com/in/daiana-soares-970702142/" TargetMode="External"/><Relationship Id="rId1168" Type="http://schemas.openxmlformats.org/officeDocument/2006/relationships/hyperlink" Target="https://www.linkedin.com/in/venturinilucas/" TargetMode="External"/><Relationship Id="rId2015" Type="http://schemas.openxmlformats.org/officeDocument/2006/relationships/hyperlink" Target="https://universidade.pipelovers.net/m/lessons/estrategias-de-customer-success-para-parceiros1769552419494?classId=3373" TargetMode="External"/><Relationship Id="rId2499" Type="http://schemas.openxmlformats.org/officeDocument/2006/relationships/hyperlink" Target="https://universidade.pipelovers.net/m/lessons/negociacao-faixa-preta-tecnicas-e-habilidades-para-vender-mais-e-superar-os-desafios-atuais1769550039490?classId=3725" TargetMode="External"/><Relationship Id="rId2049" Type="http://schemas.openxmlformats.org/officeDocument/2006/relationships/hyperlink" Target="https://universidade.pipelovers.net/m/lessons/salesforce-trailhead-um-ecossistema-de-enablement1769552425938?classId=3077" TargetMode="External"/><Relationship Id="rId129" Type="http://schemas.openxmlformats.org/officeDocument/2006/relationships/hyperlink" Target="https://universidade.pipelovers.net/m/lessons/como-seu-lider-pode-te-ajudar-a-ter-sucesso1769552019399?classId=3427" TargetMode="External"/><Relationship Id="rId128" Type="http://schemas.openxmlformats.org/officeDocument/2006/relationships/hyperlink" Target="https://www.linkedin.com/in/marcelobaratella/" TargetMode="External"/><Relationship Id="rId127" Type="http://schemas.openxmlformats.org/officeDocument/2006/relationships/hyperlink" Target="https://universidade.pipelovers.net/m/lessons/comunicacao-nao-violenta-em-conversas-dificeis1769552019374?classId=3424" TargetMode="External"/><Relationship Id="rId126" Type="http://schemas.openxmlformats.org/officeDocument/2006/relationships/hyperlink" Target="https://universidade.pipelovers.net/m/lessons/comunicacao-nao-violenta-em-conversas-dificeis1769552019374?classId=3424" TargetMode="External"/><Relationship Id="rId1190" Type="http://schemas.openxmlformats.org/officeDocument/2006/relationships/hyperlink" Target="https://universidade.pipelovers.net/m/lessons/como-a-presenca-digital-impulsiona-a-performance-dos-vendedores1772542642086?classId=3748" TargetMode="External"/><Relationship Id="rId1191" Type="http://schemas.openxmlformats.org/officeDocument/2006/relationships/hyperlink" Target="https://universidade.pipelovers.net/m/lessons/como-a-presenca-digital-impulsiona-a-performance-dos-vendedores1772542642086?classId=3748" TargetMode="External"/><Relationship Id="rId1192" Type="http://schemas.openxmlformats.org/officeDocument/2006/relationships/hyperlink" Target="https://www.linkedin.com/in/victor-sperli/" TargetMode="External"/><Relationship Id="rId1193" Type="http://schemas.openxmlformats.org/officeDocument/2006/relationships/hyperlink" Target="https://universidade.pipelovers.net/m/lessons/como-conduzir-vendas-de-solucoes-complexas1772542642158?classId=3750" TargetMode="External"/><Relationship Id="rId2040" Type="http://schemas.openxmlformats.org/officeDocument/2006/relationships/hyperlink" Target="https://www.linkedin.com/in/paulomadu/" TargetMode="External"/><Relationship Id="rId121" Type="http://schemas.openxmlformats.org/officeDocument/2006/relationships/hyperlink" Target="https://universidade.pipelovers.net/m/lessons/inteligencia-artificial-aplicada-a-prospeccao1769552019309?classId=3422" TargetMode="External"/><Relationship Id="rId1194" Type="http://schemas.openxmlformats.org/officeDocument/2006/relationships/hyperlink" Target="https://universidade.pipelovers.net/m/lessons/como-conduzir-vendas-de-solucoes-complexas1772542642158?classId=3750" TargetMode="External"/><Relationship Id="rId2041" Type="http://schemas.openxmlformats.org/officeDocument/2006/relationships/hyperlink" Target="https://universidade.pipelovers.net/m/lessons/gestao-de-parcerias-em-marketplaces1769552425789?classId=3073" TargetMode="External"/><Relationship Id="rId120" Type="http://schemas.openxmlformats.org/officeDocument/2006/relationships/hyperlink" Target="https://universidade.pipelovers.net/m/lessons/inteligencia-artificial-aplicada-a-prospeccao1769552019309?classId=3422" TargetMode="External"/><Relationship Id="rId1195" Type="http://schemas.openxmlformats.org/officeDocument/2006/relationships/hyperlink" Target="https://www.linkedin.com/in/marcieli-pachecco-b9a7871bb/" TargetMode="External"/><Relationship Id="rId2042" Type="http://schemas.openxmlformats.org/officeDocument/2006/relationships/hyperlink" Target="https://universidade.pipelovers.net/m/lessons/gestao-de-parcerias-em-marketplaces1769552425789?classId=3073" TargetMode="External"/><Relationship Id="rId1196" Type="http://schemas.openxmlformats.org/officeDocument/2006/relationships/hyperlink" Target="https://universidade.pipelovers.net/m/lessons/linguagem-corporal-na-pratica-tecnica-intencao-e-confianca-1771879667022?classId=3816" TargetMode="External"/><Relationship Id="rId2043" Type="http://schemas.openxmlformats.org/officeDocument/2006/relationships/hyperlink" Target="https://drive.google.com/file/d/1HT-Tm0TyD9ij6rXIMQJfoUkyZKB2-sL6/view?usp=drive_link" TargetMode="External"/><Relationship Id="rId1197" Type="http://schemas.openxmlformats.org/officeDocument/2006/relationships/hyperlink" Target="https://universidade.pipelovers.net/m/lessons/linguagem-corporal-na-pratica-tecnica-intencao-e-confianca-1771879667022?classId=3816" TargetMode="External"/><Relationship Id="rId2044" Type="http://schemas.openxmlformats.org/officeDocument/2006/relationships/hyperlink" Target="https://www.linkedin.com/in/thiagopassosletra/" TargetMode="External"/><Relationship Id="rId125" Type="http://schemas.openxmlformats.org/officeDocument/2006/relationships/hyperlink" Target="https://www.linkedin.com/in/cindycarbonari/" TargetMode="External"/><Relationship Id="rId1198" Type="http://schemas.openxmlformats.org/officeDocument/2006/relationships/hyperlink" Target="https://www.linkedin.com/in/matheusalencarcosta/" TargetMode="External"/><Relationship Id="rId2045" Type="http://schemas.openxmlformats.org/officeDocument/2006/relationships/hyperlink" Target="https://universidade.pipelovers.net/m/lessons/construcao-de-ofertas-de-valor-agregado-com-parceiros1769552425875?classId=3076" TargetMode="External"/><Relationship Id="rId124" Type="http://schemas.openxmlformats.org/officeDocument/2006/relationships/hyperlink" Target="https://universidade.pipelovers.net/m/lessons/aprendizado-baseado-em-projetos1769552019347?classId=3423" TargetMode="External"/><Relationship Id="rId1199" Type="http://schemas.openxmlformats.org/officeDocument/2006/relationships/hyperlink" Target="https://universidade.pipelovers.net/m/lessons/como-vender-tecnologia-e-inovacao-para-o-setor-publico-1773692216685?classId=3821" TargetMode="External"/><Relationship Id="rId2046" Type="http://schemas.openxmlformats.org/officeDocument/2006/relationships/hyperlink" Target="https://universidade.pipelovers.net/m/lessons/construcao-de-ofertas-de-valor-agregado-com-parceiros1769552425875?classId=3076" TargetMode="External"/><Relationship Id="rId123" Type="http://schemas.openxmlformats.org/officeDocument/2006/relationships/hyperlink" Target="https://universidade.pipelovers.net/m/lessons/aprendizado-baseado-em-projetos1769552019347?classId=3423" TargetMode="External"/><Relationship Id="rId2047" Type="http://schemas.openxmlformats.org/officeDocument/2006/relationships/hyperlink" Target="https://drive.google.com/file/d/1sWwu60Daajo8Raxs47WED1lKndsCYjHs/view?usp=drive_link" TargetMode="External"/><Relationship Id="rId122" Type="http://schemas.openxmlformats.org/officeDocument/2006/relationships/hyperlink" Target="https://www.linkedin.com/in/jaymepereira/" TargetMode="External"/><Relationship Id="rId2048" Type="http://schemas.openxmlformats.org/officeDocument/2006/relationships/hyperlink" Target="https://www.linkedin.com/in/mauricioschorsch/" TargetMode="External"/><Relationship Id="rId2038" Type="http://schemas.openxmlformats.org/officeDocument/2006/relationships/hyperlink" Target="https://universidade.pipelovers.net/m/lessons/validacao-de-novos-modelos-de-parcerias1769552425848?classId=3071" TargetMode="External"/><Relationship Id="rId2039" Type="http://schemas.openxmlformats.org/officeDocument/2006/relationships/hyperlink" Target="https://drive.google.com/file/d/18ofSnmUoWT4HJnXL6QsSgne31uBO-mB8/view?usp=drive_link" TargetMode="External"/><Relationship Id="rId118" Type="http://schemas.openxmlformats.org/officeDocument/2006/relationships/hyperlink" Target="https://universidade.pipelovers.net/m/lessons/lideranca-pelo-exemplo-como-ser-a-referencia-para-o-time1769552019284?classId=3405" TargetMode="External"/><Relationship Id="rId117" Type="http://schemas.openxmlformats.org/officeDocument/2006/relationships/hyperlink" Target="https://universidade.pipelovers.net/m/lessons/lideranca-pelo-exemplo-como-ser-a-referencia-para-o-time1769552019284?classId=3405" TargetMode="External"/><Relationship Id="rId116" Type="http://schemas.openxmlformats.org/officeDocument/2006/relationships/hyperlink" Target="https://www.linkedin.com/in/helo%C3%ADsa-kinal-99aa2952/" TargetMode="External"/><Relationship Id="rId115" Type="http://schemas.openxmlformats.org/officeDocument/2006/relationships/hyperlink" Target="https://universidade.pipelovers.net/m/lessons/relacionamento-executivo-de-vendas-pre-vendas1769552019257?classId=3401" TargetMode="External"/><Relationship Id="rId599" Type="http://schemas.openxmlformats.org/officeDocument/2006/relationships/hyperlink" Target="https://www.linkedin.com/in/thiago-reis-/" TargetMode="External"/><Relationship Id="rId1180" Type="http://schemas.openxmlformats.org/officeDocument/2006/relationships/hyperlink" Target="https://www.linkedin.com/in/julianamilton/" TargetMode="External"/><Relationship Id="rId1181" Type="http://schemas.openxmlformats.org/officeDocument/2006/relationships/hyperlink" Target="https://universidade.pipelovers.net/m/lessons/vendedores-felizes-vendem-mais1772542662184?classId=3773" TargetMode="External"/><Relationship Id="rId119" Type="http://schemas.openxmlformats.org/officeDocument/2006/relationships/hyperlink" Target="https://www.linkedin.com/in/igorbatista/" TargetMode="External"/><Relationship Id="rId1182" Type="http://schemas.openxmlformats.org/officeDocument/2006/relationships/hyperlink" Target="https://universidade.pipelovers.net/m/lessons/vendedores-felizes-vendem-mais1772542662184?classId=3773" TargetMode="External"/><Relationship Id="rId110" Type="http://schemas.openxmlformats.org/officeDocument/2006/relationships/hyperlink" Target="https://www.linkedin.com/in/leonardo-s-3552b21a9/" TargetMode="External"/><Relationship Id="rId594" Type="http://schemas.openxmlformats.org/officeDocument/2006/relationships/hyperlink" Target="https://www.linkedin.com/in/anecarolineborba888/" TargetMode="External"/><Relationship Id="rId1183" Type="http://schemas.openxmlformats.org/officeDocument/2006/relationships/hyperlink" Target="https://www.linkedin.com/in/rodrigo-maia-theodoro-dos-santos-59357532/?utm_source=share&amp;utm_campaign=share_via&amp;utm_content=profile&amp;utm_medium=ios_app" TargetMode="External"/><Relationship Id="rId2030" Type="http://schemas.openxmlformats.org/officeDocument/2006/relationships/hyperlink" Target="https://universidade.pipelovers.net/m/lessons/como-construir-um-planejamento-estrategico-para-area-de-canais1769552425730?classId=3382" TargetMode="External"/><Relationship Id="rId593" Type="http://schemas.openxmlformats.org/officeDocument/2006/relationships/hyperlink" Target="https://universidade.pipelovers.net/m/lessons/definicao-do-perfil-ideal-de-contato-na-prospeccao-1789157237371?moduleId=1661&amp;classId=4597" TargetMode="External"/><Relationship Id="rId1184" Type="http://schemas.openxmlformats.org/officeDocument/2006/relationships/hyperlink" Target="https://universidade.pipelovers.net/m/lessons/venda-com-clareza-storytelling-e-argumentacao-para-executivos-de-vendas1772542662067?classId=3771" TargetMode="External"/><Relationship Id="rId2031" Type="http://schemas.openxmlformats.org/officeDocument/2006/relationships/hyperlink" Target="https://drive.google.com/file/d/1J_WYZoaBp87Lw0e-9xd142PTL2z1H2DC/view?usp=drive_link" TargetMode="External"/><Relationship Id="rId592" Type="http://schemas.openxmlformats.org/officeDocument/2006/relationships/hyperlink" Target="https://www.linkedin.com/in/d%C3%A9bora-menezes-06241094/" TargetMode="External"/><Relationship Id="rId1185" Type="http://schemas.openxmlformats.org/officeDocument/2006/relationships/hyperlink" Target="https://universidade.pipelovers.net/m/lessons/venda-com-clareza-storytelling-e-argumentacao-para-executivos-de-vendas1772542662067?classId=3771" TargetMode="External"/><Relationship Id="rId2032" Type="http://schemas.openxmlformats.org/officeDocument/2006/relationships/hyperlink" Target="https://www.linkedin.com/in/ligiaalface/" TargetMode="External"/><Relationship Id="rId591" Type="http://schemas.openxmlformats.org/officeDocument/2006/relationships/hyperlink" Target="https://universidade.pipelovers.net/m/lessons/tecnicas-de-qualificacao-por-whatsapp-e-e-mail-1789502329420?moduleId=1674&amp;classId=4609" TargetMode="External"/><Relationship Id="rId1186" Type="http://schemas.openxmlformats.org/officeDocument/2006/relationships/hyperlink" Target="https://www.linkedin.com/in/alinecgomes/" TargetMode="External"/><Relationship Id="rId2033" Type="http://schemas.openxmlformats.org/officeDocument/2006/relationships/hyperlink" Target="https://universidade.pipelovers.net/m/lessons/papeis-e-responsabilidades-do-partner-account-manager1769552425761?classId=3381" TargetMode="External"/><Relationship Id="rId114" Type="http://schemas.openxmlformats.org/officeDocument/2006/relationships/hyperlink" Target="https://universidade.pipelovers.net/m/lessons/relacionamento-executivo-de-vendas-pre-vendas1769552019257?classId=3401" TargetMode="External"/><Relationship Id="rId598" Type="http://schemas.openxmlformats.org/officeDocument/2006/relationships/hyperlink" Target="https://universidade.pipelovers.net/m/lessons/elaborando-um-pdi-para-melhorar-metricas-de-produtividade-1789502336839?moduleId=1675&amp;classId=4610" TargetMode="External"/><Relationship Id="rId1187" Type="http://schemas.openxmlformats.org/officeDocument/2006/relationships/hyperlink" Target="https://universidade.pipelovers.net/m/lessons/como-pedir-e-receber-feedbacks-para-acelerar-seu-crescimento1772542642277?classId=3752" TargetMode="External"/><Relationship Id="rId2034" Type="http://schemas.openxmlformats.org/officeDocument/2006/relationships/hyperlink" Target="https://universidade.pipelovers.net/m/lessons/papeis-e-responsabilidades-do-partner-account-manager1769552425761?classId=3381" TargetMode="External"/><Relationship Id="rId113" Type="http://schemas.openxmlformats.org/officeDocument/2006/relationships/hyperlink" Target="https://www.linkedin.com/in/rodrigosaretto/" TargetMode="External"/><Relationship Id="rId597" Type="http://schemas.openxmlformats.org/officeDocument/2006/relationships/hyperlink" Target="https://universidade.pipelovers.net/m/lessons/elaborando-um-pdi-para-melhorar-metricas-de-produtividade-1789502336839?moduleId=1675&amp;classId=4610" TargetMode="External"/><Relationship Id="rId1188" Type="http://schemas.openxmlformats.org/officeDocument/2006/relationships/hyperlink" Target="https://universidade.pipelovers.net/m/lessons/como-pedir-e-receber-feedbacks-para-acelerar-seu-crescimento1772542642277?classId=3752" TargetMode="External"/><Relationship Id="rId2035" Type="http://schemas.openxmlformats.org/officeDocument/2006/relationships/hyperlink" Target="https://drive.google.com/file/d/1XtULLg5o2_DPM77WArI45XapL_XtO4qi/view?usp=drive_link" TargetMode="External"/><Relationship Id="rId112" Type="http://schemas.openxmlformats.org/officeDocument/2006/relationships/hyperlink" Target="https://universidade.pipelovers.net/aulas/como-autoconhecimento-e-inteligencia-emocional-te-ajudam-a-vender-mais--1775681110809" TargetMode="External"/><Relationship Id="rId596" Type="http://schemas.openxmlformats.org/officeDocument/2006/relationships/hyperlink" Target="https://www.linkedin.com/in/gabriela5oliveira/" TargetMode="External"/><Relationship Id="rId1189" Type="http://schemas.openxmlformats.org/officeDocument/2006/relationships/hyperlink" Target="https://www.linkedin.com/in/marketeiroconfesso/" TargetMode="External"/><Relationship Id="rId2036" Type="http://schemas.openxmlformats.org/officeDocument/2006/relationships/hyperlink" Target="https://www.linkedin.com/in/s-souzavinicius/" TargetMode="External"/><Relationship Id="rId111" Type="http://schemas.openxmlformats.org/officeDocument/2006/relationships/hyperlink" Target="https://universidade.pipelovers.net/aulas/como-autoconhecimento-e-inteligencia-emocional-te-ajudam-a-vender-mais--1775681110809" TargetMode="External"/><Relationship Id="rId595" Type="http://schemas.openxmlformats.org/officeDocument/2006/relationships/hyperlink" Target="https://universidade.pipelovers.net/m/lessons/tecnicas-de-cold-call-para-prospeccao-ativa-1791468975221?moduleId=1730&amp;classId=4815" TargetMode="External"/><Relationship Id="rId2037" Type="http://schemas.openxmlformats.org/officeDocument/2006/relationships/hyperlink" Target="https://universidade.pipelovers.net/m/lessons/validacao-de-novos-modelos-de-parcerias1769552425848?classId=3071" TargetMode="External"/><Relationship Id="rId1136" Type="http://schemas.openxmlformats.org/officeDocument/2006/relationships/hyperlink" Target="https://www.linkedin.com/in/moavianna/" TargetMode="External"/><Relationship Id="rId2467" Type="http://schemas.openxmlformats.org/officeDocument/2006/relationships/hyperlink" Target="https://universidade.pipelovers.net/m/lessons/como-estruturar-uma-estrategia-de-prospeccao-de-parceiros-que-gera-resultados-1783085692519?moduleId=1526&amp;classId=4227" TargetMode="External"/><Relationship Id="rId1137" Type="http://schemas.openxmlformats.org/officeDocument/2006/relationships/hyperlink" Target="https://universidade.pipelovers.net/m/lessons/criacao-de-novos-discursos-de-vendas1769552396435?classId=3052" TargetMode="External"/><Relationship Id="rId2468" Type="http://schemas.openxmlformats.org/officeDocument/2006/relationships/hyperlink" Target="https://www.linkedin.com/in/elaine-guzzo-ba08078b/" TargetMode="External"/><Relationship Id="rId1138" Type="http://schemas.openxmlformats.org/officeDocument/2006/relationships/hyperlink" Target="https://universidade.pipelovers.net/m/lessons/criacao-de-novos-discursos-de-vendas1769552396435?classId=3052" TargetMode="External"/><Relationship Id="rId2469" Type="http://schemas.openxmlformats.org/officeDocument/2006/relationships/hyperlink" Target="https://universidade.pipelovers.net/m/lessons/case-cimed-como-construiram-um-time-de-representantes-de-alta-performance-1783100217231?moduleId=1525&amp;classId=4226" TargetMode="External"/><Relationship Id="rId1139" Type="http://schemas.openxmlformats.org/officeDocument/2006/relationships/hyperlink" Target="https://drive.google.com/file/d/1LYxm9iuDEXfE44QSmiHMXpiNlUXOhdLu/view?usp=drive_link" TargetMode="External"/><Relationship Id="rId547" Type="http://schemas.openxmlformats.org/officeDocument/2006/relationships/hyperlink" Target="https://universidade.pipelovers.net/m/lessons/transformando-a-rejeicao-em-aprendizado-1778517929015?classId=3995" TargetMode="External"/><Relationship Id="rId546" Type="http://schemas.openxmlformats.org/officeDocument/2006/relationships/hyperlink" Target="https://www.linkedin.com/in/j%C3%BAlia-castro/" TargetMode="External"/><Relationship Id="rId545" Type="http://schemas.openxmlformats.org/officeDocument/2006/relationships/hyperlink" Target="https://universidade.pipelovers.net/m/lessons/como-conduzir-conversas-dificeis-com-os-leads-1775655519075?classId=3914" TargetMode="External"/><Relationship Id="rId544" Type="http://schemas.openxmlformats.org/officeDocument/2006/relationships/hyperlink" Target="https://universidade.pipelovers.net/m/lessons/como-conduzir-conversas-dificeis-com-os-leads-1775655519075?classId=3914" TargetMode="External"/><Relationship Id="rId549" Type="http://schemas.openxmlformats.org/officeDocument/2006/relationships/hyperlink" Target="https://www.linkedin.com/in/ana-carolina-costa-440246ba/" TargetMode="External"/><Relationship Id="rId548" Type="http://schemas.openxmlformats.org/officeDocument/2006/relationships/hyperlink" Target="https://universidade.pipelovers.net/m/lessons/transformando-a-rejeicao-em-aprendizado-1778517929015?classId=3995" TargetMode="External"/><Relationship Id="rId2460" Type="http://schemas.openxmlformats.org/officeDocument/2006/relationships/hyperlink" Target="https://universidade.pipelovers.net/m/lessons/como-planejar-a-entrada-em-novos-mercados-via-canais-1778865833832?moduleId=1417&amp;classId=4003" TargetMode="External"/><Relationship Id="rId1130" Type="http://schemas.openxmlformats.org/officeDocument/2006/relationships/hyperlink" Target="https://universidade.pipelovers.net/m/lessons/antes-do-pitch-como-usar-o-contexto-do-lead-pra-abrir-portas1769552389083?classId=3050" TargetMode="External"/><Relationship Id="rId2461" Type="http://schemas.openxmlformats.org/officeDocument/2006/relationships/hyperlink" Target="https://www.linkedin.com/in/valerio-ricardo-budke/" TargetMode="External"/><Relationship Id="rId1131" Type="http://schemas.openxmlformats.org/officeDocument/2006/relationships/hyperlink" Target="https://drive.google.com/file/d/1iVl9br9WpO8_6TVmmzQQvkI9IMbcQ36E/view?usp=drive_link" TargetMode="External"/><Relationship Id="rId2462" Type="http://schemas.openxmlformats.org/officeDocument/2006/relationships/hyperlink" Target="https://universidade.pipelovers.net/m/lessons/jornada-do-ipp-como-descobrir-seus-parceiros-ideais-1778870346141?moduleId=1418&amp;classId=4004" TargetMode="External"/><Relationship Id="rId543" Type="http://schemas.openxmlformats.org/officeDocument/2006/relationships/hyperlink" Target="https://www.linkedin.com/in/thayaneandradex/" TargetMode="External"/><Relationship Id="rId1132" Type="http://schemas.openxmlformats.org/officeDocument/2006/relationships/hyperlink" Target="https://www.linkedin.com/in/carolinepinna/" TargetMode="External"/><Relationship Id="rId2463" Type="http://schemas.openxmlformats.org/officeDocument/2006/relationships/hyperlink" Target="https://universidade.pipelovers.net/m/lessons/jornada-do-ipp-como-descobrir-seus-parceiros-ideais-1778870346141?moduleId=1418&amp;classId=4004" TargetMode="External"/><Relationship Id="rId542" Type="http://schemas.openxmlformats.org/officeDocument/2006/relationships/hyperlink" Target="https://universidade.pipelovers.net/m/lessons/como-organizar-sua-lista-de-leads-para-prospectar-melhor-1774529210887?classId=3847" TargetMode="External"/><Relationship Id="rId1133" Type="http://schemas.openxmlformats.org/officeDocument/2006/relationships/hyperlink" Target="https://universidade.pipelovers.net/m/lessons/como-automatizar-tarefas-do-dia-a-dia-sem-depender-de-ninguem1769552389113?classId=3051" TargetMode="External"/><Relationship Id="rId2464" Type="http://schemas.openxmlformats.org/officeDocument/2006/relationships/hyperlink" Target="https://www.linkedin.com/in/gusvalle/" TargetMode="External"/><Relationship Id="rId541" Type="http://schemas.openxmlformats.org/officeDocument/2006/relationships/hyperlink" Target="https://universidade.pipelovers.net/m/lessons/como-organizar-sua-lista-de-leads-para-prospectar-melhor-1774529210887?classId=3847" TargetMode="External"/><Relationship Id="rId1134" Type="http://schemas.openxmlformats.org/officeDocument/2006/relationships/hyperlink" Target="https://universidade.pipelovers.net/m/lessons/como-automatizar-tarefas-do-dia-a-dia-sem-depender-de-ninguem1769552389113?classId=3051" TargetMode="External"/><Relationship Id="rId2465" Type="http://schemas.openxmlformats.org/officeDocument/2006/relationships/hyperlink" Target="https://universidade.pipelovers.net/m/lessons/processos-e-rituais-para-gestao-eficaz-de-parceiros-chave-1782390566932?moduleId=1458&amp;classId=4042" TargetMode="External"/><Relationship Id="rId540" Type="http://schemas.openxmlformats.org/officeDocument/2006/relationships/hyperlink" Target="https://www.linkedin.com/in/jessicabosco/" TargetMode="External"/><Relationship Id="rId1135" Type="http://schemas.openxmlformats.org/officeDocument/2006/relationships/hyperlink" Target="https://drive.google.com/file/d/1rqb1Y2oSkQEswAn0Q-uMSsidevbMJaC1/view?usp=drive_link" TargetMode="External"/><Relationship Id="rId2466" Type="http://schemas.openxmlformats.org/officeDocument/2006/relationships/hyperlink" Target="https://www.linkedin.com/in/robertakuzolitz/" TargetMode="External"/><Relationship Id="rId1125" Type="http://schemas.openxmlformats.org/officeDocument/2006/relationships/hyperlink" Target="https://universidade.pipelovers.net/m/lessons/tecnicas-para-reducao-do-ciclo-de-vendas-com-pmes1769552389024?classId=3049" TargetMode="External"/><Relationship Id="rId2456" Type="http://schemas.openxmlformats.org/officeDocument/2006/relationships/hyperlink" Target="https://universidade.pipelovers.net/m/lessons/case-senior-ecossistema-que-gera-receita-1780517096282?moduleId=1433&amp;classId=4021" TargetMode="External"/><Relationship Id="rId1126" Type="http://schemas.openxmlformats.org/officeDocument/2006/relationships/hyperlink" Target="https://universidade.pipelovers.net/m/lessons/tecnicas-para-reducao-do-ciclo-de-vendas-com-pmes1769552389024?classId=3049" TargetMode="External"/><Relationship Id="rId2457" Type="http://schemas.openxmlformats.org/officeDocument/2006/relationships/hyperlink" Target="https://universidade.pipelovers.net/m/lessons/case-senior-ecossistema-que-gera-receita-1780517096282?moduleId=1433&amp;classId=4021" TargetMode="External"/><Relationship Id="rId1127" Type="http://schemas.openxmlformats.org/officeDocument/2006/relationships/hyperlink" Target="https://drive.google.com/file/d/1iI7KIspuGRVRAk4G5HgKe-lXtbPAus6C/view?usp=drive_link" TargetMode="External"/><Relationship Id="rId2458" Type="http://schemas.openxmlformats.org/officeDocument/2006/relationships/hyperlink" Target="https://www.linkedin.com/in/thiagorotondo/" TargetMode="External"/><Relationship Id="rId1128" Type="http://schemas.openxmlformats.org/officeDocument/2006/relationships/hyperlink" Target="https://www.linkedin.com/in/felipe-santos-machado/" TargetMode="External"/><Relationship Id="rId2459" Type="http://schemas.openxmlformats.org/officeDocument/2006/relationships/hyperlink" Target="https://universidade.pipelovers.net/m/lessons/como-planejar-a-entrada-em-novos-mercados-via-canais-1778865833832?moduleId=1417&amp;classId=4003" TargetMode="External"/><Relationship Id="rId1129" Type="http://schemas.openxmlformats.org/officeDocument/2006/relationships/hyperlink" Target="https://universidade.pipelovers.net/m/lessons/antes-do-pitch-como-usar-o-contexto-do-lead-pra-abrir-portas1769552389083?classId=3050" TargetMode="External"/><Relationship Id="rId536" Type="http://schemas.openxmlformats.org/officeDocument/2006/relationships/hyperlink" Target="https://universidade.pipelovers.net/m/lessons/linkedin-para-pre-vendedores-o-basico-que-funciona-1775150928028?classId=3900" TargetMode="External"/><Relationship Id="rId535" Type="http://schemas.openxmlformats.org/officeDocument/2006/relationships/hyperlink" Target="https://universidade.pipelovers.net/m/lessons/linkedin-para-pre-vendedores-o-basico-que-funciona-1775150928028?classId=3900" TargetMode="External"/><Relationship Id="rId534" Type="http://schemas.openxmlformats.org/officeDocument/2006/relationships/hyperlink" Target="https://www.linkedin.com/in/camilahort/" TargetMode="External"/><Relationship Id="rId533" Type="http://schemas.openxmlformats.org/officeDocument/2006/relationships/hyperlink" Target="https://universidade.pipelovers.net/m/lessons/hacks-essenciais-para-converter-mais-1776455292753?classId=3957" TargetMode="External"/><Relationship Id="rId539" Type="http://schemas.openxmlformats.org/officeDocument/2006/relationships/hyperlink" Target="https://universidade.pipelovers.net/m/lessons/networking-para-sdrs-como-trocar-aprender-e-abrir-portas-1775656530408?classId=3915" TargetMode="External"/><Relationship Id="rId538" Type="http://schemas.openxmlformats.org/officeDocument/2006/relationships/hyperlink" Target="https://universidade.pipelovers.net/m/lessons/networking-para-sdrs-como-trocar-aprender-e-abrir-portas-1775656530408?classId=3915" TargetMode="External"/><Relationship Id="rId537" Type="http://schemas.openxmlformats.org/officeDocument/2006/relationships/hyperlink" Target="https://www.linkedin.com/in/laisnask/" TargetMode="External"/><Relationship Id="rId2450" Type="http://schemas.openxmlformats.org/officeDocument/2006/relationships/hyperlink" Target="https://universidade.pipelovers.net/m/lessons/como-aprender-com-vitorias-e-derrotas-para-melhorar-a-atuacao-dos-canais-1773772176498?classId=3831" TargetMode="External"/><Relationship Id="rId1120" Type="http://schemas.openxmlformats.org/officeDocument/2006/relationships/hyperlink" Target="https://www.linkedin.com/in/denistassitano/" TargetMode="External"/><Relationship Id="rId2451" Type="http://schemas.openxmlformats.org/officeDocument/2006/relationships/hyperlink" Target="https://universidade.pipelovers.net/m/lessons/como-aprender-com-vitorias-e-derrotas-para-melhorar-a-atuacao-dos-canais-1773772176498?classId=3831" TargetMode="External"/><Relationship Id="rId532" Type="http://schemas.openxmlformats.org/officeDocument/2006/relationships/hyperlink" Target="https://universidade.pipelovers.net/m/lessons/hacks-essenciais-para-converter-mais-1776455292753?classId=3957" TargetMode="External"/><Relationship Id="rId1121" Type="http://schemas.openxmlformats.org/officeDocument/2006/relationships/hyperlink" Target="https://universidade.pipelovers.net/m/lessons/como-usar-cases-de-sucesso-para-acelerar-vendas1769552388920?classId=3079" TargetMode="External"/><Relationship Id="rId2452" Type="http://schemas.openxmlformats.org/officeDocument/2006/relationships/hyperlink" Target="https://www.linkedin.com/in/claudiofernandomartins/" TargetMode="External"/><Relationship Id="rId531" Type="http://schemas.openxmlformats.org/officeDocument/2006/relationships/hyperlink" Target="https://www.linkedin.com/in/jessicabosco/" TargetMode="External"/><Relationship Id="rId1122" Type="http://schemas.openxmlformats.org/officeDocument/2006/relationships/hyperlink" Target="https://universidade.pipelovers.net/m/lessons/como-usar-cases-de-sucesso-para-acelerar-vendas1769552388920?classId=3079" TargetMode="External"/><Relationship Id="rId2453" Type="http://schemas.openxmlformats.org/officeDocument/2006/relationships/hyperlink" Target="https://universidade.pipelovers.net/m/lessons/como-usar-casos-de-sucesso-para-engajar-e-ativar-novos-canais-1778788290511?classId=4002" TargetMode="External"/><Relationship Id="rId530" Type="http://schemas.openxmlformats.org/officeDocument/2006/relationships/hyperlink" Target="https://universidade.pipelovers.net/aulas/como-pensar-como-um-pre-vendas-estrategico-1774880946682" TargetMode="External"/><Relationship Id="rId1123" Type="http://schemas.openxmlformats.org/officeDocument/2006/relationships/hyperlink" Target="https://drive.google.com/file/d/1OW8TLO96k2ZdHxOh6ADhvvlnsiqdlh8Z/view?usp=drive_link" TargetMode="External"/><Relationship Id="rId2454" Type="http://schemas.openxmlformats.org/officeDocument/2006/relationships/hyperlink" Target="https://universidade.pipelovers.net/m/lessons/como-usar-casos-de-sucesso-para-engajar-e-ativar-novos-canais-1778788290511?classId=4002" TargetMode="External"/><Relationship Id="rId1124" Type="http://schemas.openxmlformats.org/officeDocument/2006/relationships/hyperlink" Target="https://www.linkedin.com/in/felipecaezar/" TargetMode="External"/><Relationship Id="rId2455" Type="http://schemas.openxmlformats.org/officeDocument/2006/relationships/hyperlink" Target="https://www.linkedin.com/in/heberlaet/" TargetMode="External"/><Relationship Id="rId1158" Type="http://schemas.openxmlformats.org/officeDocument/2006/relationships/hyperlink" Target="https://universidade.pipelovers.net/m/lessons/metodologia-solution-selling1769552396844?classId=3057" TargetMode="External"/><Relationship Id="rId2005" Type="http://schemas.openxmlformats.org/officeDocument/2006/relationships/hyperlink" Target="https://www.linkedin.com/in/monique-kempt-b4683b173/" TargetMode="External"/><Relationship Id="rId2489" Type="http://schemas.openxmlformats.org/officeDocument/2006/relationships/hyperlink" Target="https://universidade.pipelovers.net/m/lessons/crm-como-aliado-e-nao-como-inimigo1769550039731?classId=3301" TargetMode="External"/><Relationship Id="rId1159" Type="http://schemas.openxmlformats.org/officeDocument/2006/relationships/hyperlink" Target="https://drive.google.com/file/d/1H5l3uNQxix_hXMJ6sFzj9OQBg1Lr2r4w/view?usp=drive_link" TargetMode="External"/><Relationship Id="rId2006" Type="http://schemas.openxmlformats.org/officeDocument/2006/relationships/hyperlink" Target="https://universidade.pipelovers.net/m/lessons/engajamento-de-canais-em-alta-escala1769552419340?classId=3375" TargetMode="External"/><Relationship Id="rId2007" Type="http://schemas.openxmlformats.org/officeDocument/2006/relationships/hyperlink" Target="https://universidade.pipelovers.net/m/lessons/engajamento-de-canais-em-alta-escala1769552419340?classId=3375" TargetMode="External"/><Relationship Id="rId2008" Type="http://schemas.openxmlformats.org/officeDocument/2006/relationships/hyperlink" Target="https://drive.google.com/file/d/1cKOD3lwTuums7P_UOYRFn8gDwQN55e2O/view?usp=drive_link" TargetMode="External"/><Relationship Id="rId2009" Type="http://schemas.openxmlformats.org/officeDocument/2006/relationships/hyperlink" Target="https://www.linkedin.com/in/aurora-suh/" TargetMode="External"/><Relationship Id="rId569" Type="http://schemas.openxmlformats.org/officeDocument/2006/relationships/hyperlink" Target="https://universidade.pipelovers.net/m/lessons/metodologia-win-loss-analysis-aplicada-a-prospeccao-1781547790902" TargetMode="External"/><Relationship Id="rId568" Type="http://schemas.openxmlformats.org/officeDocument/2006/relationships/hyperlink" Target="https://universidade.pipelovers.net/m/lessons/metodologia-win-loss-analysis-aplicada-a-prospeccao-1781547790902" TargetMode="External"/><Relationship Id="rId567" Type="http://schemas.openxmlformats.org/officeDocument/2006/relationships/hyperlink" Target="https://www.linkedin.com/in/t%C3%A1rik-medeiros-83486b102/" TargetMode="External"/><Relationship Id="rId566" Type="http://schemas.openxmlformats.org/officeDocument/2006/relationships/hyperlink" Target="https://universidade.pipelovers.net/c/praticas-para-o-sdr-chegar-a-alta-performance-1782222089528" TargetMode="External"/><Relationship Id="rId2480" Type="http://schemas.openxmlformats.org/officeDocument/2006/relationships/hyperlink" Target="https://www.linkedin.com/in/oyagobaia/" TargetMode="External"/><Relationship Id="rId561" Type="http://schemas.openxmlformats.org/officeDocument/2006/relationships/hyperlink" Target="https://www.linkedin.com/in/jessicabosco/" TargetMode="External"/><Relationship Id="rId1150" Type="http://schemas.openxmlformats.org/officeDocument/2006/relationships/hyperlink" Target="https://universidade.pipelovers.net/m/lessons/estoicismo-aplicado-a-venda-disciplina-paciencia-e-resultado1769552396737?classId=3055" TargetMode="External"/><Relationship Id="rId2481" Type="http://schemas.openxmlformats.org/officeDocument/2006/relationships/hyperlink" Target="https://universidade.pipelovers.net/m/lessons/ia-aplicada-na-gestao-de-vendas-indiretas-1787066815356?moduleId=1592&amp;classId=4483" TargetMode="External"/><Relationship Id="rId560" Type="http://schemas.openxmlformats.org/officeDocument/2006/relationships/hyperlink" Target="https://universidade.pipelovers.net/m/lessons/mapeando-o-perfil-comportamental-do-seu-lead-metodologia-disc-1781810835834?moduleId=1447&amp;classId=4034" TargetMode="External"/><Relationship Id="rId1151" Type="http://schemas.openxmlformats.org/officeDocument/2006/relationships/hyperlink" Target="https://drive.google.com/file/d/1GobDb1UPFwZCRgQ2HxL3TlBtCniLI0Yh/view?usp=drive_link" TargetMode="External"/><Relationship Id="rId2482" Type="http://schemas.openxmlformats.org/officeDocument/2006/relationships/hyperlink" Target="https://www.linkedin.com/in/andr%C3%A9a-kaestner-03410621/" TargetMode="External"/><Relationship Id="rId1152" Type="http://schemas.openxmlformats.org/officeDocument/2006/relationships/hyperlink" Target="https://www.linkedin.com/in/oyagobaia/" TargetMode="External"/><Relationship Id="rId2483" Type="http://schemas.openxmlformats.org/officeDocument/2006/relationships/hyperlink" Target="https://universidade.pipelovers.net/m/lessons/case-mercos-de-0-a-60-como-construimos-um-canal-do-zero-1787066991400?moduleId=1593&amp;classId=4484" TargetMode="External"/><Relationship Id="rId1153" Type="http://schemas.openxmlformats.org/officeDocument/2006/relationships/hyperlink" Target="https://universidade.pipelovers.net/aulas/os-4-pilares-de-uma-oratoria-de-impacto-1775687356455" TargetMode="External"/><Relationship Id="rId2000" Type="http://schemas.openxmlformats.org/officeDocument/2006/relationships/hyperlink" Target="https://drive.google.com/file/d/1qyBBNUw2gRVXcHnijM2IXhn3C7c6V24x/view?usp=drive_link" TargetMode="External"/><Relationship Id="rId2484" Type="http://schemas.openxmlformats.org/officeDocument/2006/relationships/hyperlink" Target="https://www.linkedin.com/in/andreiavavassorigerentecomercial/" TargetMode="External"/><Relationship Id="rId565" Type="http://schemas.openxmlformats.org/officeDocument/2006/relationships/hyperlink" Target="https://www.linkedin.com/in/gabrielfontesoficial/" TargetMode="External"/><Relationship Id="rId1154" Type="http://schemas.openxmlformats.org/officeDocument/2006/relationships/hyperlink" Target="https://universidade.pipelovers.net/aulas/os-4-pilares-de-uma-oratoria-de-impacto-1775687356455" TargetMode="External"/><Relationship Id="rId2001" Type="http://schemas.openxmlformats.org/officeDocument/2006/relationships/hyperlink" Target="https://www.linkedin.com/in/juliocesarazzini/" TargetMode="External"/><Relationship Id="rId2485" Type="http://schemas.openxmlformats.org/officeDocument/2006/relationships/hyperlink" Target="https://universidade.pipelovers.net/m/lessons/rituais-de-gestao-de-performance-com-canais-indiretos-1788463008810?moduleId=1642&amp;classId=4549" TargetMode="External"/><Relationship Id="rId564" Type="http://schemas.openxmlformats.org/officeDocument/2006/relationships/hyperlink" Target="https://universidade.pipelovers.net/m/lessons/tecnicas-de-automotivacao-para-manter-o-foco-no-resultado-final-1782220286771?moduleId=1454&amp;classId=4038" TargetMode="External"/><Relationship Id="rId1155" Type="http://schemas.openxmlformats.org/officeDocument/2006/relationships/hyperlink" Target="https://drive.google.com/file/d/1LV-YAG22vou-yPDf_PFQN5ABXIF6bLV4/view?usp=drive_link" TargetMode="External"/><Relationship Id="rId2002" Type="http://schemas.openxmlformats.org/officeDocument/2006/relationships/hyperlink" Target="https://universidade.pipelovers.net/m/lessons/catalyst-2023-melhores-praticas-sobre-parcerias-e-ecossistemas-direto-das-trincheiras1769552419193?classId=3376" TargetMode="External"/><Relationship Id="rId2486" Type="http://schemas.openxmlformats.org/officeDocument/2006/relationships/hyperlink" Target="https://www.linkedin.com/in/ellenalexsandra/?isSelfProfile=false" TargetMode="External"/><Relationship Id="rId563" Type="http://schemas.openxmlformats.org/officeDocument/2006/relationships/hyperlink" Target="https://www.linkedin.com/in/felipealves00/" TargetMode="External"/><Relationship Id="rId1156" Type="http://schemas.openxmlformats.org/officeDocument/2006/relationships/hyperlink" Target="https://www.linkedin.com/in/wagner-martins/" TargetMode="External"/><Relationship Id="rId2003" Type="http://schemas.openxmlformats.org/officeDocument/2006/relationships/hyperlink" Target="https://universidade.pipelovers.net/m/lessons/catalyst-2023-melhores-praticas-sobre-parcerias-e-ecossistemas-direto-das-trincheiras1769552419193?classId=3376" TargetMode="External"/><Relationship Id="rId2487" Type="http://schemas.openxmlformats.org/officeDocument/2006/relationships/hyperlink" Target="https://universidade.pipelovers.net/m/lessons/tecnicas-de-engajamento-de-vendedores-de-parceiros-1787067289106?moduleId=1594&amp;classId=4485" TargetMode="External"/><Relationship Id="rId562" Type="http://schemas.openxmlformats.org/officeDocument/2006/relationships/hyperlink" Target="https://universidade.pipelovers.net/m/lessons/como-prender-atencao-do-lead-na-cold-call-1782219281852?moduleId=1453&amp;classId=4037" TargetMode="External"/><Relationship Id="rId1157" Type="http://schemas.openxmlformats.org/officeDocument/2006/relationships/hyperlink" Target="https://universidade.pipelovers.net/m/lessons/metodologia-solution-selling1769552396844?classId=3057" TargetMode="External"/><Relationship Id="rId2004" Type="http://schemas.openxmlformats.org/officeDocument/2006/relationships/hyperlink" Target="https://drive.google.com/file/d/1m7z7UoTa_4VjFeEFQhmViHlvhw13DlEk/view?usp=drive_link" TargetMode="External"/><Relationship Id="rId2488" Type="http://schemas.openxmlformats.org/officeDocument/2006/relationships/hyperlink" Target="https://www.linkedin.com/in/marcelo-guimar%C3%A3es-037b70160/" TargetMode="External"/><Relationship Id="rId1147" Type="http://schemas.openxmlformats.org/officeDocument/2006/relationships/hyperlink" Target="https://drive.google.com/file/d/1iCgKo8pNFtOSTKRTlD0OQeH2NRwQkMW7/view?usp=drive_link" TargetMode="External"/><Relationship Id="rId2478" Type="http://schemas.openxmlformats.org/officeDocument/2006/relationships/hyperlink" Target="https://www.linkedin.com/in/diego-almada-92122056/" TargetMode="External"/><Relationship Id="rId1148" Type="http://schemas.openxmlformats.org/officeDocument/2006/relationships/hyperlink" Target="https://www.linkedin.com/in/rafarptrader/" TargetMode="External"/><Relationship Id="rId2479" Type="http://schemas.openxmlformats.org/officeDocument/2006/relationships/hyperlink" Target="https://universidade.pipelovers.net/m/lessons/gestao-de-mudancas-em-programas-de-canais-1786046457426?moduleId=1582&amp;classId=4471" TargetMode="External"/><Relationship Id="rId1149" Type="http://schemas.openxmlformats.org/officeDocument/2006/relationships/hyperlink" Target="https://universidade.pipelovers.net/m/lessons/estoicismo-aplicado-a-venda-disciplina-paciencia-e-resultado1769552396737?classId=3055" TargetMode="External"/><Relationship Id="rId558" Type="http://schemas.openxmlformats.org/officeDocument/2006/relationships/hyperlink" Target="https://www.linkedin.com/in/fernanda3garcia/" TargetMode="External"/><Relationship Id="rId557" Type="http://schemas.openxmlformats.org/officeDocument/2006/relationships/hyperlink" Target="https://universidade.pipelovers.net/m/lessons/como-sdrs-podem-reduzir-objecoes-de-custo-nas-primeiras-conversas-1779221321743?moduleId=1424&amp;classId=4010" TargetMode="External"/><Relationship Id="rId556" Type="http://schemas.openxmlformats.org/officeDocument/2006/relationships/hyperlink" Target="https://universidade.pipelovers.net/m/lessons/como-sdrs-podem-reduzir-objecoes-de-custo-nas-primeiras-conversas-1779221321743?moduleId=1424&amp;classId=4010" TargetMode="External"/><Relationship Id="rId555" Type="http://schemas.openxmlformats.org/officeDocument/2006/relationships/hyperlink" Target="https://www.linkedin.com/in/lucasdiassena/" TargetMode="External"/><Relationship Id="rId559" Type="http://schemas.openxmlformats.org/officeDocument/2006/relationships/hyperlink" Target="https://universidade.pipelovers.net/m/lessons/mapeando-o-perfil-comportamental-do-seu-lead-metodologia-disc-1781810835834?moduleId=1447&amp;classId=4034" TargetMode="External"/><Relationship Id="rId550" Type="http://schemas.openxmlformats.org/officeDocument/2006/relationships/hyperlink" Target="https://universidade.pipelovers.net/m/lessons/estrutura-de-mensagens-de-abertura-que-despertam-interesse-1778009452256?moduleId=1403&amp;classId=3988" TargetMode="External"/><Relationship Id="rId2470" Type="http://schemas.openxmlformats.org/officeDocument/2006/relationships/hyperlink" Target="https://www.linkedin.com/in/lucaslopan/" TargetMode="External"/><Relationship Id="rId1140" Type="http://schemas.openxmlformats.org/officeDocument/2006/relationships/hyperlink" Target="https://www.linkedin.com/in/gabriellaraweigert/" TargetMode="External"/><Relationship Id="rId2471" Type="http://schemas.openxmlformats.org/officeDocument/2006/relationships/hyperlink" Target="https://universidade.pipelovers.net/m/lessons/como-conduzir-conversas-dificeis-com-parceiros-estrategicos-1778592900163?moduleId=1411&amp;classId=3997" TargetMode="External"/><Relationship Id="rId1141" Type="http://schemas.openxmlformats.org/officeDocument/2006/relationships/hyperlink" Target="https://universidade.pipelovers.net/m/lessons/o-papel-da-mentalidade-no-sucesso-em-vendas1769552396581?classId=3053" TargetMode="External"/><Relationship Id="rId2472" Type="http://schemas.openxmlformats.org/officeDocument/2006/relationships/hyperlink" Target="https://www.linkedin.com/in/victor-schultz/" TargetMode="External"/><Relationship Id="rId1142" Type="http://schemas.openxmlformats.org/officeDocument/2006/relationships/hyperlink" Target="https://universidade.pipelovers.net/m/lessons/o-papel-da-mentalidade-no-sucesso-em-vendas1769552396581?classId=3053" TargetMode="External"/><Relationship Id="rId2473" Type="http://schemas.openxmlformats.org/officeDocument/2006/relationships/hyperlink" Target="https://universidade.pipelovers.net/m/lessons/boas-praticas-para-alinhamento-entre-marketing-vendas-e-canais-1783100686212?moduleId=1472&amp;classId=4054" TargetMode="External"/><Relationship Id="rId554" Type="http://schemas.openxmlformats.org/officeDocument/2006/relationships/hyperlink" Target="https://universidade.pipelovers.net/m/lessons/como-aplicar-abm-em-pre-vendas-1780510420277?moduleId=1431&amp;classId=4019" TargetMode="External"/><Relationship Id="rId1143" Type="http://schemas.openxmlformats.org/officeDocument/2006/relationships/hyperlink" Target="https://drive.google.com/file/d/1G_M_NyEhuIpuxc1lDG-2WkA2IcZr2eja/view?usp=drive_link" TargetMode="External"/><Relationship Id="rId2474" Type="http://schemas.openxmlformats.org/officeDocument/2006/relationships/hyperlink" Target="https://www.linkedin.com/in/nathalia-leichsnering/" TargetMode="External"/><Relationship Id="rId553" Type="http://schemas.openxmlformats.org/officeDocument/2006/relationships/hyperlink" Target="https://universidade.pipelovers.net/m/lessons/como-aplicar-abm-em-pre-vendas-1780510420277?moduleId=1431&amp;classId=4019" TargetMode="External"/><Relationship Id="rId1144" Type="http://schemas.openxmlformats.org/officeDocument/2006/relationships/hyperlink" Target="https://www.linkedin.com/in/rafaelgonttijo/" TargetMode="External"/><Relationship Id="rId2475" Type="http://schemas.openxmlformats.org/officeDocument/2006/relationships/hyperlink" Target="https://universidade.pipelovers.net/m/lessons/certificacao-e-treinamento-de-parceiros-em-novos-produtos-1785350680902?moduleId=1574&amp;classId=4449" TargetMode="External"/><Relationship Id="rId552" Type="http://schemas.openxmlformats.org/officeDocument/2006/relationships/hyperlink" Target="https://www.linkedin.com/in/arianyaraujo/" TargetMode="External"/><Relationship Id="rId1145" Type="http://schemas.openxmlformats.org/officeDocument/2006/relationships/hyperlink" Target="https://universidade.pipelovers.net/m/lessons/definicao-de-icp-para-atuacao-em-novos-mercados1769552396631?classId=3054" TargetMode="External"/><Relationship Id="rId2476" Type="http://schemas.openxmlformats.org/officeDocument/2006/relationships/hyperlink" Target="https://www.linkedin.com/in/tiagoteixeiraoficial/" TargetMode="External"/><Relationship Id="rId551" Type="http://schemas.openxmlformats.org/officeDocument/2006/relationships/hyperlink" Target="https://universidade.pipelovers.net/m/lessons/estrutura-de-mensagens-de-abertura-que-despertam-interesse-1778009452256?moduleId=1403&amp;classId=3988" TargetMode="External"/><Relationship Id="rId1146" Type="http://schemas.openxmlformats.org/officeDocument/2006/relationships/hyperlink" Target="https://universidade.pipelovers.net/m/lessons/definicao-de-icp-para-atuacao-em-novos-mercados1769552396631?classId=3054" TargetMode="External"/><Relationship Id="rId2477" Type="http://schemas.openxmlformats.org/officeDocument/2006/relationships/hyperlink" Target="https://universidade.pipelovers.net/m/lessons/canais-que-geram-resultados-de-mrr-1785434867780?moduleId=1577&amp;classId=4452" TargetMode="External"/><Relationship Id="rId2090" Type="http://schemas.openxmlformats.org/officeDocument/2006/relationships/hyperlink" Target="https://universidade.pipelovers.net/m/lessons/o-futuro-dos-canais-indiretos-no-mercado-de-tecnologia1769552429297?classId=3142" TargetMode="External"/><Relationship Id="rId2091" Type="http://schemas.openxmlformats.org/officeDocument/2006/relationships/hyperlink" Target="https://drive.google.com/file/d/18cewb_gTgGhfjJsMY6MXAOLwrrNZtdDp/view?usp=drive_link" TargetMode="External"/><Relationship Id="rId2092" Type="http://schemas.openxmlformats.org/officeDocument/2006/relationships/hyperlink" Target="https://www.linkedin.com/in/leandrosacramento/" TargetMode="External"/><Relationship Id="rId2093" Type="http://schemas.openxmlformats.org/officeDocument/2006/relationships/hyperlink" Target="https://universidade.pipelovers.net/m/lessons/pipeline-de-parcerias-estrategicas1769552429326?classId=3147" TargetMode="External"/><Relationship Id="rId2094" Type="http://schemas.openxmlformats.org/officeDocument/2006/relationships/hyperlink" Target="https://universidade.pipelovers.net/m/lessons/pipeline-de-parcerias-estrategicas1769552429326?classId=3147" TargetMode="External"/><Relationship Id="rId2095" Type="http://schemas.openxmlformats.org/officeDocument/2006/relationships/hyperlink" Target="https://drive.google.com/file/d/13sQCSoAF02g0aLYXHLMSqq6H2OXPg5it/view?usp=drive_link" TargetMode="External"/><Relationship Id="rId2096" Type="http://schemas.openxmlformats.org/officeDocument/2006/relationships/hyperlink" Target="https://www.linkedin.com/in/katherinesallum/" TargetMode="External"/><Relationship Id="rId2097" Type="http://schemas.openxmlformats.org/officeDocument/2006/relationships/hyperlink" Target="https://universidade.pipelovers.net/m/lessons/case-programa-de-canais-do-zoho-crm1769552429371?classId=3148" TargetMode="External"/><Relationship Id="rId2098" Type="http://schemas.openxmlformats.org/officeDocument/2006/relationships/hyperlink" Target="https://universidade.pipelovers.net/m/lessons/case-programa-de-canais-do-zoho-crm1769552429371?classId=3148" TargetMode="External"/><Relationship Id="rId2099" Type="http://schemas.openxmlformats.org/officeDocument/2006/relationships/hyperlink" Target="https://drive.google.com/file/d/1spaCsDreMsa8MuEmYrPHENdsG4wpNKjk/view?usp=drive_link" TargetMode="External"/><Relationship Id="rId2060" Type="http://schemas.openxmlformats.org/officeDocument/2006/relationships/hyperlink" Target="https://www.linkedin.com/in/c%C3%A9lio-pupo-ab745623/" TargetMode="External"/><Relationship Id="rId2061" Type="http://schemas.openxmlformats.org/officeDocument/2006/relationships/hyperlink" Target="https://universidade.pipelovers.net/m/lessons/diferenca-na-gestao-de-canais-com-marca-propria-e-revendas-independentes1769552426019?classId=3119" TargetMode="External"/><Relationship Id="rId2062" Type="http://schemas.openxmlformats.org/officeDocument/2006/relationships/hyperlink" Target="https://universidade.pipelovers.net/m/lessons/diferenca-na-gestao-de-canais-com-marca-propria-e-revendas-independentes1769552426019?classId=3119" TargetMode="External"/><Relationship Id="rId2063" Type="http://schemas.openxmlformats.org/officeDocument/2006/relationships/hyperlink" Target="https://drive.google.com/file/d/10NrSGvAlPp4l7A8GemLmzFvwk2jvXSj4/view?usp=drive_link" TargetMode="External"/><Relationship Id="rId2064" Type="http://schemas.openxmlformats.org/officeDocument/2006/relationships/hyperlink" Target="https://www.linkedin.com/in/brunostuchi/" TargetMode="External"/><Relationship Id="rId2065" Type="http://schemas.openxmlformats.org/officeDocument/2006/relationships/hyperlink" Target="https://universidade.pipelovers.net/m/lessons/estruturando-do-zero-um-canal-top-performer1769552426046?classId=3121" TargetMode="External"/><Relationship Id="rId2066" Type="http://schemas.openxmlformats.org/officeDocument/2006/relationships/hyperlink" Target="https://universidade.pipelovers.net/m/lessons/estruturando-do-zero-um-canal-top-performer1769552426046?classId=3121" TargetMode="External"/><Relationship Id="rId2067" Type="http://schemas.openxmlformats.org/officeDocument/2006/relationships/hyperlink" Target="https://drive.google.com/file/d/1vmhDdBWvAHi5wmdWQ1501T-q61Jh-e3c/view?usp=drive_link" TargetMode="External"/><Relationship Id="rId2068" Type="http://schemas.openxmlformats.org/officeDocument/2006/relationships/hyperlink" Target="https://www.linkedin.com/in/mauricio-cardoso/" TargetMode="External"/><Relationship Id="rId2069" Type="http://schemas.openxmlformats.org/officeDocument/2006/relationships/hyperlink" Target="https://universidade.pipelovers.net/m/lessons/otimizacao-de-verbas-de-marketing-para-canais1769552426084?classId=3022" TargetMode="External"/><Relationship Id="rId2050" Type="http://schemas.openxmlformats.org/officeDocument/2006/relationships/hyperlink" Target="https://universidade.pipelovers.net/m/lessons/salesforce-trailhead-um-ecossistema-de-enablement1769552425938?classId=3077" TargetMode="External"/><Relationship Id="rId2051" Type="http://schemas.openxmlformats.org/officeDocument/2006/relationships/hyperlink" Target="https://drive.google.com/file/d/1rBjk9XThPtYGi-FuFXBY33q6itvXFNbW/view?usp=drive_link" TargetMode="External"/><Relationship Id="rId495" Type="http://schemas.openxmlformats.org/officeDocument/2006/relationships/hyperlink" Target="https://www.linkedin.com/in/lahire-cavallero/" TargetMode="External"/><Relationship Id="rId2052" Type="http://schemas.openxmlformats.org/officeDocument/2006/relationships/hyperlink" Target="https://www.linkedin.com/in/felipegiroleti/" TargetMode="External"/><Relationship Id="rId494" Type="http://schemas.openxmlformats.org/officeDocument/2006/relationships/hyperlink" Target="https://universidade.pipelovers.net/m/lessons/tecnicas-de-rapport-para-prospeccao1772542662129?classId=3772" TargetMode="External"/><Relationship Id="rId2053" Type="http://schemas.openxmlformats.org/officeDocument/2006/relationships/hyperlink" Target="https://universidade.pipelovers.net/m/lessons/como-priorizar-a-melhor-oferta-para-seu-canal1769552425966?classId=3078" TargetMode="External"/><Relationship Id="rId493" Type="http://schemas.openxmlformats.org/officeDocument/2006/relationships/hyperlink" Target="https://universidade.pipelovers.net/m/lessons/tecnicas-de-rapport-para-prospeccao1772542662129?classId=3772" TargetMode="External"/><Relationship Id="rId2054" Type="http://schemas.openxmlformats.org/officeDocument/2006/relationships/hyperlink" Target="https://universidade.pipelovers.net/m/lessons/como-priorizar-a-melhor-oferta-para-seu-canal1769552425966?classId=3078" TargetMode="External"/><Relationship Id="rId492" Type="http://schemas.openxmlformats.org/officeDocument/2006/relationships/hyperlink" Target="https://www.linkedin.com/in/igormacedobarbosa/" TargetMode="External"/><Relationship Id="rId2055" Type="http://schemas.openxmlformats.org/officeDocument/2006/relationships/hyperlink" Target="https://drive.google.com/file/d/1tRmigwD_PcisC7y2ZvbW_oGdpcEMKotc/view?usp=drive_link" TargetMode="External"/><Relationship Id="rId499" Type="http://schemas.openxmlformats.org/officeDocument/2006/relationships/hyperlink" Target="https://universidade.pipelovers.net/m/lessons/metricas-que-todo-pre-vendedor-deve-saber-e-acompanhar1772542642743?classId=3763" TargetMode="External"/><Relationship Id="rId2056" Type="http://schemas.openxmlformats.org/officeDocument/2006/relationships/hyperlink" Target="https://www.linkedin.com/in/arnokrugjunior/" TargetMode="External"/><Relationship Id="rId498" Type="http://schemas.openxmlformats.org/officeDocument/2006/relationships/hyperlink" Target="https://www.linkedin.com/in/izebolzan/" TargetMode="External"/><Relationship Id="rId2057" Type="http://schemas.openxmlformats.org/officeDocument/2006/relationships/hyperlink" Target="https://universidade.pipelovers.net/m/lessons/expansao-internacional-com-franquias1769552425993?classId=3117" TargetMode="External"/><Relationship Id="rId497" Type="http://schemas.openxmlformats.org/officeDocument/2006/relationships/hyperlink" Target="https://universidade.pipelovers.net/m/lessons/abordagens-e-prospeccao-que-funcionam-no-comeco-do-ano1772542641973?classId=3746" TargetMode="External"/><Relationship Id="rId2058" Type="http://schemas.openxmlformats.org/officeDocument/2006/relationships/hyperlink" Target="https://universidade.pipelovers.net/m/lessons/expansao-internacional-com-franquias1769552425993?classId=3117" TargetMode="External"/><Relationship Id="rId496" Type="http://schemas.openxmlformats.org/officeDocument/2006/relationships/hyperlink" Target="https://universidade.pipelovers.net/m/lessons/abordagens-e-prospeccao-que-funcionam-no-comeco-do-ano1772542641973?classId=3746" TargetMode="External"/><Relationship Id="rId2059" Type="http://schemas.openxmlformats.org/officeDocument/2006/relationships/hyperlink" Target="https://drive.google.com/file/d/1_JFV5SvlqXAG3uxHcNH_C0uxKXMF0mF7/view?usp=drive_link" TargetMode="External"/><Relationship Id="rId2080" Type="http://schemas.openxmlformats.org/officeDocument/2006/relationships/hyperlink" Target="https://www.linkedin.com/in/walteracras/" TargetMode="External"/><Relationship Id="rId2081" Type="http://schemas.openxmlformats.org/officeDocument/2006/relationships/hyperlink" Target="https://universidade.pipelovers.net/m/lessons/7-pecados-na-gestao-de-canais-indiretos1769552429220?classId=3137" TargetMode="External"/><Relationship Id="rId2082" Type="http://schemas.openxmlformats.org/officeDocument/2006/relationships/hyperlink" Target="https://universidade.pipelovers.net/m/lessons/7-pecados-na-gestao-de-canais-indiretos1769552429220?classId=3137" TargetMode="External"/><Relationship Id="rId2083" Type="http://schemas.openxmlformats.org/officeDocument/2006/relationships/hyperlink" Target="https://drive.google.com/file/d/1ddgxIH9AgVzrQBKhYEloP1Q2rMfFgQLM/view?usp=drive_link" TargetMode="External"/><Relationship Id="rId2084" Type="http://schemas.openxmlformats.org/officeDocument/2006/relationships/hyperlink" Target="https://www.linkedin.com/in/malbio/" TargetMode="External"/><Relationship Id="rId2085" Type="http://schemas.openxmlformats.org/officeDocument/2006/relationships/hyperlink" Target="https://universidade.pipelovers.net/m/lessons/programa-de-indicacao-de-clientes-case-chatguru1769552429249?classId=3140" TargetMode="External"/><Relationship Id="rId2086" Type="http://schemas.openxmlformats.org/officeDocument/2006/relationships/hyperlink" Target="https://universidade.pipelovers.net/m/lessons/programa-de-indicacao-de-clientes-case-chatguru1769552429249?classId=3140" TargetMode="External"/><Relationship Id="rId2087" Type="http://schemas.openxmlformats.org/officeDocument/2006/relationships/hyperlink" Target="https://drive.google.com/file/d/1wAty5heSbNCOnYSiXU6JeGsEtaz16FM-/view?usp=drive_link" TargetMode="External"/><Relationship Id="rId2088" Type="http://schemas.openxmlformats.org/officeDocument/2006/relationships/hyperlink" Target="https://www.linkedin.com/in/gilsineihansen/" TargetMode="External"/><Relationship Id="rId2089" Type="http://schemas.openxmlformats.org/officeDocument/2006/relationships/hyperlink" Target="https://universidade.pipelovers.net/m/lessons/o-futuro-dos-canais-indiretos-no-mercado-de-tecnologia1769552429297?classId=3142" TargetMode="External"/><Relationship Id="rId2070" Type="http://schemas.openxmlformats.org/officeDocument/2006/relationships/hyperlink" Target="https://universidade.pipelovers.net/m/lessons/otimizacao-de-verbas-de-marketing-para-canais1769552426084?classId=3022" TargetMode="External"/><Relationship Id="rId2071" Type="http://schemas.openxmlformats.org/officeDocument/2006/relationships/hyperlink" Target="https://drive.google.com/file/d/13kOJ0AizKi-ykJe0BDpHK_zWXi93gNPs/view?usp=drive_link" TargetMode="External"/><Relationship Id="rId2072" Type="http://schemas.openxmlformats.org/officeDocument/2006/relationships/hyperlink" Target="https://www.linkedin.com/in/leandro-barankiewicz/" TargetMode="External"/><Relationship Id="rId2073" Type="http://schemas.openxmlformats.org/officeDocument/2006/relationships/hyperlink" Target="https://universidade.pipelovers.net/m/lessons/influenciadores-como-canal-de-vendas1769552426110?classId=3124" TargetMode="External"/><Relationship Id="rId2074" Type="http://schemas.openxmlformats.org/officeDocument/2006/relationships/hyperlink" Target="https://universidade.pipelovers.net/m/lessons/influenciadores-como-canal-de-vendas1769552426110?classId=3124" TargetMode="External"/><Relationship Id="rId2075" Type="http://schemas.openxmlformats.org/officeDocument/2006/relationships/hyperlink" Target="https://drive.google.com/file/d/1QxEUALxb64EzK0mhsDBr1dRL6mwWV4lx/view?usp=drive_link" TargetMode="External"/><Relationship Id="rId2076" Type="http://schemas.openxmlformats.org/officeDocument/2006/relationships/hyperlink" Target="https://www.linkedin.com/in/ernanicarraro/" TargetMode="External"/><Relationship Id="rId2077" Type="http://schemas.openxmlformats.org/officeDocument/2006/relationships/hyperlink" Target="https://universidade.pipelovers.net/m/lessons/previsibilidade-de-forecast-em-programas-de-canais1769552426137?classId=3135" TargetMode="External"/><Relationship Id="rId2078" Type="http://schemas.openxmlformats.org/officeDocument/2006/relationships/hyperlink" Target="https://universidade.pipelovers.net/m/lessons/previsibilidade-de-forecast-em-programas-de-canais1769552426137?classId=3135" TargetMode="External"/><Relationship Id="rId2079" Type="http://schemas.openxmlformats.org/officeDocument/2006/relationships/hyperlink" Target="https://drive.google.com/file/d/1X6oaTMLcZu8bqj_kNRiOTiffI3BGJfIc/view?usp=drive_link" TargetMode="External"/><Relationship Id="rId1610" Type="http://schemas.openxmlformats.org/officeDocument/2006/relationships/hyperlink" Target="https://universidade.pipelovers.net/m/lessons/geomarketing-vendas-baseadas-em-localizacao1769552304370?classId=3277" TargetMode="External"/><Relationship Id="rId1611" Type="http://schemas.openxmlformats.org/officeDocument/2006/relationships/hyperlink" Target="https://universidade.pipelovers.net/m/lessons/geomarketing-vendas-baseadas-em-localizacao1769552304370?classId=3277" TargetMode="External"/><Relationship Id="rId1612" Type="http://schemas.openxmlformats.org/officeDocument/2006/relationships/hyperlink" Target="https://universidade.pipelovers.net/m/lessons/inteligencia-emocional-e-motivacao-de-equipes-de-vendas1769552304432?classId=3278" TargetMode="External"/><Relationship Id="rId1613" Type="http://schemas.openxmlformats.org/officeDocument/2006/relationships/hyperlink" Target="https://universidade.pipelovers.net/m/lessons/inteligencia-emocional-e-motivacao-de-equipes-de-vendas1769552304432?classId=3278" TargetMode="External"/><Relationship Id="rId1614" Type="http://schemas.openxmlformats.org/officeDocument/2006/relationships/hyperlink" Target="https://universidade.pipelovers.net/m/lessons/como-alinhar-equipes-de-vendas-usando-okrs1769552304494?classId=3279" TargetMode="External"/><Relationship Id="rId1615" Type="http://schemas.openxmlformats.org/officeDocument/2006/relationships/hyperlink" Target="https://universidade.pipelovers.net/m/lessons/como-alinhar-equipes-de-vendas-usando-okrs1769552304494?classId=3279" TargetMode="External"/><Relationship Id="rId1616" Type="http://schemas.openxmlformats.org/officeDocument/2006/relationships/hyperlink" Target="https://universidade.pipelovers.net/m/lessons/como-projetar-metas-nas-carteiras-de-clientes1769552304555?classId=3280" TargetMode="External"/><Relationship Id="rId907" Type="http://schemas.openxmlformats.org/officeDocument/2006/relationships/hyperlink" Target="https://www.linkedin.com/in/pedro-lage/" TargetMode="External"/><Relationship Id="rId1617" Type="http://schemas.openxmlformats.org/officeDocument/2006/relationships/hyperlink" Target="https://universidade.pipelovers.net/m/lessons/como-projetar-metas-nas-carteiras-de-clientes1769552304555?classId=3280" TargetMode="External"/><Relationship Id="rId906" Type="http://schemas.openxmlformats.org/officeDocument/2006/relationships/hyperlink" Target="https://drive.google.com/file/d/1aPBZ9Cxxtz0KBqqSpzdycDGpuVdSRRwu/view?usp=drive_link" TargetMode="External"/><Relationship Id="rId1618" Type="http://schemas.openxmlformats.org/officeDocument/2006/relationships/hyperlink" Target="https://www.linkedin.com/in/gpagotto/" TargetMode="External"/><Relationship Id="rId905" Type="http://schemas.openxmlformats.org/officeDocument/2006/relationships/hyperlink" Target="https://universidade.pipelovers.net/m/lessons/qualificacao-de-oportunidades-com-spin-selling1769552365187?classId=3718" TargetMode="External"/><Relationship Id="rId1619" Type="http://schemas.openxmlformats.org/officeDocument/2006/relationships/hyperlink" Target="https://universidade.pipelovers.net/m/lessons/planejamento-anual-de-vendas1769552304646?classId=3281" TargetMode="External"/><Relationship Id="rId904" Type="http://schemas.openxmlformats.org/officeDocument/2006/relationships/hyperlink" Target="https://universidade.pipelovers.net/m/lessons/qualificacao-de-oportunidades-com-spin-selling1769552365187?classId=3718" TargetMode="External"/><Relationship Id="rId909" Type="http://schemas.openxmlformats.org/officeDocument/2006/relationships/hyperlink" Target="https://universidade.pipelovers.net/m/lessons/segmentacao-de-mercado-e-priorizacao-de-clientes1769552365215?classId=3722" TargetMode="External"/><Relationship Id="rId908" Type="http://schemas.openxmlformats.org/officeDocument/2006/relationships/hyperlink" Target="https://universidade.pipelovers.net/m/lessons/segmentacao-de-mercado-e-priorizacao-de-clientes1769552365215?classId=3722" TargetMode="External"/><Relationship Id="rId903" Type="http://schemas.openxmlformats.org/officeDocument/2006/relationships/hyperlink" Target="https://www.linkedin.com/in/lincon-beraldo/" TargetMode="External"/><Relationship Id="rId902" Type="http://schemas.openxmlformats.org/officeDocument/2006/relationships/hyperlink" Target="https://drive.google.com/file/d/1nfaWQ83vOzGHWPFPS646mUeuLHCa5-tm/view?usp=drive_link" TargetMode="External"/><Relationship Id="rId901" Type="http://schemas.openxmlformats.org/officeDocument/2006/relationships/hyperlink" Target="https://universidade.pipelovers.net/m/lessons/como-vender-para-o-cmo1769552365162?classId=3717" TargetMode="External"/><Relationship Id="rId900" Type="http://schemas.openxmlformats.org/officeDocument/2006/relationships/hyperlink" Target="https://universidade.pipelovers.net/m/lessons/como-vender-para-o-cmo1769552365162?classId=3717" TargetMode="External"/><Relationship Id="rId1600" Type="http://schemas.openxmlformats.org/officeDocument/2006/relationships/hyperlink" Target="https://universidade.pipelovers.net/m/lessons/riscos-na-integracao-de-sistemas-de-vendas1769552303799?classId=3274" TargetMode="External"/><Relationship Id="rId1601" Type="http://schemas.openxmlformats.org/officeDocument/2006/relationships/hyperlink" Target="https://www.linkedin.com/in/chriscornehl/" TargetMode="External"/><Relationship Id="rId1602" Type="http://schemas.openxmlformats.org/officeDocument/2006/relationships/hyperlink" Target="https://universidade.pipelovers.net/m/lessons/como-refinar-o-pitch-da-discovery-call-e-demo-usando-ai1769552304010?classId=3275" TargetMode="External"/><Relationship Id="rId1603" Type="http://schemas.openxmlformats.org/officeDocument/2006/relationships/hyperlink" Target="https://universidade.pipelovers.net/m/lessons/como-refinar-o-pitch-da-discovery-call-e-demo-usando-ai1769552304010?classId=3275" TargetMode="External"/><Relationship Id="rId1604" Type="http://schemas.openxmlformats.org/officeDocument/2006/relationships/hyperlink" Target="https://www.linkedin.com/in/gpagotto/" TargetMode="External"/><Relationship Id="rId1605" Type="http://schemas.openxmlformats.org/officeDocument/2006/relationships/hyperlink" Target="https://universidade.pipelovers.net/m/lessons/rd-summit-2024-niveis-de-maturidade-em-vendas-b2b1769552060152?classId=3026" TargetMode="External"/><Relationship Id="rId1606" Type="http://schemas.openxmlformats.org/officeDocument/2006/relationships/hyperlink" Target="https://universidade.pipelovers.net/m/lessons/rd-summit-2024-niveis-de-maturidade-em-vendas-b2b1769552060152?classId=3026" TargetMode="External"/><Relationship Id="rId1607" Type="http://schemas.openxmlformats.org/officeDocument/2006/relationships/hyperlink" Target="https://www.linkedin.com/in/andrezacarias/" TargetMode="External"/><Relationship Id="rId1608" Type="http://schemas.openxmlformats.org/officeDocument/2006/relationships/hyperlink" Target="https://universidade.pipelovers.net/m/lessons/gestao-de-equipes-de-vendas-externas1769552304307?classId=3276" TargetMode="External"/><Relationship Id="rId1609" Type="http://schemas.openxmlformats.org/officeDocument/2006/relationships/hyperlink" Target="https://universidade.pipelovers.net/m/lessons/gestao-de-equipes-de-vendas-externas1769552304307?classId=3276" TargetMode="External"/><Relationship Id="rId1631" Type="http://schemas.openxmlformats.org/officeDocument/2006/relationships/hyperlink" Target="https://www.linkedin.com/in/fabiomeloduran" TargetMode="External"/><Relationship Id="rId1632" Type="http://schemas.openxmlformats.org/officeDocument/2006/relationships/hyperlink" Target="https://universidade.pipelovers.net/m/lessons/qual-o-papel-de-um-gestor-comercial-numa-estrutura-de-revops1769552305071?classId=3287" TargetMode="External"/><Relationship Id="rId1633" Type="http://schemas.openxmlformats.org/officeDocument/2006/relationships/hyperlink" Target="https://universidade.pipelovers.net/m/lessons/qual-o-papel-de-um-gestor-comercial-numa-estrutura-de-revops1769552305071?classId=3287" TargetMode="External"/><Relationship Id="rId1634" Type="http://schemas.openxmlformats.org/officeDocument/2006/relationships/hyperlink" Target="https://www.linkedin.com/in/caiovidalsoares/" TargetMode="External"/><Relationship Id="rId1635" Type="http://schemas.openxmlformats.org/officeDocument/2006/relationships/hyperlink" Target="https://universidade.pipelovers.net/m/lessons/rituais-de-gestao-de-tempo-para-lideres-de-vendas1769552305130?classId=3288" TargetMode="External"/><Relationship Id="rId1636" Type="http://schemas.openxmlformats.org/officeDocument/2006/relationships/hyperlink" Target="https://universidade.pipelovers.net/m/lessons/rituais-de-gestao-de-tempo-para-lideres-de-vendas1769552305130?classId=3288" TargetMode="External"/><Relationship Id="rId1637" Type="http://schemas.openxmlformats.org/officeDocument/2006/relationships/hyperlink" Target="https://www.linkedin.com/in/thiagocherem/" TargetMode="External"/><Relationship Id="rId1638" Type="http://schemas.openxmlformats.org/officeDocument/2006/relationships/hyperlink" Target="https://universidade.pipelovers.net/m/lessons/geracao-z-no-b2b-preparando-sua-equipe-para-lidar-com-novos-decisores1769552305189?classId=3027" TargetMode="External"/><Relationship Id="rId929" Type="http://schemas.openxmlformats.org/officeDocument/2006/relationships/hyperlink" Target="https://universidade.pipelovers.net/m/lessons/segmento-de-servicos-dores-e-oportunidades-do-setor1769552365538?classId=3660" TargetMode="External"/><Relationship Id="rId1639" Type="http://schemas.openxmlformats.org/officeDocument/2006/relationships/hyperlink" Target="https://universidade.pipelovers.net/m/lessons/geracao-z-no-b2b-preparando-sua-equipe-para-lidar-com-novos-decisores1769552305189?classId=3027" TargetMode="External"/><Relationship Id="rId928" Type="http://schemas.openxmlformats.org/officeDocument/2006/relationships/hyperlink" Target="https://universidade.pipelovers.net/m/lessons/segmento-de-servicos-dores-e-oportunidades-do-setor1769552365538?classId=3660" TargetMode="External"/><Relationship Id="rId927" Type="http://schemas.openxmlformats.org/officeDocument/2006/relationships/hyperlink" Target="https://www.linkedin.com/in/albertolopes/" TargetMode="External"/><Relationship Id="rId926" Type="http://schemas.openxmlformats.org/officeDocument/2006/relationships/hyperlink" Target="https://drive.google.com/file/d/17j1KtaBDNlNYWRtnl4p0JplJeAFfp391/view?usp=drive_link" TargetMode="External"/><Relationship Id="rId921" Type="http://schemas.openxmlformats.org/officeDocument/2006/relationships/hyperlink" Target="https://universidade.pipelovers.net/m/lessons/mapeamento-e-influencia-no-comite-de-compras1769552365486?classId=3719" TargetMode="External"/><Relationship Id="rId920" Type="http://schemas.openxmlformats.org/officeDocument/2006/relationships/hyperlink" Target="https://universidade.pipelovers.net/m/lessons/mapeamento-e-influencia-no-comite-de-compras1769552365486?classId=3719" TargetMode="External"/><Relationship Id="rId925" Type="http://schemas.openxmlformats.org/officeDocument/2006/relationships/hyperlink" Target="https://universidade.pipelovers.net/m/lessons/recuperando-a-confianca-em-momentos-de-baixo-desempenho1769552365512?classId=3661" TargetMode="External"/><Relationship Id="rId924" Type="http://schemas.openxmlformats.org/officeDocument/2006/relationships/hyperlink" Target="https://universidade.pipelovers.net/m/lessons/recuperando-a-confianca-em-momentos-de-baixo-desempenho1769552365512?classId=3661" TargetMode="External"/><Relationship Id="rId923" Type="http://schemas.openxmlformats.org/officeDocument/2006/relationships/hyperlink" Target="https://www.linkedin.com/in/filipegbento/" TargetMode="External"/><Relationship Id="rId922" Type="http://schemas.openxmlformats.org/officeDocument/2006/relationships/hyperlink" Target="https://drive.google.com/file/d/1naf6-9vUHA4frZJ62_C3XWtNogooW9la/view?usp=drive_link" TargetMode="External"/><Relationship Id="rId1630" Type="http://schemas.openxmlformats.org/officeDocument/2006/relationships/hyperlink" Target="https://universidade.pipelovers.net/m/lessons/estrategias-para-garantir-margens-saudaveis-em-negociacoes1769552305007?classId=3286" TargetMode="External"/><Relationship Id="rId1620" Type="http://schemas.openxmlformats.org/officeDocument/2006/relationships/hyperlink" Target="https://universidade.pipelovers.net/m/lessons/planejamento-anual-de-vendas1769552304646?classId=3281" TargetMode="External"/><Relationship Id="rId1621" Type="http://schemas.openxmlformats.org/officeDocument/2006/relationships/hyperlink" Target="https://universidade.pipelovers.net/m/lessons/estrategias-de-expansao-de-receita-alinhando-produto-marketing-e-vendas1769552304724?classId=3282" TargetMode="External"/><Relationship Id="rId1622" Type="http://schemas.openxmlformats.org/officeDocument/2006/relationships/hyperlink" Target="https://universidade.pipelovers.net/m/lessons/estrategias-de-expansao-de-receita-alinhando-produto-marketing-e-vendas1769552304724?classId=3282" TargetMode="External"/><Relationship Id="rId1623" Type="http://schemas.openxmlformats.org/officeDocument/2006/relationships/hyperlink" Target="https://universidade.pipelovers.net/m/lessons/comunicacao-persuasiva-para-lideres-comerciais1769552304784?classId=3283" TargetMode="External"/><Relationship Id="rId1624" Type="http://schemas.openxmlformats.org/officeDocument/2006/relationships/hyperlink" Target="https://universidade.pipelovers.net/m/lessons/comunicacao-persuasiva-para-lideres-comerciais1769552304784?classId=3283" TargetMode="External"/><Relationship Id="rId1625" Type="http://schemas.openxmlformats.org/officeDocument/2006/relationships/hyperlink" Target="https://universidade.pipelovers.net/aulas/como-motivar-uma-equpe-de-vendas-desmotivada-1775503692564" TargetMode="External"/><Relationship Id="rId1626" Type="http://schemas.openxmlformats.org/officeDocument/2006/relationships/hyperlink" Target="https://universidade.pipelovers.net/aulas/como-motivar-uma-equpe-de-vendas-desmotivada-1775503692564" TargetMode="External"/><Relationship Id="rId1627" Type="http://schemas.openxmlformats.org/officeDocument/2006/relationships/hyperlink" Target="https://universidade.pipelovers.net/m/lessons/erros-comuns-na-definicao-do-icp-e-como-corrigi-los1769552304916?classId=3285" TargetMode="External"/><Relationship Id="rId918" Type="http://schemas.openxmlformats.org/officeDocument/2006/relationships/hyperlink" Target="https://drive.google.com/file/d/14UE-U2BLeek_Z6fJMvZUyz7L9sILQCO7/view?usp=drive_link" TargetMode="External"/><Relationship Id="rId1628" Type="http://schemas.openxmlformats.org/officeDocument/2006/relationships/hyperlink" Target="https://universidade.pipelovers.net/m/lessons/erros-comuns-na-definicao-do-icp-e-como-corrigi-los1769552304916?classId=3285" TargetMode="External"/><Relationship Id="rId917" Type="http://schemas.openxmlformats.org/officeDocument/2006/relationships/hyperlink" Target="https://universidade.pipelovers.net/m/lessons/autodidata-vendedores-aprendendo-por-conta-propria1769552365413?classId=3720" TargetMode="External"/><Relationship Id="rId1629" Type="http://schemas.openxmlformats.org/officeDocument/2006/relationships/hyperlink" Target="https://universidade.pipelovers.net/m/lessons/estrategias-para-garantir-margens-saudaveis-em-negociacoes1769552305007?classId=3286" TargetMode="External"/><Relationship Id="rId916" Type="http://schemas.openxmlformats.org/officeDocument/2006/relationships/hyperlink" Target="https://universidade.pipelovers.net/m/lessons/autodidata-vendedores-aprendendo-por-conta-propria1769552365413?classId=3720" TargetMode="External"/><Relationship Id="rId915" Type="http://schemas.openxmlformats.org/officeDocument/2006/relationships/hyperlink" Target="https://www.linkedin.com/in/izabelaguarino/" TargetMode="External"/><Relationship Id="rId919" Type="http://schemas.openxmlformats.org/officeDocument/2006/relationships/hyperlink" Target="https://www.linkedin.com/in/andrepribeiro/" TargetMode="External"/><Relationship Id="rId910" Type="http://schemas.openxmlformats.org/officeDocument/2006/relationships/hyperlink" Target="https://drive.google.com/file/d/1bx8sprQ434DbTeoZT6M8TakrAGLpfdWL/view?usp=drive_link" TargetMode="External"/><Relationship Id="rId914" Type="http://schemas.openxmlformats.org/officeDocument/2006/relationships/hyperlink" Target="https://drive.google.com/file/d/1HSLHJBczT4nYRImGdvdScHl_2NzuZ0wp/view?usp=drive_link" TargetMode="External"/><Relationship Id="rId913" Type="http://schemas.openxmlformats.org/officeDocument/2006/relationships/hyperlink" Target="https://universidade.pipelovers.net/m/lessons/tecnicas-de-organizacao-de-funil-para-previsibilidade1769552365452?classId=3721" TargetMode="External"/><Relationship Id="rId912" Type="http://schemas.openxmlformats.org/officeDocument/2006/relationships/hyperlink" Target="https://universidade.pipelovers.net/m/lessons/tecnicas-de-organizacao-de-funil-para-previsibilidade1769552365452?classId=3721" TargetMode="External"/><Relationship Id="rId911" Type="http://schemas.openxmlformats.org/officeDocument/2006/relationships/hyperlink" Target="https://www.linkedin.com/in/rodrigobeckecabral/" TargetMode="External"/><Relationship Id="rId1213" Type="http://schemas.openxmlformats.org/officeDocument/2006/relationships/hyperlink" Target="https://universidade.pipelovers.net/aulas/apresentacoes-comerciais-que-convertem-1773692006975" TargetMode="External"/><Relationship Id="rId1697" Type="http://schemas.openxmlformats.org/officeDocument/2006/relationships/hyperlink" Target="https://universidade.pipelovers.net/m/lessons/crescimento-orientado-pela-experiencia-do-cliente1769552324183?classId=3030" TargetMode="External"/><Relationship Id="rId2544" Type="http://schemas.openxmlformats.org/officeDocument/2006/relationships/hyperlink" Target="https://universidade.pipelovers.net/m/lessons/vendas-gamificadas-para-todos1769550040251?classId=3113" TargetMode="External"/><Relationship Id="rId1214" Type="http://schemas.openxmlformats.org/officeDocument/2006/relationships/hyperlink" Target="https://universidade.pipelovers.net/aulas/apresentacoes-comerciais-que-convertem-1773692006975" TargetMode="External"/><Relationship Id="rId1698" Type="http://schemas.openxmlformats.org/officeDocument/2006/relationships/hyperlink" Target="https://www.linkedin.com/in/paola-behs/" TargetMode="External"/><Relationship Id="rId2545" Type="http://schemas.openxmlformats.org/officeDocument/2006/relationships/hyperlink" Target="https://www.linkedin.com/in/rafael-apolin%C3%A1rio-598318b9/" TargetMode="External"/><Relationship Id="rId1215" Type="http://schemas.openxmlformats.org/officeDocument/2006/relationships/hyperlink" Target="https://www.linkedin.com/in/iagobraz/" TargetMode="External"/><Relationship Id="rId1699" Type="http://schemas.openxmlformats.org/officeDocument/2006/relationships/hyperlink" Target="https://universidade.pipelovers.net/m/lessons/lideranca-sob-pressao-como-manter-foco-e-equilibrio1769552324340?classId=3035" TargetMode="External"/><Relationship Id="rId2546" Type="http://schemas.openxmlformats.org/officeDocument/2006/relationships/hyperlink" Target="https://universidade.pipelovers.net/m/lessons/vender-mais-gastar-menos-planejamento-tributario-para-superar-objecoes1769550040204?classId=3114" TargetMode="External"/><Relationship Id="rId1216" Type="http://schemas.openxmlformats.org/officeDocument/2006/relationships/hyperlink" Target="https://universidade.pipelovers.net/m/lessons/metricas-que-todo-vendedor-deve-saber-e-acompanhar-1773692316042?classId=3820" TargetMode="External"/><Relationship Id="rId2547" Type="http://schemas.openxmlformats.org/officeDocument/2006/relationships/hyperlink" Target="https://universidade.pipelovers.net/m/lessons/vender-mais-gastar-menos-planejamento-tributario-para-superar-objecoes1769550040204?classId=3114" TargetMode="External"/><Relationship Id="rId1217" Type="http://schemas.openxmlformats.org/officeDocument/2006/relationships/hyperlink" Target="https://universidade.pipelovers.net/m/lessons/metricas-que-todo-vendedor-deve-saber-e-acompanhar-1773692316042?classId=3820" TargetMode="External"/><Relationship Id="rId2548" Type="http://schemas.openxmlformats.org/officeDocument/2006/relationships/hyperlink" Target="https://www.linkedin.com/in/williamcaldas/" TargetMode="External"/><Relationship Id="rId1218" Type="http://schemas.openxmlformats.org/officeDocument/2006/relationships/hyperlink" Target="https://www.linkedin.com/in/marcelopark/" TargetMode="External"/><Relationship Id="rId2549" Type="http://schemas.openxmlformats.org/officeDocument/2006/relationships/hyperlink" Target="https://universidade.pipelovers.net/m/lessons/repertorio-como-ferramenta-em-vendas-externas1769550040289?classId=3126" TargetMode="External"/><Relationship Id="rId1219" Type="http://schemas.openxmlformats.org/officeDocument/2006/relationships/hyperlink" Target="https://universidade.pipelovers.net/m/lessons/conducao-de-reunioes-presenciais-com-grandes-contas-1773693102701?classId=3822" TargetMode="External"/><Relationship Id="rId866" Type="http://schemas.openxmlformats.org/officeDocument/2006/relationships/hyperlink" Target="https://universidade.pipelovers.net/m/lessons/modelos-de-autogestao-para-vendedores1769552356266?classId=3710" TargetMode="External"/><Relationship Id="rId865" Type="http://schemas.openxmlformats.org/officeDocument/2006/relationships/hyperlink" Target="https://universidade.pipelovers.net/m/lessons/modelos-de-autogestao-para-vendedores1769552356266?classId=3710" TargetMode="External"/><Relationship Id="rId864" Type="http://schemas.openxmlformats.org/officeDocument/2006/relationships/hyperlink" Target="https://www.linkedin.com/in/leandrohirose" TargetMode="External"/><Relationship Id="rId863" Type="http://schemas.openxmlformats.org/officeDocument/2006/relationships/hyperlink" Target="https://drive.google.com/file/d/1x79t1umMzg0-igMVXLBm-5aZymaQnNYH/view?usp=drive_link" TargetMode="External"/><Relationship Id="rId869" Type="http://schemas.openxmlformats.org/officeDocument/2006/relationships/hyperlink" Target="https://universidade.pipelovers.net/m/lessons/demonstracoes-de-produto-como-escalar-e-acelerar-suas-vendas1769552356376?classId=3711" TargetMode="External"/><Relationship Id="rId868" Type="http://schemas.openxmlformats.org/officeDocument/2006/relationships/hyperlink" Target="https://www.linkedin.com/in/cassio-lopes/" TargetMode="External"/><Relationship Id="rId867" Type="http://schemas.openxmlformats.org/officeDocument/2006/relationships/hyperlink" Target="https://drive.google.com/file/d/1xr1zNDth15mYRh9CsRuijxmujQzxBKuF/view?usp=drive_link" TargetMode="External"/><Relationship Id="rId1690" Type="http://schemas.openxmlformats.org/officeDocument/2006/relationships/hyperlink" Target="https://universidade.pipelovers.net/m/lessons/email-como-canal-de-geracao-de-demanda1769552312874?classId=3032" TargetMode="External"/><Relationship Id="rId1691" Type="http://schemas.openxmlformats.org/officeDocument/2006/relationships/hyperlink" Target="https://universidade.pipelovers.net/m/lessons/email-como-canal-de-geracao-de-demanda1769552312874?classId=3032" TargetMode="External"/><Relationship Id="rId1692" Type="http://schemas.openxmlformats.org/officeDocument/2006/relationships/hyperlink" Target="https://universidade.pipelovers.net/m/lessons/escala-internacional-estrategia-comercial-e-da-marca1769552312939?classId=3033" TargetMode="External"/><Relationship Id="rId862" Type="http://schemas.openxmlformats.org/officeDocument/2006/relationships/hyperlink" Target="https://universidade.pipelovers.net/m/lessons/roadmap-to-close-para-gestao-de-forecast1769552356215?classId=3709" TargetMode="External"/><Relationship Id="rId1693" Type="http://schemas.openxmlformats.org/officeDocument/2006/relationships/hyperlink" Target="https://universidade.pipelovers.net/m/lessons/escala-internacional-estrategia-comercial-e-da-marca1769552312939?classId=3033" TargetMode="External"/><Relationship Id="rId2540" Type="http://schemas.openxmlformats.org/officeDocument/2006/relationships/hyperlink" Target="https://universidade.pipelovers.net/m/lessons/como-o-networking-gera-venda1769550040174?classId=3099" TargetMode="External"/><Relationship Id="rId861" Type="http://schemas.openxmlformats.org/officeDocument/2006/relationships/hyperlink" Target="https://universidade.pipelovers.net/m/lessons/roadmap-to-close-para-gestao-de-forecast1769552356215?classId=3709" TargetMode="External"/><Relationship Id="rId1210" Type="http://schemas.openxmlformats.org/officeDocument/2006/relationships/hyperlink" Target="https://universidade.pipelovers.net/aulas/tecnicas-de-negociacao-de-preco-e-desconto-1773691593549" TargetMode="External"/><Relationship Id="rId1694" Type="http://schemas.openxmlformats.org/officeDocument/2006/relationships/hyperlink" Target="https://universidade.pipelovers.net/m/lessons/como-construir-autoridade-e-confianca-com-contas-estrategicas1769552313019?classId=3034" TargetMode="External"/><Relationship Id="rId2541" Type="http://schemas.openxmlformats.org/officeDocument/2006/relationships/hyperlink" Target="https://universidade.pipelovers.net/m/lessons/como-o-networking-gera-venda1769550040174?classId=3099" TargetMode="External"/><Relationship Id="rId860" Type="http://schemas.openxmlformats.org/officeDocument/2006/relationships/hyperlink" Target="https://www.linkedin.com/in/manoelamitchell/" TargetMode="External"/><Relationship Id="rId1211" Type="http://schemas.openxmlformats.org/officeDocument/2006/relationships/hyperlink" Target="https://universidade.pipelovers.net/aulas/tecnicas-de-negociacao-de-preco-e-desconto-1773691593549" TargetMode="External"/><Relationship Id="rId1695" Type="http://schemas.openxmlformats.org/officeDocument/2006/relationships/hyperlink" Target="https://universidade.pipelovers.net/m/lessons/como-construir-autoridade-e-confianca-com-contas-estrategicas1769552313019?classId=3034" TargetMode="External"/><Relationship Id="rId2542" Type="http://schemas.openxmlformats.org/officeDocument/2006/relationships/hyperlink" Target="https://www.linkedin.com/in/felipeplay2sell/" TargetMode="External"/><Relationship Id="rId1212" Type="http://schemas.openxmlformats.org/officeDocument/2006/relationships/hyperlink" Target="https://www.linkedin.com/in/profile-lucasalves/" TargetMode="External"/><Relationship Id="rId1696" Type="http://schemas.openxmlformats.org/officeDocument/2006/relationships/hyperlink" Target="https://universidade.pipelovers.net/m/lessons/crescimento-orientado-pela-experiencia-do-cliente1769552324183?classId=3030" TargetMode="External"/><Relationship Id="rId2543" Type="http://schemas.openxmlformats.org/officeDocument/2006/relationships/hyperlink" Target="https://universidade.pipelovers.net/m/lessons/vendas-gamificadas-para-todos1769550040251?classId=3113" TargetMode="External"/><Relationship Id="rId1202" Type="http://schemas.openxmlformats.org/officeDocument/2006/relationships/hyperlink" Target="https://universidade.pipelovers.net/m/lessons/boas-praticas-para-ciclos-de-vendas-longos-1773689974457?classId=3813" TargetMode="External"/><Relationship Id="rId1686" Type="http://schemas.openxmlformats.org/officeDocument/2006/relationships/hyperlink" Target="https://universidade.pipelovers.net/m/lessons/inbound-na-pratica-estruturando-sua-maquina-de-vendas1769552312732?classId=3307" TargetMode="External"/><Relationship Id="rId2533" Type="http://schemas.openxmlformats.org/officeDocument/2006/relationships/hyperlink" Target="https://www.linkedin.com/in/adrianojeremias/" TargetMode="External"/><Relationship Id="rId1203" Type="http://schemas.openxmlformats.org/officeDocument/2006/relationships/hyperlink" Target="https://universidade.pipelovers.net/m/lessons/boas-praticas-para-ciclos-de-vendas-longos-1773689974457?classId=3813" TargetMode="External"/><Relationship Id="rId1687" Type="http://schemas.openxmlformats.org/officeDocument/2006/relationships/hyperlink" Target="https://universidade.pipelovers.net/m/lessons/inbound-na-pratica-estruturando-sua-maquina-de-vendas1769552312732?classId=3307" TargetMode="External"/><Relationship Id="rId2534" Type="http://schemas.openxmlformats.org/officeDocument/2006/relationships/hyperlink" Target="https://universidade.pipelovers.net/m/lessons/lideres-que-se-conectam-rendem-mais1769550040105?classId=3092" TargetMode="External"/><Relationship Id="rId1204" Type="http://schemas.openxmlformats.org/officeDocument/2006/relationships/hyperlink" Target="https://www.linkedin.com/in/joaoruffo/" TargetMode="External"/><Relationship Id="rId1688" Type="http://schemas.openxmlformats.org/officeDocument/2006/relationships/hyperlink" Target="https://universidade.pipelovers.net/m/lessons/indicadores-financeiros-que-todo-gestor-de-vendas-precisa-saber1769552312810?classId=3031" TargetMode="External"/><Relationship Id="rId2535" Type="http://schemas.openxmlformats.org/officeDocument/2006/relationships/hyperlink" Target="https://universidade.pipelovers.net/m/lessons/lideres-que-se-conectam-rendem-mais1769550040105?classId=3092" TargetMode="External"/><Relationship Id="rId1205" Type="http://schemas.openxmlformats.org/officeDocument/2006/relationships/hyperlink" Target="https://universidade.pipelovers.net/m/lessons/produtividade-em-vendas-como-priorizar-o-que-gera-resultado-1773690571961?classId=3846" TargetMode="External"/><Relationship Id="rId1689" Type="http://schemas.openxmlformats.org/officeDocument/2006/relationships/hyperlink" Target="https://universidade.pipelovers.net/m/lessons/indicadores-financeiros-que-todo-gestor-de-vendas-precisa-saber1769552312810?classId=3031" TargetMode="External"/><Relationship Id="rId2536" Type="http://schemas.openxmlformats.org/officeDocument/2006/relationships/hyperlink" Target="https://www.linkedin.com/in/mauriciogimenesoficial/" TargetMode="External"/><Relationship Id="rId1206" Type="http://schemas.openxmlformats.org/officeDocument/2006/relationships/hyperlink" Target="https://universidade.pipelovers.net/m/lessons/produtividade-em-vendas-como-priorizar-o-que-gera-resultado-1773690571961?classId=3846" TargetMode="External"/><Relationship Id="rId2537" Type="http://schemas.openxmlformats.org/officeDocument/2006/relationships/hyperlink" Target="https://universidade.pipelovers.net/m/lessons/ciberseguranca-como-diferencial-de-vendas1769550040145?classId=3096" TargetMode="External"/><Relationship Id="rId1207" Type="http://schemas.openxmlformats.org/officeDocument/2006/relationships/hyperlink" Target="https://www.linkedin.com/in/oswaldogarcianeto/" TargetMode="External"/><Relationship Id="rId2538" Type="http://schemas.openxmlformats.org/officeDocument/2006/relationships/hyperlink" Target="https://universidade.pipelovers.net/m/lessons/ciberseguranca-como-diferencial-de-vendas1769550040145?classId=3096" TargetMode="External"/><Relationship Id="rId1208" Type="http://schemas.openxmlformats.org/officeDocument/2006/relationships/hyperlink" Target="https://universidade.pipelovers.net/m/lessons/vendendo-para-cfo-como-estruturar-proposta-discurso-e-numeros-1773691169853" TargetMode="External"/><Relationship Id="rId2539" Type="http://schemas.openxmlformats.org/officeDocument/2006/relationships/hyperlink" Target="https://www.linkedin.com/in/leonardocoelhooficial/" TargetMode="External"/><Relationship Id="rId1209" Type="http://schemas.openxmlformats.org/officeDocument/2006/relationships/hyperlink" Target="https://www.linkedin.com/in/sandroivo/" TargetMode="External"/><Relationship Id="rId855" Type="http://schemas.openxmlformats.org/officeDocument/2006/relationships/hyperlink" Target="https://drive.google.com/file/d/1RjjP9B88bbLkEC57JF4u2jumRMey9ExQ/view?usp=drive_link" TargetMode="External"/><Relationship Id="rId854" Type="http://schemas.openxmlformats.org/officeDocument/2006/relationships/hyperlink" Target="https://universidade.pipelovers.net/m/lessons/como-virar-a-chave-de-uma-venda-transacional-para-uma-relacional1769552356033?classId=3013" TargetMode="External"/><Relationship Id="rId853" Type="http://schemas.openxmlformats.org/officeDocument/2006/relationships/hyperlink" Target="https://universidade.pipelovers.net/m/lessons/como-virar-a-chave-de-uma-venda-transacional-para-uma-relacional1769552356033?classId=3013" TargetMode="External"/><Relationship Id="rId852" Type="http://schemas.openxmlformats.org/officeDocument/2006/relationships/hyperlink" Target="https://www.linkedin.com/in/ronanmaia/" TargetMode="External"/><Relationship Id="rId859" Type="http://schemas.openxmlformats.org/officeDocument/2006/relationships/hyperlink" Target="https://drive.google.com/file/d/1jXPmcCbMvmkkzlymGaD5el7JGcriBzbH/view?usp=drive_link" TargetMode="External"/><Relationship Id="rId858" Type="http://schemas.openxmlformats.org/officeDocument/2006/relationships/hyperlink" Target="https://universidade.pipelovers.net/m/lessons/como-vender-para-o-chro1769552356129?classId=3014" TargetMode="External"/><Relationship Id="rId857" Type="http://schemas.openxmlformats.org/officeDocument/2006/relationships/hyperlink" Target="https://universidade.pipelovers.net/m/lessons/como-vender-para-o-chro1769552356129?classId=3014" TargetMode="External"/><Relationship Id="rId856" Type="http://schemas.openxmlformats.org/officeDocument/2006/relationships/hyperlink" Target="https://www.linkedin.com/in/felipe-f-ceitlin-122653124/" TargetMode="External"/><Relationship Id="rId1680" Type="http://schemas.openxmlformats.org/officeDocument/2006/relationships/hyperlink" Target="http://elephan.ai" TargetMode="External"/><Relationship Id="rId1681" Type="http://schemas.openxmlformats.org/officeDocument/2006/relationships/hyperlink" Target="https://www.linkedin.com/in/thais-sterenberg-de-oliveira/" TargetMode="External"/><Relationship Id="rId851" Type="http://schemas.openxmlformats.org/officeDocument/2006/relationships/hyperlink" Target="https://drive.google.com/file/d/1jHV9oZLFY_o6g1B2fetonL54B-S8h8yX/view?usp=drive_link" TargetMode="External"/><Relationship Id="rId1682" Type="http://schemas.openxmlformats.org/officeDocument/2006/relationships/hyperlink" Target="https://universidade.pipelovers.net/m/lessons/como-identificar-e-escalar-os-padroes-dos-melhores-vendedores1769552312590?classId=3490" TargetMode="External"/><Relationship Id="rId850" Type="http://schemas.openxmlformats.org/officeDocument/2006/relationships/hyperlink" Target="https://universidade.pipelovers.net/m/lessons/varejo-dores-e-oportunidades-do-setor1769552355983?classId=3012" TargetMode="External"/><Relationship Id="rId1683" Type="http://schemas.openxmlformats.org/officeDocument/2006/relationships/hyperlink" Target="https://universidade.pipelovers.net/m/lessons/como-identificar-e-escalar-os-padroes-dos-melhores-vendedores1769552312590?classId=3490" TargetMode="External"/><Relationship Id="rId2530" Type="http://schemas.openxmlformats.org/officeDocument/2006/relationships/hyperlink" Target="https://www.linkedin.com/in/joao-eduardo-silva-neto-22202225/" TargetMode="External"/><Relationship Id="rId1200" Type="http://schemas.openxmlformats.org/officeDocument/2006/relationships/hyperlink" Target="https://universidade.pipelovers.net/m/lessons/como-vender-tecnologia-e-inovacao-para-o-setor-publico-1773692216685?classId=3821" TargetMode="External"/><Relationship Id="rId1684" Type="http://schemas.openxmlformats.org/officeDocument/2006/relationships/hyperlink" Target="https://universidade.pipelovers.net/m/lessons/rituais-regras-e-processos-como-criar-uma-cultura-de-vendas-forte1769552312672?classId=3306" TargetMode="External"/><Relationship Id="rId2531" Type="http://schemas.openxmlformats.org/officeDocument/2006/relationships/hyperlink" Target="https://universidade.pipelovers.net/m/lessons/talento-tecnico-sucesso-comercial-a-nova-era-de-vendas1769550040078?classId=3736" TargetMode="External"/><Relationship Id="rId1201" Type="http://schemas.openxmlformats.org/officeDocument/2006/relationships/hyperlink" Target="https://www.linkedin.com/in/roberto-prik/" TargetMode="External"/><Relationship Id="rId1685" Type="http://schemas.openxmlformats.org/officeDocument/2006/relationships/hyperlink" Target="https://universidade.pipelovers.net/m/lessons/rituais-regras-e-processos-como-criar-uma-cultura-de-vendas-forte1769552312672?classId=3306" TargetMode="External"/><Relationship Id="rId2532" Type="http://schemas.openxmlformats.org/officeDocument/2006/relationships/hyperlink" Target="https://universidade.pipelovers.net/m/lessons/talento-tecnico-sucesso-comercial-a-nova-era-de-vendas1769550040078?classId=3736" TargetMode="External"/><Relationship Id="rId1235" Type="http://schemas.openxmlformats.org/officeDocument/2006/relationships/hyperlink" Target="https://universidade.pipelovers.net/m/lessons/erros-comuns-em-pitch-de-vendas-1777407944522?moduleId=1385&amp;classId=3964" TargetMode="External"/><Relationship Id="rId2566" Type="http://schemas.openxmlformats.org/officeDocument/2006/relationships/hyperlink" Target="https://www.linkedin.com/in/ronaldonunes/" TargetMode="External"/><Relationship Id="rId1236" Type="http://schemas.openxmlformats.org/officeDocument/2006/relationships/hyperlink" Target="https://www.linkedin.com/in/hervandil/" TargetMode="External"/><Relationship Id="rId2567" Type="http://schemas.openxmlformats.org/officeDocument/2006/relationships/hyperlink" Target="https://universidade.pipelovers.net/m/lessons/spin-selling-como-voce-nunca-viu-o-poder-das-perguntas-para-fechar-mais-negocios1769550040506?classId=3171" TargetMode="External"/><Relationship Id="rId1237" Type="http://schemas.openxmlformats.org/officeDocument/2006/relationships/hyperlink" Target="https://universidade.pipelovers.net/m/lessons/como-identificar-oportunidades-de-expansao-em-clientes-da-carteira-1779133546181?moduleId=1421&amp;classId=4007" TargetMode="External"/><Relationship Id="rId2568" Type="http://schemas.openxmlformats.org/officeDocument/2006/relationships/hyperlink" Target="https://universidade.pipelovers.net/m/lessons/spin-selling-como-voce-nunca-viu-o-poder-das-perguntas-para-fechar-mais-negocios1769550040506?classId=3171" TargetMode="External"/><Relationship Id="rId1238" Type="http://schemas.openxmlformats.org/officeDocument/2006/relationships/hyperlink" Target="https://www.linkedin.com/in/eduarda-dionisio/" TargetMode="External"/><Relationship Id="rId2569" Type="http://schemas.openxmlformats.org/officeDocument/2006/relationships/hyperlink" Target="http://linkedin.com/in/wiliamcomissario/" TargetMode="External"/><Relationship Id="rId1239" Type="http://schemas.openxmlformats.org/officeDocument/2006/relationships/hyperlink" Target="https://universidade.pipelovers.net/m/lessons/estrategias-para-cultivar-relacionamentos-com-clientes-e-gerar-novas-oportunidades-1778509762753?moduleId=1408&amp;classId=3994" TargetMode="External"/><Relationship Id="rId409" Type="http://schemas.openxmlformats.org/officeDocument/2006/relationships/hyperlink" Target="https://universidade.pipelovers.net/m/lessons/pmes-x-enterprise-qual-estrategia-mais-funciona-para-cada-um1772542661808?classId=3767" TargetMode="External"/><Relationship Id="rId404" Type="http://schemas.openxmlformats.org/officeDocument/2006/relationships/hyperlink" Target="https://universidade.pipelovers.net/m/lessons/planejamento-e-organizacao-para-bater-a-meta1769552066254?classId=3567" TargetMode="External"/><Relationship Id="rId888" Type="http://schemas.openxmlformats.org/officeDocument/2006/relationships/hyperlink" Target="https://www.linkedin.com/in/maur%C3%ADcio-pagotto-278b1959/" TargetMode="External"/><Relationship Id="rId403" Type="http://schemas.openxmlformats.org/officeDocument/2006/relationships/hyperlink" Target="https://universidade.pipelovers.net/m/lessons/planejamento-e-organizacao-para-bater-a-meta1769552066254?classId=3567" TargetMode="External"/><Relationship Id="rId887" Type="http://schemas.openxmlformats.org/officeDocument/2006/relationships/hyperlink" Target="https://drive.google.com/file/d/18Kzwl00KhII0emWkHAJjVV4Xg9GSI6LO/view?usp=drive_link" TargetMode="External"/><Relationship Id="rId402" Type="http://schemas.openxmlformats.org/officeDocument/2006/relationships/hyperlink" Target="https://www.linkedin.com/in/lucianotomazi/" TargetMode="External"/><Relationship Id="rId886" Type="http://schemas.openxmlformats.org/officeDocument/2006/relationships/hyperlink" Target="https://universidade.pipelovers.net/m/lessons/como-vender-para-o-cfo1769552365068?classId=3708" TargetMode="External"/><Relationship Id="rId401" Type="http://schemas.openxmlformats.org/officeDocument/2006/relationships/hyperlink" Target="https://universidade.pipelovers.net/m/lessons/copy-com-persuasao1769552063314?classId=3564" TargetMode="External"/><Relationship Id="rId885" Type="http://schemas.openxmlformats.org/officeDocument/2006/relationships/hyperlink" Target="https://universidade.pipelovers.net/m/lessons/como-vender-para-o-cfo1769552365068?classId=3708" TargetMode="External"/><Relationship Id="rId408" Type="http://schemas.openxmlformats.org/officeDocument/2006/relationships/hyperlink" Target="https://www.linkedin.com/in/kalilekm/" TargetMode="External"/><Relationship Id="rId407" Type="http://schemas.openxmlformats.org/officeDocument/2006/relationships/hyperlink" Target="https://universidade.pipelovers.net/m/lessons/cold-calling-sucks-dicas-do-livro-para-perder-o-medo-e-fazer-ligacoes1769552066326?classId=3566" TargetMode="External"/><Relationship Id="rId406" Type="http://schemas.openxmlformats.org/officeDocument/2006/relationships/hyperlink" Target="https://universidade.pipelovers.net/m/lessons/cold-calling-sucks-dicas-do-livro-para-perder-o-medo-e-fazer-ligacoes1769552066326?classId=3566" TargetMode="External"/><Relationship Id="rId405" Type="http://schemas.openxmlformats.org/officeDocument/2006/relationships/hyperlink" Target="https://www.linkedin.com/in/fernanda3garcia/" TargetMode="External"/><Relationship Id="rId889" Type="http://schemas.openxmlformats.org/officeDocument/2006/relationships/hyperlink" Target="https://universidade.pipelovers.net/m/lessons/agronegocio-dores-e-oportunidades-do-setor1769552365094?classId=3715" TargetMode="External"/><Relationship Id="rId880" Type="http://schemas.openxmlformats.org/officeDocument/2006/relationships/hyperlink" Target="https://www.linkedin.com/in/billmoraes/" TargetMode="External"/><Relationship Id="rId2560" Type="http://schemas.openxmlformats.org/officeDocument/2006/relationships/hyperlink" Target="https://www.linkedin.com/in/matheusqcosta/" TargetMode="External"/><Relationship Id="rId1230" Type="http://schemas.openxmlformats.org/officeDocument/2006/relationships/hyperlink" Target="https://www.linkedin.com/in/coelhofarc/" TargetMode="External"/><Relationship Id="rId2561" Type="http://schemas.openxmlformats.org/officeDocument/2006/relationships/hyperlink" Target="https://universidade.pipelovers.net/m/lessons/produtividade-em-vendas1769550040416?classId=3133" TargetMode="External"/><Relationship Id="rId400" Type="http://schemas.openxmlformats.org/officeDocument/2006/relationships/hyperlink" Target="https://universidade.pipelovers.net/m/lessons/copy-com-persuasao1769552063314?classId=3564" TargetMode="External"/><Relationship Id="rId884" Type="http://schemas.openxmlformats.org/officeDocument/2006/relationships/hyperlink" Target="https://www.linkedin.com/in/mafra/" TargetMode="External"/><Relationship Id="rId1231" Type="http://schemas.openxmlformats.org/officeDocument/2006/relationships/hyperlink" Target="https://universidade.pipelovers.net/m/lessons/metodologia-avancada-de-vendas-consultivas-1779479481188?classId=4013" TargetMode="External"/><Relationship Id="rId2562" Type="http://schemas.openxmlformats.org/officeDocument/2006/relationships/hyperlink" Target="https://universidade.pipelovers.net/m/lessons/produtividade-em-vendas1769550040416?classId=3133" TargetMode="External"/><Relationship Id="rId883" Type="http://schemas.openxmlformats.org/officeDocument/2006/relationships/hyperlink" Target="https://drive.google.com/file/d/1r70MAVICPsEeAWM4wGGMC4ocf3R9DBCR/view?usp=drive_link" TargetMode="External"/><Relationship Id="rId1232" Type="http://schemas.openxmlformats.org/officeDocument/2006/relationships/hyperlink" Target="https://universidade.pipelovers.net/m/lessons/metodologia-avancada-de-vendas-consultivas-1779479481188?classId=4013" TargetMode="External"/><Relationship Id="rId2563" Type="http://schemas.openxmlformats.org/officeDocument/2006/relationships/hyperlink" Target="https://www.linkedin.com/in/danilokonrad/" TargetMode="External"/><Relationship Id="rId882" Type="http://schemas.openxmlformats.org/officeDocument/2006/relationships/hyperlink" Target="https://universidade.pipelovers.net/m/lessons/aprendendo-na-pratica-em-eventos-presenciais1769552365337?classId=3714" TargetMode="External"/><Relationship Id="rId1233" Type="http://schemas.openxmlformats.org/officeDocument/2006/relationships/hyperlink" Target="https://www.linkedin.com/in/gabrielceccatto/" TargetMode="External"/><Relationship Id="rId2564" Type="http://schemas.openxmlformats.org/officeDocument/2006/relationships/hyperlink" Target="https://universidade.pipelovers.net/m/lessons/mao-na-massa-com-ia-aumente-suas-conversoes-e-escale-suas-vendas-outbound1769550040446?classId=3153" TargetMode="External"/><Relationship Id="rId881" Type="http://schemas.openxmlformats.org/officeDocument/2006/relationships/hyperlink" Target="https://universidade.pipelovers.net/m/lessons/aprendendo-na-pratica-em-eventos-presenciais1769552365337?classId=3714" TargetMode="External"/><Relationship Id="rId1234" Type="http://schemas.openxmlformats.org/officeDocument/2006/relationships/hyperlink" Target="https://universidade.pipelovers.net/m/lessons/erros-comuns-em-pitch-de-vendas-1777407944522?moduleId=1385&amp;classId=3964" TargetMode="External"/><Relationship Id="rId2565" Type="http://schemas.openxmlformats.org/officeDocument/2006/relationships/hyperlink" Target="https://universidade.pipelovers.net/m/lessons/mao-na-massa-com-ia-aumente-suas-conversoes-e-escale-suas-vendas-outbound1769550040446?classId=3153" TargetMode="External"/><Relationship Id="rId1224" Type="http://schemas.openxmlformats.org/officeDocument/2006/relationships/hyperlink" Target="https://www.linkedin.com/in/fredjunco/" TargetMode="External"/><Relationship Id="rId2555" Type="http://schemas.openxmlformats.org/officeDocument/2006/relationships/hyperlink" Target="https://universidade.pipelovers.net/m/lessons/como-o-marketing-conversacional-vai-impactar-seus-resultados-de-vendas-em-20251769550040347?classId=3129" TargetMode="External"/><Relationship Id="rId1225" Type="http://schemas.openxmlformats.org/officeDocument/2006/relationships/hyperlink" Target="https://universidade.pipelovers.net/m/lessons/como-aprofundar-o-diagnostico-na-primeira-conversa-1777320853661?classId=3961" TargetMode="External"/><Relationship Id="rId2556" Type="http://schemas.openxmlformats.org/officeDocument/2006/relationships/hyperlink" Target="https://universidade.pipelovers.net/m/lessons/como-o-marketing-conversacional-vai-impactar-seus-resultados-de-vendas-em-20251769550040347?classId=3129" TargetMode="External"/><Relationship Id="rId1226" Type="http://schemas.openxmlformats.org/officeDocument/2006/relationships/hyperlink" Target="https://universidade.pipelovers.net/m/lessons/como-aprofundar-o-diagnostico-na-primeira-conversa-1777320853661?classId=3961" TargetMode="External"/><Relationship Id="rId2557" Type="http://schemas.openxmlformats.org/officeDocument/2006/relationships/hyperlink" Target="https://www.linkedin.com/in/bonaroti/" TargetMode="External"/><Relationship Id="rId1227" Type="http://schemas.openxmlformats.org/officeDocument/2006/relationships/hyperlink" Target="https://www.linkedin.com/in/sidimar-sagaz/" TargetMode="External"/><Relationship Id="rId2558" Type="http://schemas.openxmlformats.org/officeDocument/2006/relationships/hyperlink" Target="https://universidade.pipelovers.net/m/lessons/voce-trabalha-bem-em-equipe1769550040377?classId=3131" TargetMode="External"/><Relationship Id="rId1228" Type="http://schemas.openxmlformats.org/officeDocument/2006/relationships/hyperlink" Target="https://universidade.pipelovers.net/m/lessons/networking-para-se-tornar-referencia-no-seu-mercado-1773947210529?classId=3841" TargetMode="External"/><Relationship Id="rId2559" Type="http://schemas.openxmlformats.org/officeDocument/2006/relationships/hyperlink" Target="https://universidade.pipelovers.net/m/lessons/voce-trabalha-bem-em-equipe1769550040377?classId=3131" TargetMode="External"/><Relationship Id="rId1229" Type="http://schemas.openxmlformats.org/officeDocument/2006/relationships/hyperlink" Target="https://universidade.pipelovers.net/m/lessons/networking-para-se-tornar-referencia-no-seu-mercado-1773947210529?classId=3841" TargetMode="External"/><Relationship Id="rId877" Type="http://schemas.openxmlformats.org/officeDocument/2006/relationships/hyperlink" Target="https://universidade.pipelovers.net/m/lessons/as-4-disciplinas-da-execucao-4dx1769552364686?classId=3713" TargetMode="External"/><Relationship Id="rId876" Type="http://schemas.openxmlformats.org/officeDocument/2006/relationships/hyperlink" Target="https://www.linkedin.com/in/marcelo-zeferino-a9422837/" TargetMode="External"/><Relationship Id="rId875" Type="http://schemas.openxmlformats.org/officeDocument/2006/relationships/hyperlink" Target="https://drive.google.com/file/d/1T9RUzBn9OsdPBI4rWcX7ytuqeha4J05G/view?usp=drive_link" TargetMode="External"/><Relationship Id="rId874" Type="http://schemas.openxmlformats.org/officeDocument/2006/relationships/hyperlink" Target="https://universidade.pipelovers.net/m/lessons/como-fugir-da-guerra-de-precos-com-concorrentes1769552365255?classId=3712" TargetMode="External"/><Relationship Id="rId879" Type="http://schemas.openxmlformats.org/officeDocument/2006/relationships/hyperlink" Target="https://drive.google.com/file/d/1q8i1EFZ-dj4-FjpGIb4Vs_0aFqN0SFtI/view?usp=drive_link" TargetMode="External"/><Relationship Id="rId878" Type="http://schemas.openxmlformats.org/officeDocument/2006/relationships/hyperlink" Target="https://universidade.pipelovers.net/m/lessons/as-4-disciplinas-da-execucao-4dx1769552364686?classId=3713" TargetMode="External"/><Relationship Id="rId2550" Type="http://schemas.openxmlformats.org/officeDocument/2006/relationships/hyperlink" Target="https://universidade.pipelovers.net/m/lessons/repertorio-como-ferramenta-em-vendas-externas1769550040289?classId=3126" TargetMode="External"/><Relationship Id="rId873" Type="http://schemas.openxmlformats.org/officeDocument/2006/relationships/hyperlink" Target="https://universidade.pipelovers.net/m/lessons/como-fugir-da-guerra-de-precos-com-concorrentes1769552365255?classId=3712" TargetMode="External"/><Relationship Id="rId1220" Type="http://schemas.openxmlformats.org/officeDocument/2006/relationships/hyperlink" Target="https://universidade.pipelovers.net/m/lessons/conducao-de-reunioes-presenciais-com-grandes-contas-1773693102701?classId=3822" TargetMode="External"/><Relationship Id="rId2551" Type="http://schemas.openxmlformats.org/officeDocument/2006/relationships/hyperlink" Target="https://www.linkedin.com/in/igorbatista/" TargetMode="External"/><Relationship Id="rId872" Type="http://schemas.openxmlformats.org/officeDocument/2006/relationships/hyperlink" Target="https://www.linkedin.com/in/vitor-ramos-pereira-oliveira/" TargetMode="External"/><Relationship Id="rId1221" Type="http://schemas.openxmlformats.org/officeDocument/2006/relationships/hyperlink" Target="https://www.linkedin.com/in/jessicabosco/" TargetMode="External"/><Relationship Id="rId2552" Type="http://schemas.openxmlformats.org/officeDocument/2006/relationships/hyperlink" Target="https://universidade.pipelovers.net/m/lessons/agentes-de-ia-para-aumentar-a-produtividade-do-comercial1769550040318?classId=3128" TargetMode="External"/><Relationship Id="rId871" Type="http://schemas.openxmlformats.org/officeDocument/2006/relationships/hyperlink" Target="https://drive.google.com/file/d/1Fqs2FUWUiNLg-FnN-rbovLQwZHFMKpVv/view?usp=drive_link" TargetMode="External"/><Relationship Id="rId1222" Type="http://schemas.openxmlformats.org/officeDocument/2006/relationships/hyperlink" Target="https://universidade.pipelovers.net/m/lessons/tecnicas-de-rapport-para-prospecao-1777489239231?classId=3965" TargetMode="External"/><Relationship Id="rId2553" Type="http://schemas.openxmlformats.org/officeDocument/2006/relationships/hyperlink" Target="https://universidade.pipelovers.net/m/lessons/agentes-de-ia-para-aumentar-a-produtividade-do-comercial1769550040318?classId=3128" TargetMode="External"/><Relationship Id="rId870" Type="http://schemas.openxmlformats.org/officeDocument/2006/relationships/hyperlink" Target="https://universidade.pipelovers.net/m/lessons/demonstracoes-de-produto-como-escalar-e-acelerar-suas-vendas1769552356376?classId=3711" TargetMode="External"/><Relationship Id="rId1223" Type="http://schemas.openxmlformats.org/officeDocument/2006/relationships/hyperlink" Target="https://universidade.pipelovers.net/m/lessons/tecnicas-de-rapport-para-prospecao-1777489239231?classId=3965" TargetMode="External"/><Relationship Id="rId2554" Type="http://schemas.openxmlformats.org/officeDocument/2006/relationships/hyperlink" Target="https://www.linkedin.com/in/maucirnascimento/" TargetMode="External"/><Relationship Id="rId1653" Type="http://schemas.openxmlformats.org/officeDocument/2006/relationships/hyperlink" Target="https://universidade.pipelovers.net/m/lessons/funil-de-vendas-eficiente-passo-a-passo-para-estruturacao1769552305506?classId=3291" TargetMode="External"/><Relationship Id="rId2500" Type="http://schemas.openxmlformats.org/officeDocument/2006/relationships/hyperlink" Target="https://www.linkedin.com/in/marcelomafra/" TargetMode="External"/><Relationship Id="rId1654" Type="http://schemas.openxmlformats.org/officeDocument/2006/relationships/hyperlink" Target="https://www.linkedin.com/in/carol-deberaldini-21793442/" TargetMode="External"/><Relationship Id="rId2501" Type="http://schemas.openxmlformats.org/officeDocument/2006/relationships/hyperlink" Target="https://universidade.pipelovers.net/m/lessons/a-triade-da-competencia-em-vendas-tcv-conhecimento-habilidade-e-atitude1769550039661?classId=3726" TargetMode="External"/><Relationship Id="rId1655" Type="http://schemas.openxmlformats.org/officeDocument/2006/relationships/hyperlink" Target="https://universidade.pipelovers.net/m/lessons/como-fazer-11-reunioes-individuais-de-acompanhamento-com-seu-time1769552305573?classId=3292" TargetMode="External"/><Relationship Id="rId2502" Type="http://schemas.openxmlformats.org/officeDocument/2006/relationships/hyperlink" Target="https://universidade.pipelovers.net/m/lessons/a-triade-da-competencia-em-vendas-tcv-conhecimento-habilidade-e-atitude1769550039661?classId=3726" TargetMode="External"/><Relationship Id="rId1656" Type="http://schemas.openxmlformats.org/officeDocument/2006/relationships/hyperlink" Target="https://universidade.pipelovers.net/m/lessons/como-fazer-11-reunioes-individuais-de-acompanhamento-com-seu-time1769552305573?classId=3292" TargetMode="External"/><Relationship Id="rId2503" Type="http://schemas.openxmlformats.org/officeDocument/2006/relationships/hyperlink" Target="https://www.linkedin.com/in/felipe-traina/" TargetMode="External"/><Relationship Id="rId1657" Type="http://schemas.openxmlformats.org/officeDocument/2006/relationships/hyperlink" Target="https://universidade.pipelovers.net/m/lessons/como-a-ia-pode-facilitar-a-vida-de-um-gerente-de-vendas1769552305633?classId=3293" TargetMode="External"/><Relationship Id="rId2504" Type="http://schemas.openxmlformats.org/officeDocument/2006/relationships/hyperlink" Target="https://universidade.pipelovers.net/aulas/como-gerar-mais-oportunidades-utilizando-um-fluxo-de-cadencias-na-prospeccao-1775815685794" TargetMode="External"/><Relationship Id="rId1658" Type="http://schemas.openxmlformats.org/officeDocument/2006/relationships/hyperlink" Target="https://universidade.pipelovers.net/m/lessons/como-a-ia-pode-facilitar-a-vida-de-um-gerente-de-vendas1769552305633?classId=3293" TargetMode="External"/><Relationship Id="rId2505" Type="http://schemas.openxmlformats.org/officeDocument/2006/relationships/hyperlink" Target="https://universidade.pipelovers.net/aulas/como-gerar-mais-oportunidades-utilizando-um-fluxo-de-cadencias-na-prospeccao-1775815685794" TargetMode="External"/><Relationship Id="rId1659" Type="http://schemas.openxmlformats.org/officeDocument/2006/relationships/hyperlink" Target="https://www.linkedin.com/in/rafaelalexandre/" TargetMode="External"/><Relationship Id="rId2506" Type="http://schemas.openxmlformats.org/officeDocument/2006/relationships/hyperlink" Target="https://www.linkedin.com/in/marcelobaratella/" TargetMode="External"/><Relationship Id="rId2507" Type="http://schemas.openxmlformats.org/officeDocument/2006/relationships/hyperlink" Target="https://universidade.pipelovers.net/m/lessons/vendedorismo-como-potencializar-a-auto-performance-das-suas-vendas1769550039791?classId=3728" TargetMode="External"/><Relationship Id="rId2508" Type="http://schemas.openxmlformats.org/officeDocument/2006/relationships/hyperlink" Target="https://universidade.pipelovers.net/m/lessons/vendedorismo-como-potencializar-a-auto-performance-das-suas-vendas1769550039791?classId=3728" TargetMode="External"/><Relationship Id="rId829" Type="http://schemas.openxmlformats.org/officeDocument/2006/relationships/hyperlink" Target="https://universidade.pipelovers.net/m/lessons/desvendando-a-cadeia-de-valor-do-cliente1769552355447?classId=3008" TargetMode="External"/><Relationship Id="rId2509" Type="http://schemas.openxmlformats.org/officeDocument/2006/relationships/hyperlink" Target="https://www.linkedin.com/in/giseletacchi/" TargetMode="External"/><Relationship Id="rId828" Type="http://schemas.openxmlformats.org/officeDocument/2006/relationships/hyperlink" Target="https://www.linkedin.com/in/-vitor-ramos/" TargetMode="External"/><Relationship Id="rId827" Type="http://schemas.openxmlformats.org/officeDocument/2006/relationships/hyperlink" Target="https://drive.google.com/file/d/1xGOiPM5v1oPLw8y7jxt2hzM7Rxnal34X/view?usp=drive_link" TargetMode="External"/><Relationship Id="rId822" Type="http://schemas.openxmlformats.org/officeDocument/2006/relationships/hyperlink" Target="https://universidade.pipelovers.net/m/lessons/como-vender-para-o-cto1769552355238?classId=2996" TargetMode="External"/><Relationship Id="rId821" Type="http://schemas.openxmlformats.org/officeDocument/2006/relationships/hyperlink" Target="https://universidade.pipelovers.net/m/lessons/como-vender-para-o-cto1769552355238?classId=2996" TargetMode="External"/><Relationship Id="rId820" Type="http://schemas.openxmlformats.org/officeDocument/2006/relationships/hyperlink" Target="https://www.linkedin.com/in/vanessatiba/" TargetMode="External"/><Relationship Id="rId826" Type="http://schemas.openxmlformats.org/officeDocument/2006/relationships/hyperlink" Target="https://universidade.pipelovers.net/m/lessons/pdi-plano-de-desenvolvimento-individual1769552355308?classId=2995" TargetMode="External"/><Relationship Id="rId825" Type="http://schemas.openxmlformats.org/officeDocument/2006/relationships/hyperlink" Target="https://universidade.pipelovers.net/m/lessons/pdi-plano-de-desenvolvimento-individual1769552355308?classId=2995" TargetMode="External"/><Relationship Id="rId824" Type="http://schemas.openxmlformats.org/officeDocument/2006/relationships/hyperlink" Target="https://www.linkedin.com/in/marcelopereira/" TargetMode="External"/><Relationship Id="rId823" Type="http://schemas.openxmlformats.org/officeDocument/2006/relationships/hyperlink" Target="https://drive.google.com/file/d/1yhB0j4pWeHglwXGm-M0dG1q8fAIPkhS3/view?usp=drive_link" TargetMode="External"/><Relationship Id="rId1650" Type="http://schemas.openxmlformats.org/officeDocument/2006/relationships/hyperlink" Target="https://universidade.pipelovers.net/m/lessons/pipeline-de-lideranca-a-primeira-grande-transicao-para-liderar-pessoas1769552305446?classId=3290" TargetMode="External"/><Relationship Id="rId1651" Type="http://schemas.openxmlformats.org/officeDocument/2006/relationships/hyperlink" Target="https://www.linkedin.com/in/leandrohirose" TargetMode="External"/><Relationship Id="rId1652" Type="http://schemas.openxmlformats.org/officeDocument/2006/relationships/hyperlink" Target="https://universidade.pipelovers.net/m/lessons/funil-de-vendas-eficiente-passo-a-passo-para-estruturacao1769552305506?classId=3291" TargetMode="External"/><Relationship Id="rId1642" Type="http://schemas.openxmlformats.org/officeDocument/2006/relationships/hyperlink" Target="https://www.linkedin.com/in/carol-deberaldini-21793442/" TargetMode="External"/><Relationship Id="rId1643" Type="http://schemas.openxmlformats.org/officeDocument/2006/relationships/hyperlink" Target="https://universidade.pipelovers.net/m/lessons/dar-e-receber-feedback-com-clareza1769552060864?classId=3028" TargetMode="External"/><Relationship Id="rId1644" Type="http://schemas.openxmlformats.org/officeDocument/2006/relationships/hyperlink" Target="https://universidade.pipelovers.net/m/lessons/dar-e-receber-feedback-com-clareza1769552060864?classId=3028" TargetMode="External"/><Relationship Id="rId1645" Type="http://schemas.openxmlformats.org/officeDocument/2006/relationships/hyperlink" Target="https://www.linkedin.com/in/matheus-weigand/" TargetMode="External"/><Relationship Id="rId1646" Type="http://schemas.openxmlformats.org/officeDocument/2006/relationships/hyperlink" Target="https://universidade.pipelovers.net/m/lessons/geracao-de-funil-organico-no-linkedin1769552305340?classId=3029" TargetMode="External"/><Relationship Id="rId1647" Type="http://schemas.openxmlformats.org/officeDocument/2006/relationships/hyperlink" Target="https://universidade.pipelovers.net/m/lessons/geracao-de-funil-organico-no-linkedin1769552305340?classId=3029" TargetMode="External"/><Relationship Id="rId1648" Type="http://schemas.openxmlformats.org/officeDocument/2006/relationships/hyperlink" Target="https://www.linkedin.com/in/bonaroti/" TargetMode="External"/><Relationship Id="rId1649" Type="http://schemas.openxmlformats.org/officeDocument/2006/relationships/hyperlink" Target="https://universidade.pipelovers.net/m/lessons/pipeline-de-lideranca-a-primeira-grande-transicao-para-liderar-pessoas1769552305446?classId=3290" TargetMode="External"/><Relationship Id="rId819" Type="http://schemas.openxmlformats.org/officeDocument/2006/relationships/hyperlink" Target="https://drive.google.com/file/d/1xHgQPFNm89a7a6KjClFER_Qo3zleCUaq/view?usp=drive_link" TargetMode="External"/><Relationship Id="rId818" Type="http://schemas.openxmlformats.org/officeDocument/2006/relationships/hyperlink" Target="https://universidade.pipelovers.net/aulas/desafios-de-vender-novas-ofertas-lancamentos-de-produto-1775077697142" TargetMode="External"/><Relationship Id="rId817" Type="http://schemas.openxmlformats.org/officeDocument/2006/relationships/hyperlink" Target="https://universidade.pipelovers.net/aulas/desafios-de-vender-novas-ofertas-lancamentos-de-produto-1775077697142" TargetMode="External"/><Relationship Id="rId816" Type="http://schemas.openxmlformats.org/officeDocument/2006/relationships/hyperlink" Target="https://www.linkedin.com/in/karinagflima/" TargetMode="External"/><Relationship Id="rId811" Type="http://schemas.openxmlformats.org/officeDocument/2006/relationships/hyperlink" Target="https://drive.google.com/file/d/1fR4jA-IIq_xIZKUUqdKCEQJy3NaCUkox/view?usp=drive_link" TargetMode="External"/><Relationship Id="rId810" Type="http://schemas.openxmlformats.org/officeDocument/2006/relationships/hyperlink" Target="https://universidade.pipelovers.net/m/lessons/planejamento-de-metricas-de-execucao1769552348507?classId=2999" TargetMode="External"/><Relationship Id="rId815" Type="http://schemas.openxmlformats.org/officeDocument/2006/relationships/hyperlink" Target="https://drive.google.com/file/d/1ipKJs3ZZWUAIG5frpQGENxyWM72LUb9Y/view?usp=drive_link" TargetMode="External"/><Relationship Id="rId814" Type="http://schemas.openxmlformats.org/officeDocument/2006/relationships/hyperlink" Target="https://universidade.pipelovers.net/m/lessons/metodologia-spiced-da-winning-by-design1769552348535?classId=2998" TargetMode="External"/><Relationship Id="rId813" Type="http://schemas.openxmlformats.org/officeDocument/2006/relationships/hyperlink" Target="https://universidade.pipelovers.net/m/lessons/metodologia-spiced-da-winning-by-design1769552348535?classId=2998" TargetMode="External"/><Relationship Id="rId812" Type="http://schemas.openxmlformats.org/officeDocument/2006/relationships/hyperlink" Target="https://www.linkedin.com/in/renatacenturion/" TargetMode="External"/><Relationship Id="rId1640" Type="http://schemas.openxmlformats.org/officeDocument/2006/relationships/hyperlink" Target="https://universidade.pipelovers.net/m/lessons/expansao-comercial-estrategias-para-prospeccao-internacional1769552305275?classId=3289" TargetMode="External"/><Relationship Id="rId1641" Type="http://schemas.openxmlformats.org/officeDocument/2006/relationships/hyperlink" Target="https://universidade.pipelovers.net/m/lessons/expansao-comercial-estrategias-para-prospeccao-internacional1769552305275?classId=3289" TargetMode="External"/><Relationship Id="rId1675" Type="http://schemas.openxmlformats.org/officeDocument/2006/relationships/hyperlink" Target="https://universidade.pipelovers.net/m/lessons/remuneracao-de-longo-prazo-para-retencao-de-vendedores1769552308228?classId=3300" TargetMode="External"/><Relationship Id="rId2522" Type="http://schemas.openxmlformats.org/officeDocument/2006/relationships/hyperlink" Target="https://universidade.pipelovers.net/m/lessons/fidelizacao-de-clientes-a-chave-para-alavancar-suas-vendas1769550039988?classId=3733" TargetMode="External"/><Relationship Id="rId1676" Type="http://schemas.openxmlformats.org/officeDocument/2006/relationships/hyperlink" Target="https://universidade.pipelovers.net/m/lessons/gestao-de-produtividade-o-impacto-da-desorganizacao-na-performance-comercial1769552312473?classId=3303" TargetMode="External"/><Relationship Id="rId2523" Type="http://schemas.openxmlformats.org/officeDocument/2006/relationships/hyperlink" Target="https://universidade.pipelovers.net/m/lessons/fidelizacao-de-clientes-a-chave-para-alavancar-suas-vendas1769550039988?classId=3733" TargetMode="External"/><Relationship Id="rId1677" Type="http://schemas.openxmlformats.org/officeDocument/2006/relationships/hyperlink" Target="https://universidade.pipelovers.net/m/lessons/gestao-de-produtividade-o-impacto-da-desorganizacao-na-performance-comercial1769552312473?classId=3303" TargetMode="External"/><Relationship Id="rId2524" Type="http://schemas.openxmlformats.org/officeDocument/2006/relationships/hyperlink" Target="https://www.linkedin.com/in/helioazevedo/" TargetMode="External"/><Relationship Id="rId1678" Type="http://schemas.openxmlformats.org/officeDocument/2006/relationships/hyperlink" Target="https://universidade.pipelovers.net/m/lessons/forecast-como-estruturar-processo-e-rotina1769552312542?classId=3305" TargetMode="External"/><Relationship Id="rId2525" Type="http://schemas.openxmlformats.org/officeDocument/2006/relationships/hyperlink" Target="https://universidade.pipelovers.net/m/lessons/arquitetura-de-vendas-de-alta-performance1769550040047?classId=3734" TargetMode="External"/><Relationship Id="rId1679" Type="http://schemas.openxmlformats.org/officeDocument/2006/relationships/hyperlink" Target="https://universidade.pipelovers.net/m/lessons/forecast-como-estruturar-processo-e-rotina1769552312542?classId=3305" TargetMode="External"/><Relationship Id="rId2526" Type="http://schemas.openxmlformats.org/officeDocument/2006/relationships/hyperlink" Target="https://universidade.pipelovers.net/m/lessons/arquitetura-de-vendas-de-alta-performance1769550040047?classId=3734" TargetMode="External"/><Relationship Id="rId2527" Type="http://schemas.openxmlformats.org/officeDocument/2006/relationships/hyperlink" Target="https://www.linkedin.com/in/icaroiasbeck/" TargetMode="External"/><Relationship Id="rId2528" Type="http://schemas.openxmlformats.org/officeDocument/2006/relationships/hyperlink" Target="https://universidade.pipelovers.net/m/lessons/crm-na-venda-consultiva-dicas-praticas-para-gerenciar-processos-longos-e-complexos1769550040018?classId=3735" TargetMode="External"/><Relationship Id="rId2529" Type="http://schemas.openxmlformats.org/officeDocument/2006/relationships/hyperlink" Target="https://universidade.pipelovers.net/m/lessons/crm-na-venda-consultiva-dicas-praticas-para-gerenciar-processos-longos-e-complexos1769550040018?classId=3735" TargetMode="External"/><Relationship Id="rId849" Type="http://schemas.openxmlformats.org/officeDocument/2006/relationships/hyperlink" Target="https://universidade.pipelovers.net/m/lessons/varejo-dores-e-oportunidades-do-setor1769552355983?classId=3012" TargetMode="External"/><Relationship Id="rId844" Type="http://schemas.openxmlformats.org/officeDocument/2006/relationships/hyperlink" Target="https://www.linkedin.com/in/beatrizpontes/" TargetMode="External"/><Relationship Id="rId843" Type="http://schemas.openxmlformats.org/officeDocument/2006/relationships/hyperlink" Target="https://drive.google.com/file/d/1CalXqTBxl_nA4xOXfuWhgHX2FhkvIUZr/view?usp=drive_link" TargetMode="External"/><Relationship Id="rId842" Type="http://schemas.openxmlformats.org/officeDocument/2006/relationships/hyperlink" Target="https://universidade.pipelovers.net/m/lessons/challenger-sales-a-venda-desafiadora1769552355728?classId=3010" TargetMode="External"/><Relationship Id="rId841" Type="http://schemas.openxmlformats.org/officeDocument/2006/relationships/hyperlink" Target="https://universidade.pipelovers.net/m/lessons/challenger-sales-a-venda-desafiadora1769552355728?classId=3010" TargetMode="External"/><Relationship Id="rId848" Type="http://schemas.openxmlformats.org/officeDocument/2006/relationships/hyperlink" Target="https://www.linkedin.com/in/ronanmaia/" TargetMode="External"/><Relationship Id="rId847" Type="http://schemas.openxmlformats.org/officeDocument/2006/relationships/hyperlink" Target="https://drive.google.com/file/d/1BMxor0b1UOHZB7HVB1A7csZttmwkeO_5/view?usp=drive_link" TargetMode="External"/><Relationship Id="rId846" Type="http://schemas.openxmlformats.org/officeDocument/2006/relationships/hyperlink" Target="https://universidade.pipelovers.net/m/lessons/diferencas-de-papeis-entre-account-manager-e-csm1769552355906?classId=3011" TargetMode="External"/><Relationship Id="rId845" Type="http://schemas.openxmlformats.org/officeDocument/2006/relationships/hyperlink" Target="https://universidade.pipelovers.net/m/lessons/diferencas-de-papeis-entre-account-manager-e-csm1769552355906?classId=3011" TargetMode="External"/><Relationship Id="rId1670" Type="http://schemas.openxmlformats.org/officeDocument/2006/relationships/hyperlink" Target="https://www.linkedin.com/in/ebersonterra/" TargetMode="External"/><Relationship Id="rId840" Type="http://schemas.openxmlformats.org/officeDocument/2006/relationships/hyperlink" Target="https://www.linkedin.com/in/marcellrosa/" TargetMode="External"/><Relationship Id="rId1671" Type="http://schemas.openxmlformats.org/officeDocument/2006/relationships/hyperlink" Target="https://universidade.pipelovers.net/m/lessons/manual-antichefe-na-pratica-o-que-fazer-e-o-que-evitar-pra-construir-um-time-saudavel1769552308197?classId=3299" TargetMode="External"/><Relationship Id="rId1672" Type="http://schemas.openxmlformats.org/officeDocument/2006/relationships/hyperlink" Target="https://universidade.pipelovers.net/m/lessons/manual-antichefe-na-pratica-o-que-fazer-e-o-que-evitar-pra-construir-um-time-saudavel1769552308197?classId=3299" TargetMode="External"/><Relationship Id="rId1673" Type="http://schemas.openxmlformats.org/officeDocument/2006/relationships/hyperlink" Target="https://www.linkedin.com/in/pedro-paulo-iglesias/" TargetMode="External"/><Relationship Id="rId2520" Type="http://schemas.openxmlformats.org/officeDocument/2006/relationships/hyperlink" Target="https://universidade.pipelovers.net/aulas/como-construir-percepcao-de-valor-a-partir-do-conhecimento-de-negocio-1775816812445" TargetMode="External"/><Relationship Id="rId1674" Type="http://schemas.openxmlformats.org/officeDocument/2006/relationships/hyperlink" Target="https://universidade.pipelovers.net/m/lessons/remuneracao-de-longo-prazo-para-retencao-de-vendedores1769552308228?classId=3300" TargetMode="External"/><Relationship Id="rId2521" Type="http://schemas.openxmlformats.org/officeDocument/2006/relationships/hyperlink" Target="https://www.linkedin.com/in/carolpitarelli/" TargetMode="External"/><Relationship Id="rId1664" Type="http://schemas.openxmlformats.org/officeDocument/2006/relationships/hyperlink" Target="https://universidade.pipelovers.net/m/lessons/indicadores-das-empresas-que-ajudam-os-gestores-comerciais1769552308033?classId=3296" TargetMode="External"/><Relationship Id="rId2511" Type="http://schemas.openxmlformats.org/officeDocument/2006/relationships/hyperlink" Target="https://universidade.pipelovers.net/m/lessons/estrategias-diferenciadas-em-vendas-complexas1769550039875?classId=3729" TargetMode="External"/><Relationship Id="rId1665" Type="http://schemas.openxmlformats.org/officeDocument/2006/relationships/hyperlink" Target="https://universidade.pipelovers.net/m/lessons/indicadores-das-empresas-que-ajudam-os-gestores-comerciais1769552308033?classId=3296" TargetMode="External"/><Relationship Id="rId2512" Type="http://schemas.openxmlformats.org/officeDocument/2006/relationships/hyperlink" Target="https://www.linkedin.com/in/ricardookino/" TargetMode="External"/><Relationship Id="rId1666" Type="http://schemas.openxmlformats.org/officeDocument/2006/relationships/hyperlink" Target="https://universidade.pipelovers.net/m/lessons/como-cs-influencia-a-geracao-de-demanda-do-comercial1769552308098?classId=3297" TargetMode="External"/><Relationship Id="rId2513" Type="http://schemas.openxmlformats.org/officeDocument/2006/relationships/hyperlink" Target="https://universidade.pipelovers.net/m/lessons/rotinas-de-gestao-para-lideres-de-vendas1769550039834?classId=3730" TargetMode="External"/><Relationship Id="rId1667" Type="http://schemas.openxmlformats.org/officeDocument/2006/relationships/hyperlink" Target="https://universidade.pipelovers.net/m/lessons/como-cs-influencia-a-geracao-de-demanda-do-comercial1769552308098?classId=3297" TargetMode="External"/><Relationship Id="rId2514" Type="http://schemas.openxmlformats.org/officeDocument/2006/relationships/hyperlink" Target="https://universidade.pipelovers.net/m/lessons/rotinas-de-gestao-para-lideres-de-vendas1769550039834?classId=3730" TargetMode="External"/><Relationship Id="rId1668" Type="http://schemas.openxmlformats.org/officeDocument/2006/relationships/hyperlink" Target="https://universidade.pipelovers.net/m/lessons/10-dicas-que-eu-aprendi-entrevistando-200-empresarios1769552308149?classId=3298" TargetMode="External"/><Relationship Id="rId2515" Type="http://schemas.openxmlformats.org/officeDocument/2006/relationships/hyperlink" Target="https://www.linkedin.com/in/nollrodrigo/" TargetMode="External"/><Relationship Id="rId1669" Type="http://schemas.openxmlformats.org/officeDocument/2006/relationships/hyperlink" Target="https://universidade.pipelovers.net/m/lessons/10-dicas-que-eu-aprendi-entrevistando-200-empresarios1769552308149?classId=3298" TargetMode="External"/><Relationship Id="rId2516" Type="http://schemas.openxmlformats.org/officeDocument/2006/relationships/hyperlink" Target="https://universidade.pipelovers.net/m/lessons/como-montar-um-ecossistema-de-canais-organicos-e-vender-mais-via-indicacao1769550039904?classId=3731" TargetMode="External"/><Relationship Id="rId2517" Type="http://schemas.openxmlformats.org/officeDocument/2006/relationships/hyperlink" Target="https://universidade.pipelovers.net/m/lessons/como-montar-um-ecossistema-de-canais-organicos-e-vender-mais-via-indicacao1769550039904?classId=3731" TargetMode="External"/><Relationship Id="rId2518" Type="http://schemas.openxmlformats.org/officeDocument/2006/relationships/hyperlink" Target="https://www.linkedin.com/in/marcelopereira/" TargetMode="External"/><Relationship Id="rId2519" Type="http://schemas.openxmlformats.org/officeDocument/2006/relationships/hyperlink" Target="https://universidade.pipelovers.net/aulas/como-construir-percepcao-de-valor-a-partir-do-conhecimento-de-negocio-1775816812445" TargetMode="External"/><Relationship Id="rId839" Type="http://schemas.openxmlformats.org/officeDocument/2006/relationships/hyperlink" Target="https://drive.google.com/file/d/1msn4fFIWt9nr2ouGohxWUg_WAAKac8vr/view?usp=drive_link" TargetMode="External"/><Relationship Id="rId838" Type="http://schemas.openxmlformats.org/officeDocument/2006/relationships/hyperlink" Target="https://universidade.pipelovers.net/m/lessons/construcao-de-relacionamentos-em-grandes-contas1769552355679?classId=3009" TargetMode="External"/><Relationship Id="rId833" Type="http://schemas.openxmlformats.org/officeDocument/2006/relationships/hyperlink" Target="https://universidade.pipelovers.net/m/lessons/crm-analytics-para-vendedores-b2b1769552355610?classId=3007" TargetMode="External"/><Relationship Id="rId832" Type="http://schemas.openxmlformats.org/officeDocument/2006/relationships/hyperlink" Target="https://www.linkedin.com/in/lucasscridelli/" TargetMode="External"/><Relationship Id="rId831" Type="http://schemas.openxmlformats.org/officeDocument/2006/relationships/hyperlink" Target="https://drive.google.com/file/d/1S7bqTRTF3_9TBgX7xLvYXb4eIhtvfu6n/view?usp=drive_link" TargetMode="External"/><Relationship Id="rId830" Type="http://schemas.openxmlformats.org/officeDocument/2006/relationships/hyperlink" Target="https://universidade.pipelovers.net/m/lessons/desvendando-a-cadeia-de-valor-do-cliente1769552355447?classId=3008" TargetMode="External"/><Relationship Id="rId837" Type="http://schemas.openxmlformats.org/officeDocument/2006/relationships/hyperlink" Target="https://universidade.pipelovers.net/m/lessons/construcao-de-relacionamentos-em-grandes-contas1769552355679?classId=3009" TargetMode="External"/><Relationship Id="rId836" Type="http://schemas.openxmlformats.org/officeDocument/2006/relationships/hyperlink" Target="https://www.linkedin.com/in/bernardo-agosti-a5032423/" TargetMode="External"/><Relationship Id="rId835" Type="http://schemas.openxmlformats.org/officeDocument/2006/relationships/hyperlink" Target="https://drive.google.com/file/d/1DtrmHR0o90S3KZuKA1k9LiGbLIw28MLt/view?usp=drive_link" TargetMode="External"/><Relationship Id="rId834" Type="http://schemas.openxmlformats.org/officeDocument/2006/relationships/hyperlink" Target="https://universidade.pipelovers.net/m/lessons/crm-analytics-para-vendedores-b2b1769552355610?classId=3007" TargetMode="External"/><Relationship Id="rId1660" Type="http://schemas.openxmlformats.org/officeDocument/2006/relationships/hyperlink" Target="https://universidade.pipelovers.net/m/lessons/outbound-que-funciona-o-que-fazer-e-o-que-evitar1769552307972?classId=3294" TargetMode="External"/><Relationship Id="rId1661" Type="http://schemas.openxmlformats.org/officeDocument/2006/relationships/hyperlink" Target="https://universidade.pipelovers.net/m/lessons/outbound-que-funciona-o-que-fazer-e-o-que-evitar1769552307972?classId=3294" TargetMode="External"/><Relationship Id="rId1662" Type="http://schemas.openxmlformats.org/officeDocument/2006/relationships/hyperlink" Target="https://universidade.pipelovers.net/m/lessons/enablement-benchmark-brasil-20251769552308005?classId=3295" TargetMode="External"/><Relationship Id="rId1663" Type="http://schemas.openxmlformats.org/officeDocument/2006/relationships/hyperlink" Target="https://universidade.pipelovers.net/m/lessons/enablement-benchmark-brasil-20251769552308005?classId=3295" TargetMode="External"/><Relationship Id="rId2510" Type="http://schemas.openxmlformats.org/officeDocument/2006/relationships/hyperlink" Target="https://universidade.pipelovers.net/m/lessons/estrategias-diferenciadas-em-vendas-complexas1769550039875?classId=3729" TargetMode="External"/><Relationship Id="rId2148" Type="http://schemas.openxmlformats.org/officeDocument/2006/relationships/hyperlink" Target="https://universidade.pipelovers.net/m/lessons/aquisicao-de-novos-clientes-via-canais1769552438729?classId=3160" TargetMode="External"/><Relationship Id="rId2149" Type="http://schemas.openxmlformats.org/officeDocument/2006/relationships/hyperlink" Target="https://universidade.pipelovers.net/m/lessons/aquisicao-de-novos-clientes-via-canais1769552438729?classId=3160" TargetMode="External"/><Relationship Id="rId469" Type="http://schemas.openxmlformats.org/officeDocument/2006/relationships/hyperlink" Target="https://universidade.pipelovers.net/m/lessons/preparacao-para-rituais-de-time-como-sdrs-podem-se-comunicar-com-mais-clareza-e-impacto1769552081141?classId=3580" TargetMode="External"/><Relationship Id="rId468" Type="http://schemas.openxmlformats.org/officeDocument/2006/relationships/hyperlink" Target="https://universidade.pipelovers.net/m/lessons/preparacao-para-rituais-de-time-como-sdrs-podem-se-comunicar-com-mais-clareza-e-impacto1769552081141?classId=3580" TargetMode="External"/><Relationship Id="rId467" Type="http://schemas.openxmlformats.org/officeDocument/2006/relationships/hyperlink" Target="https://www.linkedin.com/in/marcelamaua/" TargetMode="External"/><Relationship Id="rId1290" Type="http://schemas.openxmlformats.org/officeDocument/2006/relationships/hyperlink" Target="https://universidade.pipelovers.net/m/lessons/forecast-de-vendas-processos-e-previsibilidade1769552222319?classId=3083" TargetMode="External"/><Relationship Id="rId1291" Type="http://schemas.openxmlformats.org/officeDocument/2006/relationships/hyperlink" Target="https://universidade.pipelovers.net/m/lessons/definicao-de-metas-baseado-em-capacity1769552222357?classId=3084" TargetMode="External"/><Relationship Id="rId1292" Type="http://schemas.openxmlformats.org/officeDocument/2006/relationships/hyperlink" Target="https://universidade.pipelovers.net/m/lessons/definicao-de-metas-baseado-em-capacity1769552222357?classId=3084" TargetMode="External"/><Relationship Id="rId462" Type="http://schemas.openxmlformats.org/officeDocument/2006/relationships/hyperlink" Target="https://universidade.pipelovers.net/m/lessons/como-usar-provas-sociais-na-prospeccao1769552081075?classId=3578" TargetMode="External"/><Relationship Id="rId1293" Type="http://schemas.openxmlformats.org/officeDocument/2006/relationships/hyperlink" Target="https://www.linkedin.com/in/joaoluisoliverio/" TargetMode="External"/><Relationship Id="rId2140" Type="http://schemas.openxmlformats.org/officeDocument/2006/relationships/hyperlink" Target="https://universidade.pipelovers.net/m/lessons/o-papel-do-distribuidor-para-escalar-vendas-indiretas1769552438586?classId=3159" TargetMode="External"/><Relationship Id="rId461" Type="http://schemas.openxmlformats.org/officeDocument/2006/relationships/hyperlink" Target="https://www.linkedin.com/in/thaysemiranda/" TargetMode="External"/><Relationship Id="rId1294" Type="http://schemas.openxmlformats.org/officeDocument/2006/relationships/hyperlink" Target="https://universidade.pipelovers.net/m/lessons/inteligencia-de-dados-para-mapeamento-de-territorio1769552223003?classId=3464" TargetMode="External"/><Relationship Id="rId2141" Type="http://schemas.openxmlformats.org/officeDocument/2006/relationships/hyperlink" Target="https://universidade.pipelovers.net/m/lessons/o-papel-do-distribuidor-para-escalar-vendas-indiretas1769552438586?classId=3159" TargetMode="External"/><Relationship Id="rId460" Type="http://schemas.openxmlformats.org/officeDocument/2006/relationships/hyperlink" Target="https://universidade.pipelovers.net/m/lessons/boas-praticas-de-mensagens-no-linkedin-e-whatsapp1769552081013?classId=3037" TargetMode="External"/><Relationship Id="rId1295" Type="http://schemas.openxmlformats.org/officeDocument/2006/relationships/hyperlink" Target="https://universidade.pipelovers.net/m/lessons/inteligencia-de-dados-para-mapeamento-de-territorio1769552223003?classId=3464" TargetMode="External"/><Relationship Id="rId2142" Type="http://schemas.openxmlformats.org/officeDocument/2006/relationships/hyperlink" Target="https://drive.google.com/file/d/1tNV8LDVCAjAUi-cC8emYjl2CSh3dKTX3/view?usp=drive_link" TargetMode="External"/><Relationship Id="rId1296" Type="http://schemas.openxmlformats.org/officeDocument/2006/relationships/hyperlink" Target="https://universidade.pipelovers.net/m/lessons/impacto-do-comissionamento-sobre-equipes-de-vendas1769552223061?classId=3463" TargetMode="External"/><Relationship Id="rId2143" Type="http://schemas.openxmlformats.org/officeDocument/2006/relationships/hyperlink" Target="https://www.linkedin.com/in/cristianosacramento/" TargetMode="External"/><Relationship Id="rId466" Type="http://schemas.openxmlformats.org/officeDocument/2006/relationships/hyperlink" Target="https://universidade.pipelovers.net/m/lessons/melhores-praticas-de-crm-para-pre-vendedores1769552081110?classId=3579" TargetMode="External"/><Relationship Id="rId1297" Type="http://schemas.openxmlformats.org/officeDocument/2006/relationships/hyperlink" Target="https://universidade.pipelovers.net/m/lessons/impacto-do-comissionamento-sobre-equipes-de-vendas1769552223061?classId=3463" TargetMode="External"/><Relationship Id="rId2144" Type="http://schemas.openxmlformats.org/officeDocument/2006/relationships/hyperlink" Target="https://universidade.pipelovers.net/m/lessons/gamificacao-em-programas-de-canais-e-parcerias1769552438647?classId=3019" TargetMode="External"/><Relationship Id="rId465" Type="http://schemas.openxmlformats.org/officeDocument/2006/relationships/hyperlink" Target="https://universidade.pipelovers.net/m/lessons/melhores-praticas-de-crm-para-pre-vendedores1769552081110?classId=3579" TargetMode="External"/><Relationship Id="rId1298" Type="http://schemas.openxmlformats.org/officeDocument/2006/relationships/hyperlink" Target="https://universidade.pipelovers.net/m/lessons/estruturacao-de-equipes-de-planejamento-comercial1769552227047?classId=3462" TargetMode="External"/><Relationship Id="rId2145" Type="http://schemas.openxmlformats.org/officeDocument/2006/relationships/hyperlink" Target="https://universidade.pipelovers.net/m/lessons/gamificacao-em-programas-de-canais-e-parcerias1769552438647?classId=3019" TargetMode="External"/><Relationship Id="rId464" Type="http://schemas.openxmlformats.org/officeDocument/2006/relationships/hyperlink" Target="https://www.linkedin.com/in/dayane-mara-/" TargetMode="External"/><Relationship Id="rId1299" Type="http://schemas.openxmlformats.org/officeDocument/2006/relationships/hyperlink" Target="https://universidade.pipelovers.net/m/lessons/estruturacao-de-equipes-de-planejamento-comercial1769552227047?classId=3462" TargetMode="External"/><Relationship Id="rId2146" Type="http://schemas.openxmlformats.org/officeDocument/2006/relationships/hyperlink" Target="https://drive.google.com/file/d/1-JZG5UugMnTupPo6Frw01lw5V1i7BII4/view?usp=drive_link" TargetMode="External"/><Relationship Id="rId463" Type="http://schemas.openxmlformats.org/officeDocument/2006/relationships/hyperlink" Target="https://universidade.pipelovers.net/m/lessons/como-usar-provas-sociais-na-prospeccao1769552081075?classId=3578" TargetMode="External"/><Relationship Id="rId2147" Type="http://schemas.openxmlformats.org/officeDocument/2006/relationships/hyperlink" Target="https://linkedin.com/in/rodrigo-gs/" TargetMode="External"/><Relationship Id="rId2137" Type="http://schemas.openxmlformats.org/officeDocument/2006/relationships/hyperlink" Target="https://universidade.pipelovers.net/m/lessons/geracao-de-demanda-para-canais1769552438466?classId=3158" TargetMode="External"/><Relationship Id="rId2138" Type="http://schemas.openxmlformats.org/officeDocument/2006/relationships/hyperlink" Target="https://drive.google.com/file/d/1_JN-pygS26vsg8FaSEBwll2Cw2jioD2c/view?usp=drive_link" TargetMode="External"/><Relationship Id="rId2139" Type="http://schemas.openxmlformats.org/officeDocument/2006/relationships/hyperlink" Target="https://www.linkedin.com/in/marilena-cancelier/" TargetMode="External"/><Relationship Id="rId459" Type="http://schemas.openxmlformats.org/officeDocument/2006/relationships/hyperlink" Target="https://universidade.pipelovers.net/m/lessons/boas-praticas-de-mensagens-no-linkedin-e-whatsapp1769552081013?classId=3037" TargetMode="External"/><Relationship Id="rId458" Type="http://schemas.openxmlformats.org/officeDocument/2006/relationships/hyperlink" Target="https://www.linkedin.com/in/gabrielbaeta/" TargetMode="External"/><Relationship Id="rId457" Type="http://schemas.openxmlformats.org/officeDocument/2006/relationships/hyperlink" Target="https://universidade.pipelovers.net/m/lessons/spiced-na-prospeccao-revelando-necessidades-ocultas-do-lead1769552080988?classId=3577" TargetMode="External"/><Relationship Id="rId456" Type="http://schemas.openxmlformats.org/officeDocument/2006/relationships/hyperlink" Target="https://universidade.pipelovers.net/m/lessons/spiced-na-prospeccao-revelando-necessidades-ocultas-do-lead1769552080988?classId=3577" TargetMode="External"/><Relationship Id="rId1280" Type="http://schemas.openxmlformats.org/officeDocument/2006/relationships/hyperlink" Target="https://universidade.pipelovers.net/m/lessons/como-montar-uma-area-de-planejamento-comercial-do-zero1769552222150?classId=3080" TargetMode="External"/><Relationship Id="rId1281" Type="http://schemas.openxmlformats.org/officeDocument/2006/relationships/hyperlink" Target="https://universidade.pipelovers.net/m/lessons/como-montar-uma-area-de-planejamento-comercial-do-zero1769552222150?classId=3080" TargetMode="External"/><Relationship Id="rId451" Type="http://schemas.openxmlformats.org/officeDocument/2006/relationships/hyperlink" Target="https://universidade.pipelovers.net/m/lessons/copy-para-sdrs-o-que-nao-pode-faltar-na-sua-mensagem1769552080914?classId=3575" TargetMode="External"/><Relationship Id="rId1282" Type="http://schemas.openxmlformats.org/officeDocument/2006/relationships/hyperlink" Target="https://universidade.pipelovers.net/m/lessons/como-mensurar-testes-no-processo-de-vendas1769552222196?classId=3081" TargetMode="External"/><Relationship Id="rId450" Type="http://schemas.openxmlformats.org/officeDocument/2006/relationships/hyperlink" Target="https://universidade.pipelovers.net/m/lessons/copy-para-sdrs-o-que-nao-pode-faltar-na-sua-mensagem1769552080914?classId=3575" TargetMode="External"/><Relationship Id="rId1283" Type="http://schemas.openxmlformats.org/officeDocument/2006/relationships/hyperlink" Target="https://universidade.pipelovers.net/m/lessons/como-mensurar-testes-no-processo-de-vendas1769552222196?classId=3081" TargetMode="External"/><Relationship Id="rId2130" Type="http://schemas.openxmlformats.org/officeDocument/2006/relationships/hyperlink" Target="https://universidade.pipelovers.net/m/lessons/o-impacto-dos-marketplaces-em-negocios-b2b1769552438337?classId=3157" TargetMode="External"/><Relationship Id="rId1284" Type="http://schemas.openxmlformats.org/officeDocument/2006/relationships/hyperlink" Target="https://universidade.pipelovers.net/m/lessons/tecnologias-para-aumentar-a-produtividade-de-vendas1769552222258?classId=3082" TargetMode="External"/><Relationship Id="rId2131" Type="http://schemas.openxmlformats.org/officeDocument/2006/relationships/hyperlink" Target="https://drive.google.com/file/d/1e_ZV5JaVgsNHDpiy-Uhlcdwpuhc10ihh/view?usp=drive_link" TargetMode="External"/><Relationship Id="rId1285" Type="http://schemas.openxmlformats.org/officeDocument/2006/relationships/hyperlink" Target="https://universidade.pipelovers.net/m/lessons/tecnologias-para-aumentar-a-produtividade-de-vendas1769552222258?classId=3082" TargetMode="External"/><Relationship Id="rId2132" Type="http://schemas.openxmlformats.org/officeDocument/2006/relationships/hyperlink" Target="https://www.linkedin.com/in/aaronross/" TargetMode="External"/><Relationship Id="rId455" Type="http://schemas.openxmlformats.org/officeDocument/2006/relationships/hyperlink" Target="https://www.linkedin.com/in/thais-brunatto/" TargetMode="External"/><Relationship Id="rId1286" Type="http://schemas.openxmlformats.org/officeDocument/2006/relationships/hyperlink" Target="https://universidade.pipelovers.net/m/lessons/analise-de-concorrencia1769552222284?classId=3066" TargetMode="External"/><Relationship Id="rId2133" Type="http://schemas.openxmlformats.org/officeDocument/2006/relationships/hyperlink" Target="https://universidade.pipelovers.net/aulas/bestsellers-1775504294126" TargetMode="External"/><Relationship Id="rId454" Type="http://schemas.openxmlformats.org/officeDocument/2006/relationships/hyperlink" Target="https://universidade.pipelovers.net/m/lessons/perfil-disc-autoconhecimento-para-potencializar-resultados1769552080962?classId=3576" TargetMode="External"/><Relationship Id="rId1287" Type="http://schemas.openxmlformats.org/officeDocument/2006/relationships/hyperlink" Target="https://universidade.pipelovers.net/m/lessons/analise-de-concorrencia1769552222284?classId=3066" TargetMode="External"/><Relationship Id="rId2134" Type="http://schemas.openxmlformats.org/officeDocument/2006/relationships/hyperlink" Target="https://universidade.pipelovers.net/aulas/bestsellers-1775504294126" TargetMode="External"/><Relationship Id="rId453" Type="http://schemas.openxmlformats.org/officeDocument/2006/relationships/hyperlink" Target="https://universidade.pipelovers.net/m/lessons/perfil-disc-autoconhecimento-para-potencializar-resultados1769552080962?classId=3576" TargetMode="External"/><Relationship Id="rId1288" Type="http://schemas.openxmlformats.org/officeDocument/2006/relationships/hyperlink" Target="https://www.linkedin.com/in/liviazingallilima/" TargetMode="External"/><Relationship Id="rId2135" Type="http://schemas.openxmlformats.org/officeDocument/2006/relationships/hyperlink" Target="https://www.linkedin.com/in/cgeronasso/" TargetMode="External"/><Relationship Id="rId452" Type="http://schemas.openxmlformats.org/officeDocument/2006/relationships/hyperlink" Target="https://www.linkedin.com/in/igorbatista/" TargetMode="External"/><Relationship Id="rId1289" Type="http://schemas.openxmlformats.org/officeDocument/2006/relationships/hyperlink" Target="https://universidade.pipelovers.net/m/lessons/forecast-de-vendas-processos-e-previsibilidade1769552222319?classId=3083" TargetMode="External"/><Relationship Id="rId2136" Type="http://schemas.openxmlformats.org/officeDocument/2006/relationships/hyperlink" Target="https://universidade.pipelovers.net/m/lessons/geracao-de-demanda-para-canais1769552438466?classId=3158" TargetMode="External"/><Relationship Id="rId491" Type="http://schemas.openxmlformats.org/officeDocument/2006/relationships/hyperlink" Target="https://universidade.pipelovers.net/m/lessons/storytelling-para-sdr-como-abrir-conversas-sem-soar-generico1772542661991?classId=3770" TargetMode="External"/><Relationship Id="rId490" Type="http://schemas.openxmlformats.org/officeDocument/2006/relationships/hyperlink" Target="https://universidade.pipelovers.net/m/lessons/storytelling-para-sdr-como-abrir-conversas-sem-soar-generico1772542661991?classId=3770" TargetMode="External"/><Relationship Id="rId489" Type="http://schemas.openxmlformats.org/officeDocument/2006/relationships/hyperlink" Target="https://www.linkedin.com/in/rodrigo-maia-theodoro-dos-santos-59357532/?utm_source=share&amp;utm_campaign=share_via&amp;utm_content=profile&amp;utm_medium=ios_app" TargetMode="External"/><Relationship Id="rId2160" Type="http://schemas.openxmlformats.org/officeDocument/2006/relationships/hyperlink" Target="https://universidade.pipelovers.net/m/lessons/estruturando-uma-equipe-de-gestao-de-parcerias1769552438933?classId=3025" TargetMode="External"/><Relationship Id="rId2161" Type="http://schemas.openxmlformats.org/officeDocument/2006/relationships/hyperlink" Target="https://universidade.pipelovers.net/m/lessons/estruturando-uma-equipe-de-gestao-de-parcerias1769552438933?classId=3025" TargetMode="External"/><Relationship Id="rId484" Type="http://schemas.openxmlformats.org/officeDocument/2006/relationships/hyperlink" Target="https://universidade.pipelovers.net/m/lessons/conexao-em-abordagens-frias-como-fugir-do-obvio-e-conquistar-atencao1769552081303?classId=3583" TargetMode="External"/><Relationship Id="rId2162" Type="http://schemas.openxmlformats.org/officeDocument/2006/relationships/hyperlink" Target="https://drive.google.com/file/d/1xX85mknzuBsZC8Wat0B0sfhPa4cK-WH3/view?usp=drive_link" TargetMode="External"/><Relationship Id="rId483" Type="http://schemas.openxmlformats.org/officeDocument/2006/relationships/hyperlink" Target="https://www.linkedin.com/in/thaiscmiranda/" TargetMode="External"/><Relationship Id="rId2163" Type="http://schemas.openxmlformats.org/officeDocument/2006/relationships/hyperlink" Target="https://www.linkedin.com/in/fernandacpn/" TargetMode="External"/><Relationship Id="rId482" Type="http://schemas.openxmlformats.org/officeDocument/2006/relationships/hyperlink" Target="http://talent.com" TargetMode="External"/><Relationship Id="rId2164" Type="http://schemas.openxmlformats.org/officeDocument/2006/relationships/hyperlink" Target="https://universidade.pipelovers.net/m/lessons/boas-praticas-de-offboarding-de-canais1769552438998?classId=3164" TargetMode="External"/><Relationship Id="rId481" Type="http://schemas.openxmlformats.org/officeDocument/2006/relationships/hyperlink" Target="https://universidade.pipelovers.net/aulas/motivacao-em-pre-vendas-como-descobrir-o-que-sustenta-sua-alta-performance-1775684561999" TargetMode="External"/><Relationship Id="rId2165" Type="http://schemas.openxmlformats.org/officeDocument/2006/relationships/hyperlink" Target="https://universidade.pipelovers.net/m/lessons/boas-praticas-de-offboarding-de-canais1769552438998?classId=3164" TargetMode="External"/><Relationship Id="rId488" Type="http://schemas.openxmlformats.org/officeDocument/2006/relationships/hyperlink" Target="https://universidade.pipelovers.net/m/lessons/como-ajustar-seu-discurso-para-diferentes-perfis-de-clientes1769552081350?classId=3584" TargetMode="External"/><Relationship Id="rId2166" Type="http://schemas.openxmlformats.org/officeDocument/2006/relationships/hyperlink" Target="https://drive.google.com/file/d/1XW2uPRjDSY9r-g-OIUnWixDRh5zk4qLD/view?usp=drive_link" TargetMode="External"/><Relationship Id="rId487" Type="http://schemas.openxmlformats.org/officeDocument/2006/relationships/hyperlink" Target="https://universidade.pipelovers.net/m/lessons/como-ajustar-seu-discurso-para-diferentes-perfis-de-clientes1769552081350?classId=3584" TargetMode="External"/><Relationship Id="rId2167" Type="http://schemas.openxmlformats.org/officeDocument/2006/relationships/hyperlink" Target="https://www.linkedin.com/in/douglas-a-medeiros/" TargetMode="External"/><Relationship Id="rId486" Type="http://schemas.openxmlformats.org/officeDocument/2006/relationships/hyperlink" Target="https://www.linkedin.com/in/victorlasman/" TargetMode="External"/><Relationship Id="rId2168" Type="http://schemas.openxmlformats.org/officeDocument/2006/relationships/hyperlink" Target="https://universidade.pipelovers.net/m/lessons/desafios-de-apuracao-de-comissoes-de-parceiros1769552439066?classId=3165" TargetMode="External"/><Relationship Id="rId485" Type="http://schemas.openxmlformats.org/officeDocument/2006/relationships/hyperlink" Target="https://universidade.pipelovers.net/m/lessons/conexao-em-abordagens-frias-como-fugir-do-obvio-e-conquistar-atencao1769552081303?classId=3583" TargetMode="External"/><Relationship Id="rId2169" Type="http://schemas.openxmlformats.org/officeDocument/2006/relationships/hyperlink" Target="https://universidade.pipelovers.net/m/lessons/desafios-de-apuracao-de-comissoes-de-parceiros1769552439066?classId=3165" TargetMode="External"/><Relationship Id="rId2159" Type="http://schemas.openxmlformats.org/officeDocument/2006/relationships/hyperlink" Target="https://www.linkedin.com/in/wanderl%C3%BAcio-andrade-614ab720?utm_source=share&amp;utm_campaign=share_via&amp;utm_content=profile&amp;utm_medium=ios_app" TargetMode="External"/><Relationship Id="rId480" Type="http://schemas.openxmlformats.org/officeDocument/2006/relationships/hyperlink" Target="https://universidade.pipelovers.net/aulas/motivacao-em-pre-vendas-como-descobrir-o-que-sustenta-sua-alta-performance-1775684561999" TargetMode="External"/><Relationship Id="rId479" Type="http://schemas.openxmlformats.org/officeDocument/2006/relationships/hyperlink" Target="https://www.linkedin.com/in/carolinecorr%C3%AAa2/" TargetMode="External"/><Relationship Id="rId478" Type="http://schemas.openxmlformats.org/officeDocument/2006/relationships/hyperlink" Target="https://universidade.pipelovers.net/aulas/metodologia-gpct-para-qualificacao-de-oportunidades-1775683832311" TargetMode="External"/><Relationship Id="rId2150" Type="http://schemas.openxmlformats.org/officeDocument/2006/relationships/hyperlink" Target="https://drive.google.com/file/d/1_48nJdn3DZ3Z5ZA9QdLVEVFRFko_Hrdk/view?usp=drive_link" TargetMode="External"/><Relationship Id="rId473" Type="http://schemas.openxmlformats.org/officeDocument/2006/relationships/hyperlink" Target="https://www.linkedin.com/in/rezendejoao/" TargetMode="External"/><Relationship Id="rId2151" Type="http://schemas.openxmlformats.org/officeDocument/2006/relationships/hyperlink" Target="https://www.linkedin.com/in/andressa-lagonegro-b08a1411/" TargetMode="External"/><Relationship Id="rId472" Type="http://schemas.openxmlformats.org/officeDocument/2006/relationships/hyperlink" Target="https://universidade.pipelovers.net/m/lessons/multicanalidade-na-prospeccao-para-aumento-de-taxa-de-conversao1769552081166?classId=3581" TargetMode="External"/><Relationship Id="rId2152" Type="http://schemas.openxmlformats.org/officeDocument/2006/relationships/hyperlink" Target="https://universidade.pipelovers.net/m/lessons/ampliacao-de-portfolio-de-produtos-nos-canais-de-distribuicao1769552438796?classId=3161" TargetMode="External"/><Relationship Id="rId471" Type="http://schemas.openxmlformats.org/officeDocument/2006/relationships/hyperlink" Target="https://universidade.pipelovers.net/m/lessons/multicanalidade-na-prospeccao-para-aumento-de-taxa-de-conversao1769552081166?classId=3581" TargetMode="External"/><Relationship Id="rId2153" Type="http://schemas.openxmlformats.org/officeDocument/2006/relationships/hyperlink" Target="https://universidade.pipelovers.net/m/lessons/ampliacao-de-portfolio-de-produtos-nos-canais-de-distribuicao1769552438796?classId=3161" TargetMode="External"/><Relationship Id="rId470" Type="http://schemas.openxmlformats.org/officeDocument/2006/relationships/hyperlink" Target="https://www.linkedin.com/in/yagopereiraoficial/" TargetMode="External"/><Relationship Id="rId2154" Type="http://schemas.openxmlformats.org/officeDocument/2006/relationships/hyperlink" Target="https://drive.google.com/file/d/1F9SU5y0S0aq6IY9Ijl1oj8J9c8Zl1zY4/view?usp=drive_link" TargetMode="External"/><Relationship Id="rId477" Type="http://schemas.openxmlformats.org/officeDocument/2006/relationships/hyperlink" Target="https://universidade.pipelovers.net/aulas/metodologia-gpct-para-qualificacao-de-oportunidades-1775683832311" TargetMode="External"/><Relationship Id="rId2155" Type="http://schemas.openxmlformats.org/officeDocument/2006/relationships/hyperlink" Target="https://www.linkedin.com/in/diogobandeira27/" TargetMode="External"/><Relationship Id="rId476" Type="http://schemas.openxmlformats.org/officeDocument/2006/relationships/hyperlink" Target="https://www.linkedin.com/in/jonynardes/" TargetMode="External"/><Relationship Id="rId2156" Type="http://schemas.openxmlformats.org/officeDocument/2006/relationships/hyperlink" Target="https://universidade.pipelovers.net/m/lessons/padronizacao-de-processos-de-vendas-em-canais-e-revendas1769552438845?classId=3162" TargetMode="External"/><Relationship Id="rId475" Type="http://schemas.openxmlformats.org/officeDocument/2006/relationships/hyperlink" Target="https://universidade.pipelovers.net/m/lessons/explorando-noticias-de-mercado-na-prospeccao-ativa1769552081204?classId=3582" TargetMode="External"/><Relationship Id="rId2157" Type="http://schemas.openxmlformats.org/officeDocument/2006/relationships/hyperlink" Target="https://universidade.pipelovers.net/m/lessons/padronizacao-de-processos-de-vendas-em-canais-e-revendas1769552438845?classId=3162" TargetMode="External"/><Relationship Id="rId474" Type="http://schemas.openxmlformats.org/officeDocument/2006/relationships/hyperlink" Target="https://universidade.pipelovers.net/m/lessons/explorando-noticias-de-mercado-na-prospeccao-ativa1769552081204?classId=3582" TargetMode="External"/><Relationship Id="rId2158" Type="http://schemas.openxmlformats.org/officeDocument/2006/relationships/hyperlink" Target="https://drive.google.com/file/d/1AwJrLCTBtttGiIVIrwm-nsqs_VSWVDdY/view?usp=drive_link" TargetMode="External"/><Relationship Id="rId1257" Type="http://schemas.openxmlformats.org/officeDocument/2006/relationships/hyperlink" Target="https://universidade.pipelovers.net/m/lessons/work-life-balance-tecnicas-para-um-equilibrio-saudavel-1786642905274?moduleId=1588&amp;classId=4479" TargetMode="External"/><Relationship Id="rId2104" Type="http://schemas.openxmlformats.org/officeDocument/2006/relationships/hyperlink" Target="https://www.linkedin.com/in/romulo-ferreira-16899b73/" TargetMode="External"/><Relationship Id="rId2588" Type="http://schemas.openxmlformats.org/officeDocument/2006/relationships/hyperlink" Target="https://universidade.pipelovers.net/m/lessons/engenharia-reversa-dos-funis-de-marketing-e-vendas-dos-concorrentes1769550040865?classId=3186" TargetMode="External"/><Relationship Id="rId1258" Type="http://schemas.openxmlformats.org/officeDocument/2006/relationships/hyperlink" Target="https://www.linkedin.com/in/arthurcesmegi/" TargetMode="External"/><Relationship Id="rId2105" Type="http://schemas.openxmlformats.org/officeDocument/2006/relationships/hyperlink" Target="https://universidade.pipelovers.net/m/lessons/vendedores-especialistas-com-produtos-de-parceiros1769552429522?classId=3150" TargetMode="External"/><Relationship Id="rId2589" Type="http://schemas.openxmlformats.org/officeDocument/2006/relationships/hyperlink" Target="https://universidade.pipelovers.net/m/lessons/engenharia-reversa-dos-funis-de-marketing-e-vendas-dos-concorrentes1769550040865?classId=3186" TargetMode="External"/><Relationship Id="rId1259" Type="http://schemas.openxmlformats.org/officeDocument/2006/relationships/hyperlink" Target="https://universidade.pipelovers.net/m/lessons/como-funciona-uma-area-de-compras-profissional-1785516437812?moduleId=1579&amp;classId=4454" TargetMode="External"/><Relationship Id="rId2106" Type="http://schemas.openxmlformats.org/officeDocument/2006/relationships/hyperlink" Target="https://universidade.pipelovers.net/m/lessons/vendedores-especialistas-com-produtos-de-parceiros1769552429522?classId=3150" TargetMode="External"/><Relationship Id="rId2107" Type="http://schemas.openxmlformats.org/officeDocument/2006/relationships/hyperlink" Target="https://drive.google.com/file/d/1Suv5U4NugZtSlk6DuaG0to9qdJZgS0Es/view?usp=drive_link" TargetMode="External"/><Relationship Id="rId2108" Type="http://schemas.openxmlformats.org/officeDocument/2006/relationships/hyperlink" Target="https://www.linkedin.com/in/fabianeauler/" TargetMode="External"/><Relationship Id="rId2109" Type="http://schemas.openxmlformats.org/officeDocument/2006/relationships/hyperlink" Target="https://universidade.pipelovers.net/m/lessons/quando-e-como-usar-multicanais-como-estrategia-de-crescimento-de-receita1769552437784?classId=3151" TargetMode="External"/><Relationship Id="rId426" Type="http://schemas.openxmlformats.org/officeDocument/2006/relationships/hyperlink" Target="https://www.linkedin.com/in/rafaelbethiol/" TargetMode="External"/><Relationship Id="rId425" Type="http://schemas.openxmlformats.org/officeDocument/2006/relationships/hyperlink" Target="https://universidade.pipelovers.net/aulas/prospectando-contas-grandes-com-estrategia-1775075454914" TargetMode="External"/><Relationship Id="rId424" Type="http://schemas.openxmlformats.org/officeDocument/2006/relationships/hyperlink" Target="https://universidade.pipelovers.net/aulas/prospectando-contas-grandes-com-estrategia-1775075454914" TargetMode="External"/><Relationship Id="rId423" Type="http://schemas.openxmlformats.org/officeDocument/2006/relationships/hyperlink" Target="https://www.linkedin.com/in/vitor-filardo-vianna-a0151a128/" TargetMode="External"/><Relationship Id="rId429" Type="http://schemas.openxmlformats.org/officeDocument/2006/relationships/hyperlink" Target="https://universidade.pipelovers.net/m/lessons/o-que-o-marketing-pode-te-ensinar-pra-chamar-atencao-de-leads1769552080719?classId=3438" TargetMode="External"/><Relationship Id="rId428" Type="http://schemas.openxmlformats.org/officeDocument/2006/relationships/hyperlink" Target="https://www.linkedin.com/in/ana-beatriz-cesa/" TargetMode="External"/><Relationship Id="rId427" Type="http://schemas.openxmlformats.org/officeDocument/2006/relationships/hyperlink" Target="https://universidade.pipelovers.net/aulas/plano-de-carreira-em-pre-vendas1769552080693" TargetMode="External"/><Relationship Id="rId2580" Type="http://schemas.openxmlformats.org/officeDocument/2006/relationships/hyperlink" Target="https://universidade.pipelovers.net/m/lessons/como-ser-interessante-sem-ser-interesseiro1769550040597?classId=3183" TargetMode="External"/><Relationship Id="rId1250" Type="http://schemas.openxmlformats.org/officeDocument/2006/relationships/hyperlink" Target="https://www.linkedin.com/in/oyagobaia/" TargetMode="External"/><Relationship Id="rId2581" Type="http://schemas.openxmlformats.org/officeDocument/2006/relationships/hyperlink" Target="https://www.linkedin.com/in/euler-costa/" TargetMode="External"/><Relationship Id="rId1251" Type="http://schemas.openxmlformats.org/officeDocument/2006/relationships/hyperlink" Target="https://universidade.pipelovers.net/m/lessons/oratoria-em-reunioes-e-apresentacoes-comerciais-1783083122826?moduleId=1465&amp;classId=4047" TargetMode="External"/><Relationship Id="rId2582" Type="http://schemas.openxmlformats.org/officeDocument/2006/relationships/hyperlink" Target="https://universidade.pipelovers.net/m/lessons/marca-forte-vende-mais-entenda-por-que1769550040636?classId=3184" TargetMode="External"/><Relationship Id="rId1252" Type="http://schemas.openxmlformats.org/officeDocument/2006/relationships/hyperlink" Target="https://www.linkedin.com/in/oyagobaia/" TargetMode="External"/><Relationship Id="rId2583" Type="http://schemas.openxmlformats.org/officeDocument/2006/relationships/hyperlink" Target="https://universidade.pipelovers.net/m/lessons/marca-forte-vende-mais-entenda-por-que1769550040636?classId=3184" TargetMode="External"/><Relationship Id="rId422" Type="http://schemas.openxmlformats.org/officeDocument/2006/relationships/hyperlink" Target="https://universidade.pipelovers.net/m/lessons/criacao-e-aplicacao-de-agentes-de-ia-para-pre-vendas1769552080347?classId=3433" TargetMode="External"/><Relationship Id="rId1253" Type="http://schemas.openxmlformats.org/officeDocument/2006/relationships/hyperlink" Target="https://universidade.pipelovers.net/m/lessons/gatilhos-mentais-para-contorno-de-objecoes-e-fechamento-1783083248519?moduleId=1466&amp;classId=4048" TargetMode="External"/><Relationship Id="rId2100" Type="http://schemas.openxmlformats.org/officeDocument/2006/relationships/hyperlink" Target="https://www.linkedin.com/in/dariva/" TargetMode="External"/><Relationship Id="rId2584" Type="http://schemas.openxmlformats.org/officeDocument/2006/relationships/hyperlink" Target="https://www.linkedin.com/in/biakobal/" TargetMode="External"/><Relationship Id="rId421" Type="http://schemas.openxmlformats.org/officeDocument/2006/relationships/hyperlink" Target="https://universidade.pipelovers.net/m/lessons/criacao-e-aplicacao-de-agentes-de-ia-para-pre-vendas1769552080347?classId=3433" TargetMode="External"/><Relationship Id="rId1254" Type="http://schemas.openxmlformats.org/officeDocument/2006/relationships/hyperlink" Target="https://www.linkedin.com/in/gloriagruberr/" TargetMode="External"/><Relationship Id="rId2101" Type="http://schemas.openxmlformats.org/officeDocument/2006/relationships/hyperlink" Target="https://universidade.pipelovers.net/aulas/identificando-alavancas-nos-canais-de-vendas-indiretas-1775076477959" TargetMode="External"/><Relationship Id="rId2585" Type="http://schemas.openxmlformats.org/officeDocument/2006/relationships/hyperlink" Target="https://universidade.pipelovers.net/m/lessons/o-que-os-livros-nao-ensinam-sobre-oratoria1769550040736?classId=3185" TargetMode="External"/><Relationship Id="rId420" Type="http://schemas.openxmlformats.org/officeDocument/2006/relationships/hyperlink" Target="https://www.linkedin.com/in/caroline-veloso-de-lima/" TargetMode="External"/><Relationship Id="rId1255" Type="http://schemas.openxmlformats.org/officeDocument/2006/relationships/hyperlink" Target="https://universidade.pipelovers.net/m/lessons/carreira-em-y-para-vendedores-1784051791931?moduleId=1511&amp;classId=4210" TargetMode="External"/><Relationship Id="rId2102" Type="http://schemas.openxmlformats.org/officeDocument/2006/relationships/hyperlink" Target="https://universidade.pipelovers.net/aulas/identificando-alavancas-nos-canais-de-vendas-indiretas-1775076477959" TargetMode="External"/><Relationship Id="rId2586" Type="http://schemas.openxmlformats.org/officeDocument/2006/relationships/hyperlink" Target="https://universidade.pipelovers.net/m/lessons/o-que-os-livros-nao-ensinam-sobre-oratoria1769550040736?classId=3185" TargetMode="External"/><Relationship Id="rId1256" Type="http://schemas.openxmlformats.org/officeDocument/2006/relationships/hyperlink" Target="https://www.linkedin.com/in/juliana-c%C3%A2ndido-consultora/" TargetMode="External"/><Relationship Id="rId2103" Type="http://schemas.openxmlformats.org/officeDocument/2006/relationships/hyperlink" Target="https://drive.google.com/file/d/1rI-2fq6SWdDqI0nrjYSynpEfEILo7Cpn/view?usp=drive_link" TargetMode="External"/><Relationship Id="rId2587" Type="http://schemas.openxmlformats.org/officeDocument/2006/relationships/hyperlink" Target="https://www.linkedin.com/in/leandro--macedo/" TargetMode="External"/><Relationship Id="rId1246" Type="http://schemas.openxmlformats.org/officeDocument/2006/relationships/hyperlink" Target="https://www.linkedin.com/in/oyagobaia/" TargetMode="External"/><Relationship Id="rId2577" Type="http://schemas.openxmlformats.org/officeDocument/2006/relationships/hyperlink" Target="https://universidade.pipelovers.net/m/lessons/abs-account-based-selling-como-sair-da-abordagem-generica-e-criar-relacionamentos-estrategicos1769550040568?classId=3174" TargetMode="External"/><Relationship Id="rId1247" Type="http://schemas.openxmlformats.org/officeDocument/2006/relationships/hyperlink" Target="https://universidade.pipelovers.net/m/lessons/tecnicas-de-storytelling-em-vendas-1783082834091" TargetMode="External"/><Relationship Id="rId2578" Type="http://schemas.openxmlformats.org/officeDocument/2006/relationships/hyperlink" Target="https://www.linkedin.com/in/romucasp/" TargetMode="External"/><Relationship Id="rId1248" Type="http://schemas.openxmlformats.org/officeDocument/2006/relationships/hyperlink" Target="https://www.linkedin.com/in/oyagobaia/" TargetMode="External"/><Relationship Id="rId2579" Type="http://schemas.openxmlformats.org/officeDocument/2006/relationships/hyperlink" Target="https://universidade.pipelovers.net/m/lessons/como-ser-interessante-sem-ser-interesseiro1769550040597?classId=3183" TargetMode="External"/><Relationship Id="rId1249" Type="http://schemas.openxmlformats.org/officeDocument/2006/relationships/hyperlink" Target="https://universidade.pipelovers.net/m/lessons/linguagem-persuasiva-na-comunicacao-verbal-e-nao-verbal-1783082989459?moduleId=1463&amp;classId=4046" TargetMode="External"/><Relationship Id="rId415" Type="http://schemas.openxmlformats.org/officeDocument/2006/relationships/hyperlink" Target="https://universidade.pipelovers.net/m/lessons/como-fazer-o-diagnostico-do-seu-funil1769552066545?classId=3569" TargetMode="External"/><Relationship Id="rId899" Type="http://schemas.openxmlformats.org/officeDocument/2006/relationships/hyperlink" Target="https://www.linkedin.com/in/dacarjb/" TargetMode="External"/><Relationship Id="rId414" Type="http://schemas.openxmlformats.org/officeDocument/2006/relationships/hyperlink" Target="https://www.linkedin.com/in/duelenfeijo/" TargetMode="External"/><Relationship Id="rId898" Type="http://schemas.openxmlformats.org/officeDocument/2006/relationships/hyperlink" Target="https://universidade.pipelovers.net/aulas/bestsellers-1775504294126" TargetMode="External"/><Relationship Id="rId413" Type="http://schemas.openxmlformats.org/officeDocument/2006/relationships/hyperlink" Target="https://universidade.pipelovers.net/m/lessons/a-passagem-que-faz-vender-o-que-nao-pode-faltar-quando-o-sdr-entrega-pro-closer1769552066478?classId=3565" TargetMode="External"/><Relationship Id="rId897" Type="http://schemas.openxmlformats.org/officeDocument/2006/relationships/hyperlink" Target="https://universidade.pipelovers.net/aulas/bestsellers-1775504294126" TargetMode="External"/><Relationship Id="rId412" Type="http://schemas.openxmlformats.org/officeDocument/2006/relationships/hyperlink" Target="https://universidade.pipelovers.net/m/lessons/a-passagem-que-faz-vender-o-que-nao-pode-faltar-quando-o-sdr-entrega-pro-closer1769552066478?classId=3565" TargetMode="External"/><Relationship Id="rId896" Type="http://schemas.openxmlformats.org/officeDocument/2006/relationships/hyperlink" Target="https://www.linkedin.com/in/aaronross/" TargetMode="External"/><Relationship Id="rId419" Type="http://schemas.openxmlformats.org/officeDocument/2006/relationships/hyperlink" Target="https://universidade.pipelovers.net/m/lessons/transicao-para-lideranca-o-que-muda-quando-voce-vira-lider1769552066617?classId=3570" TargetMode="External"/><Relationship Id="rId418" Type="http://schemas.openxmlformats.org/officeDocument/2006/relationships/hyperlink" Target="https://universidade.pipelovers.net/m/lessons/transicao-para-lideranca-o-que-muda-quando-voce-vira-lider1769552066617?classId=3570" TargetMode="External"/><Relationship Id="rId417" Type="http://schemas.openxmlformats.org/officeDocument/2006/relationships/hyperlink" Target="https://www.linkedin.com/in/vescovi-edu/" TargetMode="External"/><Relationship Id="rId416" Type="http://schemas.openxmlformats.org/officeDocument/2006/relationships/hyperlink" Target="https://universidade.pipelovers.net/m/lessons/como-fazer-o-diagnostico-do-seu-funil1769552066545?classId=3569" TargetMode="External"/><Relationship Id="rId891" Type="http://schemas.openxmlformats.org/officeDocument/2006/relationships/hyperlink" Target="https://drive.google.com/file/d/1u6ScdhaDUxApUxQPlfjLe-l23JC-4-kS/view?usp=drive_link" TargetMode="External"/><Relationship Id="rId890" Type="http://schemas.openxmlformats.org/officeDocument/2006/relationships/hyperlink" Target="https://universidade.pipelovers.net/m/lessons/agronegocio-dores-e-oportunidades-do-setor1769552365094?classId=3715" TargetMode="External"/><Relationship Id="rId2570" Type="http://schemas.openxmlformats.org/officeDocument/2006/relationships/hyperlink" Target="https://universidade.pipelovers.net/m/lessons/do-lead-ao-fechamento-como-o-marketing-pode-acelerar-seu-pipeline-de-vendas1769550040477?classId=3172" TargetMode="External"/><Relationship Id="rId1240" Type="http://schemas.openxmlformats.org/officeDocument/2006/relationships/hyperlink" Target="https://www.linkedin.com/in/lucianabicas/" TargetMode="External"/><Relationship Id="rId2571" Type="http://schemas.openxmlformats.org/officeDocument/2006/relationships/hyperlink" Target="https://universidade.pipelovers.net/m/lessons/do-lead-ao-fechamento-como-o-marketing-pode-acelerar-seu-pipeline-de-vendas1769550040477?classId=3172" TargetMode="External"/><Relationship Id="rId1241" Type="http://schemas.openxmlformats.org/officeDocument/2006/relationships/hyperlink" Target="https://universidade.pipelovers.net/m/lessons/matriz-de-kraljic-matrix-como-comprador-compra-o-seu-produto-1779215203356?moduleId=1422&amp;classId=4008" TargetMode="External"/><Relationship Id="rId2572" Type="http://schemas.openxmlformats.org/officeDocument/2006/relationships/hyperlink" Target="https://www.linkedin.com/in/leooguilherme/" TargetMode="External"/><Relationship Id="rId411" Type="http://schemas.openxmlformats.org/officeDocument/2006/relationships/hyperlink" Target="https://www.linkedin.com/in/talesmorigi/" TargetMode="External"/><Relationship Id="rId895" Type="http://schemas.openxmlformats.org/officeDocument/2006/relationships/hyperlink" Target="https://drive.google.com/file/d/1O0Vppbmd4hD4bVpleAt8qvtvHzhYYXfq/view?usp=drive_link" TargetMode="External"/><Relationship Id="rId1242" Type="http://schemas.openxmlformats.org/officeDocument/2006/relationships/hyperlink" Target="https://www.linkedin.com/in/viniciussoarees/" TargetMode="External"/><Relationship Id="rId2573" Type="http://schemas.openxmlformats.org/officeDocument/2006/relationships/hyperlink" Target="https://universidade.pipelovers.net/m/lessons/antifragilidade-para-crescer-como-vender-em-2025-no-meio-do-caos1769550040537?classId=3173" TargetMode="External"/><Relationship Id="rId410" Type="http://schemas.openxmlformats.org/officeDocument/2006/relationships/hyperlink" Target="https://universidade.pipelovers.net/m/lessons/pmes-x-enterprise-qual-estrategia-mais-funciona-para-cada-um1772542661808?classId=3767" TargetMode="External"/><Relationship Id="rId894" Type="http://schemas.openxmlformats.org/officeDocument/2006/relationships/hyperlink" Target="https://universidade.pipelovers.net/m/lessons/customer-health-score-indicadores-para-prevenir-o-churn1769552365136?classId=3716" TargetMode="External"/><Relationship Id="rId1243" Type="http://schemas.openxmlformats.org/officeDocument/2006/relationships/hyperlink" Target="https://universidade.pipelovers.net/m/lessons/aprendendo-com-seu-proprio-crm-insights-para-evoluir-sua-abordagem-1773693851517?moduleId=1248&amp;classId=3823" TargetMode="External"/><Relationship Id="rId2574" Type="http://schemas.openxmlformats.org/officeDocument/2006/relationships/hyperlink" Target="https://universidade.pipelovers.net/m/lessons/antifragilidade-para-crescer-como-vender-em-2025-no-meio-do-caos1769550040537?classId=3173" TargetMode="External"/><Relationship Id="rId893" Type="http://schemas.openxmlformats.org/officeDocument/2006/relationships/hyperlink" Target="https://universidade.pipelovers.net/m/lessons/customer-health-score-indicadores-para-prevenir-o-churn1769552365136?classId=3716" TargetMode="External"/><Relationship Id="rId1244" Type="http://schemas.openxmlformats.org/officeDocument/2006/relationships/hyperlink" Target="https://www.linkedin.com/in/rafael-morais-faria/" TargetMode="External"/><Relationship Id="rId2575" Type="http://schemas.openxmlformats.org/officeDocument/2006/relationships/hyperlink" Target="https://www.linkedin.com/in/mgawriliuk/" TargetMode="External"/><Relationship Id="rId892" Type="http://schemas.openxmlformats.org/officeDocument/2006/relationships/hyperlink" Target="https://www.linkedin.com/in/superti/" TargetMode="External"/><Relationship Id="rId1245" Type="http://schemas.openxmlformats.org/officeDocument/2006/relationships/hyperlink" Target="https://universidade.pipelovers.net/m/lessons/como-usar-o-whatsapp-para-vender-mais-1782496646812?moduleId=1500&amp;classId=4198" TargetMode="External"/><Relationship Id="rId2576" Type="http://schemas.openxmlformats.org/officeDocument/2006/relationships/hyperlink" Target="https://universidade.pipelovers.net/m/lessons/abs-account-based-selling-como-sair-da-abordagem-generica-e-criar-relacionamentos-estrategicos1769550040568?classId=3174" TargetMode="External"/><Relationship Id="rId1279" Type="http://schemas.openxmlformats.org/officeDocument/2006/relationships/hyperlink" Target="https://universidade.pipelovers.net/m/lessons/o-que-e-revenue-operations1769552222044?classId=2534" TargetMode="External"/><Relationship Id="rId2126" Type="http://schemas.openxmlformats.org/officeDocument/2006/relationships/hyperlink" Target="https://universidade.pipelovers.net/m/lessons/vendas-indiretas-para-clientes-enterprise1769552438287?classId=3156" TargetMode="External"/><Relationship Id="rId2127" Type="http://schemas.openxmlformats.org/officeDocument/2006/relationships/hyperlink" Target="https://drive.google.com/file/d/1MfFVd5_P4nVhak1gtq6OF_ug4d06265e/view?usp=drive_link" TargetMode="External"/><Relationship Id="rId2128" Type="http://schemas.openxmlformats.org/officeDocument/2006/relationships/hyperlink" Target="https://www.linkedin.com/in/mota-silvio/" TargetMode="External"/><Relationship Id="rId2129" Type="http://schemas.openxmlformats.org/officeDocument/2006/relationships/hyperlink" Target="https://universidade.pipelovers.net/m/lessons/o-impacto-dos-marketplaces-em-negocios-b2b1769552438337?classId=3157" TargetMode="External"/><Relationship Id="rId448" Type="http://schemas.openxmlformats.org/officeDocument/2006/relationships/hyperlink" Target="https://universidade.pipelovers.net/m/lessons/prospeccao-de-c-levels-tecnicas-para-abordar-esse-publico-com-assertividade1769552080865?classId=3574" TargetMode="External"/><Relationship Id="rId447" Type="http://schemas.openxmlformats.org/officeDocument/2006/relationships/hyperlink" Target="https://universidade.pipelovers.net/m/lessons/prospeccao-de-c-levels-tecnicas-para-abordar-esse-publico-com-assertividade1769552080865?classId=3574" TargetMode="External"/><Relationship Id="rId446" Type="http://schemas.openxmlformats.org/officeDocument/2006/relationships/hyperlink" Target="https://www.linkedin.com/in/gabrielfracalanzapimentel/" TargetMode="External"/><Relationship Id="rId445" Type="http://schemas.openxmlformats.org/officeDocument/2006/relationships/hyperlink" Target="https://universidade.pipelovers.net/m/lessons/como-usar-indicadores-financeiros-para-qualificar-leads1769552080838?classId=3446" TargetMode="External"/><Relationship Id="rId449" Type="http://schemas.openxmlformats.org/officeDocument/2006/relationships/hyperlink" Target="https://www.linkedin.com/in/lucas-hassuike-dolibaina/" TargetMode="External"/><Relationship Id="rId1270" Type="http://schemas.openxmlformats.org/officeDocument/2006/relationships/hyperlink" Target="https://www.linkedin.com/in/rogeriomellojr/" TargetMode="External"/><Relationship Id="rId440" Type="http://schemas.openxmlformats.org/officeDocument/2006/relationships/hyperlink" Target="https://www.linkedin.com/in/gabriel-sbrasil/" TargetMode="External"/><Relationship Id="rId1271" Type="http://schemas.openxmlformats.org/officeDocument/2006/relationships/hyperlink" Target="https://universidade.pipelovers.net/m/lessons/payback-e-tco-como-defender-valor-sem-conceder-descontos-1789158618034?moduleId=1667&amp;classId=4603" TargetMode="External"/><Relationship Id="rId1272" Type="http://schemas.openxmlformats.org/officeDocument/2006/relationships/hyperlink" Target="https://www.linkedin.com/in/nestorneto130482/" TargetMode="External"/><Relationship Id="rId1273" Type="http://schemas.openxmlformats.org/officeDocument/2006/relationships/hyperlink" Target="https://universidade.pipelovers.net/m/lessons/sinais-que-seu-cliente-mente-para-voce-1790084891289?moduleId=1694&amp;classId=4631" TargetMode="External"/><Relationship Id="rId2120" Type="http://schemas.openxmlformats.org/officeDocument/2006/relationships/hyperlink" Target="https://www.linkedin.com/in/jrcaporal/" TargetMode="External"/><Relationship Id="rId1274" Type="http://schemas.openxmlformats.org/officeDocument/2006/relationships/hyperlink" Target="https://www.linkedin.com/in/evertonsbruzzi/" TargetMode="External"/><Relationship Id="rId2121" Type="http://schemas.openxmlformats.org/officeDocument/2006/relationships/hyperlink" Target="https://universidade.pipelovers.net/m/lessons/como-construir-um-ecossistema-em-uma-industria-tradicional1769552438207?classId=3155" TargetMode="External"/><Relationship Id="rId444" Type="http://schemas.openxmlformats.org/officeDocument/2006/relationships/hyperlink" Target="https://universidade.pipelovers.net/m/lessons/como-usar-indicadores-financeiros-para-qualificar-leads1769552080838?classId=3446" TargetMode="External"/><Relationship Id="rId1275" Type="http://schemas.openxmlformats.org/officeDocument/2006/relationships/hyperlink" Target="https://universidade.pipelovers.net/m/lessons/tecnica-de-time-blocking-foco-e-gestao-de-tempo-1790085027422?moduleId=1695&amp;classId=4632" TargetMode="External"/><Relationship Id="rId2122" Type="http://schemas.openxmlformats.org/officeDocument/2006/relationships/hyperlink" Target="https://universidade.pipelovers.net/m/lessons/como-construir-um-ecossistema-em-uma-industria-tradicional1769552438207?classId=3155" TargetMode="External"/><Relationship Id="rId443" Type="http://schemas.openxmlformats.org/officeDocument/2006/relationships/hyperlink" Target="https://www.linkedin.com/in/isabella-birolli-74412827/" TargetMode="External"/><Relationship Id="rId1276" Type="http://schemas.openxmlformats.org/officeDocument/2006/relationships/hyperlink" Target="https://universidade.pipelovers.net/m/lessons/tecnica-de-time-blocking-foco-e-gestao-de-tempo-1790085027422?moduleId=1695&amp;classId=4632" TargetMode="External"/><Relationship Id="rId2123" Type="http://schemas.openxmlformats.org/officeDocument/2006/relationships/hyperlink" Target="https://drive.google.com/file/d/1_l8ZjkWhK7bFzWwsIOGJjrJgsOXtQZ_d/view?usp=drive_link" TargetMode="External"/><Relationship Id="rId442" Type="http://schemas.openxmlformats.org/officeDocument/2006/relationships/hyperlink" Target="https://universidade.pipelovers.net/m/lessons/geracao-de-demanda-em-uma-era-100-digital1769552080813?classId=3445" TargetMode="External"/><Relationship Id="rId1277" Type="http://schemas.openxmlformats.org/officeDocument/2006/relationships/hyperlink" Target="https://universidade.pipelovers.net/m/lessons/construcao-de-um-planejamento-comercial-derivado-da-visao-estrategica1769552222098?moduleId=472&amp;classId=3062" TargetMode="External"/><Relationship Id="rId2124" Type="http://schemas.openxmlformats.org/officeDocument/2006/relationships/hyperlink" Target="https://www.linkedin.com/in/pauloasano/" TargetMode="External"/><Relationship Id="rId441" Type="http://schemas.openxmlformats.org/officeDocument/2006/relationships/hyperlink" Target="https://universidade.pipelovers.net/m/lessons/geracao-de-demanda-em-uma-era-100-digital1769552080813?classId=3445" TargetMode="External"/><Relationship Id="rId1278" Type="http://schemas.openxmlformats.org/officeDocument/2006/relationships/hyperlink" Target="https://universidade.pipelovers.net/m/lessons/o-que-e-revenue-operations1769552222044?classId=2534" TargetMode="External"/><Relationship Id="rId2125" Type="http://schemas.openxmlformats.org/officeDocument/2006/relationships/hyperlink" Target="https://universidade.pipelovers.net/m/lessons/vendas-indiretas-para-clientes-enterprise1769552438287?classId=3156" TargetMode="External"/><Relationship Id="rId1268" Type="http://schemas.openxmlformats.org/officeDocument/2006/relationships/hyperlink" Target="https://www.linkedin.com/in/andrey-d%E2%80%99almeida-ba6b8853/" TargetMode="External"/><Relationship Id="rId2115" Type="http://schemas.openxmlformats.org/officeDocument/2006/relationships/hyperlink" Target="https://drive.google.com/file/d/1iJIDXdNFXvDKmmLc-Q8RIhaiihqq_7s9/view?usp=drive_link" TargetMode="External"/><Relationship Id="rId2599" Type="http://schemas.openxmlformats.org/officeDocument/2006/relationships/hyperlink" Target="https://www.linkedin.com/in/chriscornehl/" TargetMode="External"/><Relationship Id="rId1269" Type="http://schemas.openxmlformats.org/officeDocument/2006/relationships/hyperlink" Target="https://universidade.pipelovers.net/m/lessons/business-case-como-provar-o-roi-ao-cliente-1788462678927?moduleId=1641&amp;classId=4548" TargetMode="External"/><Relationship Id="rId2116" Type="http://schemas.openxmlformats.org/officeDocument/2006/relationships/hyperlink" Target="https://www.linkedin.com/in/gabrielhiga/" TargetMode="External"/><Relationship Id="rId2117" Type="http://schemas.openxmlformats.org/officeDocument/2006/relationships/hyperlink" Target="https://universidade.pipelovers.net/m/lessons/moldando-seu-programa-de-canais-ao-contexto-organizacional1769552438130?classId=3154" TargetMode="External"/><Relationship Id="rId2118" Type="http://schemas.openxmlformats.org/officeDocument/2006/relationships/hyperlink" Target="https://universidade.pipelovers.net/m/lessons/moldando-seu-programa-de-canais-ao-contexto-organizacional1769552438130?classId=3154" TargetMode="External"/><Relationship Id="rId2119" Type="http://schemas.openxmlformats.org/officeDocument/2006/relationships/hyperlink" Target="https://drive.google.com/file/d/1_JHKt0MKFJ3o9roKzThFfuapZSerCqPE/view?usp=drive_link" TargetMode="External"/><Relationship Id="rId437" Type="http://schemas.openxmlformats.org/officeDocument/2006/relationships/hyperlink" Target="https://www.linkedin.com/in/jailson-alex-mira/" TargetMode="External"/><Relationship Id="rId436" Type="http://schemas.openxmlformats.org/officeDocument/2006/relationships/hyperlink" Target="https://universidade.pipelovers.net/m/lessons/como-criar-conexao-na-comunicacao-escrita1769552080783?classId=3440" TargetMode="External"/><Relationship Id="rId435" Type="http://schemas.openxmlformats.org/officeDocument/2006/relationships/hyperlink" Target="https://universidade.pipelovers.net/m/lessons/como-criar-conexao-na-comunicacao-escrita1769552080783?classId=3440" TargetMode="External"/><Relationship Id="rId434" Type="http://schemas.openxmlformats.org/officeDocument/2006/relationships/hyperlink" Target="https://www.linkedin.com/in/paola-behs/" TargetMode="External"/><Relationship Id="rId439" Type="http://schemas.openxmlformats.org/officeDocument/2006/relationships/hyperlink" Target="https://universidade.pipelovers.net/m/lessons/organizacao-de-rotina-para-entregar-mais-com-menos-estresse1769552080889?classId=3441" TargetMode="External"/><Relationship Id="rId438" Type="http://schemas.openxmlformats.org/officeDocument/2006/relationships/hyperlink" Target="https://universidade.pipelovers.net/m/lessons/organizacao-de-rotina-para-entregar-mais-com-menos-estresse1769552080889?classId=3441" TargetMode="External"/><Relationship Id="rId2590" Type="http://schemas.openxmlformats.org/officeDocument/2006/relationships/hyperlink" Target="https://www.linkedin.com/in/brunnobezerra/" TargetMode="External"/><Relationship Id="rId1260" Type="http://schemas.openxmlformats.org/officeDocument/2006/relationships/hyperlink" Target="https://www.linkedin.com/in/enrico-bianchi-mazon-ba80171a4/" TargetMode="External"/><Relationship Id="rId2591" Type="http://schemas.openxmlformats.org/officeDocument/2006/relationships/hyperlink" Target="https://universidade.pipelovers.net/m/lessons/como-fazer-uma-apresentacao-comercial-matadora1769550042060?classId=3187" TargetMode="External"/><Relationship Id="rId1261" Type="http://schemas.openxmlformats.org/officeDocument/2006/relationships/hyperlink" Target="https://universidade.pipelovers.net/m/lessons/tecnica-de-carrapato-aprenda-observando-os-top-performers-1785436105991?moduleId=1578&amp;classId=4453" TargetMode="External"/><Relationship Id="rId2592" Type="http://schemas.openxmlformats.org/officeDocument/2006/relationships/hyperlink" Target="https://universidade.pipelovers.net/m/lessons/como-fazer-uma-apresentacao-comercial-matadora1769550042060?classId=3187" TargetMode="External"/><Relationship Id="rId1262" Type="http://schemas.openxmlformats.org/officeDocument/2006/relationships/hyperlink" Target="https://www.linkedin.com/in/ronaldonunes/" TargetMode="External"/><Relationship Id="rId2593" Type="http://schemas.openxmlformats.org/officeDocument/2006/relationships/hyperlink" Target="https://www.linkedin.com/in/clarissarissi/" TargetMode="External"/><Relationship Id="rId1263" Type="http://schemas.openxmlformats.org/officeDocument/2006/relationships/hyperlink" Target="https://universidade.pipelovers.net/m/lessons/fundamentos-e-preparacao-da-negociacao-b2b-1787581524133?moduleId=1604&amp;classId=4496" TargetMode="External"/><Relationship Id="rId2110" Type="http://schemas.openxmlformats.org/officeDocument/2006/relationships/hyperlink" Target="https://universidade.pipelovers.net/m/lessons/quando-e-como-usar-multicanais-como-estrategia-de-crescimento-de-receita1769552437784?classId=3151" TargetMode="External"/><Relationship Id="rId2594" Type="http://schemas.openxmlformats.org/officeDocument/2006/relationships/hyperlink" Target="https://universidade.pipelovers.net/m/lessons/o-seu-lead-esta-com-medo1769550042110?classId=3188" TargetMode="External"/><Relationship Id="rId433" Type="http://schemas.openxmlformats.org/officeDocument/2006/relationships/hyperlink" Target="https://universidade.pipelovers.net/m/lessons/challenger-sales-na-prospeccao-como-provocar-o-lead-do-jeito-certo1769552080744?classId=3439" TargetMode="External"/><Relationship Id="rId1264" Type="http://schemas.openxmlformats.org/officeDocument/2006/relationships/hyperlink" Target="https://www.linkedin.com/in/jorgegalvao10/" TargetMode="External"/><Relationship Id="rId2111" Type="http://schemas.openxmlformats.org/officeDocument/2006/relationships/hyperlink" Target="https://drive.google.com/file/d/1ZIO2TRNeajDy1u44eYoQKwEH-7jcLGj6/view?usp=drive_link" TargetMode="External"/><Relationship Id="rId2595" Type="http://schemas.openxmlformats.org/officeDocument/2006/relationships/hyperlink" Target="https://universidade.pipelovers.net/m/lessons/o-seu-lead-esta-com-medo1769550042110?classId=3188" TargetMode="External"/><Relationship Id="rId432" Type="http://schemas.openxmlformats.org/officeDocument/2006/relationships/hyperlink" Target="https://universidade.pipelovers.net/m/lessons/challenger-sales-na-prospeccao-como-provocar-o-lead-do-jeito-certo1769552080744?classId=3439" TargetMode="External"/><Relationship Id="rId1265" Type="http://schemas.openxmlformats.org/officeDocument/2006/relationships/hyperlink" Target="https://universidade.pipelovers.net/m/lessons/arquitetura-de-concessoes-ceder-sem-destruir-margem-1787581737845?moduleId=1605&amp;classId=4497" TargetMode="External"/><Relationship Id="rId2112" Type="http://schemas.openxmlformats.org/officeDocument/2006/relationships/hyperlink" Target="https://www.linkedin.com/in/matheus-weigand-5aa415151/" TargetMode="External"/><Relationship Id="rId2596" Type="http://schemas.openxmlformats.org/officeDocument/2006/relationships/hyperlink" Target="https://www.linkedin.com/in/gabriel-civinski/" TargetMode="External"/><Relationship Id="rId431" Type="http://schemas.openxmlformats.org/officeDocument/2006/relationships/hyperlink" Target="https://www.linkedin.com/in/julianne-campelo-6399b61b2/" TargetMode="External"/><Relationship Id="rId1266" Type="http://schemas.openxmlformats.org/officeDocument/2006/relationships/hyperlink" Target="https://www.linkedin.com/in/ronaldonunes/" TargetMode="External"/><Relationship Id="rId2113" Type="http://schemas.openxmlformats.org/officeDocument/2006/relationships/hyperlink" Target="https://universidade.pipelovers.net/m/lessons/demonstracoes-interativas-para-capacitacao-de-canais-indiretos1769552438073?classId=3152" TargetMode="External"/><Relationship Id="rId2597" Type="http://schemas.openxmlformats.org/officeDocument/2006/relationships/hyperlink" Target="https://universidade.pipelovers.net/m/lessons/cadencia-como-processo-como-estruturar-interacoes-comerciais-de-forma-eficiente1769550042140?classId=3195" TargetMode="External"/><Relationship Id="rId430" Type="http://schemas.openxmlformats.org/officeDocument/2006/relationships/hyperlink" Target="https://universidade.pipelovers.net/m/lessons/o-que-o-marketing-pode-te-ensinar-pra-chamar-atencao-de-leads1769552080719?classId=3438" TargetMode="External"/><Relationship Id="rId1267" Type="http://schemas.openxmlformats.org/officeDocument/2006/relationships/hyperlink" Target="https://universidade.pipelovers.net/m/lessons/como-destravar-fechamentos-no-final-de-mes-1787581891095?moduleId=1606&amp;classId=4498" TargetMode="External"/><Relationship Id="rId2114" Type="http://schemas.openxmlformats.org/officeDocument/2006/relationships/hyperlink" Target="https://universidade.pipelovers.net/m/lessons/demonstracoes-interativas-para-capacitacao-de-canais-indiretos1769552438073?classId=3152" TargetMode="External"/><Relationship Id="rId2598" Type="http://schemas.openxmlformats.org/officeDocument/2006/relationships/hyperlink" Target="https://universidade.pipelovers.net/m/lessons/cadencia-como-processo-como-estruturar-interacoes-comerciais-de-forma-eficiente1769550042140?classId=3195"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www.linkedin.com/in/leticiasantosrcc/" TargetMode="External"/><Relationship Id="rId391" Type="http://schemas.openxmlformats.org/officeDocument/2006/relationships/hyperlink" Target="https://universidade.pipelovers.net/m/lessons/como-medir-e-analisar-a-qualidade-do-lead1769552063251?classId=3561" TargetMode="External"/><Relationship Id="rId390" Type="http://schemas.openxmlformats.org/officeDocument/2006/relationships/hyperlink" Target="https://universidade.pipelovers.net/m/lessons/como-medir-e-analisar-a-qualidade-do-lead1769552063251?classId=3561" TargetMode="External"/><Relationship Id="rId1" Type="http://schemas.openxmlformats.org/officeDocument/2006/relationships/hyperlink" Target="https://square-help-401.notion.site/PipeLovers-Gest-o-de-Conte-dos-092a0245b45d4913bc546769f201f09c" TargetMode="External"/><Relationship Id="rId2" Type="http://schemas.openxmlformats.org/officeDocument/2006/relationships/hyperlink" Target="https://www.linkedin.com/in/thiago-iamnhuque/" TargetMode="External"/><Relationship Id="rId3" Type="http://schemas.openxmlformats.org/officeDocument/2006/relationships/hyperlink" Target="https://universidade.pipelovers.net/m/lessons/linkedin-e-sales-navigator-na-pratica1769551998143?classId=3302" TargetMode="External"/><Relationship Id="rId4" Type="http://schemas.openxmlformats.org/officeDocument/2006/relationships/hyperlink" Target="https://universidade.pipelovers.net/m/lessons/linkedin-e-sales-navigator-na-pratica1769551998143?classId=3302" TargetMode="External"/><Relationship Id="rId9" Type="http://schemas.openxmlformats.org/officeDocument/2006/relationships/hyperlink" Target="https://universidade.pipelovers.net/m/lessons/speedio-na-pratica1769551998117?classId=3311" TargetMode="External"/><Relationship Id="rId385" Type="http://schemas.openxmlformats.org/officeDocument/2006/relationships/hyperlink" Target="https://universidade.pipelovers.net/m/lessons/lidando-com-o-nao-o-que-separa-sdrs-comuns-dos-que-sempre-batem-meta1769552062981?classId=3559" TargetMode="External"/><Relationship Id="rId384" Type="http://schemas.openxmlformats.org/officeDocument/2006/relationships/hyperlink" Target="https://universidade.pipelovers.net/m/lessons/lidando-com-o-nao-o-que-separa-sdrs-comuns-dos-que-sempre-batem-meta1769552062981?classId=3559" TargetMode="External"/><Relationship Id="rId383" Type="http://schemas.openxmlformats.org/officeDocument/2006/relationships/hyperlink" Target="https://www.linkedin.com/in/danielmestre/" TargetMode="External"/><Relationship Id="rId382" Type="http://schemas.openxmlformats.org/officeDocument/2006/relationships/hyperlink" Target="https://universidade.pipelovers.net/m/lessons/pre-vendas-brasil-um-estudo-sobre-como-o-papel-do-pre-vendedor-esta-evoluindo1769552060890?classId=3558" TargetMode="External"/><Relationship Id="rId5" Type="http://schemas.openxmlformats.org/officeDocument/2006/relationships/hyperlink" Target="https://www.linkedin.com/in/gpagotto/" TargetMode="External"/><Relationship Id="rId389" Type="http://schemas.openxmlformats.org/officeDocument/2006/relationships/hyperlink" Target="https://www.linkedin.com/in/yudimakibara/" TargetMode="External"/><Relationship Id="rId6" Type="http://schemas.openxmlformats.org/officeDocument/2006/relationships/hyperlink" Target="https://universidade.pipelovers.net/m/lessons/aprendizados-de-100-mentorias-para-sdrs1769551998054?classId=3304" TargetMode="External"/><Relationship Id="rId388" Type="http://schemas.openxmlformats.org/officeDocument/2006/relationships/hyperlink" Target="https://universidade.pipelovers.net/m/lessons/de-sdr-a-lider-o-poder-da-auto-responsabilidade-para-crescer-na-carreira1769552063070?classId=3560" TargetMode="External"/><Relationship Id="rId7" Type="http://schemas.openxmlformats.org/officeDocument/2006/relationships/hyperlink" Target="https://universidade.pipelovers.net/m/lessons/aprendizados-de-100-mentorias-para-sdrs1769551998054?classId=3304" TargetMode="External"/><Relationship Id="rId387" Type="http://schemas.openxmlformats.org/officeDocument/2006/relationships/hyperlink" Target="https://universidade.pipelovers.net/m/lessons/de-sdr-a-lider-o-poder-da-auto-responsabilidade-para-crescer-na-carreira1769552063070?classId=3560" TargetMode="External"/><Relationship Id="rId8" Type="http://schemas.openxmlformats.org/officeDocument/2006/relationships/hyperlink" Target="https://www.linkedin.com/in/maucirnascimento/" TargetMode="External"/><Relationship Id="rId386" Type="http://schemas.openxmlformats.org/officeDocument/2006/relationships/hyperlink" Target="https://www.linkedin.com/in/let%C3%ADcia-alves-8b9633206/" TargetMode="External"/><Relationship Id="rId381" Type="http://schemas.openxmlformats.org/officeDocument/2006/relationships/hyperlink" Target="https://universidade.pipelovers.net/m/lessons/pre-vendas-brasil-um-estudo-sobre-como-o-papel-do-pre-vendedor-esta-evoluindo1769552060890?classId=3558" TargetMode="External"/><Relationship Id="rId380" Type="http://schemas.openxmlformats.org/officeDocument/2006/relationships/hyperlink" Target="https://www.linkedin.com/in/clarissarissi/" TargetMode="External"/><Relationship Id="rId379" Type="http://schemas.openxmlformats.org/officeDocument/2006/relationships/hyperlink" Target="https://universidade.pipelovers.net/m/lessons/dar-e-receber-feedback-com-clareza1769552060864?classId=3028" TargetMode="External"/><Relationship Id="rId374" Type="http://schemas.openxmlformats.org/officeDocument/2006/relationships/hyperlink" Target="https://www.linkedin.com/in/leandro-bulhoes/" TargetMode="External"/><Relationship Id="rId373" Type="http://schemas.openxmlformats.org/officeDocument/2006/relationships/hyperlink" Target="https://universidade.pipelovers.net/m/lessons/como-expandir-sua-rede-em-eventos1769552060789?classId=3556" TargetMode="External"/><Relationship Id="rId372" Type="http://schemas.openxmlformats.org/officeDocument/2006/relationships/hyperlink" Target="https://universidade.pipelovers.net/m/lessons/como-expandir-sua-rede-em-eventos1769552060789?classId=3556" TargetMode="External"/><Relationship Id="rId371" Type="http://schemas.openxmlformats.org/officeDocument/2006/relationships/hyperlink" Target="https://www.linkedin.com/in/gabiehlert/" TargetMode="External"/><Relationship Id="rId378" Type="http://schemas.openxmlformats.org/officeDocument/2006/relationships/hyperlink" Target="https://universidade.pipelovers.net/m/lessons/dar-e-receber-feedback-com-clareza1769552060864?classId=3028" TargetMode="External"/><Relationship Id="rId377" Type="http://schemas.openxmlformats.org/officeDocument/2006/relationships/hyperlink" Target="https://www.linkedin.com/in/carol-deberaldini-21793442/" TargetMode="External"/><Relationship Id="rId376" Type="http://schemas.openxmlformats.org/officeDocument/2006/relationships/hyperlink" Target="https://universidade.pipelovers.net/m/lessons/roi-na-pratica-como-engajar-leads-que-nao-enxergam-valor1769552060817?classId=3557" TargetMode="External"/><Relationship Id="rId375" Type="http://schemas.openxmlformats.org/officeDocument/2006/relationships/hyperlink" Target="https://universidade.pipelovers.net/m/lessons/roi-na-pratica-como-engajar-leads-que-nao-enxergam-valor1769552060817?classId=3557" TargetMode="External"/><Relationship Id="rId396" Type="http://schemas.openxmlformats.org/officeDocument/2006/relationships/hyperlink" Target="https://universidade.pipelovers.net/m/lessons/os-8-imas-da-atencao-capturando-o-interesse-do-lead-desde-o-primeiro-contato1769552063132?classId=3563" TargetMode="External"/><Relationship Id="rId395" Type="http://schemas.openxmlformats.org/officeDocument/2006/relationships/hyperlink" Target="https://www.linkedin.com/in/lucasverissimo-artistaempreendedor/" TargetMode="External"/><Relationship Id="rId394" Type="http://schemas.openxmlformats.org/officeDocument/2006/relationships/hyperlink" Target="https://universidade.pipelovers.net/m/lessons/saude-mental-na-linha-de-frente-praticas-simples-pra-lidar-com-a-rotina-de-sdr1769552063188?classId=3562" TargetMode="External"/><Relationship Id="rId393" Type="http://schemas.openxmlformats.org/officeDocument/2006/relationships/hyperlink" Target="https://universidade.pipelovers.net/m/lessons/saude-mental-na-linha-de-frente-praticas-simples-pra-lidar-com-a-rotina-de-sdr1769552063188?classId=3562" TargetMode="External"/><Relationship Id="rId399" Type="http://schemas.openxmlformats.org/officeDocument/2006/relationships/hyperlink" Target="https://universidade.pipelovers.net/m/lessons/copy-com-persuasao1769552063314?classId=3564" TargetMode="External"/><Relationship Id="rId398" Type="http://schemas.openxmlformats.org/officeDocument/2006/relationships/hyperlink" Target="https://www.linkedin.com/in/giovana-felix/" TargetMode="External"/><Relationship Id="rId397" Type="http://schemas.openxmlformats.org/officeDocument/2006/relationships/hyperlink" Target="https://universidade.pipelovers.net/m/lessons/os-8-imas-da-atencao-capturando-o-interesse-do-lead-desde-o-primeiro-contato1769552063132?classId=3563" TargetMode="External"/><Relationship Id="rId40" Type="http://schemas.openxmlformats.org/officeDocument/2006/relationships/hyperlink" Target="https://universidade.pipelovers.net/m/lessons/por-que-os-leads-nao-respondem1769552002933?classId=3351" TargetMode="External"/><Relationship Id="rId42" Type="http://schemas.openxmlformats.org/officeDocument/2006/relationships/hyperlink" Target="https://universidade.pipelovers.net/m/lessons/prospectando-grandes-contas1769552002862?classId=3352" TargetMode="External"/><Relationship Id="rId41" Type="http://schemas.openxmlformats.org/officeDocument/2006/relationships/hyperlink" Target="https://www.linkedin.com/in/tatianapimenta/" TargetMode="External"/><Relationship Id="rId44" Type="http://schemas.openxmlformats.org/officeDocument/2006/relationships/hyperlink" Target="https://www.linkedin.com/in/julianamenegatti/" TargetMode="External"/><Relationship Id="rId43" Type="http://schemas.openxmlformats.org/officeDocument/2006/relationships/hyperlink" Target="https://universidade.pipelovers.net/m/lessons/prospectando-grandes-contas1769552002862?classId=3352" TargetMode="External"/><Relationship Id="rId46" Type="http://schemas.openxmlformats.org/officeDocument/2006/relationships/hyperlink" Target="https://universidade.pipelovers.net/aulas/construindo-uma-carreira-internacional-em-vendas-b2b-1775073941335" TargetMode="External"/><Relationship Id="rId45" Type="http://schemas.openxmlformats.org/officeDocument/2006/relationships/hyperlink" Target="https://universidade.pipelovers.net/aulas/construindo-uma-carreira-internacional-em-vendas-b2b-1775073941335" TargetMode="External"/><Relationship Id="rId48" Type="http://schemas.openxmlformats.org/officeDocument/2006/relationships/hyperlink" Target="https://universidade.pipelovers.net/m/lessons/como-ser-um-sdr-top-performer1769552003068?classId=3358" TargetMode="External"/><Relationship Id="rId47" Type="http://schemas.openxmlformats.org/officeDocument/2006/relationships/hyperlink" Target="https://www.linkedin.com/in/caldeirapedro/" TargetMode="External"/><Relationship Id="rId49" Type="http://schemas.openxmlformats.org/officeDocument/2006/relationships/hyperlink" Target="https://universidade.pipelovers.net/m/lessons/como-ser-um-sdr-top-performer1769552003068?classId=3358" TargetMode="External"/><Relationship Id="rId31" Type="http://schemas.openxmlformats.org/officeDocument/2006/relationships/hyperlink" Target="https://universidade.pipelovers.net/m/lessons/abordagens-inteligentes-usando-social-selling1769552002626?classId=3339" TargetMode="External"/><Relationship Id="rId30" Type="http://schemas.openxmlformats.org/officeDocument/2006/relationships/hyperlink" Target="https://www.linkedin.com/in/denisemaiasoares/" TargetMode="External"/><Relationship Id="rId33" Type="http://schemas.openxmlformats.org/officeDocument/2006/relationships/hyperlink" Target="https://www.linkedin.com/in/anaduccini/" TargetMode="External"/><Relationship Id="rId32" Type="http://schemas.openxmlformats.org/officeDocument/2006/relationships/hyperlink" Target="https://universidade.pipelovers.net/m/lessons/abordagens-inteligentes-usando-social-selling1769552002626?classId=3339" TargetMode="External"/><Relationship Id="rId35" Type="http://schemas.openxmlformats.org/officeDocument/2006/relationships/hyperlink" Target="https://universidade.pipelovers.net/m/lessons/produtividade-baseada-em-cadencia-e-gestao-do-tempo1769552002705?classId=3344" TargetMode="External"/><Relationship Id="rId34" Type="http://schemas.openxmlformats.org/officeDocument/2006/relationships/hyperlink" Target="https://universidade.pipelovers.net/m/lessons/produtividade-baseada-em-cadencia-e-gestao-do-tempo1769552002705?classId=3344" TargetMode="External"/><Relationship Id="rId37" Type="http://schemas.openxmlformats.org/officeDocument/2006/relationships/hyperlink" Target="https://universidade.pipelovers.net/m/lessons/tecnicas-de-cold-calling1769552002783?classId=3347" TargetMode="External"/><Relationship Id="rId36" Type="http://schemas.openxmlformats.org/officeDocument/2006/relationships/hyperlink" Target="https://universidade.pipelovers.net/m/lessons/tecnicas-de-cold-calling1769552002783?classId=3347" TargetMode="External"/><Relationship Id="rId39" Type="http://schemas.openxmlformats.org/officeDocument/2006/relationships/hyperlink" Target="https://universidade.pipelovers.net/m/lessons/por-que-os-leads-nao-respondem1769552002933?classId=3351" TargetMode="External"/><Relationship Id="rId38" Type="http://schemas.openxmlformats.org/officeDocument/2006/relationships/hyperlink" Target="http://runrun.it/" TargetMode="External"/><Relationship Id="rId20" Type="http://schemas.openxmlformats.org/officeDocument/2006/relationships/hyperlink" Target="https://www.linkedin.com/in/rafaelfollador/" TargetMode="External"/><Relationship Id="rId22" Type="http://schemas.openxmlformats.org/officeDocument/2006/relationships/hyperlink" Target="https://universidade.pipelovers.net/m/lessons/como-construir-o-seu-playbook-de-sdr1769551998012?classId=3330" TargetMode="External"/><Relationship Id="rId21" Type="http://schemas.openxmlformats.org/officeDocument/2006/relationships/hyperlink" Target="https://universidade.pipelovers.net/m/lessons/como-construir-o-seu-playbook-de-sdr1769551998012?classId=3330" TargetMode="External"/><Relationship Id="rId24" Type="http://schemas.openxmlformats.org/officeDocument/2006/relationships/hyperlink" Target="https://universidade.pipelovers.net/m/lessons/a-maquina-das-maquinas-de-vendas-b2b-do-brasil1772542661755?classId=3766" TargetMode="External"/><Relationship Id="rId23" Type="http://schemas.openxmlformats.org/officeDocument/2006/relationships/hyperlink" Target="https://www.linkedin.com/in/thiago-reis-/" TargetMode="External"/><Relationship Id="rId26" Type="http://schemas.openxmlformats.org/officeDocument/2006/relationships/hyperlink" Target="https://www.linkedin.com/in/vidalo/" TargetMode="External"/><Relationship Id="rId25" Type="http://schemas.openxmlformats.org/officeDocument/2006/relationships/hyperlink" Target="https://universidade.pipelovers.net/m/lessons/a-maquina-das-maquinas-de-vendas-b2b-do-brasil1772542661755?classId=3766" TargetMode="External"/><Relationship Id="rId28" Type="http://schemas.openxmlformats.org/officeDocument/2006/relationships/hyperlink" Target="https://universidade.pipelovers.net/m/lessons/aumento-de-conversao-na-prospeccao1769552002545?classId=3337" TargetMode="External"/><Relationship Id="rId27" Type="http://schemas.openxmlformats.org/officeDocument/2006/relationships/hyperlink" Target="https://universidade.pipelovers.net/m/lessons/aumento-de-conversao-na-prospeccao1769552002545?classId=3337" TargetMode="External"/><Relationship Id="rId29" Type="http://schemas.openxmlformats.org/officeDocument/2006/relationships/hyperlink" Target="http://runrun.it/" TargetMode="External"/><Relationship Id="rId11" Type="http://schemas.openxmlformats.org/officeDocument/2006/relationships/hyperlink" Target="https://www.linkedin.com/in/joaoambevilacqua/" TargetMode="External"/><Relationship Id="rId10" Type="http://schemas.openxmlformats.org/officeDocument/2006/relationships/hyperlink" Target="https://universidade.pipelovers.net/m/lessons/speedio-na-pratica1769551998117?classId=3311" TargetMode="External"/><Relationship Id="rId13" Type="http://schemas.openxmlformats.org/officeDocument/2006/relationships/hyperlink" Target="https://universidade.pipelovers.net/m/lessons/por-dentro-da-estrutura-de-sdrs-da-zendesk1769551998168?classId=3314" TargetMode="External"/><Relationship Id="rId12" Type="http://schemas.openxmlformats.org/officeDocument/2006/relationships/hyperlink" Target="https://universidade.pipelovers.net/m/lessons/por-dentro-da-estrutura-de-sdrs-da-zendesk1769551998168?classId=3314" TargetMode="External"/><Relationship Id="rId15" Type="http://schemas.openxmlformats.org/officeDocument/2006/relationships/hyperlink" Target="https://universidade.pipelovers.net/m/lessons/apolloio-na-pratica1769551998090?classId=3323" TargetMode="External"/><Relationship Id="rId14" Type="http://schemas.openxmlformats.org/officeDocument/2006/relationships/hyperlink" Target="https://www.linkedin.com/in/joaoluisoliverio/" TargetMode="External"/><Relationship Id="rId17" Type="http://schemas.openxmlformats.org/officeDocument/2006/relationships/hyperlink" Target="https://www.linkedin.com/in/theoorosco/" TargetMode="External"/><Relationship Id="rId16" Type="http://schemas.openxmlformats.org/officeDocument/2006/relationships/hyperlink" Target="https://universidade.pipelovers.net/m/lessons/apolloio-na-pratica1769551998090?classId=3323" TargetMode="External"/><Relationship Id="rId19" Type="http://schemas.openxmlformats.org/officeDocument/2006/relationships/hyperlink" Target="https://universidade.pipelovers.net/aulas/os-segredos-dos-melhores-pre-vendedores-do-brasil-1775073349177" TargetMode="External"/><Relationship Id="rId18" Type="http://schemas.openxmlformats.org/officeDocument/2006/relationships/hyperlink" Target="https://universidade.pipelovers.net/aulas/os-segredos-dos-melhores-pre-vendedores-do-brasil-1775073349177" TargetMode="External"/><Relationship Id="rId84" Type="http://schemas.openxmlformats.org/officeDocument/2006/relationships/hyperlink" Target="https://universidade.pipelovers.net/m/lessons/opcoes-de-carreira-para-sdrs1769552018631?classId=3386" TargetMode="External"/><Relationship Id="rId83" Type="http://schemas.openxmlformats.org/officeDocument/2006/relationships/hyperlink" Target="https://www.linkedin.com/in/rodrigomaranha/" TargetMode="External"/><Relationship Id="rId86" Type="http://schemas.openxmlformats.org/officeDocument/2006/relationships/hyperlink" Target="https://universidade.pipelovers.net/m/lessons/estruturando-uma-operacao-de-pre-vendas1769552018768?classId=3387" TargetMode="External"/><Relationship Id="rId85" Type="http://schemas.openxmlformats.org/officeDocument/2006/relationships/hyperlink" Target="https://universidade.pipelovers.net/m/lessons/opcoes-de-carreira-para-sdrs1769552018631?classId=3386" TargetMode="External"/><Relationship Id="rId88" Type="http://schemas.openxmlformats.org/officeDocument/2006/relationships/hyperlink" Target="https://www.linkedin.com/in/bonaroti/" TargetMode="External"/><Relationship Id="rId87" Type="http://schemas.openxmlformats.org/officeDocument/2006/relationships/hyperlink" Target="https://universidade.pipelovers.net/m/lessons/estruturando-uma-operacao-de-pre-vendas1769552018768?classId=3387" TargetMode="External"/><Relationship Id="rId89" Type="http://schemas.openxmlformats.org/officeDocument/2006/relationships/hyperlink" Target="https://universidade.pipelovers.net/m/lessons/escuta-ativa1769552018798?classId=3388" TargetMode="External"/><Relationship Id="rId80" Type="http://schemas.openxmlformats.org/officeDocument/2006/relationships/hyperlink" Target="https://www.linkedin.com/in/giovanna-prosa" TargetMode="External"/><Relationship Id="rId82" Type="http://schemas.openxmlformats.org/officeDocument/2006/relationships/hyperlink" Target="https://universidade.pipelovers.net/m/lessons/resiliencia-na-area-de-vendas1769552018214?classId=3385" TargetMode="External"/><Relationship Id="rId81" Type="http://schemas.openxmlformats.org/officeDocument/2006/relationships/hyperlink" Target="https://universidade.pipelovers.net/m/lessons/resiliencia-na-area-de-vendas1769552018214?classId=3385" TargetMode="External"/><Relationship Id="rId73" Type="http://schemas.openxmlformats.org/officeDocument/2006/relationships/hyperlink" Target="https://universidade.pipelovers.net/m/lessons/case-de-vendas-gupy1769552006171?classId=3378" TargetMode="External"/><Relationship Id="rId72" Type="http://schemas.openxmlformats.org/officeDocument/2006/relationships/hyperlink" Target="https://universidade.pipelovers.net/m/lessons/case-de-vendas-gupy1769552006171?classId=3378" TargetMode="External"/><Relationship Id="rId75" Type="http://schemas.openxmlformats.org/officeDocument/2006/relationships/hyperlink" Target="https://universidade.pipelovers.net/m/lessons/construindo-um-pdi-como-pre-vendedor1769552018835?classId=3379" TargetMode="External"/><Relationship Id="rId74" Type="http://schemas.openxmlformats.org/officeDocument/2006/relationships/hyperlink" Target="https://www.linkedin.com/in/juliaennes/" TargetMode="External"/><Relationship Id="rId77" Type="http://schemas.openxmlformats.org/officeDocument/2006/relationships/hyperlink" Target="https://www.linkedin.com/in/matheusqcosta/" TargetMode="External"/><Relationship Id="rId76" Type="http://schemas.openxmlformats.org/officeDocument/2006/relationships/hyperlink" Target="https://universidade.pipelovers.net/m/lessons/construindo-um-pdi-como-pre-vendedor1769552018835?classId=3379" TargetMode="External"/><Relationship Id="rId79" Type="http://schemas.openxmlformats.org/officeDocument/2006/relationships/hyperlink" Target="https://universidade.pipelovers.net/m/lessons/fluxos-de-cadencia-de-prospeccao1769552018874?classId=3380" TargetMode="External"/><Relationship Id="rId78" Type="http://schemas.openxmlformats.org/officeDocument/2006/relationships/hyperlink" Target="https://universidade.pipelovers.net/m/lessons/fluxos-de-cadencia-de-prospeccao1769552018874?classId=3380" TargetMode="External"/><Relationship Id="rId71" Type="http://schemas.openxmlformats.org/officeDocument/2006/relationships/hyperlink" Target="https://www.linkedin.com/in/iezadeoliveira/" TargetMode="External"/><Relationship Id="rId70" Type="http://schemas.openxmlformats.org/officeDocument/2006/relationships/hyperlink" Target="https://universidade.pipelovers.net/m/lessons/case-g4-educacao1769552006142?classId=3372" TargetMode="External"/><Relationship Id="rId62" Type="http://schemas.openxmlformats.org/officeDocument/2006/relationships/hyperlink" Target="https://www.linkedin.com/in/gabrielbaeta/" TargetMode="External"/><Relationship Id="rId61" Type="http://schemas.openxmlformats.org/officeDocument/2006/relationships/hyperlink" Target="https://universidade.pipelovers.net/m/lessons/automacoes-produtivas-para-sdrs1769552006015?classId=3369" TargetMode="External"/><Relationship Id="rId64" Type="http://schemas.openxmlformats.org/officeDocument/2006/relationships/hyperlink" Target="https://universidade.pipelovers.net/m/lessons/modelo-gpct1769552006045?classId=3370" TargetMode="External"/><Relationship Id="rId63" Type="http://schemas.openxmlformats.org/officeDocument/2006/relationships/hyperlink" Target="https://universidade.pipelovers.net/m/lessons/modelo-gpct1769552006045?classId=3370" TargetMode="External"/><Relationship Id="rId66" Type="http://schemas.openxmlformats.org/officeDocument/2006/relationships/hyperlink" Target="https://universidade.pipelovers.net/m/lessons/aumento-de-produtividade-com-ferramentas-de-sales-engagement1769552006095?classId=3371" TargetMode="External"/><Relationship Id="rId65" Type="http://schemas.openxmlformats.org/officeDocument/2006/relationships/hyperlink" Target="https://www.linkedin.com/in/s%C3%A9rgio-albuquerque-68985b14a/" TargetMode="External"/><Relationship Id="rId68" Type="http://schemas.openxmlformats.org/officeDocument/2006/relationships/hyperlink" Target="https://www.linkedin.com/in/marina-p-mello/" TargetMode="External"/><Relationship Id="rId67" Type="http://schemas.openxmlformats.org/officeDocument/2006/relationships/hyperlink" Target="https://universidade.pipelovers.net/m/lessons/aumento-de-produtividade-com-ferramentas-de-sales-engagement1769552006095?classId=3371" TargetMode="External"/><Relationship Id="rId60" Type="http://schemas.openxmlformats.org/officeDocument/2006/relationships/hyperlink" Target="https://universidade.pipelovers.net/m/lessons/automacoes-produtivas-para-sdrs1769552006015?classId=3369" TargetMode="External"/><Relationship Id="rId69" Type="http://schemas.openxmlformats.org/officeDocument/2006/relationships/hyperlink" Target="https://universidade.pipelovers.net/m/lessons/case-g4-educacao1769552006142?classId=3372" TargetMode="External"/><Relationship Id="rId51" Type="http://schemas.openxmlformats.org/officeDocument/2006/relationships/hyperlink" Target="https://universidade.pipelovers.net/m/lessons/carreira-e-mulheres-em-vendas1769552003169?classId=3363" TargetMode="External"/><Relationship Id="rId50" Type="http://schemas.openxmlformats.org/officeDocument/2006/relationships/hyperlink" Target="https://www.linkedin.com/in/angelita-oliveira/" TargetMode="External"/><Relationship Id="rId53" Type="http://schemas.openxmlformats.org/officeDocument/2006/relationships/hyperlink" Target="https://www.linkedin.com/in/bianca-junqueira/" TargetMode="External"/><Relationship Id="rId52" Type="http://schemas.openxmlformats.org/officeDocument/2006/relationships/hyperlink" Target="https://universidade.pipelovers.net/m/lessons/carreira-e-mulheres-em-vendas1769552003169?classId=3363" TargetMode="External"/><Relationship Id="rId55" Type="http://schemas.openxmlformats.org/officeDocument/2006/relationships/hyperlink" Target="https://universidade.pipelovers.net/m/lessons/spin-selling-na-prospeccao1769552005937?classId=3364" TargetMode="External"/><Relationship Id="rId54" Type="http://schemas.openxmlformats.org/officeDocument/2006/relationships/hyperlink" Target="https://universidade.pipelovers.net/m/lessons/spin-selling-na-prospeccao1769552005937?classId=3364" TargetMode="External"/><Relationship Id="rId57" Type="http://schemas.openxmlformats.org/officeDocument/2006/relationships/hyperlink" Target="https://universidade.pipelovers.net/m/lessons/tecnicas-de-pnl-e-gatilhos-mentais1769552005987?classId=3365" TargetMode="External"/><Relationship Id="rId56" Type="http://schemas.openxmlformats.org/officeDocument/2006/relationships/hyperlink" Target="https://www.linkedin.com/in/juliocesarramone/" TargetMode="External"/><Relationship Id="rId59" Type="http://schemas.openxmlformats.org/officeDocument/2006/relationships/hyperlink" Target="https://www.linkedin.com/in/marcelosalesops/" TargetMode="External"/><Relationship Id="rId58" Type="http://schemas.openxmlformats.org/officeDocument/2006/relationships/hyperlink" Target="https://universidade.pipelovers.net/m/lessons/tecnicas-de-pnl-e-gatilhos-mentais1769552005987?moduleId=776&amp;classId=3365" TargetMode="External"/><Relationship Id="rId349" Type="http://schemas.openxmlformats.org/officeDocument/2006/relationships/hyperlink" Target="https://universidade.pipelovers.net/m/lessons/prospeccao-na-base-de-clientes1769552060458?classId=3548" TargetMode="External"/><Relationship Id="rId348" Type="http://schemas.openxmlformats.org/officeDocument/2006/relationships/hyperlink" Target="https://universidade.pipelovers.net/m/lessons/prospeccao-na-base-de-clientes1769552060458?classId=3548" TargetMode="External"/><Relationship Id="rId347" Type="http://schemas.openxmlformats.org/officeDocument/2006/relationships/hyperlink" Target="https://www.linkedin.com/in/guntherweissbock/" TargetMode="External"/><Relationship Id="rId346" Type="http://schemas.openxmlformats.org/officeDocument/2006/relationships/hyperlink" Target="https://universidade.pipelovers.net/m/lessons/por-que-o-telefone-ainda-supera-e-mails-e-mensagens-na-primeira-conexao1769552060394?classId=3038" TargetMode="External"/><Relationship Id="rId341" Type="http://schemas.openxmlformats.org/officeDocument/2006/relationships/hyperlink" Target="https://www.linkedin.com/in/thiagoavelinoq/" TargetMode="External"/><Relationship Id="rId340" Type="http://schemas.openxmlformats.org/officeDocument/2006/relationships/hyperlink" Target="https://universidade.pipelovers.net/m/lessons/grave-envie-e-converta-como-os-videos-podem-ajudar-na-prospeccao1769552060338?classId=3545" TargetMode="External"/><Relationship Id="rId345" Type="http://schemas.openxmlformats.org/officeDocument/2006/relationships/hyperlink" Target="https://universidade.pipelovers.net/m/lessons/por-que-o-telefone-ainda-supera-e-mails-e-mensagens-na-primeira-conexao1769552060394?classId=3038" TargetMode="External"/><Relationship Id="rId344" Type="http://schemas.openxmlformats.org/officeDocument/2006/relationships/hyperlink" Target="https://www.linkedin.com/in/mari-genovez/" TargetMode="External"/><Relationship Id="rId343" Type="http://schemas.openxmlformats.org/officeDocument/2006/relationships/hyperlink" Target="https://universidade.pipelovers.net/m/lessons/nutricao-de-leads-para-maximizar-conversoes1769552060365?classId=3547" TargetMode="External"/><Relationship Id="rId342" Type="http://schemas.openxmlformats.org/officeDocument/2006/relationships/hyperlink" Target="https://universidade.pipelovers.net/m/lessons/nutricao-de-leads-para-maximizar-conversoes1769552060365?classId=3547" TargetMode="External"/><Relationship Id="rId338" Type="http://schemas.openxmlformats.org/officeDocument/2006/relationships/hyperlink" Target="https://www.linkedin.com/in/sarah-f-oliveira/" TargetMode="External"/><Relationship Id="rId337" Type="http://schemas.openxmlformats.org/officeDocument/2006/relationships/hyperlink" Target="https://universidade.pipelovers.net/m/lessons/primeira-impressao-na-prospeccao-o-impacto-da-imagem-profissional1769552060299?classId=3546" TargetMode="External"/><Relationship Id="rId336" Type="http://schemas.openxmlformats.org/officeDocument/2006/relationships/hyperlink" Target="https://universidade.pipelovers.net/m/lessons/primeira-impressao-na-prospeccao-o-impacto-da-imagem-profissional1769552060299?classId=3546" TargetMode="External"/><Relationship Id="rId335" Type="http://schemas.openxmlformats.org/officeDocument/2006/relationships/hyperlink" Target="https://universidade.pipelovers.net/m/lessons/como-big-data-pode-ser-um-aliado-em-pre-vendas1769552060261?classId=3544" TargetMode="External"/><Relationship Id="rId339" Type="http://schemas.openxmlformats.org/officeDocument/2006/relationships/hyperlink" Target="https://universidade.pipelovers.net/m/lessons/grave-envie-e-converta-como-os-videos-podem-ajudar-na-prospeccao1769552060338?classId=3545" TargetMode="External"/><Relationship Id="rId330" Type="http://schemas.openxmlformats.org/officeDocument/2006/relationships/hyperlink" Target="https://www.linkedin.com/in/hugosoaresnascimento/" TargetMode="External"/><Relationship Id="rId334" Type="http://schemas.openxmlformats.org/officeDocument/2006/relationships/hyperlink" Target="https://universidade.pipelovers.net/m/lessons/como-big-data-pode-ser-um-aliado-em-pre-vendas1769552060261?classId=3544" TargetMode="External"/><Relationship Id="rId333" Type="http://schemas.openxmlformats.org/officeDocument/2006/relationships/hyperlink" Target="https://www.linkedin.com/in/kesleybarros/" TargetMode="External"/><Relationship Id="rId332" Type="http://schemas.openxmlformats.org/officeDocument/2006/relationships/hyperlink" Target="https://universidade.pipelovers.net/m/lessons/mapeando-e-contornando-objecoes-com-ia1769552060177?classId=3543" TargetMode="External"/><Relationship Id="rId331" Type="http://schemas.openxmlformats.org/officeDocument/2006/relationships/hyperlink" Target="https://universidade.pipelovers.net/m/lessons/mapeando-e-contornando-objecoes-com-ia1769552060177?classId=3543" TargetMode="External"/><Relationship Id="rId370" Type="http://schemas.openxmlformats.org/officeDocument/2006/relationships/hyperlink" Target="https://universidade.pipelovers.net/m/lessons/gatilhos-certeiros-como-deixar-seu-pitch-impossivel-de-ignorar1769552060763?classId=3555" TargetMode="External"/><Relationship Id="rId369" Type="http://schemas.openxmlformats.org/officeDocument/2006/relationships/hyperlink" Target="https://universidade.pipelovers.net/m/lessons/gatilhos-certeiros-como-deixar-seu-pitch-impossivel-de-ignorar1769552060763?classId=3555" TargetMode="External"/><Relationship Id="rId368" Type="http://schemas.openxmlformats.org/officeDocument/2006/relationships/hyperlink" Target="https://www.linkedin.com/in/michelkurc/" TargetMode="External"/><Relationship Id="rId363" Type="http://schemas.openxmlformats.org/officeDocument/2006/relationships/hyperlink" Target="https://universidade.pipelovers.net/m/lessons/cac-e-ltv-o-que-esses-numeros-significam-para-a-prospeccao1769552060674?classId=3553" TargetMode="External"/><Relationship Id="rId362" Type="http://schemas.openxmlformats.org/officeDocument/2006/relationships/hyperlink" Target="https://www.linkedin.com/in/pedrohdeassis/" TargetMode="External"/><Relationship Id="rId361" Type="http://schemas.openxmlformats.org/officeDocument/2006/relationships/hyperlink" Target="https://universidade.pipelovers.net/m/lessons/6-formas-diferentes-de-aprender-todos-os-dias1769552060624?classId=3552" TargetMode="External"/><Relationship Id="rId360" Type="http://schemas.openxmlformats.org/officeDocument/2006/relationships/hyperlink" Target="https://universidade.pipelovers.net/m/lessons/6-formas-diferentes-de-aprender-todos-os-dias1769552060624?classId=3552" TargetMode="External"/><Relationship Id="rId367" Type="http://schemas.openxmlformats.org/officeDocument/2006/relationships/hyperlink" Target="https://universidade.pipelovers.net/m/lessons/como-identificar-e-explorar-oportunidades-de-upsell-1769552060700?classId=3554" TargetMode="External"/><Relationship Id="rId366" Type="http://schemas.openxmlformats.org/officeDocument/2006/relationships/hyperlink" Target="https://universidade.pipelovers.net/m/lessons/como-identificar-e-explorar-oportunidades-de-upsell-1769552060700?classId=3554" TargetMode="External"/><Relationship Id="rId365" Type="http://schemas.openxmlformats.org/officeDocument/2006/relationships/hyperlink" Target="https://www.linkedin.com/in/esthernam2020/" TargetMode="External"/><Relationship Id="rId364" Type="http://schemas.openxmlformats.org/officeDocument/2006/relationships/hyperlink" Target="https://universidade.pipelovers.net/m/lessons/cac-e-ltv-o-que-esses-numeros-significam-para-a-prospeccao1769552060674?classId=3553" TargetMode="External"/><Relationship Id="rId95" Type="http://schemas.openxmlformats.org/officeDocument/2006/relationships/hyperlink" Target="https://universidade.pipelovers.net/m/lessons/desafios-do-sdr-que-vira-vendedor1769552018922?classId=3390" TargetMode="External"/><Relationship Id="rId94" Type="http://schemas.openxmlformats.org/officeDocument/2006/relationships/hyperlink" Target="https://universidade.pipelovers.net/m/lessons/desafios-do-sdr-que-vira-vendedor1769552018922?classId=3390" TargetMode="External"/><Relationship Id="rId97" Type="http://schemas.openxmlformats.org/officeDocument/2006/relationships/hyperlink" Target="https://universidade.pipelovers.net/m/lessons/case-rock-content1769552018997?classId=3391" TargetMode="External"/><Relationship Id="rId96" Type="http://schemas.openxmlformats.org/officeDocument/2006/relationships/hyperlink" Target="https://www.linkedin.com/in/izebolzan/" TargetMode="External"/><Relationship Id="rId99" Type="http://schemas.openxmlformats.org/officeDocument/2006/relationships/hyperlink" Target="https://universidade.pipelovers.net/m/lessons/assedio-nao-e-normal-ok1769552019039?classId=3392" TargetMode="External"/><Relationship Id="rId98" Type="http://schemas.openxmlformats.org/officeDocument/2006/relationships/hyperlink" Target="https://universidade.pipelovers.net/m/lessons/case-rock-content1769552018997?classId=3391" TargetMode="External"/><Relationship Id="rId91" Type="http://schemas.openxmlformats.org/officeDocument/2006/relationships/hyperlink" Target="https://universidade.pipelovers.net/m/lessons/planejamento-de-territorio-de-prospeccao1769552018953?classId=3389" TargetMode="External"/><Relationship Id="rId90" Type="http://schemas.openxmlformats.org/officeDocument/2006/relationships/hyperlink" Target="https://universidade.pipelovers.net/m/lessons/escuta-ativa1769552018798?classId=3388" TargetMode="External"/><Relationship Id="rId93" Type="http://schemas.openxmlformats.org/officeDocument/2006/relationships/hyperlink" Target="https://www.linkedin.com/in/admpatriciaribeiro" TargetMode="External"/><Relationship Id="rId92" Type="http://schemas.openxmlformats.org/officeDocument/2006/relationships/hyperlink" Target="https://universidade.pipelovers.net/m/lessons/planejamento-de-territorio-de-prospeccao1769552018953?classId=3389" TargetMode="External"/><Relationship Id="rId359" Type="http://schemas.openxmlformats.org/officeDocument/2006/relationships/hyperlink" Target="https://www.linkedin.com/in/carol-deberaldini-21793442/" TargetMode="External"/><Relationship Id="rId358" Type="http://schemas.openxmlformats.org/officeDocument/2006/relationships/hyperlink" Target="https://universidade.pipelovers.net/m/lessons/o-pitch-perfeito-gancho-valor-e-call-to-action1769552060577?classId=3551" TargetMode="External"/><Relationship Id="rId357" Type="http://schemas.openxmlformats.org/officeDocument/2006/relationships/hyperlink" Target="https://universidade.pipelovers.net/m/lessons/o-pitch-perfeito-gancho-valor-e-call-to-action1769552060577?classId=3551" TargetMode="External"/><Relationship Id="rId352" Type="http://schemas.openxmlformats.org/officeDocument/2006/relationships/hyperlink" Target="https://universidade.pipelovers.net/m/lessons/tecnicas-para-transformar-agora-nao-em-vamos-marcar1769552060514?classId=3549" TargetMode="External"/><Relationship Id="rId351" Type="http://schemas.openxmlformats.org/officeDocument/2006/relationships/hyperlink" Target="https://universidade.pipelovers.net/m/lessons/tecnicas-para-transformar-agora-nao-em-vamos-marcar1769552060514?classId=3549" TargetMode="External"/><Relationship Id="rId350" Type="http://schemas.openxmlformats.org/officeDocument/2006/relationships/hyperlink" Target="https://www.linkedin.com/in/ricardoalvarinho/" TargetMode="External"/><Relationship Id="rId356" Type="http://schemas.openxmlformats.org/officeDocument/2006/relationships/hyperlink" Target="https://www.linkedin.com/in/rafaela-schultz/" TargetMode="External"/><Relationship Id="rId355" Type="http://schemas.openxmlformats.org/officeDocument/2006/relationships/hyperlink" Target="https://universidade.pipelovers.net/m/lessons/como-falar-do-produto-sem-sobrecarregar-o-lead1769552060487?classId=3550" TargetMode="External"/><Relationship Id="rId354" Type="http://schemas.openxmlformats.org/officeDocument/2006/relationships/hyperlink" Target="https://universidade.pipelovers.net/m/lessons/como-falar-do-produto-sem-sobrecarregar-o-lead1769552060487?classId=3550" TargetMode="External"/><Relationship Id="rId353" Type="http://schemas.openxmlformats.org/officeDocument/2006/relationships/hyperlink" Target="https://www.linkedin.com/in/thiagocherem/" TargetMode="External"/><Relationship Id="rId305" Type="http://schemas.openxmlformats.org/officeDocument/2006/relationships/hyperlink" Target="https://universidade.pipelovers.net/m/lessons/ascensao-de-sdr-a-gestor1769552059566?classId=3522" TargetMode="External"/><Relationship Id="rId304" Type="http://schemas.openxmlformats.org/officeDocument/2006/relationships/hyperlink" Target="https://universidade.pipelovers.net/m/lessons/ascensao-de-sdr-a-gestor1769552059566?classId=3522" TargetMode="External"/><Relationship Id="rId303" Type="http://schemas.openxmlformats.org/officeDocument/2006/relationships/hyperlink" Target="https://www.linkedin.com/in/elen-lima/" TargetMode="External"/><Relationship Id="rId302" Type="http://schemas.openxmlformats.org/officeDocument/2006/relationships/hyperlink" Target="https://universidade.pipelovers.net/m/lessons/como-usar-os-gatilhos-mentais-a-seu-favor1769552046459?classId=3521" TargetMode="External"/><Relationship Id="rId309" Type="http://schemas.openxmlformats.org/officeDocument/2006/relationships/hyperlink" Target="https://www.linkedin.com/in/karyndesouza/" TargetMode="External"/><Relationship Id="rId308" Type="http://schemas.openxmlformats.org/officeDocument/2006/relationships/hyperlink" Target="https://universidade.pipelovers.net/m/lessons/personalizando-pitches-para-diferentes-segmentos1769552059893?classId=3523" TargetMode="External"/><Relationship Id="rId307" Type="http://schemas.openxmlformats.org/officeDocument/2006/relationships/hyperlink" Target="https://universidade.pipelovers.net/m/lessons/personalizando-pitches-para-diferentes-segmentos1769552059893?classId=3523" TargetMode="External"/><Relationship Id="rId306" Type="http://schemas.openxmlformats.org/officeDocument/2006/relationships/hyperlink" Target="https://www.linkedin.com/in/camelyrabelo/" TargetMode="External"/><Relationship Id="rId301" Type="http://schemas.openxmlformats.org/officeDocument/2006/relationships/hyperlink" Target="https://universidade.pipelovers.net/m/lessons/como-usar-os-gatilhos-mentais-a-seu-favor1769552046459?classId=3521" TargetMode="External"/><Relationship Id="rId300" Type="http://schemas.openxmlformats.org/officeDocument/2006/relationships/hyperlink" Target="https://www.linkedin.com/in/paulaolaf/" TargetMode="External"/><Relationship Id="rId327" Type="http://schemas.openxmlformats.org/officeDocument/2006/relationships/hyperlink" Target="https://www.linkedin.com/in/gpagotto/" TargetMode="External"/><Relationship Id="rId326" Type="http://schemas.openxmlformats.org/officeDocument/2006/relationships/hyperlink" Target="https://universidade.pipelovers.net/m/lessons/prospectando-o-segmento-de-manufatura1769552060103?classId=3542" TargetMode="External"/><Relationship Id="rId325" Type="http://schemas.openxmlformats.org/officeDocument/2006/relationships/hyperlink" Target="https://universidade.pipelovers.net/m/lessons/prospectando-o-segmento-de-manufatura1769552060103?classId=3542" TargetMode="External"/><Relationship Id="rId324" Type="http://schemas.openxmlformats.org/officeDocument/2006/relationships/hyperlink" Target="https://www.linkedin.com/in/paula-yunes-629b5ba2/" TargetMode="External"/><Relationship Id="rId329" Type="http://schemas.openxmlformats.org/officeDocument/2006/relationships/hyperlink" Target="https://universidade.pipelovers.net/m/lessons/rd-summit-2024-niveis-de-maturidade-em-vendas-b2b1769552060152?classId=3026" TargetMode="External"/><Relationship Id="rId328" Type="http://schemas.openxmlformats.org/officeDocument/2006/relationships/hyperlink" Target="https://universidade.pipelovers.net/m/lessons/rd-summit-2024-niveis-de-maturidade-em-vendas-b2b1769552060152?classId=3026" TargetMode="External"/><Relationship Id="rId323" Type="http://schemas.openxmlformats.org/officeDocument/2006/relationships/hyperlink" Target="https://universidade.pipelovers.net/m/lessons/ciencia-para-validacao-de-mensagens-de-prospeccao1769552060064?classId=3528" TargetMode="External"/><Relationship Id="rId322" Type="http://schemas.openxmlformats.org/officeDocument/2006/relationships/hyperlink" Target="https://universidade.pipelovers.net/m/lessons/ciencia-para-validacao-de-mensagens-de-prospeccao1769552060064?classId=3528" TargetMode="External"/><Relationship Id="rId321" Type="http://schemas.openxmlformats.org/officeDocument/2006/relationships/hyperlink" Target="https://www.linkedin.com/in/kayua/" TargetMode="External"/><Relationship Id="rId320" Type="http://schemas.openxmlformats.org/officeDocument/2006/relationships/hyperlink" Target="https://universidade.pipelovers.net/m/lessons/como-receber-e-responder-ao-feedback-dos-lideres1769552060036?classId=3527" TargetMode="External"/><Relationship Id="rId316" Type="http://schemas.openxmlformats.org/officeDocument/2006/relationships/hyperlink" Target="https://universidade.pipelovers.net/m/lessons/mapeando-o-comportamento-de-diferentes-consumidores1769552060000?classId=3526" TargetMode="External"/><Relationship Id="rId315" Type="http://schemas.openxmlformats.org/officeDocument/2006/relationships/hyperlink" Target="https://www.linkedin.com/in/acanabrava/" TargetMode="External"/><Relationship Id="rId314" Type="http://schemas.openxmlformats.org/officeDocument/2006/relationships/hyperlink" Target="https://universidade.pipelovers.net/m/lessons/abertura-de-oportunidades-atraves-de-contatos-operacionais1769552059926?classId=3525" TargetMode="External"/><Relationship Id="rId313" Type="http://schemas.openxmlformats.org/officeDocument/2006/relationships/hyperlink" Target="https://universidade.pipelovers.net/m/lessons/abertura-de-oportunidades-atraves-de-contatos-operacionais1769552059926?classId=3525" TargetMode="External"/><Relationship Id="rId319" Type="http://schemas.openxmlformats.org/officeDocument/2006/relationships/hyperlink" Target="https://universidade.pipelovers.net/m/lessons/como-receber-e-responder-ao-feedback-dos-lideres1769552060036?classId=3527" TargetMode="External"/><Relationship Id="rId318" Type="http://schemas.openxmlformats.org/officeDocument/2006/relationships/hyperlink" Target="https://www.linkedin.com/in/paula-coscarelli/" TargetMode="External"/><Relationship Id="rId317" Type="http://schemas.openxmlformats.org/officeDocument/2006/relationships/hyperlink" Target="https://universidade.pipelovers.net/m/lessons/mapeando-o-comportamento-de-diferentes-consumidores1769552060000?classId=3526" TargetMode="External"/><Relationship Id="rId312" Type="http://schemas.openxmlformats.org/officeDocument/2006/relationships/hyperlink" Target="https://www.linkedin.com/in/fernandesoliver/" TargetMode="External"/><Relationship Id="rId311" Type="http://schemas.openxmlformats.org/officeDocument/2006/relationships/hyperlink" Target="https://universidade.pipelovers.net/m/lessons/principais-indicadores-na-area-de-pre-vendas1769552059975?classId=3524" TargetMode="External"/><Relationship Id="rId310" Type="http://schemas.openxmlformats.org/officeDocument/2006/relationships/hyperlink" Target="https://universidade.pipelovers.net/m/lessons/principais-indicadores-na-area-de-pre-vendas1769552059975?classId=3524" TargetMode="External"/><Relationship Id="rId297" Type="http://schemas.openxmlformats.org/officeDocument/2006/relationships/hyperlink" Target="https://www.linkedin.com/in/danndhara/" TargetMode="External"/><Relationship Id="rId296" Type="http://schemas.openxmlformats.org/officeDocument/2006/relationships/hyperlink" Target="https://universidade.pipelovers.net/m/lessons/maximizando-o-potencial-do-e-mail1769552046385?classId=3519" TargetMode="External"/><Relationship Id="rId295" Type="http://schemas.openxmlformats.org/officeDocument/2006/relationships/hyperlink" Target="https://universidade.pipelovers.net/m/lessons/maximizando-o-potencial-do-e-mail1769552046385?classId=3519" TargetMode="External"/><Relationship Id="rId294" Type="http://schemas.openxmlformats.org/officeDocument/2006/relationships/hyperlink" Target="https://universidade.pipelovers.net/m/lessons/convertendo-indicacoes-em-oportunidades1769552046336?classId=3518" TargetMode="External"/><Relationship Id="rId299" Type="http://schemas.openxmlformats.org/officeDocument/2006/relationships/hyperlink" Target="https://universidade.pipelovers.net/m/lessons/rotinas-de-autoavaliacao-de-performance-de-pre-vendedores1769552046415?classId=3520" TargetMode="External"/><Relationship Id="rId298" Type="http://schemas.openxmlformats.org/officeDocument/2006/relationships/hyperlink" Target="https://universidade.pipelovers.net/m/lessons/rotinas-de-autoavaliacao-de-performance-de-pre-vendedores1769552046415?classId=3520" TargetMode="External"/><Relationship Id="rId271" Type="http://schemas.openxmlformats.org/officeDocument/2006/relationships/hyperlink" Target="https://www.linkedin.com/in/winnicius-cunha/" TargetMode="External"/><Relationship Id="rId270" Type="http://schemas.openxmlformats.org/officeDocument/2006/relationships/hyperlink" Target="https://universidade.pipelovers.net/m/lessons/otimizando-o-fluxo-de-contato-com-leads1769552042897?classId=3509" TargetMode="External"/><Relationship Id="rId269" Type="http://schemas.openxmlformats.org/officeDocument/2006/relationships/hyperlink" Target="https://universidade.pipelovers.net/m/lessons/otimizando-o-fluxo-de-contato-com-leads1769552042897?classId=3509" TargetMode="External"/><Relationship Id="rId264" Type="http://schemas.openxmlformats.org/officeDocument/2006/relationships/hyperlink" Target="https://universidade.pipelovers.net/m/lessons/estrategias-para-aumentar-a-produtividade-na-prospeccao1769552040074?classId=3506" TargetMode="External"/><Relationship Id="rId263" Type="http://schemas.openxmlformats.org/officeDocument/2006/relationships/hyperlink" Target="https://universidade.pipelovers.net/m/lessons/estrategias-para-aumentar-a-produtividade-na-prospeccao1769552040074?classId=3506" TargetMode="External"/><Relationship Id="rId262" Type="http://schemas.openxmlformats.org/officeDocument/2006/relationships/hyperlink" Target="https://www.linkedin.com/in/felipe-traina/" TargetMode="External"/><Relationship Id="rId261" Type="http://schemas.openxmlformats.org/officeDocument/2006/relationships/hyperlink" Target="https://universidade.pipelovers.net/m/lessons/reduzindo-no-show-na-prospeccao-outbound1769552040033?classId=3507" TargetMode="External"/><Relationship Id="rId268" Type="http://schemas.openxmlformats.org/officeDocument/2006/relationships/hyperlink" Target="https://www.linkedin.com/in/myrianmourao/" TargetMode="External"/><Relationship Id="rId267" Type="http://schemas.openxmlformats.org/officeDocument/2006/relationships/hyperlink" Target="https://universidade.pipelovers.net/m/lessons/como-um-assistente-de-ai-pode-ajudar-o-pre-vendedor1769552042841?classId=3508" TargetMode="External"/><Relationship Id="rId266" Type="http://schemas.openxmlformats.org/officeDocument/2006/relationships/hyperlink" Target="https://universidade.pipelovers.net/m/lessons/como-um-assistente-de-ai-pode-ajudar-o-pre-vendedor1769552042841?classId=3508" TargetMode="External"/><Relationship Id="rId265" Type="http://schemas.openxmlformats.org/officeDocument/2006/relationships/hyperlink" Target="https://www.linkedin.com/in/lilian-lopes-642a49144/" TargetMode="External"/><Relationship Id="rId260" Type="http://schemas.openxmlformats.org/officeDocument/2006/relationships/hyperlink" Target="https://universidade.pipelovers.net/m/lessons/reduzindo-no-show-na-prospeccao-outbound1769552040033?classId=3507" TargetMode="External"/><Relationship Id="rId259" Type="http://schemas.openxmlformats.org/officeDocument/2006/relationships/hyperlink" Target="https://www.linkedin.com/in/sharon-santos-783944184/?utm_source=share&amp;utm_campaign=share_via&amp;utm_content=profile&amp;utm_medium=ios_app" TargetMode="External"/><Relationship Id="rId258" Type="http://schemas.openxmlformats.org/officeDocument/2006/relationships/hyperlink" Target="https://universidade.pipelovers.net/m/lessons/como-prospectar-a-nova-geracao-de-decisores1769552039958?classId=3505" TargetMode="External"/><Relationship Id="rId253" Type="http://schemas.openxmlformats.org/officeDocument/2006/relationships/hyperlink" Target="https://www.linkedin.com/in/lucas-axel-7b0321153/" TargetMode="External"/><Relationship Id="rId252" Type="http://schemas.openxmlformats.org/officeDocument/2006/relationships/hyperlink" Target="https://universidade.pipelovers.net/m/lessons/mapeando-contas-enterprise-e-entendendo-o-processo-de-compra1769552039932?classId=3503" TargetMode="External"/><Relationship Id="rId251" Type="http://schemas.openxmlformats.org/officeDocument/2006/relationships/hyperlink" Target="https://universidade.pipelovers.net/m/lessons/mapeando-contas-enterprise-e-entendendo-o-processo-de-compra1769552039932?classId=3503" TargetMode="External"/><Relationship Id="rId250" Type="http://schemas.openxmlformats.org/officeDocument/2006/relationships/hyperlink" Target="https://www.linkedin.com/in/luiz-favoretto-28415397/overlay/photo/" TargetMode="External"/><Relationship Id="rId257" Type="http://schemas.openxmlformats.org/officeDocument/2006/relationships/hyperlink" Target="https://universidade.pipelovers.net/m/lessons/como-prospectar-a-nova-geracao-de-decisores1769552039958?classId=3505" TargetMode="External"/><Relationship Id="rId256" Type="http://schemas.openxmlformats.org/officeDocument/2006/relationships/hyperlink" Target="https://www.linkedin.com/in/fernanda-guidolin-40a3b4156/" TargetMode="External"/><Relationship Id="rId255" Type="http://schemas.openxmlformats.org/officeDocument/2006/relationships/hyperlink" Target="https://universidade.pipelovers.net/m/lessons/retomada-de-leads-perdidos1769552039907?classId=3504" TargetMode="External"/><Relationship Id="rId254" Type="http://schemas.openxmlformats.org/officeDocument/2006/relationships/hyperlink" Target="https://universidade.pipelovers.net/m/lessons/retomada-de-leads-perdidos1769552039907?classId=3504" TargetMode="External"/><Relationship Id="rId293" Type="http://schemas.openxmlformats.org/officeDocument/2006/relationships/hyperlink" Target="https://universidade.pipelovers.net/m/lessons/convertendo-indicacoes-em-oportunidades1769552046336?classId=3518" TargetMode="External"/><Relationship Id="rId292" Type="http://schemas.openxmlformats.org/officeDocument/2006/relationships/hyperlink" Target="https://universidade.pipelovers.net/m/lessons/aumentando-a-qualidade-dos-dados-em-bases-de-prospeccao1769552046304?classId=3517" TargetMode="External"/><Relationship Id="rId291" Type="http://schemas.openxmlformats.org/officeDocument/2006/relationships/hyperlink" Target="https://universidade.pipelovers.net/m/lessons/aumentando-a-qualidade-dos-dados-em-bases-de-prospeccao1769552046304?classId=3517" TargetMode="External"/><Relationship Id="rId290" Type="http://schemas.openxmlformats.org/officeDocument/2006/relationships/hyperlink" Target="https://universidade.pipelovers.net/m/lessons/planejamento-de-atividades-diarias-para-maximizar-a-qualificacao-de-leads1769552046272?classId=3516" TargetMode="External"/><Relationship Id="rId286" Type="http://schemas.openxmlformats.org/officeDocument/2006/relationships/hyperlink" Target="https://www.linkedin.com/in/otavioborba/" TargetMode="External"/><Relationship Id="rId285" Type="http://schemas.openxmlformats.org/officeDocument/2006/relationships/hyperlink" Target="https://universidade.pipelovers.net/aulas/bestsellers-1775504294126" TargetMode="External"/><Relationship Id="rId284" Type="http://schemas.openxmlformats.org/officeDocument/2006/relationships/hyperlink" Target="https://universidade.pipelovers.net/aulas/bestsellers-1775504294126" TargetMode="External"/><Relationship Id="rId283" Type="http://schemas.openxmlformats.org/officeDocument/2006/relationships/hyperlink" Target="https://www.linkedin.com/in/aaronross/" TargetMode="External"/><Relationship Id="rId289" Type="http://schemas.openxmlformats.org/officeDocument/2006/relationships/hyperlink" Target="https://universidade.pipelovers.net/m/lessons/planejamento-de-atividades-diarias-para-maximizar-a-qualificacao-de-leads1769552046272?classId=3516" TargetMode="External"/><Relationship Id="rId288" Type="http://schemas.openxmlformats.org/officeDocument/2006/relationships/hyperlink" Target="https://universidade.pipelovers.net/aulas/como-realizar-testes-ab-para-maximizar-resultados-1775074847289" TargetMode="External"/><Relationship Id="rId287" Type="http://schemas.openxmlformats.org/officeDocument/2006/relationships/hyperlink" Target="https://universidade.pipelovers.net/aulas/como-realizar-testes-ab-para-maximizar-resultados-1775074847289" TargetMode="External"/><Relationship Id="rId282" Type="http://schemas.openxmlformats.org/officeDocument/2006/relationships/hyperlink" Target="https://universidade.pipelovers.net/m/lessons/colaboracao-entre-pre-vendas-e-vendas-para-conquistar-grandes-contas1769552043185?classId=3513" TargetMode="External"/><Relationship Id="rId281" Type="http://schemas.openxmlformats.org/officeDocument/2006/relationships/hyperlink" Target="https://universidade.pipelovers.net/m/lessons/colaboracao-entre-pre-vendas-e-vendas-para-conquistar-grandes-contas1769552043185?classId=3513" TargetMode="External"/><Relationship Id="rId280" Type="http://schemas.openxmlformats.org/officeDocument/2006/relationships/hyperlink" Target="https://www.linkedin.com/in/thaynara-campos-brito14182310/" TargetMode="External"/><Relationship Id="rId275" Type="http://schemas.openxmlformats.org/officeDocument/2006/relationships/hyperlink" Target="https://universidade.pipelovers.net/m/lessons/melhores-praticas-de-role-play-para-pre-vendedores1769552043115?classId=3511" TargetMode="External"/><Relationship Id="rId274" Type="http://schemas.openxmlformats.org/officeDocument/2006/relationships/hyperlink" Target="https://www.linkedin.com/in/renatamayer/" TargetMode="External"/><Relationship Id="rId273" Type="http://schemas.openxmlformats.org/officeDocument/2006/relationships/hyperlink" Target="https://universidade.pipelovers.net/m/lessons/transformar-objecoes-em-oportunidades1769552042964?classId=3510" TargetMode="External"/><Relationship Id="rId272" Type="http://schemas.openxmlformats.org/officeDocument/2006/relationships/hyperlink" Target="https://universidade.pipelovers.net/m/lessons/transformar-objecoes-em-oportunidades1769552042964?classId=3510" TargetMode="External"/><Relationship Id="rId279" Type="http://schemas.openxmlformats.org/officeDocument/2006/relationships/hyperlink" Target="https://universidade.pipelovers.net/m/lessons/como-encantar-engajar-e-converter-atraves-do-whatsapp1769552043024?classId=3512" TargetMode="External"/><Relationship Id="rId278" Type="http://schemas.openxmlformats.org/officeDocument/2006/relationships/hyperlink" Target="https://universidade.pipelovers.net/m/lessons/como-encantar-engajar-e-converter-atraves-do-whatsapp1769552043024?classId=3512" TargetMode="External"/><Relationship Id="rId277" Type="http://schemas.openxmlformats.org/officeDocument/2006/relationships/hyperlink" Target="https://www.linkedin.com/in/jessicabosco/" TargetMode="External"/><Relationship Id="rId276" Type="http://schemas.openxmlformats.org/officeDocument/2006/relationships/hyperlink" Target="https://universidade.pipelovers.net/m/lessons/melhores-praticas-de-role-play-para-pre-vendedores1769552043115?classId=3511" TargetMode="External"/><Relationship Id="rId609" Type="http://schemas.openxmlformats.org/officeDocument/2006/relationships/table" Target="../tables/table30.xml"/><Relationship Id="rId608" Type="http://schemas.openxmlformats.org/officeDocument/2006/relationships/table" Target="../tables/table29.xml"/><Relationship Id="rId607" Type="http://schemas.openxmlformats.org/officeDocument/2006/relationships/table" Target="../tables/table28.xml"/><Relationship Id="rId606" Type="http://schemas.openxmlformats.org/officeDocument/2006/relationships/table" Target="../tables/table27.xml"/><Relationship Id="rId605" Type="http://schemas.openxmlformats.org/officeDocument/2006/relationships/table" Target="../tables/table26.xml"/><Relationship Id="rId604" Type="http://schemas.openxmlformats.org/officeDocument/2006/relationships/table" Target="../tables/table25.xml"/><Relationship Id="rId603" Type="http://schemas.openxmlformats.org/officeDocument/2006/relationships/table" Target="../tables/table24.xml"/><Relationship Id="rId228" Type="http://schemas.openxmlformats.org/officeDocument/2006/relationships/hyperlink" Target="https://universidade.pipelovers.net/m/lessons/como-aproveitar-a-sobra-de-budget-na-prospeccao1769552039688?classId=3487" TargetMode="External"/><Relationship Id="rId227" Type="http://schemas.openxmlformats.org/officeDocument/2006/relationships/hyperlink" Target="https://universidade.pipelovers.net/m/lessons/como-aproveitar-a-sobra-de-budget-na-prospeccao1769552039688?classId=3487" TargetMode="External"/><Relationship Id="rId226" Type="http://schemas.openxmlformats.org/officeDocument/2006/relationships/hyperlink" Target="https://www.linkedin.com/in/portellarafael/" TargetMode="External"/><Relationship Id="rId225" Type="http://schemas.openxmlformats.org/officeDocument/2006/relationships/hyperlink" Target="https://universidade.pipelovers.net/m/lessons/gestao-de-marca-pessoal-para-pre-vendedores1769552039648?classId=3486" TargetMode="External"/><Relationship Id="rId229" Type="http://schemas.openxmlformats.org/officeDocument/2006/relationships/hyperlink" Target="https://www.linkedin.com/in/clarissa-vilela-martins/" TargetMode="External"/><Relationship Id="rId220" Type="http://schemas.openxmlformats.org/officeDocument/2006/relationships/hyperlink" Target="https://www.linkedin.com/in/felipematheus-social-selling/" TargetMode="External"/><Relationship Id="rId224" Type="http://schemas.openxmlformats.org/officeDocument/2006/relationships/hyperlink" Target="https://universidade.pipelovers.net/m/lessons/gestao-de-marca-pessoal-para-pre-vendedores1769552039648?classId=3486" TargetMode="External"/><Relationship Id="rId223" Type="http://schemas.openxmlformats.org/officeDocument/2006/relationships/hyperlink" Target="https://www.linkedin.com/in/igor-paixao?utm_source=share&amp;utm_campaign=share_via&amp;utm_content=profile&amp;utm_medium=ios_app" TargetMode="External"/><Relationship Id="rId222" Type="http://schemas.openxmlformats.org/officeDocument/2006/relationships/hyperlink" Target="https://universidade.pipelovers.net/m/lessons/funil-social-selling-para-sdrs-como-gerar-mais-leads-e-ligacoes-mornas-a-partir-do-linkedin1769552039621?classId=3485" TargetMode="External"/><Relationship Id="rId221" Type="http://schemas.openxmlformats.org/officeDocument/2006/relationships/hyperlink" Target="https://universidade.pipelovers.net/m/lessons/funil-social-selling-para-sdrs-como-gerar-mais-leads-e-ligacoes-mornas-a-partir-do-linkedin1769552039621?classId=3485" TargetMode="External"/><Relationship Id="rId217" Type="http://schemas.openxmlformats.org/officeDocument/2006/relationships/hyperlink" Target="https://www.linkedin.com/in/leoinsidesales/" TargetMode="External"/><Relationship Id="rId216" Type="http://schemas.openxmlformats.org/officeDocument/2006/relationships/hyperlink" Target="https://universidade.pipelovers.net/m/lessons/superando-a-barreira-das-secretarias-executivas1769552039558?classId=3473" TargetMode="External"/><Relationship Id="rId215" Type="http://schemas.openxmlformats.org/officeDocument/2006/relationships/hyperlink" Target="https://universidade.pipelovers.net/m/lessons/superando-a-barreira-das-secretarias-executivas1769552039558?classId=3473" TargetMode="External"/><Relationship Id="rId214" Type="http://schemas.openxmlformats.org/officeDocument/2006/relationships/hyperlink" Target="https://www.linkedin.com/in/regisfaccini/" TargetMode="External"/><Relationship Id="rId219" Type="http://schemas.openxmlformats.org/officeDocument/2006/relationships/hyperlink" Target="https://universidade.pipelovers.net/m/lessons/como-montar-seu-mapa-de-desenvolvimento1769552039584?classId=3474" TargetMode="External"/><Relationship Id="rId218" Type="http://schemas.openxmlformats.org/officeDocument/2006/relationships/hyperlink" Target="https://universidade.pipelovers.net/m/lessons/como-montar-seu-mapa-de-desenvolvimento1769552039584?classId=3474" TargetMode="External"/><Relationship Id="rId213" Type="http://schemas.openxmlformats.org/officeDocument/2006/relationships/hyperlink" Target="https://universidade.pipelovers.net/m/lessons/segmentos-para-focar-sua-prospeccao-em-20241769552039464?classId=3471" TargetMode="External"/><Relationship Id="rId212" Type="http://schemas.openxmlformats.org/officeDocument/2006/relationships/hyperlink" Target="https://universidade.pipelovers.net/m/lessons/segmentos-para-focar-sua-prospeccao-em-20241769552039464?classId=3471" TargetMode="External"/><Relationship Id="rId211" Type="http://schemas.openxmlformats.org/officeDocument/2006/relationships/hyperlink" Target="https://www.linkedin.com/in/carloshacampos/" TargetMode="External"/><Relationship Id="rId210" Type="http://schemas.openxmlformats.org/officeDocument/2006/relationships/hyperlink" Target="https://universidade.pipelovers.net/m/lessons/tecnicas-de-aprendizado-lado-a-lado-com-pares1769552039424?classId=3470" TargetMode="External"/><Relationship Id="rId249" Type="http://schemas.openxmlformats.org/officeDocument/2006/relationships/hyperlink" Target="https://universidade.pipelovers.net/m/lessons/construcao-e-evolucao-de-cadencias-de-prospeccao-ativa1769552039882?classId=3502" TargetMode="External"/><Relationship Id="rId248" Type="http://schemas.openxmlformats.org/officeDocument/2006/relationships/hyperlink" Target="https://universidade.pipelovers.net/m/lessons/construcao-e-evolucao-de-cadencias-de-prospeccao-ativa1769552039882?classId=3502" TargetMode="External"/><Relationship Id="rId247" Type="http://schemas.openxmlformats.org/officeDocument/2006/relationships/hyperlink" Target="https://www.linkedin.com/in/samantalopesvieira/" TargetMode="External"/><Relationship Id="rId242" Type="http://schemas.openxmlformats.org/officeDocument/2006/relationships/hyperlink" Target="https://universidade.pipelovers.net/m/lessons/o-impacto-de-solucoes-de-sales-engagement-na-produtividade1769552039831?classId=3498" TargetMode="External"/><Relationship Id="rId241" Type="http://schemas.openxmlformats.org/officeDocument/2006/relationships/hyperlink" Target="https://www.linkedin.com/in/ruiaviz/" TargetMode="External"/><Relationship Id="rId240" Type="http://schemas.openxmlformats.org/officeDocument/2006/relationships/hyperlink" Target="https://universidade.pipelovers.net/m/lessons/tecnicas-de-cold-call-para-prospeccao-ativa1769552039776?classId=3497" TargetMode="External"/><Relationship Id="rId246" Type="http://schemas.openxmlformats.org/officeDocument/2006/relationships/hyperlink" Target="https://universidade.pipelovers.net/m/lessons/abordagens-de-prospeccao-para-o-rh1769552039856?classId=3500" TargetMode="External"/><Relationship Id="rId245" Type="http://schemas.openxmlformats.org/officeDocument/2006/relationships/hyperlink" Target="https://universidade.pipelovers.net/m/lessons/abordagens-de-prospeccao-para-o-rh1769552039856?classId=3500" TargetMode="External"/><Relationship Id="rId244" Type="http://schemas.openxmlformats.org/officeDocument/2006/relationships/hyperlink" Target="https://www.linkedin.com/in/vitorhlourenco/" TargetMode="External"/><Relationship Id="rId243" Type="http://schemas.openxmlformats.org/officeDocument/2006/relationships/hyperlink" Target="https://universidade.pipelovers.net/m/lessons/o-impacto-de-solucoes-de-sales-engagement-na-produtividade1769552039831?classId=3498" TargetMode="External"/><Relationship Id="rId239" Type="http://schemas.openxmlformats.org/officeDocument/2006/relationships/hyperlink" Target="https://universidade.pipelovers.net/m/lessons/tecnicas-de-cold-call-para-prospeccao-ativa1769552039776?classId=3497" TargetMode="External"/><Relationship Id="rId238" Type="http://schemas.openxmlformats.org/officeDocument/2006/relationships/hyperlink" Target="https://www.linkedin.com/in/thiagojacomo/" TargetMode="External"/><Relationship Id="rId237" Type="http://schemas.openxmlformats.org/officeDocument/2006/relationships/hyperlink" Target="https://universidade.pipelovers.net/m/lessons/contorno-de-objecoes-na-prospeccao-b2b1769552039804?classId=3489" TargetMode="External"/><Relationship Id="rId236" Type="http://schemas.openxmlformats.org/officeDocument/2006/relationships/hyperlink" Target="https://universidade.pipelovers.net/m/lessons/contorno-de-objecoes-na-prospeccao-b2b1769552039804?classId=3489" TargetMode="External"/><Relationship Id="rId231" Type="http://schemas.openxmlformats.org/officeDocument/2006/relationships/hyperlink" Target="https://universidade.pipelovers.net/m/lessons/preciso-ser-especialista-no-produto-para-saber-prospectar1769552039716?classId=3488" TargetMode="External"/><Relationship Id="rId230" Type="http://schemas.openxmlformats.org/officeDocument/2006/relationships/hyperlink" Target="https://universidade.pipelovers.net/m/lessons/preciso-ser-especialista-no-produto-para-saber-prospectar1769552039716?classId=3488" TargetMode="External"/><Relationship Id="rId235" Type="http://schemas.openxmlformats.org/officeDocument/2006/relationships/hyperlink" Target="https://www.linkedin.com/in/jordetebraga/" TargetMode="External"/><Relationship Id="rId234" Type="http://schemas.openxmlformats.org/officeDocument/2006/relationships/hyperlink" Target="https://universidade.pipelovers.net/m/lessons/diferencas-de-pre-vendas-no-brasil-e-nos-eua1769552039741?classId=3492" TargetMode="External"/><Relationship Id="rId233" Type="http://schemas.openxmlformats.org/officeDocument/2006/relationships/hyperlink" Target="https://universidade.pipelovers.net/m/lessons/diferencas-de-pre-vendas-no-brasil-e-nos-eua1769552039741?classId=3492" TargetMode="External"/><Relationship Id="rId232" Type="http://schemas.openxmlformats.org/officeDocument/2006/relationships/hyperlink" Target="https://www.linkedin.com/in/marcellotorres/" TargetMode="External"/><Relationship Id="rId206" Type="http://schemas.openxmlformats.org/officeDocument/2006/relationships/hyperlink" Target="https://universidade.pipelovers.net/m/lessons/ia-na-pratica-potencialize-sua-performance-como-pre-vendedor1769552039520?classId=3469" TargetMode="External"/><Relationship Id="rId205" Type="http://schemas.openxmlformats.org/officeDocument/2006/relationships/hyperlink" Target="https://www.linkedin.com/in/ot%C3%A1vio-ponciano-a5b04018b/" TargetMode="External"/><Relationship Id="rId204" Type="http://schemas.openxmlformats.org/officeDocument/2006/relationships/hyperlink" Target="https://universidade.pipelovers.net/m/lessons/autoestima-e-autoconfianca-a-favor-do-vendedor1769552039399?classId=3468" TargetMode="External"/><Relationship Id="rId203" Type="http://schemas.openxmlformats.org/officeDocument/2006/relationships/hyperlink" Target="https://universidade.pipelovers.net/m/lessons/autoestima-e-autoconfianca-a-favor-do-vendedor1769552039399?classId=3468" TargetMode="External"/><Relationship Id="rId209" Type="http://schemas.openxmlformats.org/officeDocument/2006/relationships/hyperlink" Target="https://universidade.pipelovers.net/m/lessons/tecnicas-de-aprendizado-lado-a-lado-com-pares1769552039424?classId=3470" TargetMode="External"/><Relationship Id="rId208" Type="http://schemas.openxmlformats.org/officeDocument/2006/relationships/hyperlink" Target="https://www.linkedin.com/in/otavioafortunato/" TargetMode="External"/><Relationship Id="rId207" Type="http://schemas.openxmlformats.org/officeDocument/2006/relationships/hyperlink" Target="https://universidade.pipelovers.net/m/lessons/ia-na-pratica-potencialize-sua-performance-como-pre-vendedor1769552039520?classId=3469" TargetMode="External"/><Relationship Id="rId202" Type="http://schemas.openxmlformats.org/officeDocument/2006/relationships/hyperlink" Target="https://www.linkedin.com/in/cassiogifford/" TargetMode="External"/><Relationship Id="rId201" Type="http://schemas.openxmlformats.org/officeDocument/2006/relationships/hyperlink" Target="https://universidade.pipelovers.net/m/lessons/estruturacao-e-avaliacao-de-testes-na-prospeccao1769552039490?classId=3467" TargetMode="External"/><Relationship Id="rId200" Type="http://schemas.openxmlformats.org/officeDocument/2006/relationships/hyperlink" Target="https://universidade.pipelovers.net/m/lessons/estruturacao-e-avaliacao-de-testes-na-prospeccao1769552039490?classId=3467" TargetMode="External"/><Relationship Id="rId190" Type="http://schemas.openxmlformats.org/officeDocument/2006/relationships/hyperlink" Target="https://www.linkedin.com/in/rhulian/" TargetMode="External"/><Relationship Id="rId194" Type="http://schemas.openxmlformats.org/officeDocument/2006/relationships/hyperlink" Target="https://universidade.pipelovers.net/m/lessons/palestra-rd-summit-20231769552039345?classId=3108" TargetMode="External"/><Relationship Id="rId193" Type="http://schemas.openxmlformats.org/officeDocument/2006/relationships/hyperlink" Target="https://www.linkedin.com/in/gpagotto/" TargetMode="External"/><Relationship Id="rId192" Type="http://schemas.openxmlformats.org/officeDocument/2006/relationships/hyperlink" Target="https://universidade.pipelovers.net/m/lessons/taticas-de-growth-mindset-para-pre-vendedores1769552039303?classId=3458" TargetMode="External"/><Relationship Id="rId191" Type="http://schemas.openxmlformats.org/officeDocument/2006/relationships/hyperlink" Target="https://universidade.pipelovers.net/m/lessons/taticas-de-growth-mindset-para-pre-vendedores1769552039303?classId=3458" TargetMode="External"/><Relationship Id="rId187" Type="http://schemas.openxmlformats.org/officeDocument/2006/relationships/hyperlink" Target="https://www.linkedin.com/in/gabriel-sbrasil/" TargetMode="External"/><Relationship Id="rId186" Type="http://schemas.openxmlformats.org/officeDocument/2006/relationships/hyperlink" Target="https://universidade.pipelovers.net/aulas/como-organizar-o-dia-a-dia-de-uma-operaca0-volumosa-em-pre-vendas-1775818200864" TargetMode="External"/><Relationship Id="rId185" Type="http://schemas.openxmlformats.org/officeDocument/2006/relationships/hyperlink" Target="https://universidade.pipelovers.net/aulas/como-organizar-o-dia-a-dia-de-uma-operaca0-volumosa-em-pre-vendas-1775818200864" TargetMode="External"/><Relationship Id="rId184" Type="http://schemas.openxmlformats.org/officeDocument/2006/relationships/hyperlink" Target="https://www.linkedin.com/in/samara-anselmi/" TargetMode="External"/><Relationship Id="rId189" Type="http://schemas.openxmlformats.org/officeDocument/2006/relationships/hyperlink" Target="https://universidade.pipelovers.net/m/lessons/como-criar-account-planning-para-prospectar-contas-enterprise1769552039068?classId=3457" TargetMode="External"/><Relationship Id="rId188" Type="http://schemas.openxmlformats.org/officeDocument/2006/relationships/hyperlink" Target="https://universidade.pipelovers.net/m/lessons/como-criar-account-planning-para-prospectar-contas-enterprise1769552039068?classId=3457" TargetMode="External"/><Relationship Id="rId183" Type="http://schemas.openxmlformats.org/officeDocument/2006/relationships/hyperlink" Target="https://universidade.pipelovers.net/m/lessons/tecnicas-para-reduzir-no-show-de-prospects1769552026948?classId=3455" TargetMode="External"/><Relationship Id="rId182" Type="http://schemas.openxmlformats.org/officeDocument/2006/relationships/hyperlink" Target="https://universidade.pipelovers.net/m/lessons/tecnicas-para-reduzir-no-show-de-prospects1769552026948?classId=3455" TargetMode="External"/><Relationship Id="rId181" Type="http://schemas.openxmlformats.org/officeDocument/2006/relationships/hyperlink" Target="https://www.linkedin.com/in/jos%C3%A9-de-sousa-cunha-68093a200/" TargetMode="External"/><Relationship Id="rId180" Type="http://schemas.openxmlformats.org/officeDocument/2006/relationships/hyperlink" Target="https://universidade.pipelovers.net/m/lessons/prospeccao-em-mercados-altamente-concorridos1769552026894?classId=3454" TargetMode="External"/><Relationship Id="rId176" Type="http://schemas.openxmlformats.org/officeDocument/2006/relationships/hyperlink" Target="https://universidade.pipelovers.net/aulas/como-lidar-com-a-rejeica0-dos-clientes-1775074436382" TargetMode="External"/><Relationship Id="rId175" Type="http://schemas.openxmlformats.org/officeDocument/2006/relationships/hyperlink" Target="https://www.linkedin.com/in/larissahelenapereira/" TargetMode="External"/><Relationship Id="rId174" Type="http://schemas.openxmlformats.org/officeDocument/2006/relationships/hyperlink" Target="https://universidade.pipelovers.net/m/lessons/voce-esta-qualificando-ou-so-fazendo-agendamento1769552026277?classId=3452" TargetMode="External"/><Relationship Id="rId173" Type="http://schemas.openxmlformats.org/officeDocument/2006/relationships/hyperlink" Target="https://universidade.pipelovers.net/m/lessons/voce-esta-qualificando-ou-so-fazendo-agendamento1769552026277?classId=3452" TargetMode="External"/><Relationship Id="rId179" Type="http://schemas.openxmlformats.org/officeDocument/2006/relationships/hyperlink" Target="https://universidade.pipelovers.net/m/lessons/prospeccao-em-mercados-altamente-concorridos1769552026894?classId=3454" TargetMode="External"/><Relationship Id="rId178" Type="http://schemas.openxmlformats.org/officeDocument/2006/relationships/hyperlink" Target="https://www.linkedin.com/in/bruna-verissimo/" TargetMode="External"/><Relationship Id="rId177" Type="http://schemas.openxmlformats.org/officeDocument/2006/relationships/hyperlink" Target="https://universidade.pipelovers.net/aulas/como-lidar-com-a-rejeica0-dos-clientes-1775074436382" TargetMode="External"/><Relationship Id="rId198" Type="http://schemas.openxmlformats.org/officeDocument/2006/relationships/hyperlink" Target="https://universidade.pipelovers.net/m/lessons/alem-da-meta-o-que-e-preciso-para-ser-promovido1769552039372?classId=3466" TargetMode="External"/><Relationship Id="rId197" Type="http://schemas.openxmlformats.org/officeDocument/2006/relationships/hyperlink" Target="https://universidade.pipelovers.net/m/lessons/alem-da-meta-o-que-e-preciso-para-ser-promovido1769552039372?classId=3466" TargetMode="External"/><Relationship Id="rId196" Type="http://schemas.openxmlformats.org/officeDocument/2006/relationships/hyperlink" Target="https://www.linkedin.com/in/aura-d-khemani/" TargetMode="External"/><Relationship Id="rId195" Type="http://schemas.openxmlformats.org/officeDocument/2006/relationships/hyperlink" Target="https://universidade.pipelovers.net/m/lessons/palestra-rd-summit-20231769552039345?classId=3108" TargetMode="External"/><Relationship Id="rId199" Type="http://schemas.openxmlformats.org/officeDocument/2006/relationships/hyperlink" Target="https://www.linkedin.com/in/vittor-amaral/" TargetMode="External"/><Relationship Id="rId150" Type="http://schemas.openxmlformats.org/officeDocument/2006/relationships/hyperlink" Target="https://universidade.pipelovers.net/m/lessons/framework-de-avaliacao-de-ligacoes1769552022715?classId=3442" TargetMode="External"/><Relationship Id="rId149" Type="http://schemas.openxmlformats.org/officeDocument/2006/relationships/hyperlink" Target="https://universidade.pipelovers.net/m/lessons/framework-de-avaliacao-de-ligacoes1769552022715?classId=3442" TargetMode="External"/><Relationship Id="rId148" Type="http://schemas.openxmlformats.org/officeDocument/2006/relationships/hyperlink" Target="https://www.linkedin.com/in/matheus-gomes-dasilva/" TargetMode="External"/><Relationship Id="rId143" Type="http://schemas.openxmlformats.org/officeDocument/2006/relationships/hyperlink" Target="https://universidade.pipelovers.net/m/lessons/como-ser-um-influenciador-corporativo-nas-redes-sociais1769552019545?classId=3434" TargetMode="External"/><Relationship Id="rId142" Type="http://schemas.openxmlformats.org/officeDocument/2006/relationships/hyperlink" Target="https://www.linkedin.com/in/dronda/" TargetMode="External"/><Relationship Id="rId141" Type="http://schemas.openxmlformats.org/officeDocument/2006/relationships/hyperlink" Target="https://universidade.pipelovers.net/m/lessons/operacao-de-pre-vendas-como-motor-de-crescimento-de-startups1769552019468?classId=3435" TargetMode="External"/><Relationship Id="rId140" Type="http://schemas.openxmlformats.org/officeDocument/2006/relationships/hyperlink" Target="https://universidade.pipelovers.net/m/lessons/operacao-de-pre-vendas-como-motor-de-crescimento-de-startups1769552019468?classId=3435" TargetMode="External"/><Relationship Id="rId147" Type="http://schemas.openxmlformats.org/officeDocument/2006/relationships/hyperlink" Target="https://universidade.pipelovers.net/m/lessons/aprendizados-da-semana-de-prospeccao-b2b1769552022786?classId=3436" TargetMode="External"/><Relationship Id="rId146" Type="http://schemas.openxmlformats.org/officeDocument/2006/relationships/hyperlink" Target="https://universidade.pipelovers.net/m/lessons/aprendizados-da-semana-de-prospeccao-b2b1769552022786?classId=3436" TargetMode="External"/><Relationship Id="rId145" Type="http://schemas.openxmlformats.org/officeDocument/2006/relationships/hyperlink" Target="https://www.linkedin.com/in/gustavo-gomes-sales/" TargetMode="External"/><Relationship Id="rId144" Type="http://schemas.openxmlformats.org/officeDocument/2006/relationships/hyperlink" Target="https://universidade.pipelovers.net/m/lessons/como-ser-um-influenciador-corporativo-nas-redes-sociais1769552019545?classId=3434" TargetMode="External"/><Relationship Id="rId139" Type="http://schemas.openxmlformats.org/officeDocument/2006/relationships/hyperlink" Target="https://www.linkedin.com/in/angelagarbin/" TargetMode="External"/><Relationship Id="rId138" Type="http://schemas.openxmlformats.org/officeDocument/2006/relationships/hyperlink" Target="https://universidade.pipelovers.net/m/lessons/como-ser-mais-produtivo-em-pre-vendas1769552019505?classId=3429" TargetMode="External"/><Relationship Id="rId137" Type="http://schemas.openxmlformats.org/officeDocument/2006/relationships/hyperlink" Target="https://universidade.pipelovers.net/m/lessons/como-ser-mais-produtivo-em-pre-vendas1769552019505?classId=3429" TargetMode="External"/><Relationship Id="rId132" Type="http://schemas.openxmlformats.org/officeDocument/2006/relationships/hyperlink" Target="https://universidade.pipelovers.net/m/lessons/como-seu-lider-pode-te-ajudar-a-ter-sucesso1769552019399?classId=3427" TargetMode="External"/><Relationship Id="rId131" Type="http://schemas.openxmlformats.org/officeDocument/2006/relationships/hyperlink" Target="https://universidade.pipelovers.net/m/lessons/como-seu-lider-pode-te-ajudar-a-ter-sucesso1769552019399?classId=3427" TargetMode="External"/><Relationship Id="rId130" Type="http://schemas.openxmlformats.org/officeDocument/2006/relationships/hyperlink" Target="https://www.linkedin.com/in/marcelobaratella/" TargetMode="External"/><Relationship Id="rId136" Type="http://schemas.openxmlformats.org/officeDocument/2006/relationships/hyperlink" Target="https://www.linkedin.com/in/laura-freitas1/" TargetMode="External"/><Relationship Id="rId135" Type="http://schemas.openxmlformats.org/officeDocument/2006/relationships/hyperlink" Target="https://universidade.pipelovers.net/m/lessons/a-importancia-do-posicionamento-de-produto-na-prospeccao1769552019439?classId=3428" TargetMode="External"/><Relationship Id="rId134" Type="http://schemas.openxmlformats.org/officeDocument/2006/relationships/hyperlink" Target="https://universidade.pipelovers.net/m/lessons/a-importancia-do-posicionamento-de-produto-na-prospeccao1769552019439?classId=3428" TargetMode="External"/><Relationship Id="rId133" Type="http://schemas.openxmlformats.org/officeDocument/2006/relationships/hyperlink" Target="https://www.linkedin.com/in/thiagoalisboa/" TargetMode="External"/><Relationship Id="rId172" Type="http://schemas.openxmlformats.org/officeDocument/2006/relationships/hyperlink" Target="https://www.linkedin.com/in/dhionas-milo-roell/" TargetMode="External"/><Relationship Id="rId171" Type="http://schemas.openxmlformats.org/officeDocument/2006/relationships/hyperlink" Target="https://universidade.pipelovers.net/m/lessons/como-a-sazonalidade-pode-impactar-seu-icp1769552026153?classId=3451" TargetMode="External"/><Relationship Id="rId170" Type="http://schemas.openxmlformats.org/officeDocument/2006/relationships/hyperlink" Target="https://universidade.pipelovers.net/m/lessons/como-a-sazonalidade-pode-impactar-seu-icp1769552026153?classId=3451" TargetMode="External"/><Relationship Id="rId165" Type="http://schemas.openxmlformats.org/officeDocument/2006/relationships/hyperlink" Target="https://universidade.pipelovers.net/m/lessons/prospectando-a-base-de-concorrentes1769552023105?classId=3449" TargetMode="External"/><Relationship Id="rId164" Type="http://schemas.openxmlformats.org/officeDocument/2006/relationships/hyperlink" Target="https://universidade.pipelovers.net/m/lessons/prospectando-a-base-de-concorrentes1769552023105?classId=3449" TargetMode="External"/><Relationship Id="rId163" Type="http://schemas.openxmlformats.org/officeDocument/2006/relationships/hyperlink" Target="https://www.linkedin.com/in/giovanneviana/" TargetMode="External"/><Relationship Id="rId162" Type="http://schemas.openxmlformats.org/officeDocument/2006/relationships/hyperlink" Target="https://universidade.pipelovers.net/m/lessons/indicacao-como-canal-de-geracao-de-oportunidades1769552023043?classId=3448" TargetMode="External"/><Relationship Id="rId169" Type="http://schemas.openxmlformats.org/officeDocument/2006/relationships/hyperlink" Target="https://www.linkedin.com/in/pamelamartins/" TargetMode="External"/><Relationship Id="rId168" Type="http://schemas.openxmlformats.org/officeDocument/2006/relationships/hyperlink" Target="https://universidade.pipelovers.net/m/lessons/como-montar-uma-rotina-de-sucesso-e-equilibrio1769552023178?classId=3450" TargetMode="External"/><Relationship Id="rId167" Type="http://schemas.openxmlformats.org/officeDocument/2006/relationships/hyperlink" Target="https://universidade.pipelovers.net/m/lessons/como-montar-uma-rotina-de-sucesso-e-equilibrio1769552023178?classId=3450" TargetMode="External"/><Relationship Id="rId166" Type="http://schemas.openxmlformats.org/officeDocument/2006/relationships/hyperlink" Target="https://www.linkedin.com/in/fabianekobayashi/" TargetMode="External"/><Relationship Id="rId161" Type="http://schemas.openxmlformats.org/officeDocument/2006/relationships/hyperlink" Target="https://universidade.pipelovers.net/m/lessons/indicacao-como-canal-de-geracao-de-oportunidades1769552023043?classId=3448" TargetMode="External"/><Relationship Id="rId160" Type="http://schemas.openxmlformats.org/officeDocument/2006/relationships/hyperlink" Target="https://www.linkedin.com/in/nollrodrigo/" TargetMode="External"/><Relationship Id="rId159" Type="http://schemas.openxmlformats.org/officeDocument/2006/relationships/hyperlink" Target="https://universidade.pipelovers.net/m/lessons/o-papel-de-um-mentor-no-desenvolvimento-em-vendas1769552022982?classId=3447" TargetMode="External"/><Relationship Id="rId154" Type="http://schemas.openxmlformats.org/officeDocument/2006/relationships/hyperlink" Target="https://www.linkedin.com/in/-danielasouza/" TargetMode="External"/><Relationship Id="rId153" Type="http://schemas.openxmlformats.org/officeDocument/2006/relationships/hyperlink" Target="https://universidade.pipelovers.net/m/lessons/o-papel-do-pre-vendedor-em-account-based-marketing1769552022846?classId=3443" TargetMode="External"/><Relationship Id="rId152" Type="http://schemas.openxmlformats.org/officeDocument/2006/relationships/hyperlink" Target="https://universidade.pipelovers.net/m/lessons/o-papel-do-pre-vendedor-em-account-based-marketing1769552022846?classId=3443" TargetMode="External"/><Relationship Id="rId151" Type="http://schemas.openxmlformats.org/officeDocument/2006/relationships/hyperlink" Target="https://www.linkedin.com/in/amandafeitosa/" TargetMode="External"/><Relationship Id="rId158" Type="http://schemas.openxmlformats.org/officeDocument/2006/relationships/hyperlink" Target="https://universidade.pipelovers.net/m/lessons/o-papel-de-um-mentor-no-desenvolvimento-em-vendas1769552022982?classId=3447" TargetMode="External"/><Relationship Id="rId157" Type="http://schemas.openxmlformats.org/officeDocument/2006/relationships/hyperlink" Target="https://www.linkedin.com/in/evdias/" TargetMode="External"/><Relationship Id="rId156" Type="http://schemas.openxmlformats.org/officeDocument/2006/relationships/hyperlink" Target="https://universidade.pipelovers.net/m/lessons/praticas-de-comunicacao-escrita-efetiva1769552022917?classId=3444" TargetMode="External"/><Relationship Id="rId155" Type="http://schemas.openxmlformats.org/officeDocument/2006/relationships/hyperlink" Target="https://universidade.pipelovers.net/m/lessons/praticas-de-comunicacao-escrita-efetiva1769552022917?classId=3444" TargetMode="External"/><Relationship Id="rId509" Type="http://schemas.openxmlformats.org/officeDocument/2006/relationships/hyperlink" Target="https://universidade.pipelovers.net/m/lessons/whatsapp-que-converte-como-conduzir-a-conversa-ate-a-reuniao-1771879433094?classId=3836" TargetMode="External"/><Relationship Id="rId508" Type="http://schemas.openxmlformats.org/officeDocument/2006/relationships/hyperlink" Target="https://universidade.pipelovers.net/m/lessons/como-usar-ia-para-acelerar-sua-prospeccao-1771878431926?classId=3835" TargetMode="External"/><Relationship Id="rId503" Type="http://schemas.openxmlformats.org/officeDocument/2006/relationships/hyperlink" Target="https://www.linkedin.com/in/jessicabosco/" TargetMode="External"/><Relationship Id="rId502" Type="http://schemas.openxmlformats.org/officeDocument/2006/relationships/hyperlink" Target="https://universidade.pipelovers.net/m/lessons/gerando-conexao-com-o-lead-no-primeiro-contato1772542642630?classId=3760" TargetMode="External"/><Relationship Id="rId501" Type="http://schemas.openxmlformats.org/officeDocument/2006/relationships/hyperlink" Target="https://universidade.pipelovers.net/m/lessons/gerando-conexao-com-o-lead-no-primeiro-contato1772542642630?classId=3760" TargetMode="External"/><Relationship Id="rId500" Type="http://schemas.openxmlformats.org/officeDocument/2006/relationships/hyperlink" Target="https://www.linkedin.com/in/tierrefonseca/" TargetMode="External"/><Relationship Id="rId507" Type="http://schemas.openxmlformats.org/officeDocument/2006/relationships/hyperlink" Target="https://universidade.pipelovers.net/m/lessons/como-usar-ia-para-acelerar-sua-prospeccao-1771878431926?classId=3835" TargetMode="External"/><Relationship Id="rId506" Type="http://schemas.openxmlformats.org/officeDocument/2006/relationships/hyperlink" Target="https://www.linkedin.com/in/manoel-victor-tomaz/" TargetMode="External"/><Relationship Id="rId505" Type="http://schemas.openxmlformats.org/officeDocument/2006/relationships/hyperlink" Target="https://universidade.pipelovers.net/m/lessons/como-passar-pela-secretaria1772542642357?classId=3754" TargetMode="External"/><Relationship Id="rId504" Type="http://schemas.openxmlformats.org/officeDocument/2006/relationships/hyperlink" Target="https://universidade.pipelovers.net/m/lessons/como-passar-pela-secretaria1772542642357?classId=3754" TargetMode="External"/><Relationship Id="rId525" Type="http://schemas.openxmlformats.org/officeDocument/2006/relationships/hyperlink" Target="https://www.linkedin.com/in/pedroholz/" TargetMode="External"/><Relationship Id="rId524" Type="http://schemas.openxmlformats.org/officeDocument/2006/relationships/hyperlink" Target="https://universidade.pipelovers.net/aulas/como-priorizar-tarefas-no-dia-a-dia-de-prevenda-1773684689179" TargetMode="External"/><Relationship Id="rId523" Type="http://schemas.openxmlformats.org/officeDocument/2006/relationships/hyperlink" Target="https://universidade.pipelovers.net/aulas/como-priorizar-tarefas-no-dia-a-dia-de-prevenda-1773684689179" TargetMode="External"/><Relationship Id="rId522" Type="http://schemas.openxmlformats.org/officeDocument/2006/relationships/hyperlink" Target="https://www.linkedin.com/in/gabriel-heringer-b64498143/" TargetMode="External"/><Relationship Id="rId529" Type="http://schemas.openxmlformats.org/officeDocument/2006/relationships/hyperlink" Target="https://universidade.pipelovers.net/m/lessons/hacks-essenciais-para-converter-mais-1776455292753?classId=3957" TargetMode="External"/><Relationship Id="rId528" Type="http://schemas.openxmlformats.org/officeDocument/2006/relationships/hyperlink" Target="https://www.linkedin.com/in/jessicabosco/" TargetMode="External"/><Relationship Id="rId527" Type="http://schemas.openxmlformats.org/officeDocument/2006/relationships/hyperlink" Target="https://universidade.pipelovers.net/aulas/como-pensar-como-um-pre-vendas-estrategico-1774880946682" TargetMode="External"/><Relationship Id="rId526" Type="http://schemas.openxmlformats.org/officeDocument/2006/relationships/hyperlink" Target="https://universidade.pipelovers.net/aulas/como-pensar-como-um-pre-vendas-estrategico-1774880946682" TargetMode="External"/><Relationship Id="rId521" Type="http://schemas.openxmlformats.org/officeDocument/2006/relationships/hyperlink" Target="https://universidade.pipelovers.net/m/lessons/reativacao-de-contas-inativas-1773683936663?classId=3802" TargetMode="External"/><Relationship Id="rId520" Type="http://schemas.openxmlformats.org/officeDocument/2006/relationships/hyperlink" Target="https://universidade.pipelovers.net/m/lessons/reativacao-de-contas-inativas-1773683936663?classId=3802" TargetMode="External"/><Relationship Id="rId519" Type="http://schemas.openxmlformats.org/officeDocument/2006/relationships/hyperlink" Target="https://universidade.pipelovers.net/m/lessons/metodologia-bant-para-qualificacao-de-oportunidades-1774546900949?classId=3848" TargetMode="External"/><Relationship Id="rId514" Type="http://schemas.openxmlformats.org/officeDocument/2006/relationships/hyperlink" Target="https://www.linkedin.com/in/biancagimenezvalente/" TargetMode="External"/><Relationship Id="rId513" Type="http://schemas.openxmlformats.org/officeDocument/2006/relationships/hyperlink" Target="https://universidade.pipelovers.net/m/lessons/diagnostico-de-oportunidade-como-identificar-o-cliente-certo-na-pre-venda-1771879498749?classId=3838" TargetMode="External"/><Relationship Id="rId512" Type="http://schemas.openxmlformats.org/officeDocument/2006/relationships/hyperlink" Target="https://universidade.pipelovers.net/m/lessons/diagnostico-de-oportunidade-como-identificar-o-cliente-certo-na-pre-venda-1771879498749?classId=3838" TargetMode="External"/><Relationship Id="rId511" Type="http://schemas.openxmlformats.org/officeDocument/2006/relationships/hyperlink" Target="https://www.linkedin.com/in/julia-drumond/" TargetMode="External"/><Relationship Id="rId518" Type="http://schemas.openxmlformats.org/officeDocument/2006/relationships/hyperlink" Target="https://universidade.pipelovers.net/m/lessons/metodologia-bant-para-qualificacao-de-oportunidades-1774546900949?classId=3848" TargetMode="External"/><Relationship Id="rId517" Type="http://schemas.openxmlformats.org/officeDocument/2006/relationships/hyperlink" Target="https://www.linkedin.com/in/janine-gabriela-bosco-1525b0bb/" TargetMode="External"/><Relationship Id="rId516" Type="http://schemas.openxmlformats.org/officeDocument/2006/relationships/hyperlink" Target="https://universidade.pipelovers.net/m/lessons/entendendo-a-dor-do-cliente-desde-a-primeira-conversa-1773684269941?classId=3803" TargetMode="External"/><Relationship Id="rId515" Type="http://schemas.openxmlformats.org/officeDocument/2006/relationships/hyperlink" Target="https://universidade.pipelovers.net/m/lessons/entendendo-a-dor-do-cliente-desde-a-primeira-conversa-1773684269941?classId=3803" TargetMode="External"/><Relationship Id="rId510" Type="http://schemas.openxmlformats.org/officeDocument/2006/relationships/hyperlink" Target="https://universidade.pipelovers.net/m/lessons/whatsapp-que-converte-como-conduzir-a-conversa-ate-a-reuniao-1771879433094?classId=3836" TargetMode="External"/><Relationship Id="rId590" Type="http://schemas.openxmlformats.org/officeDocument/2006/relationships/hyperlink" Target="https://www.linkedin.com/in/anecarolineborba888/" TargetMode="External"/><Relationship Id="rId107" Type="http://schemas.openxmlformats.org/officeDocument/2006/relationships/hyperlink" Target="https://universidade.pipelovers.net/m/lessons/relacionamento-marketing-pre-vendas1769552019140?classId=3395" TargetMode="External"/><Relationship Id="rId106" Type="http://schemas.openxmlformats.org/officeDocument/2006/relationships/hyperlink" Target="https://www.linkedin.com/in/amandadeepaula/" TargetMode="External"/><Relationship Id="rId105" Type="http://schemas.openxmlformats.org/officeDocument/2006/relationships/hyperlink" Target="https://universidade.pipelovers.net/m/lessons/como-ter-um-perfil-de-autoridade-no-linkedin1769552019091?classId=3396" TargetMode="External"/><Relationship Id="rId589" Type="http://schemas.openxmlformats.org/officeDocument/2006/relationships/hyperlink" Target="https://universidade.pipelovers.net/m/lessons/definicao-do-perfil-ideal-de-contato-na-prospeccao-1789157237371?moduleId=1661&amp;classId=4597" TargetMode="External"/><Relationship Id="rId104" Type="http://schemas.openxmlformats.org/officeDocument/2006/relationships/hyperlink" Target="https://universidade.pipelovers.net/m/lessons/como-ter-um-perfil-de-autoridade-no-linkedin1769552019091?classId=3396" TargetMode="External"/><Relationship Id="rId588" Type="http://schemas.openxmlformats.org/officeDocument/2006/relationships/hyperlink" Target="https://www.linkedin.com/in/d%C3%A9bora-menezes-06241094/" TargetMode="External"/><Relationship Id="rId109" Type="http://schemas.openxmlformats.org/officeDocument/2006/relationships/hyperlink" Target="https://www.linkedin.com/in/-sergioalonso/" TargetMode="External"/><Relationship Id="rId108" Type="http://schemas.openxmlformats.org/officeDocument/2006/relationships/hyperlink" Target="https://universidade.pipelovers.net/m/lessons/relacionamento-marketing-pre-vendas1769552019140?classId=3395" TargetMode="External"/><Relationship Id="rId583" Type="http://schemas.openxmlformats.org/officeDocument/2006/relationships/hyperlink" Target="https://universidade.pipelovers.net/m/lessons/criando-credibilidade-em-poucos-segundos-em-ligacoes-1786046756616?moduleId=1583&amp;classId=4472" TargetMode="External"/><Relationship Id="rId582" Type="http://schemas.openxmlformats.org/officeDocument/2006/relationships/hyperlink" Target="https://www.linkedin.com/in/anecarolineborba888/" TargetMode="External"/><Relationship Id="rId581" Type="http://schemas.openxmlformats.org/officeDocument/2006/relationships/hyperlink" Target="https://universidade.pipelovers.net/m/lessons/reativacao-de-leads-com-base-historica-do-crm-1787066536167?moduleId=1591&amp;classId=4482" TargetMode="External"/><Relationship Id="rId580" Type="http://schemas.openxmlformats.org/officeDocument/2006/relationships/hyperlink" Target="https://www.linkedin.com/in/juliana-eloi/" TargetMode="External"/><Relationship Id="rId103" Type="http://schemas.openxmlformats.org/officeDocument/2006/relationships/hyperlink" Target="https://www.linkedin.com/in/daniel-fidelis-ab8700159/" TargetMode="External"/><Relationship Id="rId587" Type="http://schemas.openxmlformats.org/officeDocument/2006/relationships/hyperlink" Target="https://universidade.pipelovers.net/m/lessons/tecnicas-de-qualificacao-por-whatsapp-e-e-mail-1789502329420?moduleId=1674&amp;classId=4609" TargetMode="External"/><Relationship Id="rId102" Type="http://schemas.openxmlformats.org/officeDocument/2006/relationships/hyperlink" Target="https://universidade.pipelovers.net/m/lessons/autogestao-baseada-em-indicadores1769552019066?classId=3393" TargetMode="External"/><Relationship Id="rId586" Type="http://schemas.openxmlformats.org/officeDocument/2006/relationships/hyperlink" Target="https://www.linkedin.com/in/matheus-gomes-dasilva/" TargetMode="External"/><Relationship Id="rId101" Type="http://schemas.openxmlformats.org/officeDocument/2006/relationships/hyperlink" Target="https://universidade.pipelovers.net/m/lessons/autogestao-baseada-em-indicadores1769552019066?classId=3393" TargetMode="External"/><Relationship Id="rId585" Type="http://schemas.openxmlformats.org/officeDocument/2006/relationships/hyperlink" Target="https://universidade.pipelovers.net/m/lessons/a-impacto-da-saude-fisica-na-resiliencia-de-prospeccao-1789502318244?moduleId=1673&amp;classId=4608" TargetMode="External"/><Relationship Id="rId100" Type="http://schemas.openxmlformats.org/officeDocument/2006/relationships/hyperlink" Target="https://universidade.pipelovers.net/m/lessons/assedio-nao-e-normal-ok1769552019039?classId=3392" TargetMode="External"/><Relationship Id="rId584" Type="http://schemas.openxmlformats.org/officeDocument/2006/relationships/hyperlink" Target="https://www.linkedin.com/in/d%C3%A9bora-menezes-06241094/" TargetMode="External"/><Relationship Id="rId579" Type="http://schemas.openxmlformats.org/officeDocument/2006/relationships/hyperlink" Target="https://universidade.pipelovers.net/m/lessons/criando-discursos-de-prospeccao-para-novas-ofertas-1786047063655?moduleId=1584&amp;classId=4473" TargetMode="External"/><Relationship Id="rId578" Type="http://schemas.openxmlformats.org/officeDocument/2006/relationships/hyperlink" Target="https://www.linkedin.com/in/correamari/" TargetMode="External"/><Relationship Id="rId577" Type="http://schemas.openxmlformats.org/officeDocument/2006/relationships/hyperlink" Target="https://universidade.pipelovers.net/m/lessons/ciclo-de-feedback-de-leads-entre-pre-vendas-e-marketing-1785353653280?moduleId=1576&amp;classId=4451" TargetMode="External"/><Relationship Id="rId572" Type="http://schemas.openxmlformats.org/officeDocument/2006/relationships/hyperlink" Target="https://universidade.pipelovers.net/m/lessons/como-sdrs-negociam-atencao-informacao-e-proximos-passos-antes-da-oportunidade-1785352612441?moduleId=1575&amp;classId=4450" TargetMode="External"/><Relationship Id="rId571" Type="http://schemas.openxmlformats.org/officeDocument/2006/relationships/hyperlink" Target="https://universidade.pipelovers.net/m/lessons/10-passos-para-uma-cold-call-eficiente-1784052575247?moduleId=1512&amp;classId=4211" TargetMode="External"/><Relationship Id="rId570" Type="http://schemas.openxmlformats.org/officeDocument/2006/relationships/hyperlink" Target="https://www.linkedin.com/in/daiana-soares-970702142/" TargetMode="External"/><Relationship Id="rId576" Type="http://schemas.openxmlformats.org/officeDocument/2006/relationships/hyperlink" Target="https://universidade.pipelovers.net/m/lessons/ciclo-de-feedback-de-leads-entre-pre-vendas-e-marketing-1785353653280?moduleId=1576&amp;classId=4451" TargetMode="External"/><Relationship Id="rId575" Type="http://schemas.openxmlformats.org/officeDocument/2006/relationships/hyperlink" Target="https://www.linkedin.com/in/leandroamarante/" TargetMode="External"/><Relationship Id="rId574" Type="http://schemas.openxmlformats.org/officeDocument/2006/relationships/hyperlink" Target="https://universidade.pipelovers.net/m/lessons/quantificando-a-dor-do-cliente-durante-a-prospeccao-1784053402102?moduleId=1513&amp;classId=4212" TargetMode="External"/><Relationship Id="rId573" Type="http://schemas.openxmlformats.org/officeDocument/2006/relationships/hyperlink" Target="https://www.linkedin.com/in/antoniomarcosj/" TargetMode="External"/><Relationship Id="rId129" Type="http://schemas.openxmlformats.org/officeDocument/2006/relationships/hyperlink" Target="https://universidade.pipelovers.net/m/lessons/comunicacao-nao-violenta-em-conversas-dificeis1769552019374?classId=3424" TargetMode="External"/><Relationship Id="rId128" Type="http://schemas.openxmlformats.org/officeDocument/2006/relationships/hyperlink" Target="https://universidade.pipelovers.net/m/lessons/comunicacao-nao-violenta-em-conversas-dificeis1769552019374?classId=3424" TargetMode="External"/><Relationship Id="rId127" Type="http://schemas.openxmlformats.org/officeDocument/2006/relationships/hyperlink" Target="https://www.linkedin.com/in/cindycarbonari/" TargetMode="External"/><Relationship Id="rId126" Type="http://schemas.openxmlformats.org/officeDocument/2006/relationships/hyperlink" Target="https://universidade.pipelovers.net/m/lessons/aprendizado-baseado-em-projetos1769552019347?classId=3423" TargetMode="External"/><Relationship Id="rId121" Type="http://schemas.openxmlformats.org/officeDocument/2006/relationships/hyperlink" Target="https://www.linkedin.com/in/igorbatista/" TargetMode="External"/><Relationship Id="rId120" Type="http://schemas.openxmlformats.org/officeDocument/2006/relationships/hyperlink" Target="https://universidade.pipelovers.net/m/lessons/lideranca-pelo-exemplo-como-ser-a-referencia-para-o-time1769552019284?classId=3405" TargetMode="External"/><Relationship Id="rId125" Type="http://schemas.openxmlformats.org/officeDocument/2006/relationships/hyperlink" Target="https://universidade.pipelovers.net/m/lessons/aprendizado-baseado-em-projetos1769552019347?classId=3423" TargetMode="External"/><Relationship Id="rId124" Type="http://schemas.openxmlformats.org/officeDocument/2006/relationships/hyperlink" Target="https://www.linkedin.com/in/jaymepereira/" TargetMode="External"/><Relationship Id="rId123" Type="http://schemas.openxmlformats.org/officeDocument/2006/relationships/hyperlink" Target="https://universidade.pipelovers.net/m/lessons/inteligencia-artificial-aplicada-a-prospeccao1769552019309?classId=3422" TargetMode="External"/><Relationship Id="rId122" Type="http://schemas.openxmlformats.org/officeDocument/2006/relationships/hyperlink" Target="https://universidade.pipelovers.net/m/lessons/inteligencia-artificial-aplicada-a-prospeccao1769552019309?classId=3422" TargetMode="External"/><Relationship Id="rId118" Type="http://schemas.openxmlformats.org/officeDocument/2006/relationships/hyperlink" Target="https://www.linkedin.com/in/helo%C3%ADsa-kinal-99aa2952/" TargetMode="External"/><Relationship Id="rId117" Type="http://schemas.openxmlformats.org/officeDocument/2006/relationships/hyperlink" Target="https://universidade.pipelovers.net/m/lessons/relacionamento-executivo-de-vendas-pre-vendas1769552019257?classId=3401" TargetMode="External"/><Relationship Id="rId116" Type="http://schemas.openxmlformats.org/officeDocument/2006/relationships/hyperlink" Target="https://universidade.pipelovers.net/m/lessons/relacionamento-executivo-de-vendas-pre-vendas1769552019257?classId=3401" TargetMode="External"/><Relationship Id="rId115" Type="http://schemas.openxmlformats.org/officeDocument/2006/relationships/hyperlink" Target="https://www.linkedin.com/in/rodrigosaretto/" TargetMode="External"/><Relationship Id="rId119" Type="http://schemas.openxmlformats.org/officeDocument/2006/relationships/hyperlink" Target="https://universidade.pipelovers.net/m/lessons/lideranca-pelo-exemplo-como-ser-a-referencia-para-o-time1769552019284?classId=3405" TargetMode="External"/><Relationship Id="rId110" Type="http://schemas.openxmlformats.org/officeDocument/2006/relationships/hyperlink" Target="https://universidade.pipelovers.net/aulas/mensagem-de-prospeccao-que-convertem-1775074225062" TargetMode="External"/><Relationship Id="rId594" Type="http://schemas.openxmlformats.org/officeDocument/2006/relationships/hyperlink" Target="https://universidade.pipelovers.net/m/lessons/elaborando-um-pdi-para-melhorar-metricas-de-produtividade-1789502336839?moduleId=1675&amp;classId=4610" TargetMode="External"/><Relationship Id="rId593" Type="http://schemas.openxmlformats.org/officeDocument/2006/relationships/hyperlink" Target="https://universidade.pipelovers.net/m/lessons/elaborando-um-pdi-para-melhorar-metricas-de-produtividade-1789502336839?moduleId=1675&amp;classId=4610" TargetMode="External"/><Relationship Id="rId592" Type="http://schemas.openxmlformats.org/officeDocument/2006/relationships/hyperlink" Target="https://www.linkedin.com/in/gabriela5oliveira/" TargetMode="External"/><Relationship Id="rId591" Type="http://schemas.openxmlformats.org/officeDocument/2006/relationships/hyperlink" Target="https://universidade.pipelovers.net/m/lessons/tecnicas-de-cold-call-para-prospeccao-ativa-1791468975221?moduleId=1730&amp;classId=4815" TargetMode="External"/><Relationship Id="rId114" Type="http://schemas.openxmlformats.org/officeDocument/2006/relationships/hyperlink" Target="https://universidade.pipelovers.net/aulas/como-autoconhecimento-e-inteligencia-emocional-te-ajudam-a-vender-mais--1775681110809" TargetMode="External"/><Relationship Id="rId113" Type="http://schemas.openxmlformats.org/officeDocument/2006/relationships/hyperlink" Target="https://universidade.pipelovers.net/aulas/como-autoconhecimento-e-inteligencia-emocional-te-ajudam-a-vender-mais--1775681110809" TargetMode="External"/><Relationship Id="rId112" Type="http://schemas.openxmlformats.org/officeDocument/2006/relationships/hyperlink" Target="https://www.linkedin.com/in/leonardo-s-3552b21a9/" TargetMode="External"/><Relationship Id="rId111" Type="http://schemas.openxmlformats.org/officeDocument/2006/relationships/hyperlink" Target="https://universidade.pipelovers.net/aulas/mensagem-de-prospeccao-que-convertem-1775074225062" TargetMode="External"/><Relationship Id="rId595" Type="http://schemas.openxmlformats.org/officeDocument/2006/relationships/drawing" Target="../drawings/drawing3.xml"/><Relationship Id="rId547" Type="http://schemas.openxmlformats.org/officeDocument/2006/relationships/hyperlink" Target="https://universidade.pipelovers.net/m/lessons/estrutura-de-mensagens-de-abertura-que-despertam-interesse-1778009452256?moduleId=1403&amp;classId=3988" TargetMode="External"/><Relationship Id="rId546" Type="http://schemas.openxmlformats.org/officeDocument/2006/relationships/hyperlink" Target="https://www.linkedin.com/in/ana-carolina-costa-440246ba/" TargetMode="External"/><Relationship Id="rId545" Type="http://schemas.openxmlformats.org/officeDocument/2006/relationships/hyperlink" Target="https://universidade.pipelovers.net/m/lessons/transformando-a-rejeicao-em-aprendizado-1778517929015?classId=3995" TargetMode="External"/><Relationship Id="rId544" Type="http://schemas.openxmlformats.org/officeDocument/2006/relationships/hyperlink" Target="https://universidade.pipelovers.net/m/lessons/transformando-a-rejeicao-em-aprendizado-1778517929015?classId=3995" TargetMode="External"/><Relationship Id="rId549" Type="http://schemas.openxmlformats.org/officeDocument/2006/relationships/hyperlink" Target="https://www.linkedin.com/in/arianyaraujo/" TargetMode="External"/><Relationship Id="rId548" Type="http://schemas.openxmlformats.org/officeDocument/2006/relationships/hyperlink" Target="https://universidade.pipelovers.net/m/lessons/estrutura-de-mensagens-de-abertura-que-despertam-interesse-1778009452256?moduleId=1403&amp;classId=3988" TargetMode="External"/><Relationship Id="rId543" Type="http://schemas.openxmlformats.org/officeDocument/2006/relationships/hyperlink" Target="https://www.linkedin.com/in/j%C3%BAlia-castro/" TargetMode="External"/><Relationship Id="rId542" Type="http://schemas.openxmlformats.org/officeDocument/2006/relationships/hyperlink" Target="https://universidade.pipelovers.net/m/lessons/como-conduzir-conversas-dificeis-com-os-leads-1775655519075?classId=3914" TargetMode="External"/><Relationship Id="rId541" Type="http://schemas.openxmlformats.org/officeDocument/2006/relationships/hyperlink" Target="https://universidade.pipelovers.net/m/lessons/como-conduzir-conversas-dificeis-com-os-leads-1775655519075?classId=3914" TargetMode="External"/><Relationship Id="rId540" Type="http://schemas.openxmlformats.org/officeDocument/2006/relationships/hyperlink" Target="https://www.linkedin.com/in/thayaneandradex/" TargetMode="External"/><Relationship Id="rId536" Type="http://schemas.openxmlformats.org/officeDocument/2006/relationships/hyperlink" Target="https://universidade.pipelovers.net/m/lessons/networking-para-sdrs-como-trocar-aprender-e-abrir-portas-1775656530408?classId=3915" TargetMode="External"/><Relationship Id="rId535" Type="http://schemas.openxmlformats.org/officeDocument/2006/relationships/hyperlink" Target="https://universidade.pipelovers.net/m/lessons/networking-para-sdrs-como-trocar-aprender-e-abrir-portas-1775656530408?classId=3915" TargetMode="External"/><Relationship Id="rId534" Type="http://schemas.openxmlformats.org/officeDocument/2006/relationships/hyperlink" Target="https://www.linkedin.com/in/laisnask/" TargetMode="External"/><Relationship Id="rId533" Type="http://schemas.openxmlformats.org/officeDocument/2006/relationships/hyperlink" Target="https://universidade.pipelovers.net/m/lessons/linkedin-para-pre-vendedores-o-basico-que-funciona-1775150928028?classId=3900" TargetMode="External"/><Relationship Id="rId539" Type="http://schemas.openxmlformats.org/officeDocument/2006/relationships/hyperlink" Target="https://universidade.pipelovers.net/m/lessons/como-organizar-sua-lista-de-leads-para-prospectar-melhor-1774529210887?classId=3847" TargetMode="External"/><Relationship Id="rId538" Type="http://schemas.openxmlformats.org/officeDocument/2006/relationships/hyperlink" Target="https://universidade.pipelovers.net/m/lessons/como-organizar-sua-lista-de-leads-para-prospectar-melhor-1774529210887?classId=3847" TargetMode="External"/><Relationship Id="rId537" Type="http://schemas.openxmlformats.org/officeDocument/2006/relationships/hyperlink" Target="https://www.linkedin.com/in/jessicabosco/" TargetMode="External"/><Relationship Id="rId532" Type="http://schemas.openxmlformats.org/officeDocument/2006/relationships/hyperlink" Target="https://universidade.pipelovers.net/m/lessons/linkedin-para-pre-vendedores-o-basico-que-funciona-1775150928028?classId=3900" TargetMode="External"/><Relationship Id="rId531" Type="http://schemas.openxmlformats.org/officeDocument/2006/relationships/hyperlink" Target="https://www.linkedin.com/in/camilahort/" TargetMode="External"/><Relationship Id="rId530" Type="http://schemas.openxmlformats.org/officeDocument/2006/relationships/hyperlink" Target="https://universidade.pipelovers.net/m/lessons/hacks-essenciais-para-converter-mais-1776455292753?classId=3957" TargetMode="External"/><Relationship Id="rId569" Type="http://schemas.openxmlformats.org/officeDocument/2006/relationships/hyperlink" Target="https://universidade.pipelovers.net/m/lessons/sdr-copiloto-de-ia-papeis-e-responsabilidades-1783098572036" TargetMode="External"/><Relationship Id="rId568" Type="http://schemas.openxmlformats.org/officeDocument/2006/relationships/hyperlink" Target="https://universidade.pipelovers.net/m/lessons/sdr-copiloto-de-ia-papeis-e-responsabilidades-1783098572036" TargetMode="External"/><Relationship Id="rId567" Type="http://schemas.openxmlformats.org/officeDocument/2006/relationships/hyperlink" Target="https://www.linkedin.com/in/andreialimaa/" TargetMode="External"/><Relationship Id="rId566" Type="http://schemas.openxmlformats.org/officeDocument/2006/relationships/hyperlink" Target="https://universidade.pipelovers.net/m/lessons/metodologia-win-loss-analysis-aplicada-a-prospeccao-1781547790902" TargetMode="External"/><Relationship Id="rId561" Type="http://schemas.openxmlformats.org/officeDocument/2006/relationships/hyperlink" Target="https://universidade.pipelovers.net/m/lessons/tecnicas-de-automotivacao-para-manter-o-foco-no-resultado-final-1782220286771?moduleId=1454&amp;classId=4038" TargetMode="External"/><Relationship Id="rId560" Type="http://schemas.openxmlformats.org/officeDocument/2006/relationships/hyperlink" Target="https://www.linkedin.com/in/felipealves00/" TargetMode="External"/><Relationship Id="rId565" Type="http://schemas.openxmlformats.org/officeDocument/2006/relationships/hyperlink" Target="https://universidade.pipelovers.net/m/lessons/metodologia-win-loss-analysis-aplicada-a-prospeccao-1781547790902" TargetMode="External"/><Relationship Id="rId564" Type="http://schemas.openxmlformats.org/officeDocument/2006/relationships/hyperlink" Target="https://www.linkedin.com/in/t%C3%A1rik-medeiros-83486b102/" TargetMode="External"/><Relationship Id="rId563" Type="http://schemas.openxmlformats.org/officeDocument/2006/relationships/hyperlink" Target="https://universidade.pipelovers.net/c/praticas-para-o-sdr-chegar-a-alta-performance-1782222089528" TargetMode="External"/><Relationship Id="rId562" Type="http://schemas.openxmlformats.org/officeDocument/2006/relationships/hyperlink" Target="https://www.linkedin.com/in/gabrielfontesoficial/" TargetMode="External"/><Relationship Id="rId558" Type="http://schemas.openxmlformats.org/officeDocument/2006/relationships/hyperlink" Target="https://www.linkedin.com/in/jessicabosco/" TargetMode="External"/><Relationship Id="rId557" Type="http://schemas.openxmlformats.org/officeDocument/2006/relationships/hyperlink" Target="https://universidade.pipelovers.net/m/lessons/mapeando-o-perfil-comportamental-do-seu-lead-metodologia-disc-1781810835834?moduleId=1447&amp;classId=4034" TargetMode="External"/><Relationship Id="rId556" Type="http://schemas.openxmlformats.org/officeDocument/2006/relationships/hyperlink" Target="https://universidade.pipelovers.net/m/lessons/mapeando-o-perfil-comportamental-do-seu-lead-metodologia-disc-1781810835834?moduleId=1447&amp;classId=4034" TargetMode="External"/><Relationship Id="rId555" Type="http://schemas.openxmlformats.org/officeDocument/2006/relationships/hyperlink" Target="https://www.linkedin.com/in/fernanda3garcia/" TargetMode="External"/><Relationship Id="rId559" Type="http://schemas.openxmlformats.org/officeDocument/2006/relationships/hyperlink" Target="https://universidade.pipelovers.net/m/lessons/como-prender-atencao-do-lead-na-cold-call-1782219281852?moduleId=1453&amp;classId=4037" TargetMode="External"/><Relationship Id="rId550" Type="http://schemas.openxmlformats.org/officeDocument/2006/relationships/hyperlink" Target="https://universidade.pipelovers.net/m/lessons/como-aplicar-abm-em-pre-vendas-1780510420277?moduleId=1431&amp;classId=4019" TargetMode="External"/><Relationship Id="rId554" Type="http://schemas.openxmlformats.org/officeDocument/2006/relationships/hyperlink" Target="https://universidade.pipelovers.net/m/lessons/como-sdrs-podem-reduzir-objecoes-de-custo-nas-primeiras-conversas-1779221321743?moduleId=1424&amp;classId=4010" TargetMode="External"/><Relationship Id="rId553" Type="http://schemas.openxmlformats.org/officeDocument/2006/relationships/hyperlink" Target="https://universidade.pipelovers.net/m/lessons/como-sdrs-podem-reduzir-objecoes-de-custo-nas-primeiras-conversas-1779221321743?moduleId=1424&amp;classId=4010" TargetMode="External"/><Relationship Id="rId552" Type="http://schemas.openxmlformats.org/officeDocument/2006/relationships/hyperlink" Target="https://www.linkedin.com/in/lucasdiassena/" TargetMode="External"/><Relationship Id="rId551" Type="http://schemas.openxmlformats.org/officeDocument/2006/relationships/hyperlink" Target="https://universidade.pipelovers.net/m/lessons/como-aplicar-abm-em-pre-vendas-1780510420277?moduleId=1431&amp;classId=4019" TargetMode="External"/><Relationship Id="rId495" Type="http://schemas.openxmlformats.org/officeDocument/2006/relationships/hyperlink" Target="https://universidade.pipelovers.net/m/lessons/abordagens-e-prospeccao-que-funcionam-no-comeco-do-ano1772542641973?classId=3746" TargetMode="External"/><Relationship Id="rId494" Type="http://schemas.openxmlformats.org/officeDocument/2006/relationships/hyperlink" Target="https://www.linkedin.com/in/lahire-cavallero/" TargetMode="External"/><Relationship Id="rId493" Type="http://schemas.openxmlformats.org/officeDocument/2006/relationships/hyperlink" Target="https://universidade.pipelovers.net/m/lessons/tecnicas-de-rapport-para-prospeccao1772542662129?classId=3772" TargetMode="External"/><Relationship Id="rId492" Type="http://schemas.openxmlformats.org/officeDocument/2006/relationships/hyperlink" Target="https://universidade.pipelovers.net/m/lessons/tecnicas-de-rapport-para-prospeccao1772542662129?classId=3772" TargetMode="External"/><Relationship Id="rId499" Type="http://schemas.openxmlformats.org/officeDocument/2006/relationships/hyperlink" Target="https://universidade.pipelovers.net/m/lessons/metricas-que-todo-pre-vendedor-deve-saber-e-acompanhar1772542642743?classId=3763" TargetMode="External"/><Relationship Id="rId498" Type="http://schemas.openxmlformats.org/officeDocument/2006/relationships/hyperlink" Target="https://universidade.pipelovers.net/m/lessons/metricas-que-todo-pre-vendedor-deve-saber-e-acompanhar1772542642743?classId=3763" TargetMode="External"/><Relationship Id="rId497" Type="http://schemas.openxmlformats.org/officeDocument/2006/relationships/hyperlink" Target="https://www.linkedin.com/in/izebolzan/" TargetMode="External"/><Relationship Id="rId496" Type="http://schemas.openxmlformats.org/officeDocument/2006/relationships/hyperlink" Target="https://universidade.pipelovers.net/m/lessons/abordagens-e-prospeccao-que-funcionam-no-comeco-do-ano1772542641973?classId=3746" TargetMode="External"/><Relationship Id="rId409" Type="http://schemas.openxmlformats.org/officeDocument/2006/relationships/hyperlink" Target="https://universidade.pipelovers.net/m/lessons/pmes-x-enterprise-qual-estrategia-mais-funciona-para-cada-um1772542661808?classId=3767" TargetMode="External"/><Relationship Id="rId404" Type="http://schemas.openxmlformats.org/officeDocument/2006/relationships/hyperlink" Target="https://www.linkedin.com/in/fernanda3garcia/" TargetMode="External"/><Relationship Id="rId403" Type="http://schemas.openxmlformats.org/officeDocument/2006/relationships/hyperlink" Target="https://universidade.pipelovers.net/m/lessons/planejamento-e-organizacao-para-bater-a-meta1769552066254?classId=3567" TargetMode="External"/><Relationship Id="rId402" Type="http://schemas.openxmlformats.org/officeDocument/2006/relationships/hyperlink" Target="https://universidade.pipelovers.net/m/lessons/planejamento-e-organizacao-para-bater-a-meta1769552066254?classId=3567" TargetMode="External"/><Relationship Id="rId401" Type="http://schemas.openxmlformats.org/officeDocument/2006/relationships/hyperlink" Target="https://www.linkedin.com/in/lucianotomazi/" TargetMode="External"/><Relationship Id="rId408" Type="http://schemas.openxmlformats.org/officeDocument/2006/relationships/hyperlink" Target="https://universidade.pipelovers.net/m/lessons/pmes-x-enterprise-qual-estrategia-mais-funciona-para-cada-um1772542661808?classId=3767" TargetMode="External"/><Relationship Id="rId407" Type="http://schemas.openxmlformats.org/officeDocument/2006/relationships/hyperlink" Target="https://www.linkedin.com/in/kalilekm/" TargetMode="External"/><Relationship Id="rId406" Type="http://schemas.openxmlformats.org/officeDocument/2006/relationships/hyperlink" Target="https://universidade.pipelovers.net/m/lessons/cold-calling-sucks-dicas-do-livro-para-perder-o-medo-e-fazer-ligacoes1769552066326?classId=3566" TargetMode="External"/><Relationship Id="rId405" Type="http://schemas.openxmlformats.org/officeDocument/2006/relationships/hyperlink" Target="https://universidade.pipelovers.net/m/lessons/cold-calling-sucks-dicas-do-livro-para-perder-o-medo-e-fazer-ligacoes1769552066326?classId=3566" TargetMode="External"/><Relationship Id="rId400" Type="http://schemas.openxmlformats.org/officeDocument/2006/relationships/hyperlink" Target="https://universidade.pipelovers.net/m/lessons/copy-com-persuasao1769552063314?classId=3564" TargetMode="External"/><Relationship Id="rId469" Type="http://schemas.openxmlformats.org/officeDocument/2006/relationships/hyperlink" Target="https://www.linkedin.com/in/yagopereiraoficial/" TargetMode="External"/><Relationship Id="rId468" Type="http://schemas.openxmlformats.org/officeDocument/2006/relationships/hyperlink" Target="https://universidade.pipelovers.net/m/lessons/preparacao-para-rituais-de-time-como-sdrs-podem-se-comunicar-com-mais-clareza-e-impacto1769552081141?classId=3580" TargetMode="External"/><Relationship Id="rId467" Type="http://schemas.openxmlformats.org/officeDocument/2006/relationships/hyperlink" Target="https://universidade.pipelovers.net/m/lessons/preparacao-para-rituais-de-time-como-sdrs-podem-se-comunicar-com-mais-clareza-e-impacto1769552081141?classId=3580" TargetMode="External"/><Relationship Id="rId462" Type="http://schemas.openxmlformats.org/officeDocument/2006/relationships/hyperlink" Target="https://universidade.pipelovers.net/m/lessons/como-usar-provas-sociais-na-prospeccao1769552081075?classId=3578" TargetMode="External"/><Relationship Id="rId461" Type="http://schemas.openxmlformats.org/officeDocument/2006/relationships/hyperlink" Target="https://universidade.pipelovers.net/m/lessons/como-usar-provas-sociais-na-prospeccao1769552081075?classId=3578" TargetMode="External"/><Relationship Id="rId460" Type="http://schemas.openxmlformats.org/officeDocument/2006/relationships/hyperlink" Target="https://www.linkedin.com/in/thaysemiranda/" TargetMode="External"/><Relationship Id="rId466" Type="http://schemas.openxmlformats.org/officeDocument/2006/relationships/hyperlink" Target="https://www.linkedin.com/in/marcelamaua/" TargetMode="External"/><Relationship Id="rId465" Type="http://schemas.openxmlformats.org/officeDocument/2006/relationships/hyperlink" Target="https://universidade.pipelovers.net/m/lessons/melhores-praticas-de-crm-para-pre-vendedores1769552081110?classId=3579" TargetMode="External"/><Relationship Id="rId464" Type="http://schemas.openxmlformats.org/officeDocument/2006/relationships/hyperlink" Target="https://universidade.pipelovers.net/m/lessons/melhores-praticas-de-crm-para-pre-vendedores1769552081110?classId=3579" TargetMode="External"/><Relationship Id="rId463" Type="http://schemas.openxmlformats.org/officeDocument/2006/relationships/hyperlink" Target="https://www.linkedin.com/in/dayane-mara-/" TargetMode="External"/><Relationship Id="rId459" Type="http://schemas.openxmlformats.org/officeDocument/2006/relationships/hyperlink" Target="https://universidade.pipelovers.net/m/lessons/boas-praticas-de-mensagens-no-linkedin-e-whatsapp1769552081013?classId=3037" TargetMode="External"/><Relationship Id="rId458" Type="http://schemas.openxmlformats.org/officeDocument/2006/relationships/hyperlink" Target="https://universidade.pipelovers.net/m/lessons/boas-praticas-de-mensagens-no-linkedin-e-whatsapp1769552081013?classId=3037" TargetMode="External"/><Relationship Id="rId457" Type="http://schemas.openxmlformats.org/officeDocument/2006/relationships/hyperlink" Target="https://www.linkedin.com/in/gabrielbaeta/" TargetMode="External"/><Relationship Id="rId456" Type="http://schemas.openxmlformats.org/officeDocument/2006/relationships/hyperlink" Target="https://universidade.pipelovers.net/m/lessons/spiced-na-prospeccao-revelando-necessidades-ocultas-do-lead1769552080988?classId=3577" TargetMode="External"/><Relationship Id="rId451" Type="http://schemas.openxmlformats.org/officeDocument/2006/relationships/hyperlink" Target="https://www.linkedin.com/in/igorbatista/" TargetMode="External"/><Relationship Id="rId450" Type="http://schemas.openxmlformats.org/officeDocument/2006/relationships/hyperlink" Target="https://universidade.pipelovers.net/m/lessons/copy-para-sdrs-o-que-nao-pode-faltar-na-sua-mensagem1769552080914?classId=3575" TargetMode="External"/><Relationship Id="rId455" Type="http://schemas.openxmlformats.org/officeDocument/2006/relationships/hyperlink" Target="https://universidade.pipelovers.net/m/lessons/spiced-na-prospeccao-revelando-necessidades-ocultas-do-lead1769552080988?classId=3577" TargetMode="External"/><Relationship Id="rId454" Type="http://schemas.openxmlformats.org/officeDocument/2006/relationships/hyperlink" Target="https://www.linkedin.com/in/thais-brunatto/" TargetMode="External"/><Relationship Id="rId453" Type="http://schemas.openxmlformats.org/officeDocument/2006/relationships/hyperlink" Target="https://universidade.pipelovers.net/m/lessons/perfil-disc-autoconhecimento-para-potencializar-resultados1769552080962?classId=3576" TargetMode="External"/><Relationship Id="rId452" Type="http://schemas.openxmlformats.org/officeDocument/2006/relationships/hyperlink" Target="https://universidade.pipelovers.net/m/lessons/perfil-disc-autoconhecimento-para-potencializar-resultados1769552080962?classId=3576" TargetMode="External"/><Relationship Id="rId491" Type="http://schemas.openxmlformats.org/officeDocument/2006/relationships/hyperlink" Target="https://www.linkedin.com/in/igormacedobarbosa/" TargetMode="External"/><Relationship Id="rId490" Type="http://schemas.openxmlformats.org/officeDocument/2006/relationships/hyperlink" Target="https://universidade.pipelovers.net/m/lessons/storytelling-para-sdr-como-abrir-conversas-sem-soar-generico1772542661991?classId=3770" TargetMode="External"/><Relationship Id="rId489" Type="http://schemas.openxmlformats.org/officeDocument/2006/relationships/hyperlink" Target="https://universidade.pipelovers.net/m/lessons/storytelling-para-sdr-como-abrir-conversas-sem-soar-generico1772542661991?classId=3770" TargetMode="External"/><Relationship Id="rId484" Type="http://schemas.openxmlformats.org/officeDocument/2006/relationships/hyperlink" Target="https://universidade.pipelovers.net/m/lessons/conexao-em-abordagens-frias-como-fugir-do-obvio-e-conquistar-atencao1769552081303?classId=3583" TargetMode="External"/><Relationship Id="rId483" Type="http://schemas.openxmlformats.org/officeDocument/2006/relationships/hyperlink" Target="https://universidade.pipelovers.net/m/lessons/conexao-em-abordagens-frias-como-fugir-do-obvio-e-conquistar-atencao1769552081303?classId=3583" TargetMode="External"/><Relationship Id="rId482" Type="http://schemas.openxmlformats.org/officeDocument/2006/relationships/hyperlink" Target="https://www.linkedin.com/in/thaiscmiranda/" TargetMode="External"/><Relationship Id="rId481" Type="http://schemas.openxmlformats.org/officeDocument/2006/relationships/hyperlink" Target="http://talent.com" TargetMode="External"/><Relationship Id="rId488" Type="http://schemas.openxmlformats.org/officeDocument/2006/relationships/hyperlink" Target="https://www.linkedin.com/in/rodrigo-maia-theodoro-dos-santos-59357532/?utm_source=share&amp;utm_campaign=share_via&amp;utm_content=profile&amp;utm_medium=ios_app" TargetMode="External"/><Relationship Id="rId487" Type="http://schemas.openxmlformats.org/officeDocument/2006/relationships/hyperlink" Target="https://universidade.pipelovers.net/m/lessons/como-ajustar-seu-discurso-para-diferentes-perfis-de-clientes1769552081350?classId=3584" TargetMode="External"/><Relationship Id="rId486" Type="http://schemas.openxmlformats.org/officeDocument/2006/relationships/hyperlink" Target="https://universidade.pipelovers.net/m/lessons/como-ajustar-seu-discurso-para-diferentes-perfis-de-clientes1769552081350?classId=3584" TargetMode="External"/><Relationship Id="rId485" Type="http://schemas.openxmlformats.org/officeDocument/2006/relationships/hyperlink" Target="https://www.linkedin.com/in/victorlasman/" TargetMode="External"/><Relationship Id="rId480" Type="http://schemas.openxmlformats.org/officeDocument/2006/relationships/hyperlink" Target="https://universidade.pipelovers.net/aulas/motivacao-em-pre-vendas-como-descobrir-o-que-sustenta-sua-alta-performance-1775684561999" TargetMode="External"/><Relationship Id="rId479" Type="http://schemas.openxmlformats.org/officeDocument/2006/relationships/hyperlink" Target="https://universidade.pipelovers.net/aulas/motivacao-em-pre-vendas-como-descobrir-o-que-sustenta-sua-alta-performance-1775684561999" TargetMode="External"/><Relationship Id="rId478" Type="http://schemas.openxmlformats.org/officeDocument/2006/relationships/hyperlink" Target="https://www.linkedin.com/in/carolinecorr%C3%AAa2/" TargetMode="External"/><Relationship Id="rId473" Type="http://schemas.openxmlformats.org/officeDocument/2006/relationships/hyperlink" Target="https://universidade.pipelovers.net/m/lessons/explorando-noticias-de-mercado-na-prospeccao-ativa1769552081204?classId=3582" TargetMode="External"/><Relationship Id="rId472" Type="http://schemas.openxmlformats.org/officeDocument/2006/relationships/hyperlink" Target="https://www.linkedin.com/in/rezendejoao/" TargetMode="External"/><Relationship Id="rId471" Type="http://schemas.openxmlformats.org/officeDocument/2006/relationships/hyperlink" Target="https://universidade.pipelovers.net/m/lessons/multicanalidade-na-prospeccao-para-aumento-de-taxa-de-conversao1769552081166?classId=3581" TargetMode="External"/><Relationship Id="rId470" Type="http://schemas.openxmlformats.org/officeDocument/2006/relationships/hyperlink" Target="https://universidade.pipelovers.net/m/lessons/multicanalidade-na-prospeccao-para-aumento-de-taxa-de-conversao1769552081166?classId=3581" TargetMode="External"/><Relationship Id="rId477" Type="http://schemas.openxmlformats.org/officeDocument/2006/relationships/hyperlink" Target="https://universidade.pipelovers.net/aulas/metodologia-gpct-para-qualificacao-de-oportunidades-1775683832311" TargetMode="External"/><Relationship Id="rId476" Type="http://schemas.openxmlformats.org/officeDocument/2006/relationships/hyperlink" Target="https://universidade.pipelovers.net/aulas/metodologia-gpct-para-qualificacao-de-oportunidades-1775683832311" TargetMode="External"/><Relationship Id="rId475" Type="http://schemas.openxmlformats.org/officeDocument/2006/relationships/hyperlink" Target="https://www.linkedin.com/in/jonynardes/" TargetMode="External"/><Relationship Id="rId474" Type="http://schemas.openxmlformats.org/officeDocument/2006/relationships/hyperlink" Target="https://universidade.pipelovers.net/m/lessons/explorando-noticias-de-mercado-na-prospeccao-ativa1769552081204?classId=3582" TargetMode="External"/><Relationship Id="rId426" Type="http://schemas.openxmlformats.org/officeDocument/2006/relationships/hyperlink" Target="https://universidade.pipelovers.net/aulas/plano-de-carreira-em-pre-vendas1769552080693" TargetMode="External"/><Relationship Id="rId425" Type="http://schemas.openxmlformats.org/officeDocument/2006/relationships/hyperlink" Target="https://www.linkedin.com/in/rafaelbethiol/" TargetMode="External"/><Relationship Id="rId424" Type="http://schemas.openxmlformats.org/officeDocument/2006/relationships/hyperlink" Target="https://universidade.pipelovers.net/aulas/prospectando-contas-grandes-com-estrategia-1775075454914" TargetMode="External"/><Relationship Id="rId423" Type="http://schemas.openxmlformats.org/officeDocument/2006/relationships/hyperlink" Target="https://universidade.pipelovers.net/aulas/prospectando-contas-grandes-com-estrategia-1775075454914" TargetMode="External"/><Relationship Id="rId429" Type="http://schemas.openxmlformats.org/officeDocument/2006/relationships/hyperlink" Target="https://universidade.pipelovers.net/m/lessons/o-que-o-marketing-pode-te-ensinar-pra-chamar-atencao-de-leads1769552080719?classId=3438" TargetMode="External"/><Relationship Id="rId428" Type="http://schemas.openxmlformats.org/officeDocument/2006/relationships/hyperlink" Target="https://universidade.pipelovers.net/m/lessons/o-que-o-marketing-pode-te-ensinar-pra-chamar-atencao-de-leads1769552080719?classId=3438" TargetMode="External"/><Relationship Id="rId427" Type="http://schemas.openxmlformats.org/officeDocument/2006/relationships/hyperlink" Target="https://www.linkedin.com/in/ana-beatriz-cesa/" TargetMode="External"/><Relationship Id="rId422" Type="http://schemas.openxmlformats.org/officeDocument/2006/relationships/hyperlink" Target="https://www.linkedin.com/in/vitor-filardo-vianna-a0151a128/" TargetMode="External"/><Relationship Id="rId421" Type="http://schemas.openxmlformats.org/officeDocument/2006/relationships/hyperlink" Target="https://universidade.pipelovers.net/m/lessons/criacao-e-aplicacao-de-agentes-de-ia-para-pre-vendas1769552080347?classId=3433" TargetMode="External"/><Relationship Id="rId420" Type="http://schemas.openxmlformats.org/officeDocument/2006/relationships/hyperlink" Target="https://universidade.pipelovers.net/m/lessons/criacao-e-aplicacao-de-agentes-de-ia-para-pre-vendas1769552080347?classId=3433" TargetMode="External"/><Relationship Id="rId415" Type="http://schemas.openxmlformats.org/officeDocument/2006/relationships/hyperlink" Target="https://universidade.pipelovers.net/m/lessons/como-fazer-o-diagnostico-do-seu-funil1769552066545?classId=3569" TargetMode="External"/><Relationship Id="rId414" Type="http://schemas.openxmlformats.org/officeDocument/2006/relationships/hyperlink" Target="https://universidade.pipelovers.net/m/lessons/como-fazer-o-diagnostico-do-seu-funil1769552066545?classId=3569" TargetMode="External"/><Relationship Id="rId413" Type="http://schemas.openxmlformats.org/officeDocument/2006/relationships/hyperlink" Target="https://www.linkedin.com/in/duelenfeijo/" TargetMode="External"/><Relationship Id="rId412" Type="http://schemas.openxmlformats.org/officeDocument/2006/relationships/hyperlink" Target="https://universidade.pipelovers.net/m/lessons/a-passagem-que-faz-vender-o-que-nao-pode-faltar-quando-o-sdr-entrega-pro-closer1769552066478?classId=3565" TargetMode="External"/><Relationship Id="rId419" Type="http://schemas.openxmlformats.org/officeDocument/2006/relationships/hyperlink" Target="https://www.linkedin.com/in/caroline-veloso-de-lima/" TargetMode="External"/><Relationship Id="rId418" Type="http://schemas.openxmlformats.org/officeDocument/2006/relationships/hyperlink" Target="https://universidade.pipelovers.net/m/lessons/transicao-para-lideranca-o-que-muda-quando-voce-vira-lider1769552066617?classId=3570" TargetMode="External"/><Relationship Id="rId417" Type="http://schemas.openxmlformats.org/officeDocument/2006/relationships/hyperlink" Target="https://universidade.pipelovers.net/m/lessons/transicao-para-lideranca-o-que-muda-quando-voce-vira-lider1769552066617?classId=3570" TargetMode="External"/><Relationship Id="rId416" Type="http://schemas.openxmlformats.org/officeDocument/2006/relationships/hyperlink" Target="https://www.linkedin.com/in/vescovi-edu/" TargetMode="External"/><Relationship Id="rId411" Type="http://schemas.openxmlformats.org/officeDocument/2006/relationships/hyperlink" Target="https://universidade.pipelovers.net/m/lessons/a-passagem-que-faz-vender-o-que-nao-pode-faltar-quando-o-sdr-entrega-pro-closer1769552066478?classId=3565" TargetMode="External"/><Relationship Id="rId410" Type="http://schemas.openxmlformats.org/officeDocument/2006/relationships/hyperlink" Target="https://www.linkedin.com/in/talesmorigi/" TargetMode="External"/><Relationship Id="rId448" Type="http://schemas.openxmlformats.org/officeDocument/2006/relationships/hyperlink" Target="https://www.linkedin.com/in/lucas-hassuike-dolibaina/" TargetMode="External"/><Relationship Id="rId447" Type="http://schemas.openxmlformats.org/officeDocument/2006/relationships/hyperlink" Target="https://universidade.pipelovers.net/m/lessons/prospeccao-de-c-levels-tecnicas-para-abordar-esse-publico-com-assertividade1769552080865?classId=3574" TargetMode="External"/><Relationship Id="rId446" Type="http://schemas.openxmlformats.org/officeDocument/2006/relationships/hyperlink" Target="https://universidade.pipelovers.net/m/lessons/prospeccao-de-c-levels-tecnicas-para-abordar-esse-publico-com-assertividade1769552080865?classId=3574" TargetMode="External"/><Relationship Id="rId445" Type="http://schemas.openxmlformats.org/officeDocument/2006/relationships/hyperlink" Target="https://www.linkedin.com/in/gabrielfracalanzapimentel/" TargetMode="External"/><Relationship Id="rId449" Type="http://schemas.openxmlformats.org/officeDocument/2006/relationships/hyperlink" Target="https://universidade.pipelovers.net/m/lessons/copy-para-sdrs-o-que-nao-pode-faltar-na-sua-mensagem1769552080914?classId=3575" TargetMode="External"/><Relationship Id="rId440" Type="http://schemas.openxmlformats.org/officeDocument/2006/relationships/hyperlink" Target="https://universidade.pipelovers.net/m/lessons/geracao-de-demanda-em-uma-era-100-digital1769552080813?classId=3445" TargetMode="External"/><Relationship Id="rId444" Type="http://schemas.openxmlformats.org/officeDocument/2006/relationships/hyperlink" Target="https://universidade.pipelovers.net/m/lessons/como-usar-indicadores-financeiros-para-qualificar-leads1769552080838?classId=3446" TargetMode="External"/><Relationship Id="rId443" Type="http://schemas.openxmlformats.org/officeDocument/2006/relationships/hyperlink" Target="https://universidade.pipelovers.net/m/lessons/como-usar-indicadores-financeiros-para-qualificar-leads1769552080838?classId=3446" TargetMode="External"/><Relationship Id="rId442" Type="http://schemas.openxmlformats.org/officeDocument/2006/relationships/hyperlink" Target="https://www.linkedin.com/in/isabella-birolli-74412827/" TargetMode="External"/><Relationship Id="rId441" Type="http://schemas.openxmlformats.org/officeDocument/2006/relationships/hyperlink" Target="https://universidade.pipelovers.net/m/lessons/geracao-de-demanda-em-uma-era-100-digital1769552080813?classId=3445" TargetMode="External"/><Relationship Id="rId437" Type="http://schemas.openxmlformats.org/officeDocument/2006/relationships/hyperlink" Target="https://universidade.pipelovers.net/m/lessons/organizacao-de-rotina-para-entregar-mais-com-menos-estresse1769552080889?classId=3441" TargetMode="External"/><Relationship Id="rId436" Type="http://schemas.openxmlformats.org/officeDocument/2006/relationships/hyperlink" Target="https://www.linkedin.com/in/jailson-alex-mira/" TargetMode="External"/><Relationship Id="rId435" Type="http://schemas.openxmlformats.org/officeDocument/2006/relationships/hyperlink" Target="https://universidade.pipelovers.net/m/lessons/como-criar-conexao-na-comunicacao-escrita1769552080783?classId=3440" TargetMode="External"/><Relationship Id="rId434" Type="http://schemas.openxmlformats.org/officeDocument/2006/relationships/hyperlink" Target="https://universidade.pipelovers.net/m/lessons/como-criar-conexao-na-comunicacao-escrita1769552080783?classId=3440" TargetMode="External"/><Relationship Id="rId439" Type="http://schemas.openxmlformats.org/officeDocument/2006/relationships/hyperlink" Target="https://www.linkedin.com/in/gabriel-sbrasil/" TargetMode="External"/><Relationship Id="rId438" Type="http://schemas.openxmlformats.org/officeDocument/2006/relationships/hyperlink" Target="https://universidade.pipelovers.net/m/lessons/organizacao-de-rotina-para-entregar-mais-com-menos-estresse1769552080889?classId=3441" TargetMode="External"/><Relationship Id="rId433" Type="http://schemas.openxmlformats.org/officeDocument/2006/relationships/hyperlink" Target="https://www.linkedin.com/in/paola-behs/" TargetMode="External"/><Relationship Id="rId432" Type="http://schemas.openxmlformats.org/officeDocument/2006/relationships/hyperlink" Target="https://universidade.pipelovers.net/m/lessons/challenger-sales-na-prospeccao-como-provocar-o-lead-do-jeito-certo1769552080744?classId=3439" TargetMode="External"/><Relationship Id="rId431" Type="http://schemas.openxmlformats.org/officeDocument/2006/relationships/hyperlink" Target="https://universidade.pipelovers.net/m/lessons/challenger-sales-na-prospeccao-como-provocar-o-lead-do-jeito-certo1769552080744?classId=3439" TargetMode="External"/><Relationship Id="rId430" Type="http://schemas.openxmlformats.org/officeDocument/2006/relationships/hyperlink" Target="https://www.linkedin.com/in/julianne-campelo-6399b61b2/"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universidade.pipelovers.net/m/lessons/como-cs-influencia-a-geracao-de-demanda-do-comercial1769552308098?classId=3297" TargetMode="External"/><Relationship Id="rId391" Type="http://schemas.openxmlformats.org/officeDocument/2006/relationships/hyperlink" Target="https://universidade.pipelovers.net/m/lessons/como-cs-influencia-a-geracao-de-demanda-do-comercial1769552308098?classId=3297" TargetMode="External"/><Relationship Id="rId390" Type="http://schemas.openxmlformats.org/officeDocument/2006/relationships/hyperlink" Target="https://universidade.pipelovers.net/m/lessons/indicadores-das-empresas-que-ajudam-os-gestores-comerciais1769552308033?classId=3296" TargetMode="External"/><Relationship Id="rId1" Type="http://schemas.openxmlformats.org/officeDocument/2006/relationships/hyperlink" Target="https://square-help-401.notion.site/PipeLovers-Gest-o-de-Conte-dos-092a0245b45d4913bc546769f201f09c" TargetMode="External"/><Relationship Id="rId2" Type="http://schemas.openxmlformats.org/officeDocument/2006/relationships/hyperlink" Target="https://universidade.pipelovers.net/m/lessons/construcao-de-um-planejamento-comercial-derivado-da-visao-estrategica1769552222098?moduleId=472&amp;classId=3062" TargetMode="External"/><Relationship Id="rId3" Type="http://schemas.openxmlformats.org/officeDocument/2006/relationships/hyperlink" Target="https://universidade.pipelovers.net/m/lessons/o-que-e-revenue-operations1769552222044?classId=2534" TargetMode="External"/><Relationship Id="rId4" Type="http://schemas.openxmlformats.org/officeDocument/2006/relationships/hyperlink" Target="https://universidade.pipelovers.net/m/lessons/o-que-e-revenue-operations1769552222044?classId=2534" TargetMode="External"/><Relationship Id="rId9" Type="http://schemas.openxmlformats.org/officeDocument/2006/relationships/hyperlink" Target="https://universidade.pipelovers.net/m/lessons/tecnologias-para-aumentar-a-produtividade-de-vendas1769552222258?classId=3082" TargetMode="External"/><Relationship Id="rId385" Type="http://schemas.openxmlformats.org/officeDocument/2006/relationships/hyperlink" Target="https://universidade.pipelovers.net/m/lessons/outbound-que-funciona-o-que-fazer-e-o-que-evitar1769552307972?classId=3294" TargetMode="External"/><Relationship Id="rId384" Type="http://schemas.openxmlformats.org/officeDocument/2006/relationships/hyperlink" Target="https://universidade.pipelovers.net/m/lessons/outbound-que-funciona-o-que-fazer-e-o-que-evitar1769552307972?classId=3294" TargetMode="External"/><Relationship Id="rId383" Type="http://schemas.openxmlformats.org/officeDocument/2006/relationships/hyperlink" Target="https://universidade.pipelovers.net/m/lessons/como-a-ia-pode-facilitar-a-vida-de-um-gerente-de-vendas1769552305633?classId=3293" TargetMode="External"/><Relationship Id="rId382" Type="http://schemas.openxmlformats.org/officeDocument/2006/relationships/hyperlink" Target="https://universidade.pipelovers.net/m/lessons/como-a-ia-pode-facilitar-a-vida-de-um-gerente-de-vendas1769552305633?classId=3293" TargetMode="External"/><Relationship Id="rId5" Type="http://schemas.openxmlformats.org/officeDocument/2006/relationships/hyperlink" Target="https://universidade.pipelovers.net/m/lessons/como-montar-uma-area-de-planejamento-comercial-do-zero1769552222150?classId=3080" TargetMode="External"/><Relationship Id="rId389" Type="http://schemas.openxmlformats.org/officeDocument/2006/relationships/hyperlink" Target="https://universidade.pipelovers.net/m/lessons/indicadores-das-empresas-que-ajudam-os-gestores-comerciais1769552308033?classId=3296" TargetMode="External"/><Relationship Id="rId6" Type="http://schemas.openxmlformats.org/officeDocument/2006/relationships/hyperlink" Target="https://universidade.pipelovers.net/m/lessons/como-montar-uma-area-de-planejamento-comercial-do-zero1769552222150?classId=3080" TargetMode="External"/><Relationship Id="rId388" Type="http://schemas.openxmlformats.org/officeDocument/2006/relationships/hyperlink" Target="https://universidade.pipelovers.net/m/lessons/enablement-benchmark-brasil-20251769552308005?classId=3295" TargetMode="External"/><Relationship Id="rId7" Type="http://schemas.openxmlformats.org/officeDocument/2006/relationships/hyperlink" Target="https://universidade.pipelovers.net/m/lessons/como-mensurar-testes-no-processo-de-vendas1769552222196?classId=3081" TargetMode="External"/><Relationship Id="rId387" Type="http://schemas.openxmlformats.org/officeDocument/2006/relationships/hyperlink" Target="https://universidade.pipelovers.net/m/lessons/enablement-benchmark-brasil-20251769552308005?classId=3295" TargetMode="External"/><Relationship Id="rId8" Type="http://schemas.openxmlformats.org/officeDocument/2006/relationships/hyperlink" Target="https://universidade.pipelovers.net/m/lessons/como-mensurar-testes-no-processo-de-vendas1769552222196?classId=3081" TargetMode="External"/><Relationship Id="rId386" Type="http://schemas.openxmlformats.org/officeDocument/2006/relationships/hyperlink" Target="https://www.linkedin.com/in/rafaelalexandre/" TargetMode="External"/><Relationship Id="rId381" Type="http://schemas.openxmlformats.org/officeDocument/2006/relationships/hyperlink" Target="https://www.linkedin.com/in/carol-deberaldini-21793442/" TargetMode="External"/><Relationship Id="rId380" Type="http://schemas.openxmlformats.org/officeDocument/2006/relationships/hyperlink" Target="https://universidade.pipelovers.net/m/lessons/como-fazer-11-reunioes-individuais-de-acompanhamento-com-seu-time1769552305573?classId=3292" TargetMode="External"/><Relationship Id="rId379" Type="http://schemas.openxmlformats.org/officeDocument/2006/relationships/hyperlink" Target="https://universidade.pipelovers.net/m/lessons/como-fazer-11-reunioes-individuais-de-acompanhamento-com-seu-time1769552305573?classId=3292" TargetMode="External"/><Relationship Id="rId374" Type="http://schemas.openxmlformats.org/officeDocument/2006/relationships/hyperlink" Target="https://universidade.pipelovers.net/m/lessons/pipeline-de-lideranca-a-primeira-grande-transicao-para-liderar-pessoas1769552305446?classId=3290" TargetMode="External"/><Relationship Id="rId373" Type="http://schemas.openxmlformats.org/officeDocument/2006/relationships/hyperlink" Target="https://universidade.pipelovers.net/m/lessons/pipeline-de-lideranca-a-primeira-grande-transicao-para-liderar-pessoas1769552305446?classId=3290" TargetMode="External"/><Relationship Id="rId372" Type="http://schemas.openxmlformats.org/officeDocument/2006/relationships/hyperlink" Target="https://www.linkedin.com/in/matheus-weigand/" TargetMode="External"/><Relationship Id="rId371" Type="http://schemas.openxmlformats.org/officeDocument/2006/relationships/hyperlink" Target="https://universidade.pipelovers.net/m/lessons/geracao-de-funil-organico-no-linkedin1769552305340?classId=3029" TargetMode="External"/><Relationship Id="rId378" Type="http://schemas.openxmlformats.org/officeDocument/2006/relationships/hyperlink" Target="https://www.linkedin.com/in/leandrohirose" TargetMode="External"/><Relationship Id="rId377" Type="http://schemas.openxmlformats.org/officeDocument/2006/relationships/hyperlink" Target="https://universidade.pipelovers.net/m/lessons/funil-de-vendas-eficiente-passo-a-passo-para-estruturacao1769552305506?classId=3291" TargetMode="External"/><Relationship Id="rId376" Type="http://schemas.openxmlformats.org/officeDocument/2006/relationships/hyperlink" Target="https://universidade.pipelovers.net/m/lessons/funil-de-vendas-eficiente-passo-a-passo-para-estruturacao1769552305506?classId=3291" TargetMode="External"/><Relationship Id="rId375" Type="http://schemas.openxmlformats.org/officeDocument/2006/relationships/hyperlink" Target="https://www.linkedin.com/in/bonaroti/" TargetMode="External"/><Relationship Id="rId396" Type="http://schemas.openxmlformats.org/officeDocument/2006/relationships/hyperlink" Target="https://universidade.pipelovers.net/m/lessons/manual-antichefe-na-pratica-o-que-fazer-e-o-que-evitar-pra-construir-um-time-saudavel1769552308197?classId=3299" TargetMode="External"/><Relationship Id="rId395" Type="http://schemas.openxmlformats.org/officeDocument/2006/relationships/hyperlink" Target="https://universidade.pipelovers.net/m/lessons/manual-antichefe-na-pratica-o-que-fazer-e-o-que-evitar-pra-construir-um-time-saudavel1769552308197?classId=3299" TargetMode="External"/><Relationship Id="rId394" Type="http://schemas.openxmlformats.org/officeDocument/2006/relationships/hyperlink" Target="https://universidade.pipelovers.net/m/lessons/10-dicas-que-eu-aprendi-entrevistando-200-empresarios1769552308149?classId=3298" TargetMode="External"/><Relationship Id="rId393" Type="http://schemas.openxmlformats.org/officeDocument/2006/relationships/hyperlink" Target="https://universidade.pipelovers.net/m/lessons/10-dicas-que-eu-aprendi-entrevistando-200-empresarios1769552308149?classId=3298" TargetMode="External"/><Relationship Id="rId399" Type="http://schemas.openxmlformats.org/officeDocument/2006/relationships/hyperlink" Target="https://universidade.pipelovers.net/m/lessons/remuneracao-de-longo-prazo-para-retencao-de-vendedores1769552308228?classId=3300" TargetMode="External"/><Relationship Id="rId398" Type="http://schemas.openxmlformats.org/officeDocument/2006/relationships/hyperlink" Target="https://universidade.pipelovers.net/m/lessons/remuneracao-de-longo-prazo-para-retencao-de-vendedores1769552308228?classId=3300" TargetMode="External"/><Relationship Id="rId397" Type="http://schemas.openxmlformats.org/officeDocument/2006/relationships/hyperlink" Target="https://www.linkedin.com/in/ebersonterra/" TargetMode="External"/><Relationship Id="rId40" Type="http://schemas.openxmlformats.org/officeDocument/2006/relationships/hyperlink" Target="https://universidade.pipelovers.net/m/lessons/erros-de-calculo-de-comissao-impactos-e-alternativas1769552227361?classId=3088" TargetMode="External"/><Relationship Id="rId42" Type="http://schemas.openxmlformats.org/officeDocument/2006/relationships/hyperlink" Target="https://universidade.pipelovers.net/m/lessons/os-desafios-de-um-country-manager-em-novos-mercados1769552231015?classId=3067" TargetMode="External"/><Relationship Id="rId41" Type="http://schemas.openxmlformats.org/officeDocument/2006/relationships/hyperlink" Target="https://universidade.pipelovers.net/m/lessons/erros-de-calculo-de-comissao-impactos-e-alternativas1769552227361?classId=3088" TargetMode="External"/><Relationship Id="rId44" Type="http://schemas.openxmlformats.org/officeDocument/2006/relationships/hyperlink" Target="https://universidade.pipelovers.net/m/lessons/modelos-de-incentivo-de-equipes-comerciais1769552231122?classId=3089" TargetMode="External"/><Relationship Id="rId43" Type="http://schemas.openxmlformats.org/officeDocument/2006/relationships/hyperlink" Target="https://universidade.pipelovers.net/m/lessons/os-desafios-de-um-country-manager-em-novos-mercados1769552231015?classId=3067" TargetMode="External"/><Relationship Id="rId46" Type="http://schemas.openxmlformats.org/officeDocument/2006/relationships/hyperlink" Target="https://www.linkedin.com/in/marcio-pereira-5327939/" TargetMode="External"/><Relationship Id="rId45" Type="http://schemas.openxmlformats.org/officeDocument/2006/relationships/hyperlink" Target="https://universidade.pipelovers.net/m/lessons/modelos-de-incentivo-de-equipes-comerciais1769552231122?classId=3089" TargetMode="External"/><Relationship Id="rId48" Type="http://schemas.openxmlformats.org/officeDocument/2006/relationships/hyperlink" Target="https://universidade.pipelovers.net/m/lessons/inteligencia-artificial-o-que-ela-nao-vai-resolver-para-um-gerente-de-vendas1769552231190?classId=3090" TargetMode="External"/><Relationship Id="rId47" Type="http://schemas.openxmlformats.org/officeDocument/2006/relationships/hyperlink" Target="https://universidade.pipelovers.net/m/lessons/inteligencia-artificial-o-que-ela-nao-vai-resolver-para-um-gerente-de-vendas1769552231190?classId=3090" TargetMode="External"/><Relationship Id="rId49" Type="http://schemas.openxmlformats.org/officeDocument/2006/relationships/hyperlink" Target="https://www.linkedin.com/in/mauricio-vergani-8b7765/" TargetMode="External"/><Relationship Id="rId31" Type="http://schemas.openxmlformats.org/officeDocument/2006/relationships/hyperlink" Target="https://universidade.pipelovers.net/m/lessons/storytelling-em-paineis-de-gestao-para-vendedores1769552227163?classId=3459" TargetMode="External"/><Relationship Id="rId30" Type="http://schemas.openxmlformats.org/officeDocument/2006/relationships/hyperlink" Target="https://universidade.pipelovers.net/m/lessons/storytelling-em-paineis-de-gestao-para-vendedores1769552227163?classId=3459" TargetMode="External"/><Relationship Id="rId33" Type="http://schemas.openxmlformats.org/officeDocument/2006/relationships/hyperlink" Target="https://universidade.pipelovers.net/m/lessons/processos-e-qualidade-de-bases-de-dados-para-planejamento-comercial1769552227223?classId=3085" TargetMode="External"/><Relationship Id="rId32" Type="http://schemas.openxmlformats.org/officeDocument/2006/relationships/hyperlink" Target="https://universidade.pipelovers.net/m/lessons/processos-e-qualidade-de-bases-de-dados-para-planejamento-comercial1769552227223?classId=3085" TargetMode="External"/><Relationship Id="rId35" Type="http://schemas.openxmlformats.org/officeDocument/2006/relationships/hyperlink" Target="https://universidade.pipelovers.net/m/lessons/mapeando-os-gargalos-nos-processos-e-sistemas-internos1769552227282?classId=3086" TargetMode="External"/><Relationship Id="rId34" Type="http://schemas.openxmlformats.org/officeDocument/2006/relationships/hyperlink" Target="http://runrun.it" TargetMode="External"/><Relationship Id="rId37" Type="http://schemas.openxmlformats.org/officeDocument/2006/relationships/hyperlink" Target="https://universidade.pipelovers.net/m/lessons/comunicacao-conciliadora-para-conversas-dificeis1769552227312?classId=3087" TargetMode="External"/><Relationship Id="rId36" Type="http://schemas.openxmlformats.org/officeDocument/2006/relationships/hyperlink" Target="https://universidade.pipelovers.net/m/lessons/mapeando-os-gargalos-nos-processos-e-sistemas-internos1769552227282?classId=3086" TargetMode="External"/><Relationship Id="rId39" Type="http://schemas.openxmlformats.org/officeDocument/2006/relationships/hyperlink" Target="https://www.linkedin.com/in/fabio-moreira-0141b121/" TargetMode="External"/><Relationship Id="rId38" Type="http://schemas.openxmlformats.org/officeDocument/2006/relationships/hyperlink" Target="https://universidade.pipelovers.net/m/lessons/comunicacao-conciliadora-para-conversas-dificeis1769552227312?classId=3087" TargetMode="External"/><Relationship Id="rId20" Type="http://schemas.openxmlformats.org/officeDocument/2006/relationships/hyperlink" Target="https://www.linkedin.com/in/joaoluisoliverio/" TargetMode="External"/><Relationship Id="rId22" Type="http://schemas.openxmlformats.org/officeDocument/2006/relationships/hyperlink" Target="https://universidade.pipelovers.net/m/lessons/impacto-do-comissionamento-sobre-equipes-de-vendas1769552223061?classId=3463" TargetMode="External"/><Relationship Id="rId21" Type="http://schemas.openxmlformats.org/officeDocument/2006/relationships/hyperlink" Target="https://universidade.pipelovers.net/m/lessons/impacto-do-comissionamento-sobre-equipes-de-vendas1769552223061?classId=3463" TargetMode="External"/><Relationship Id="rId24" Type="http://schemas.openxmlformats.org/officeDocument/2006/relationships/hyperlink" Target="https://universidade.pipelovers.net/m/lessons/estruturacao-de-equipes-de-planejamento-comercial1769552227047?classId=3462" TargetMode="External"/><Relationship Id="rId23" Type="http://schemas.openxmlformats.org/officeDocument/2006/relationships/hyperlink" Target="https://universidade.pipelovers.net/m/lessons/estruturacao-de-equipes-de-planejamento-comercial1769552227047?classId=3462" TargetMode="External"/><Relationship Id="rId26" Type="http://schemas.openxmlformats.org/officeDocument/2006/relationships/hyperlink" Target="https://universidade.pipelovers.net/m/lessons/inteligencia-artificial-aplicada-a-planejamento-comercial1769552226867?classId=3461" TargetMode="External"/><Relationship Id="rId25" Type="http://schemas.openxmlformats.org/officeDocument/2006/relationships/hyperlink" Target="https://universidade.pipelovers.net/m/lessons/inteligencia-artificial-aplicada-a-planejamento-comercial1769552226867?classId=3461" TargetMode="External"/><Relationship Id="rId28" Type="http://schemas.openxmlformats.org/officeDocument/2006/relationships/hyperlink" Target="https://universidade.pipelovers.net/aulas/melhores-praticas-de-rampagem-de-vendedores-1775159616248" TargetMode="External"/><Relationship Id="rId27" Type="http://schemas.openxmlformats.org/officeDocument/2006/relationships/hyperlink" Target="https://www.linkedin.com/in/thiago-reis-/" TargetMode="External"/><Relationship Id="rId29" Type="http://schemas.openxmlformats.org/officeDocument/2006/relationships/hyperlink" Target="https://universidade.pipelovers.net/aulas/melhores-praticas-de-rampagem-de-vendedores-1775159616248" TargetMode="External"/><Relationship Id="rId11" Type="http://schemas.openxmlformats.org/officeDocument/2006/relationships/hyperlink" Target="https://universidade.pipelovers.net/m/lessons/analise-de-concorrencia1769552222284?classId=3066" TargetMode="External"/><Relationship Id="rId10" Type="http://schemas.openxmlformats.org/officeDocument/2006/relationships/hyperlink" Target="https://universidade.pipelovers.net/m/lessons/tecnologias-para-aumentar-a-produtividade-de-vendas1769552222258?classId=3082" TargetMode="External"/><Relationship Id="rId13" Type="http://schemas.openxmlformats.org/officeDocument/2006/relationships/hyperlink" Target="https://universidade.pipelovers.net/m/lessons/forecast-de-vendas-processos-e-previsibilidade1769552222319?classId=3083" TargetMode="External"/><Relationship Id="rId12" Type="http://schemas.openxmlformats.org/officeDocument/2006/relationships/hyperlink" Target="https://universidade.pipelovers.net/m/lessons/analise-de-concorrencia1769552222284?classId=3066" TargetMode="External"/><Relationship Id="rId15" Type="http://schemas.openxmlformats.org/officeDocument/2006/relationships/hyperlink" Target="https://www.linkedin.com/in/liviazingallilima/" TargetMode="External"/><Relationship Id="rId14" Type="http://schemas.openxmlformats.org/officeDocument/2006/relationships/hyperlink" Target="https://universidade.pipelovers.net/m/lessons/forecast-de-vendas-processos-e-previsibilidade1769552222319?classId=3083" TargetMode="External"/><Relationship Id="rId17" Type="http://schemas.openxmlformats.org/officeDocument/2006/relationships/hyperlink" Target="https://universidade.pipelovers.net/m/lessons/definicao-de-metas-baseado-em-capacity1769552222357?classId=3084" TargetMode="External"/><Relationship Id="rId16" Type="http://schemas.openxmlformats.org/officeDocument/2006/relationships/hyperlink" Target="https://universidade.pipelovers.net/m/lessons/definicao-de-metas-baseado-em-capacity1769552222357?classId=3084" TargetMode="External"/><Relationship Id="rId19" Type="http://schemas.openxmlformats.org/officeDocument/2006/relationships/hyperlink" Target="https://universidade.pipelovers.net/m/lessons/inteligencia-de-dados-para-mapeamento-de-territorio1769552223003?classId=3464" TargetMode="External"/><Relationship Id="rId18" Type="http://schemas.openxmlformats.org/officeDocument/2006/relationships/hyperlink" Target="https://universidade.pipelovers.net/m/lessons/inteligencia-de-dados-para-mapeamento-de-territorio1769552223003?classId=3464" TargetMode="External"/><Relationship Id="rId84" Type="http://schemas.openxmlformats.org/officeDocument/2006/relationships/hyperlink" Target="https://www.linkedin.com/in/gpagotto/" TargetMode="External"/><Relationship Id="rId83" Type="http://schemas.openxmlformats.org/officeDocument/2006/relationships/hyperlink" Target="https://universidade.pipelovers.net/m/lessons/palestra-rd-summit-20231769552039345?classId=3108" TargetMode="External"/><Relationship Id="rId86" Type="http://schemas.openxmlformats.org/officeDocument/2006/relationships/hyperlink" Target="https://universidade.pipelovers.net/m/lessons/como-alinhar-expectativas-entre-diferentes-niveis-de-senioridade1769552243258?classId=3109" TargetMode="External"/><Relationship Id="rId85" Type="http://schemas.openxmlformats.org/officeDocument/2006/relationships/hyperlink" Target="https://universidade.pipelovers.net/m/lessons/como-alinhar-expectativas-entre-diferentes-niveis-de-senioridade1769552243258?classId=3109" TargetMode="External"/><Relationship Id="rId88" Type="http://schemas.openxmlformats.org/officeDocument/2006/relationships/hyperlink" Target="https://universidade.pipelovers.net/m/lessons/sales-coaching-baseado-em-metricas1769552243176?classId=3110" TargetMode="External"/><Relationship Id="rId87" Type="http://schemas.openxmlformats.org/officeDocument/2006/relationships/hyperlink" Target="https://universidade.pipelovers.net/m/lessons/sales-coaching-baseado-em-metricas1769552243176?classId=3110" TargetMode="External"/><Relationship Id="rId89" Type="http://schemas.openxmlformats.org/officeDocument/2006/relationships/hyperlink" Target="https://universidade.pipelovers.net/m/lessons/integrando-times-de-produto-e-comercial1769552243229?classId=3111" TargetMode="External"/><Relationship Id="rId80" Type="http://schemas.openxmlformats.org/officeDocument/2006/relationships/hyperlink" Target="https://universidade.pipelovers.net/m/lessons/estrategicas-de-aquisicao-de-clientes-com-ampliacao-de-portfolio1769552242871?classId=3107" TargetMode="External"/><Relationship Id="rId82" Type="http://schemas.openxmlformats.org/officeDocument/2006/relationships/hyperlink" Target="https://universidade.pipelovers.net/m/lessons/palestra-rd-summit-20231769552039345?classId=3108" TargetMode="External"/><Relationship Id="rId81" Type="http://schemas.openxmlformats.org/officeDocument/2006/relationships/hyperlink" Target="https://universidade.pipelovers.net/m/lessons/estrategicas-de-aquisicao-de-clientes-com-ampliacao-de-portfolio1769552242871?classId=3107" TargetMode="External"/><Relationship Id="rId73" Type="http://schemas.openxmlformats.org/officeDocument/2006/relationships/hyperlink" Target="https://universidade.pipelovers.net/aulas/como-avaliar-um-headhunter-para-seu-time-de-vendas-1775491524100" TargetMode="External"/><Relationship Id="rId72" Type="http://schemas.openxmlformats.org/officeDocument/2006/relationships/hyperlink" Target="https://universidade.pipelovers.net/aulas/como-avaliar-um-headhunter-para-seu-time-de-vendas-1775491524100" TargetMode="External"/><Relationship Id="rId75" Type="http://schemas.openxmlformats.org/officeDocument/2006/relationships/hyperlink" Target="https://universidade.pipelovers.net/m/lessons/como-conquistar-confianca-de-stakeholders1769552242776?classId=3102" TargetMode="External"/><Relationship Id="rId74" Type="http://schemas.openxmlformats.org/officeDocument/2006/relationships/hyperlink" Target="https://universidade.pipelovers.net/m/lessons/como-conquistar-confianca-de-stakeholders1769552242776?classId=3102" TargetMode="External"/><Relationship Id="rId77" Type="http://schemas.openxmlformats.org/officeDocument/2006/relationships/hyperlink" Target="https://universidade.pipelovers.net/m/lessons/apresentacoes-executivas-para-o-conselho-da-empresa1769552242831?classId=3105" TargetMode="External"/><Relationship Id="rId76" Type="http://schemas.openxmlformats.org/officeDocument/2006/relationships/hyperlink" Target="https://universidade.pipelovers.net/m/lessons/apresentacoes-executivas-para-o-conselho-da-empresa1769552242831?classId=3105" TargetMode="External"/><Relationship Id="rId79" Type="http://schemas.openxmlformats.org/officeDocument/2006/relationships/hyperlink" Target="https://universidade.pipelovers.net/aulas/como-avaliar-a-terceirizaca0-de-prospecca0-1775492909109" TargetMode="External"/><Relationship Id="rId78" Type="http://schemas.openxmlformats.org/officeDocument/2006/relationships/hyperlink" Target="https://universidade.pipelovers.net/aulas/como-avaliar-a-terceirizaca0-de-prospecca0-1775492909109" TargetMode="External"/><Relationship Id="rId71" Type="http://schemas.openxmlformats.org/officeDocument/2006/relationships/hyperlink" Target="https://universidade.pipelovers.net/m/lessons/google-maps-como-base-de-prospeccao1769552242716?classId=3100" TargetMode="External"/><Relationship Id="rId70" Type="http://schemas.openxmlformats.org/officeDocument/2006/relationships/hyperlink" Target="https://universidade.pipelovers.net/m/lessons/google-maps-como-base-de-prospeccao1769552242716?classId=3100" TargetMode="External"/><Relationship Id="rId62" Type="http://schemas.openxmlformats.org/officeDocument/2006/relationships/hyperlink" Target="https://universidade.pipelovers.net/m/lessons/planejamento-de-geracao-de-demanda1769552242542?classId=3097" TargetMode="External"/><Relationship Id="rId61" Type="http://schemas.openxmlformats.org/officeDocument/2006/relationships/hyperlink" Target="https://universidade.pipelovers.net/m/lessons/operacoes-de-inside-sales-para-vendas-complexas1769552242243?classId=3095" TargetMode="External"/><Relationship Id="rId64" Type="http://schemas.openxmlformats.org/officeDocument/2006/relationships/hyperlink" Target="https://www.linkedin.com/in/wevsoares/" TargetMode="External"/><Relationship Id="rId63" Type="http://schemas.openxmlformats.org/officeDocument/2006/relationships/hyperlink" Target="https://universidade.pipelovers.net/m/lessons/planejamento-de-geracao-de-demanda1769552242542?classId=3097" TargetMode="External"/><Relationship Id="rId66" Type="http://schemas.openxmlformats.org/officeDocument/2006/relationships/hyperlink" Target="https://universidade.pipelovers.net/m/lessons/mapeamento-da-jornada-de-compra-do-cliente1769552242569?classId=3098" TargetMode="External"/><Relationship Id="rId65" Type="http://schemas.openxmlformats.org/officeDocument/2006/relationships/hyperlink" Target="https://universidade.pipelovers.net/m/lessons/mapeamento-da-jornada-de-compra-do-cliente1769552242569?classId=3098" TargetMode="External"/><Relationship Id="rId68" Type="http://schemas.openxmlformats.org/officeDocument/2006/relationships/hyperlink" Target="https://universidade.pipelovers.net/m/lessons/planejamento-de-key-accounts1769552242658?classId=3103" TargetMode="External"/><Relationship Id="rId67" Type="http://schemas.openxmlformats.org/officeDocument/2006/relationships/hyperlink" Target="https://www.linkedin.com/in/marcelomafra/" TargetMode="External"/><Relationship Id="rId60" Type="http://schemas.openxmlformats.org/officeDocument/2006/relationships/hyperlink" Target="https://universidade.pipelovers.net/m/lessons/operacoes-de-inside-sales-para-vendas-complexas1769552242243?classId=3095" TargetMode="External"/><Relationship Id="rId69" Type="http://schemas.openxmlformats.org/officeDocument/2006/relationships/hyperlink" Target="https://universidade.pipelovers.net/m/lessons/planejamento-de-key-accounts1769552242658?classId=3103" TargetMode="External"/><Relationship Id="rId51" Type="http://schemas.openxmlformats.org/officeDocument/2006/relationships/hyperlink" Target="https://universidade.pipelovers.net/m/lessons/gestao-baseada-em-okr-objective-and-key-results1769552231241?classId=3091" TargetMode="External"/><Relationship Id="rId50" Type="http://schemas.openxmlformats.org/officeDocument/2006/relationships/hyperlink" Target="https://universidade.pipelovers.net/m/lessons/gestao-baseada-em-okr-objective-and-key-results1769552231241?classId=3091" TargetMode="External"/><Relationship Id="rId53" Type="http://schemas.openxmlformats.org/officeDocument/2006/relationships/hyperlink" Target="https://universidade.pipelovers.net/m/lessons/eficiencia-de-funil-e-rentabilidade-de-vendas1769552231350?classId=3104" TargetMode="External"/><Relationship Id="rId52" Type="http://schemas.openxmlformats.org/officeDocument/2006/relationships/hyperlink" Target="https://universidade.pipelovers.net/m/lessons/eficiencia-de-funil-e-rentabilidade-de-vendas1769552231350?classId=3104" TargetMode="External"/><Relationship Id="rId55" Type="http://schemas.openxmlformats.org/officeDocument/2006/relationships/hyperlink" Target="https://universidade.pipelovers.net/m/lessons/planejamento-estrategico-para-novos-segmentos-e-mercados1769552231526?classId=3068" TargetMode="External"/><Relationship Id="rId54" Type="http://schemas.openxmlformats.org/officeDocument/2006/relationships/hyperlink" Target="https://universidade.pipelovers.net/m/lessons/planejamento-estrategico-para-novos-segmentos-e-mercados1769552231526?classId=3068" TargetMode="External"/><Relationship Id="rId57" Type="http://schemas.openxmlformats.org/officeDocument/2006/relationships/hyperlink" Target="https://universidade.pipelovers.net/m/lessons/calculando-seu-cac-e-unit-economics1769552231474?classId=3093" TargetMode="External"/><Relationship Id="rId56" Type="http://schemas.openxmlformats.org/officeDocument/2006/relationships/hyperlink" Target="https://universidade.pipelovers.net/m/lessons/calculando-seu-cac-e-unit-economics1769552231474?classId=3093" TargetMode="External"/><Relationship Id="rId59" Type="http://schemas.openxmlformats.org/officeDocument/2006/relationships/hyperlink" Target="https://universidade.pipelovers.net/m/lessons/plano-de-30-60-90-primeiros-dias1769552231576?classId=3094" TargetMode="External"/><Relationship Id="rId58" Type="http://schemas.openxmlformats.org/officeDocument/2006/relationships/hyperlink" Target="https://universidade.pipelovers.net/m/lessons/plano-de-30-60-90-primeiros-dias1769552231576?classId=3094" TargetMode="External"/><Relationship Id="rId349" Type="http://schemas.openxmlformats.org/officeDocument/2006/relationships/hyperlink" Target="https://universidade.pipelovers.net/m/lessons/comunicacao-persuasiva-para-lideres-comerciais1769552304784?classId=3283" TargetMode="External"/><Relationship Id="rId348" Type="http://schemas.openxmlformats.org/officeDocument/2006/relationships/hyperlink" Target="https://universidade.pipelovers.net/m/lessons/comunicacao-persuasiva-para-lideres-comerciais1769552304784?classId=3283" TargetMode="External"/><Relationship Id="rId347" Type="http://schemas.openxmlformats.org/officeDocument/2006/relationships/hyperlink" Target="https://universidade.pipelovers.net/m/lessons/estrategias-de-expansao-de-receita-alinhando-produto-marketing-e-vendas1769552304724?classId=3282" TargetMode="External"/><Relationship Id="rId346" Type="http://schemas.openxmlformats.org/officeDocument/2006/relationships/hyperlink" Target="https://universidade.pipelovers.net/m/lessons/estrategias-de-expansao-de-receita-alinhando-produto-marketing-e-vendas1769552304724?classId=3282" TargetMode="External"/><Relationship Id="rId341" Type="http://schemas.openxmlformats.org/officeDocument/2006/relationships/hyperlink" Target="https://universidade.pipelovers.net/m/lessons/como-projetar-metas-nas-carteiras-de-clientes1769552304555?classId=3280" TargetMode="External"/><Relationship Id="rId340" Type="http://schemas.openxmlformats.org/officeDocument/2006/relationships/hyperlink" Target="https://universidade.pipelovers.net/m/lessons/como-alinhar-equipes-de-vendas-usando-okrs1769552304494?classId=3279" TargetMode="External"/><Relationship Id="rId345" Type="http://schemas.openxmlformats.org/officeDocument/2006/relationships/hyperlink" Target="https://www.linkedin.com/in/gpagotto/" TargetMode="External"/><Relationship Id="rId344" Type="http://schemas.openxmlformats.org/officeDocument/2006/relationships/hyperlink" Target="https://universidade.pipelovers.net/m/lessons/planejamento-anual-de-vendas1769552304646?classId=3281" TargetMode="External"/><Relationship Id="rId343" Type="http://schemas.openxmlformats.org/officeDocument/2006/relationships/hyperlink" Target="https://universidade.pipelovers.net/m/lessons/planejamento-anual-de-vendas1769552304646?classId=3281" TargetMode="External"/><Relationship Id="rId342" Type="http://schemas.openxmlformats.org/officeDocument/2006/relationships/hyperlink" Target="https://universidade.pipelovers.net/m/lessons/como-projetar-metas-nas-carteiras-de-clientes1769552304555?classId=3280" TargetMode="External"/><Relationship Id="rId338" Type="http://schemas.openxmlformats.org/officeDocument/2006/relationships/hyperlink" Target="https://universidade.pipelovers.net/m/lessons/inteligencia-emocional-e-motivacao-de-equipes-de-vendas1769552304432?classId=3278" TargetMode="External"/><Relationship Id="rId337" Type="http://schemas.openxmlformats.org/officeDocument/2006/relationships/hyperlink" Target="https://universidade.pipelovers.net/m/lessons/inteligencia-emocional-e-motivacao-de-equipes-de-vendas1769552304432?classId=3278" TargetMode="External"/><Relationship Id="rId336" Type="http://schemas.openxmlformats.org/officeDocument/2006/relationships/hyperlink" Target="https://universidade.pipelovers.net/m/lessons/geomarketing-vendas-baseadas-em-localizacao1769552304370?classId=3277" TargetMode="External"/><Relationship Id="rId335" Type="http://schemas.openxmlformats.org/officeDocument/2006/relationships/hyperlink" Target="https://universidade.pipelovers.net/m/lessons/geomarketing-vendas-baseadas-em-localizacao1769552304370?classId=3277" TargetMode="External"/><Relationship Id="rId339" Type="http://schemas.openxmlformats.org/officeDocument/2006/relationships/hyperlink" Target="https://universidade.pipelovers.net/m/lessons/como-alinhar-equipes-de-vendas-usando-okrs1769552304494?classId=3279" TargetMode="External"/><Relationship Id="rId330" Type="http://schemas.openxmlformats.org/officeDocument/2006/relationships/hyperlink" Target="https://universidade.pipelovers.net/m/lessons/rd-summit-2024-niveis-de-maturidade-em-vendas-b2b1769552060152?classId=3026" TargetMode="External"/><Relationship Id="rId334" Type="http://schemas.openxmlformats.org/officeDocument/2006/relationships/hyperlink" Target="https://www.linkedin.com/in/andrezacarias/" TargetMode="External"/><Relationship Id="rId333" Type="http://schemas.openxmlformats.org/officeDocument/2006/relationships/hyperlink" Target="https://universidade.pipelovers.net/m/lessons/gestao-de-equipes-de-vendas-externas1769552304307?classId=3276" TargetMode="External"/><Relationship Id="rId332" Type="http://schemas.openxmlformats.org/officeDocument/2006/relationships/hyperlink" Target="https://universidade.pipelovers.net/m/lessons/gestao-de-equipes-de-vendas-externas1769552304307?classId=3276" TargetMode="External"/><Relationship Id="rId331" Type="http://schemas.openxmlformats.org/officeDocument/2006/relationships/hyperlink" Target="https://www.linkedin.com/in/gpagotto/" TargetMode="External"/><Relationship Id="rId370" Type="http://schemas.openxmlformats.org/officeDocument/2006/relationships/hyperlink" Target="https://universidade.pipelovers.net/m/lessons/geracao-de-funil-organico-no-linkedin1769552305340?classId=3029" TargetMode="External"/><Relationship Id="rId369" Type="http://schemas.openxmlformats.org/officeDocument/2006/relationships/hyperlink" Target="https://www.linkedin.com/in/carol-deberaldini-21793442/" TargetMode="External"/><Relationship Id="rId368" Type="http://schemas.openxmlformats.org/officeDocument/2006/relationships/hyperlink" Target="https://universidade.pipelovers.net/m/lessons/dar-e-receber-feedback-com-clareza1769552060864?classId=3028" TargetMode="External"/><Relationship Id="rId363" Type="http://schemas.openxmlformats.org/officeDocument/2006/relationships/hyperlink" Target="https://universidade.pipelovers.net/m/lessons/geracao-z-no-b2b-preparando-sua-equipe-para-lidar-com-novos-decisores1769552305189?classId=3027" TargetMode="External"/><Relationship Id="rId362" Type="http://schemas.openxmlformats.org/officeDocument/2006/relationships/hyperlink" Target="https://universidade.pipelovers.net/m/lessons/geracao-z-no-b2b-preparando-sua-equipe-para-lidar-com-novos-decisores1769552305189?classId=3027" TargetMode="External"/><Relationship Id="rId361" Type="http://schemas.openxmlformats.org/officeDocument/2006/relationships/hyperlink" Target="https://www.linkedin.com/in/caiovidalsoares/" TargetMode="External"/><Relationship Id="rId360" Type="http://schemas.openxmlformats.org/officeDocument/2006/relationships/hyperlink" Target="https://universidade.pipelovers.net/m/lessons/rituais-de-gestao-de-tempo-para-lideres-de-vendas1769552305130?classId=3288" TargetMode="External"/><Relationship Id="rId367" Type="http://schemas.openxmlformats.org/officeDocument/2006/relationships/hyperlink" Target="https://universidade.pipelovers.net/m/lessons/dar-e-receber-feedback-com-clareza1769552060864?classId=3028" TargetMode="External"/><Relationship Id="rId366" Type="http://schemas.openxmlformats.org/officeDocument/2006/relationships/hyperlink" Target="https://universidade.pipelovers.net/m/lessons/expansao-comercial-estrategias-para-prospeccao-internacional1769552305275?classId=3289" TargetMode="External"/><Relationship Id="rId365" Type="http://schemas.openxmlformats.org/officeDocument/2006/relationships/hyperlink" Target="https://universidade.pipelovers.net/m/lessons/expansao-comercial-estrategias-para-prospeccao-internacional1769552305275?classId=3289" TargetMode="External"/><Relationship Id="rId364" Type="http://schemas.openxmlformats.org/officeDocument/2006/relationships/hyperlink" Target="https://www.linkedin.com/in/thiagocherem/" TargetMode="External"/><Relationship Id="rId95" Type="http://schemas.openxmlformats.org/officeDocument/2006/relationships/hyperlink" Target="https://universidade.pipelovers.net/m/lessons/melhores-praticas-para-elaborar-um-planejamento-top-down1769552243353?classId=3115" TargetMode="External"/><Relationship Id="rId94" Type="http://schemas.openxmlformats.org/officeDocument/2006/relationships/hyperlink" Target="https://universidade.pipelovers.net/m/lessons/metologia-lean-aplicado-ao-planejamento-de-vendas1769552243324?classId=3482" TargetMode="External"/><Relationship Id="rId97" Type="http://schemas.openxmlformats.org/officeDocument/2006/relationships/hyperlink" Target="https://universidade.pipelovers.net/aulas/planejamento-de-vendas-b2b-na-pratica-1775494022190" TargetMode="External"/><Relationship Id="rId96" Type="http://schemas.openxmlformats.org/officeDocument/2006/relationships/hyperlink" Target="https://universidade.pipelovers.net/m/lessons/melhores-praticas-para-elaborar-um-planejamento-top-down1769552243353?classId=3115" TargetMode="External"/><Relationship Id="rId99" Type="http://schemas.openxmlformats.org/officeDocument/2006/relationships/hyperlink" Target="https://universidade.pipelovers.net/aulas/recrutamento-de-equipes-de-vendas-de-alta-performance-1775495873086" TargetMode="External"/><Relationship Id="rId98" Type="http://schemas.openxmlformats.org/officeDocument/2006/relationships/hyperlink" Target="https://universidade.pipelovers.net/aulas/planejamento-de-vendas-b2b-na-pratica-1775494022190" TargetMode="External"/><Relationship Id="rId91" Type="http://schemas.openxmlformats.org/officeDocument/2006/relationships/hyperlink" Target="https://universidade.pipelovers.net/aulas/comunicacao-de-metas-baseado-em-dados-1775493397166" TargetMode="External"/><Relationship Id="rId90" Type="http://schemas.openxmlformats.org/officeDocument/2006/relationships/hyperlink" Target="https://universidade.pipelovers.net/m/lessons/integrando-times-de-produto-e-comercial1769552243229?classId=3111" TargetMode="External"/><Relationship Id="rId93" Type="http://schemas.openxmlformats.org/officeDocument/2006/relationships/hyperlink" Target="https://universidade.pipelovers.net/m/lessons/metologia-lean-aplicado-ao-planejamento-de-vendas1769552243324?classId=3482" TargetMode="External"/><Relationship Id="rId92" Type="http://schemas.openxmlformats.org/officeDocument/2006/relationships/hyperlink" Target="https://universidade.pipelovers.net/aulas/comunicacao-de-metas-baseado-em-dados-1775493397166" TargetMode="External"/><Relationship Id="rId359" Type="http://schemas.openxmlformats.org/officeDocument/2006/relationships/hyperlink" Target="https://universidade.pipelovers.net/m/lessons/rituais-de-gestao-de-tempo-para-lideres-de-vendas1769552305130?classId=3288" TargetMode="External"/><Relationship Id="rId358" Type="http://schemas.openxmlformats.org/officeDocument/2006/relationships/hyperlink" Target="https://www.linkedin.com/in/fabiomeloduran" TargetMode="External"/><Relationship Id="rId357" Type="http://schemas.openxmlformats.org/officeDocument/2006/relationships/hyperlink" Target="https://universidade.pipelovers.net/m/lessons/qual-o-papel-de-um-gestor-comercial-numa-estrutura-de-revops1769552305071?classId=3287" TargetMode="External"/><Relationship Id="rId352" Type="http://schemas.openxmlformats.org/officeDocument/2006/relationships/hyperlink" Target="https://universidade.pipelovers.net/m/lessons/erros-comuns-na-definicao-do-icp-e-como-corrigi-los1769552304916?classId=3285" TargetMode="External"/><Relationship Id="rId351" Type="http://schemas.openxmlformats.org/officeDocument/2006/relationships/hyperlink" Target="https://universidade.pipelovers.net/aulas/como-motivar-uma-equpe-de-vendas-desmotivada-1775503692564" TargetMode="External"/><Relationship Id="rId350" Type="http://schemas.openxmlformats.org/officeDocument/2006/relationships/hyperlink" Target="https://universidade.pipelovers.net/aulas/como-motivar-uma-equpe-de-vendas-desmotivada-1775503692564" TargetMode="External"/><Relationship Id="rId356" Type="http://schemas.openxmlformats.org/officeDocument/2006/relationships/hyperlink" Target="https://universidade.pipelovers.net/m/lessons/qual-o-papel-de-um-gestor-comercial-numa-estrutura-de-revops1769552305071?classId=3287" TargetMode="External"/><Relationship Id="rId355" Type="http://schemas.openxmlformats.org/officeDocument/2006/relationships/hyperlink" Target="https://universidade.pipelovers.net/m/lessons/estrategias-para-garantir-margens-saudaveis-em-negociacoes1769552305007?classId=3286" TargetMode="External"/><Relationship Id="rId354" Type="http://schemas.openxmlformats.org/officeDocument/2006/relationships/hyperlink" Target="https://universidade.pipelovers.net/m/lessons/estrategias-para-garantir-margens-saudaveis-em-negociacoes1769552305007?classId=3286" TargetMode="External"/><Relationship Id="rId353" Type="http://schemas.openxmlformats.org/officeDocument/2006/relationships/hyperlink" Target="https://universidade.pipelovers.net/m/lessons/erros-comuns-na-definicao-do-icp-e-como-corrigi-los1769552304916?classId=3285" TargetMode="External"/><Relationship Id="rId305" Type="http://schemas.openxmlformats.org/officeDocument/2006/relationships/hyperlink" Target="https://universidade.pipelovers.net/m/lessons/rituais-de-avaliacao-de-performance1769552292282?classId=3266" TargetMode="External"/><Relationship Id="rId304" Type="http://schemas.openxmlformats.org/officeDocument/2006/relationships/hyperlink" Target="https://universidade.pipelovers.net/m/lessons/como-estruturar-um-time-de-revenue-ops1769552292216?classId=3265" TargetMode="External"/><Relationship Id="rId303" Type="http://schemas.openxmlformats.org/officeDocument/2006/relationships/hyperlink" Target="https://universidade.pipelovers.net/m/lessons/como-estruturar-um-time-de-revenue-ops1769552292216?classId=3265" TargetMode="External"/><Relationship Id="rId302" Type="http://schemas.openxmlformats.org/officeDocument/2006/relationships/hyperlink" Target="https://universidade.pipelovers.net/m/lessons/impacto-de-cx-no-crescimento-de-receita1769552288154?classId=3264" TargetMode="External"/><Relationship Id="rId309" Type="http://schemas.openxmlformats.org/officeDocument/2006/relationships/hyperlink" Target="https://universidade.pipelovers.net/m/lessons/como-melhorar-a-performance-profissional-com-a-gestao-do-aprendizado1769552292428?classId=3268" TargetMode="External"/><Relationship Id="rId308" Type="http://schemas.openxmlformats.org/officeDocument/2006/relationships/hyperlink" Target="https://universidade.pipelovers.net/m/lessons/go-to-market-planejamento-para-resultados1769552292345?classId=3267" TargetMode="External"/><Relationship Id="rId307" Type="http://schemas.openxmlformats.org/officeDocument/2006/relationships/hyperlink" Target="https://universidade.pipelovers.net/m/lessons/go-to-market-planejamento-para-resultados1769552292345?classId=3267" TargetMode="External"/><Relationship Id="rId306" Type="http://schemas.openxmlformats.org/officeDocument/2006/relationships/hyperlink" Target="https://universidade.pipelovers.net/m/lessons/rituais-de-avaliacao-de-performance1769552292282?classId=3266" TargetMode="External"/><Relationship Id="rId301" Type="http://schemas.openxmlformats.org/officeDocument/2006/relationships/hyperlink" Target="https://universidade.pipelovers.net/m/lessons/impacto-de-cx-no-crescimento-de-receita1769552288154?classId=3264" TargetMode="External"/><Relationship Id="rId300" Type="http://schemas.openxmlformats.org/officeDocument/2006/relationships/hyperlink" Target="https://universidade.pipelovers.net/m/lessons/diversidade-aumenta-as-vendas-como1769552288126?classId=3263" TargetMode="External"/><Relationship Id="rId327" Type="http://schemas.openxmlformats.org/officeDocument/2006/relationships/hyperlink" Target="https://universidade.pipelovers.net/m/lessons/como-refinar-o-pitch-da-discovery-call-e-demo-usando-ai1769552304010?classId=3275" TargetMode="External"/><Relationship Id="rId326" Type="http://schemas.openxmlformats.org/officeDocument/2006/relationships/hyperlink" Target="https://universidade.pipelovers.net/m/lessons/como-refinar-o-pitch-da-discovery-call-e-demo-usando-ai1769552304010?classId=3275" TargetMode="External"/><Relationship Id="rId325" Type="http://schemas.openxmlformats.org/officeDocument/2006/relationships/hyperlink" Target="https://www.linkedin.com/in/romucasp/" TargetMode="External"/><Relationship Id="rId324" Type="http://schemas.openxmlformats.org/officeDocument/2006/relationships/hyperlink" Target="https://universidade.pipelovers.net/m/lessons/riscos-na-integracao-de-sistemas-de-vendas1769552303799?classId=3274" TargetMode="External"/><Relationship Id="rId329" Type="http://schemas.openxmlformats.org/officeDocument/2006/relationships/hyperlink" Target="https://universidade.pipelovers.net/m/lessons/rd-summit-2024-niveis-de-maturidade-em-vendas-b2b1769552060152?classId=3026" TargetMode="External"/><Relationship Id="rId328" Type="http://schemas.openxmlformats.org/officeDocument/2006/relationships/hyperlink" Target="https://www.linkedin.com/in/chriscornehl/" TargetMode="External"/><Relationship Id="rId323" Type="http://schemas.openxmlformats.org/officeDocument/2006/relationships/hyperlink" Target="https://universidade.pipelovers.net/m/lessons/riscos-na-integracao-de-sistemas-de-vendas1769552303799?classId=3274" TargetMode="External"/><Relationship Id="rId322" Type="http://schemas.openxmlformats.org/officeDocument/2006/relationships/hyperlink" Target="https://universidade.pipelovers.net/m/lessons/como-employer-branding-ajuda-a-recrutar-um-time-de-vendas1769552292714?classId=3273" TargetMode="External"/><Relationship Id="rId321" Type="http://schemas.openxmlformats.org/officeDocument/2006/relationships/hyperlink" Target="https://universidade.pipelovers.net/m/lessons/como-employer-branding-ajuda-a-recrutar-um-time-de-vendas1769552292714?classId=3273" TargetMode="External"/><Relationship Id="rId320" Type="http://schemas.openxmlformats.org/officeDocument/2006/relationships/hyperlink" Target="https://www.linkedin.com/in/coelhofarc/" TargetMode="External"/><Relationship Id="rId316" Type="http://schemas.openxmlformats.org/officeDocument/2006/relationships/hyperlink" Target="https://universidade.pipelovers.net/m/lessons/o-que-growth-tem-a-ver-com-vendas-b2b1769552292579?classId=3271" TargetMode="External"/><Relationship Id="rId315" Type="http://schemas.openxmlformats.org/officeDocument/2006/relationships/hyperlink" Target="https://universidade.pipelovers.net/m/lessons/como-diminuir-a-rotatividade-da-sua-equipe1769552292529?classId=3270" TargetMode="External"/><Relationship Id="rId314" Type="http://schemas.openxmlformats.org/officeDocument/2006/relationships/hyperlink" Target="https://universidade.pipelovers.net/m/lessons/como-diminuir-a-rotatividade-da-sua-equipe1769552292529?classId=3270" TargetMode="External"/><Relationship Id="rId313" Type="http://schemas.openxmlformats.org/officeDocument/2006/relationships/hyperlink" Target="https://www.linkedin.com/in/matheusqcosta/" TargetMode="External"/><Relationship Id="rId319" Type="http://schemas.openxmlformats.org/officeDocument/2006/relationships/hyperlink" Target="https://universidade.pipelovers.net/m/lessons/insights-praticos-do-saastr-20241769552292632?classId=3272" TargetMode="External"/><Relationship Id="rId318" Type="http://schemas.openxmlformats.org/officeDocument/2006/relationships/hyperlink" Target="https://universidade.pipelovers.net/m/lessons/insights-praticos-do-saastr-20241769552292632?classId=3272" TargetMode="External"/><Relationship Id="rId317" Type="http://schemas.openxmlformats.org/officeDocument/2006/relationships/hyperlink" Target="https://universidade.pipelovers.net/m/lessons/o-que-growth-tem-a-ver-com-vendas-b2b1769552292579?classId=3271" TargetMode="External"/><Relationship Id="rId312" Type="http://schemas.openxmlformats.org/officeDocument/2006/relationships/hyperlink" Target="https://universidade.pipelovers.net/m/lessons/construcao-de-metas-comerciais1769552292479?classId=3269" TargetMode="External"/><Relationship Id="rId311" Type="http://schemas.openxmlformats.org/officeDocument/2006/relationships/hyperlink" Target="https://universidade.pipelovers.net/m/lessons/construcao-de-metas-comerciais1769552292479?classId=3269" TargetMode="External"/><Relationship Id="rId310" Type="http://schemas.openxmlformats.org/officeDocument/2006/relationships/hyperlink" Target="https://universidade.pipelovers.net/m/lessons/como-melhorar-a-performance-profissional-com-a-gestao-do-aprendizado1769552292428?classId=3268" TargetMode="External"/><Relationship Id="rId297" Type="http://schemas.openxmlformats.org/officeDocument/2006/relationships/hyperlink" Target="https://universidade.pipelovers.net/m/lessons/como-avaliar-uma-agencia-de-marketing1769552288095?classId=3262" TargetMode="External"/><Relationship Id="rId296" Type="http://schemas.openxmlformats.org/officeDocument/2006/relationships/hyperlink" Target="https://universidade.pipelovers.net/m/lessons/lidando-com-uma-nova-geracao-de-vendedores1769552288051?classId=3261" TargetMode="External"/><Relationship Id="rId295" Type="http://schemas.openxmlformats.org/officeDocument/2006/relationships/hyperlink" Target="https://universidade.pipelovers.net/m/lessons/lidando-com-uma-nova-geracao-de-vendedores1769552288051?classId=3261" TargetMode="External"/><Relationship Id="rId294" Type="http://schemas.openxmlformats.org/officeDocument/2006/relationships/hyperlink" Target="https://www.linkedin.com/in/aaronross/" TargetMode="External"/><Relationship Id="rId299" Type="http://schemas.openxmlformats.org/officeDocument/2006/relationships/hyperlink" Target="https://universidade.pipelovers.net/m/lessons/diversidade-aumenta-as-vendas-como1769552288126?classId=3263" TargetMode="External"/><Relationship Id="rId298" Type="http://schemas.openxmlformats.org/officeDocument/2006/relationships/hyperlink" Target="https://universidade.pipelovers.net/m/lessons/como-avaliar-uma-agencia-de-marketing1769552288095?classId=3262" TargetMode="External"/><Relationship Id="rId271" Type="http://schemas.openxmlformats.org/officeDocument/2006/relationships/hyperlink" Target="https://universidade.pipelovers.net/m/lessons/melhores-praticas-de-onboarding-de-vendedores1769552284569?classId=3250" TargetMode="External"/><Relationship Id="rId270" Type="http://schemas.openxmlformats.org/officeDocument/2006/relationships/hyperlink" Target="https://universidade.pipelovers.net/m/lessons/como-mapear-a-jornada-de-compra-do-seu-cliente1769552284500?classId=3249" TargetMode="External"/><Relationship Id="rId269" Type="http://schemas.openxmlformats.org/officeDocument/2006/relationships/hyperlink" Target="https://universidade.pipelovers.net/m/lessons/como-mapear-a-jornada-de-compra-do-seu-cliente1769552284500?classId=3249" TargetMode="External"/><Relationship Id="rId264" Type="http://schemas.openxmlformats.org/officeDocument/2006/relationships/hyperlink" Target="https://universidade.pipelovers.net/aulas/como-inteligencia-artificial-vai-transformar-o-marketing-b2b-1775501548850" TargetMode="External"/><Relationship Id="rId263" Type="http://schemas.openxmlformats.org/officeDocument/2006/relationships/hyperlink" Target="https://universidade.pipelovers.net/aulas/como-inteligencia-artificial-vai-transformar-o-marketing-b2b-1775501548850" TargetMode="External"/><Relationship Id="rId262" Type="http://schemas.openxmlformats.org/officeDocument/2006/relationships/hyperlink" Target="https://universidade.pipelovers.net/m/lessons/estrategias-para-expansao-internacional1769552284198?classId=3245" TargetMode="External"/><Relationship Id="rId261" Type="http://schemas.openxmlformats.org/officeDocument/2006/relationships/hyperlink" Target="https://universidade.pipelovers.net/m/lessons/estrategias-para-expansao-internacional1769552284198?classId=3245" TargetMode="External"/><Relationship Id="rId268" Type="http://schemas.openxmlformats.org/officeDocument/2006/relationships/hyperlink" Target="https://universidade.pipelovers.net/m/lessons/rituais-para-gestao-de-gestores-o-papel-do-diretor-de-vendas1769552284440?classId=3248" TargetMode="External"/><Relationship Id="rId267" Type="http://schemas.openxmlformats.org/officeDocument/2006/relationships/hyperlink" Target="https://universidade.pipelovers.net/m/lessons/rituais-para-gestao-de-gestores-o-papel-do-diretor-de-vendas1769552284440?classId=3248" TargetMode="External"/><Relationship Id="rId266" Type="http://schemas.openxmlformats.org/officeDocument/2006/relationships/hyperlink" Target="https://universidade.pipelovers.net/aulas/como-mapear-a-cultura-de-seu-time-de-vendas-1775502888465" TargetMode="External"/><Relationship Id="rId265" Type="http://schemas.openxmlformats.org/officeDocument/2006/relationships/hyperlink" Target="https://universidade.pipelovers.net/aulas/como-mapear-a-cultura-de-seu-time-de-vendas-1775502888465" TargetMode="External"/><Relationship Id="rId260" Type="http://schemas.openxmlformats.org/officeDocument/2006/relationships/hyperlink" Target="https://universidade.pipelovers.net/m/lessons/administrando-a-pressao-de-resultados-em-vendas1769552284126?classId=3244" TargetMode="External"/><Relationship Id="rId259" Type="http://schemas.openxmlformats.org/officeDocument/2006/relationships/hyperlink" Target="https://universidade.pipelovers.net/m/lessons/administrando-a-pressao-de-resultados-em-vendas1769552284126?classId=3244" TargetMode="External"/><Relationship Id="rId258" Type="http://schemas.openxmlformats.org/officeDocument/2006/relationships/hyperlink" Target="https://universidade.pipelovers.net/aulas/inteligencia-artificial-ia-aplicada-a-gestao-comercial-1775500447050" TargetMode="External"/><Relationship Id="rId253" Type="http://schemas.openxmlformats.org/officeDocument/2006/relationships/hyperlink" Target="https://universidade.pipelovers.net/m/lessons/estrategias-de-marketing-b2b-para-grandes-contas1769552283917?classId=3241" TargetMode="External"/><Relationship Id="rId252" Type="http://schemas.openxmlformats.org/officeDocument/2006/relationships/hyperlink" Target="https://universidade.pipelovers.net/m/lessons/estrategias-de-marketing-b2b-para-grandes-contas1769552283917?classId=3241" TargetMode="External"/><Relationship Id="rId251" Type="http://schemas.openxmlformats.org/officeDocument/2006/relationships/hyperlink" Target="https://universidade.pipelovers.net/m/lessons/community-led-growth-como-avenida-de-crescimento-em-vendas1769552283857?classId=3240" TargetMode="External"/><Relationship Id="rId250" Type="http://schemas.openxmlformats.org/officeDocument/2006/relationships/hyperlink" Target="https://universidade.pipelovers.net/m/lessons/community-led-growth-como-avenida-de-crescimento-em-vendas1769552283857?classId=3240" TargetMode="External"/><Relationship Id="rId257" Type="http://schemas.openxmlformats.org/officeDocument/2006/relationships/hyperlink" Target="https://universidade.pipelovers.net/aulas/inteligencia-artificial-ia-aplicada-a-gestao-comercial-1775500447050" TargetMode="External"/><Relationship Id="rId256" Type="http://schemas.openxmlformats.org/officeDocument/2006/relationships/hyperlink" Target="https://www.linkedin.com/in/ricardookino/" TargetMode="External"/><Relationship Id="rId255" Type="http://schemas.openxmlformats.org/officeDocument/2006/relationships/hyperlink" Target="https://universidade.pipelovers.net/m/lessons/modelos-de-remuneracao-variavel-em-vendas-b2b1769552283989?classId=3242" TargetMode="External"/><Relationship Id="rId254" Type="http://schemas.openxmlformats.org/officeDocument/2006/relationships/hyperlink" Target="https://universidade.pipelovers.net/m/lessons/modelos-de-remuneracao-variavel-em-vendas-b2b1769552283989?classId=3242" TargetMode="External"/><Relationship Id="rId293" Type="http://schemas.openxmlformats.org/officeDocument/2006/relationships/hyperlink" Target="https://universidade.pipelovers.net/aulas/bestsellers-1775504294126" TargetMode="External"/><Relationship Id="rId292" Type="http://schemas.openxmlformats.org/officeDocument/2006/relationships/hyperlink" Target="https://universidade.pipelovers.net/aulas/bestsellers-1775504294126" TargetMode="External"/><Relationship Id="rId291" Type="http://schemas.openxmlformats.org/officeDocument/2006/relationships/hyperlink" Target="https://universidade.pipelovers.net/m/lessons/alinhamento-entre-vendas-e-customer-success1769552287824?classId=3259" TargetMode="External"/><Relationship Id="rId290" Type="http://schemas.openxmlformats.org/officeDocument/2006/relationships/hyperlink" Target="https://universidade.pipelovers.net/m/lessons/alinhamento-entre-vendas-e-customer-success1769552287824?classId=3259" TargetMode="External"/><Relationship Id="rId286" Type="http://schemas.openxmlformats.org/officeDocument/2006/relationships/hyperlink" Target="https://universidade.pipelovers.net/m/lessons/estruturando-uma-operacao-de-vendas-para-o-setor-publico1769552285058?classId=3257" TargetMode="External"/><Relationship Id="rId285" Type="http://schemas.openxmlformats.org/officeDocument/2006/relationships/hyperlink" Target="https://universidade.pipelovers.net/m/lessons/automacoes-de-marketing-para-apoiar-vendas1769552284907?classId=3256" TargetMode="External"/><Relationship Id="rId284" Type="http://schemas.openxmlformats.org/officeDocument/2006/relationships/hyperlink" Target="https://universidade.pipelovers.net/m/lessons/automacoes-de-marketing-para-apoiar-vendas1769552284907?classId=3256" TargetMode="External"/><Relationship Id="rId283" Type="http://schemas.openxmlformats.org/officeDocument/2006/relationships/hyperlink" Target="https://universidade.pipelovers.net/m/lessons/o-impacto-de-social-media-na-construcao-de-marca1769552284985?classId=3255" TargetMode="External"/><Relationship Id="rId289" Type="http://schemas.openxmlformats.org/officeDocument/2006/relationships/hyperlink" Target="https://universidade.pipelovers.net/m/lessons/aplicando-receita-previsivel-na-pratica1769552287788?classId=3258" TargetMode="External"/><Relationship Id="rId288" Type="http://schemas.openxmlformats.org/officeDocument/2006/relationships/hyperlink" Target="https://universidade.pipelovers.net/m/lessons/aplicando-receita-previsivel-na-pratica1769552287788?classId=3258" TargetMode="External"/><Relationship Id="rId287" Type="http://schemas.openxmlformats.org/officeDocument/2006/relationships/hyperlink" Target="https://universidade.pipelovers.net/m/lessons/estruturando-uma-operacao-de-vendas-para-o-setor-publico1769552285058?classId=3257" TargetMode="External"/><Relationship Id="rId282" Type="http://schemas.openxmlformats.org/officeDocument/2006/relationships/hyperlink" Target="https://universidade.pipelovers.net/m/lessons/o-impacto-de-social-media-na-construcao-de-marca1769552284985?classId=3255" TargetMode="External"/><Relationship Id="rId281" Type="http://schemas.openxmlformats.org/officeDocument/2006/relationships/hyperlink" Target="https://www.linkedin.com/in/matheus-weigand/" TargetMode="External"/><Relationship Id="rId280" Type="http://schemas.openxmlformats.org/officeDocument/2006/relationships/hyperlink" Target="https://universidade.pipelovers.net/m/lessons/demonstracoes-interativas-a-nova-forma-de-vender-saas1769552284845?classId=3254" TargetMode="External"/><Relationship Id="rId275" Type="http://schemas.openxmlformats.org/officeDocument/2006/relationships/hyperlink" Target="https://universidade.pipelovers.net/m/lessons/panorama-de-geracao-de-leads-no-brasil-by-leadster1769552284639?classId=3252" TargetMode="External"/><Relationship Id="rId274" Type="http://schemas.openxmlformats.org/officeDocument/2006/relationships/hyperlink" Target="https://universidade.pipelovers.net/m/lessons/automacao-de-whatsapp-para-leads-inbound1769552284714?classId=3251" TargetMode="External"/><Relationship Id="rId273" Type="http://schemas.openxmlformats.org/officeDocument/2006/relationships/hyperlink" Target="https://universidade.pipelovers.net/m/lessons/automacao-de-whatsapp-para-leads-inbound1769552284714?classId=3251" TargetMode="External"/><Relationship Id="rId272" Type="http://schemas.openxmlformats.org/officeDocument/2006/relationships/hyperlink" Target="https://universidade.pipelovers.net/m/lessons/melhores-praticas-de-onboarding-de-vendedores1769552284569?classId=3250" TargetMode="External"/><Relationship Id="rId279" Type="http://schemas.openxmlformats.org/officeDocument/2006/relationships/hyperlink" Target="https://universidade.pipelovers.net/m/lessons/demonstracoes-interativas-a-nova-forma-de-vender-saas1769552284845?classId=3254" TargetMode="External"/><Relationship Id="rId278" Type="http://schemas.openxmlformats.org/officeDocument/2006/relationships/hyperlink" Target="https://universidade.pipelovers.net/m/lessons/melhores-praticas-na-gestao-de-crm1769552284784?classId=3253" TargetMode="External"/><Relationship Id="rId277" Type="http://schemas.openxmlformats.org/officeDocument/2006/relationships/hyperlink" Target="https://universidade.pipelovers.net/m/lessons/melhores-praticas-na-gestao-de-crm1769552284784?classId=3253" TargetMode="External"/><Relationship Id="rId276" Type="http://schemas.openxmlformats.org/officeDocument/2006/relationships/hyperlink" Target="https://universidade.pipelovers.net/m/lessons/panorama-de-geracao-de-leads-no-brasil-by-leadster1769552284639?classId=3252" TargetMode="External"/><Relationship Id="rId228" Type="http://schemas.openxmlformats.org/officeDocument/2006/relationships/hyperlink" Target="https://universidade.pipelovers.net/m/lessons/resiliencia-e-adaptacao-as-mudancas-em-vendas1769552272446?classId=3231" TargetMode="External"/><Relationship Id="rId227" Type="http://schemas.openxmlformats.org/officeDocument/2006/relationships/hyperlink" Target="https://www.linkedin.com/in/gpagotto/" TargetMode="External"/><Relationship Id="rId226" Type="http://schemas.openxmlformats.org/officeDocument/2006/relationships/hyperlink" Target="https://universidade.pipelovers.net/m/lessons/palestra-rd-summit-20231769552039345?classId=3108" TargetMode="External"/><Relationship Id="rId225" Type="http://schemas.openxmlformats.org/officeDocument/2006/relationships/hyperlink" Target="https://universidade.pipelovers.net/m/lessons/palestra-rd-summit-20231769552039345?classId=3108" TargetMode="External"/><Relationship Id="rId229" Type="http://schemas.openxmlformats.org/officeDocument/2006/relationships/hyperlink" Target="https://universidade.pipelovers.net/m/lessons/resiliencia-e-adaptacao-as-mudancas-em-vendas1769552272446?classId=3231" TargetMode="External"/><Relationship Id="rId220" Type="http://schemas.openxmlformats.org/officeDocument/2006/relationships/hyperlink" Target="https://universidade.pipelovers.net/m/lessons/escolhendo-um-mentor-para-sua-carreira1769552272246?classId=3228" TargetMode="External"/><Relationship Id="rId224" Type="http://schemas.openxmlformats.org/officeDocument/2006/relationships/hyperlink" Target="https://universidade.pipelovers.net/m/lessons/como-estimular-o-autodesenvolvimento-do-seu-time-de-vendas1769552272391?classId=3230" TargetMode="External"/><Relationship Id="rId223" Type="http://schemas.openxmlformats.org/officeDocument/2006/relationships/hyperlink" Target="https://universidade.pipelovers.net/m/lessons/como-estimular-o-autodesenvolvimento-do-seu-time-de-vendas1769552272391?classId=3230" TargetMode="External"/><Relationship Id="rId222" Type="http://schemas.openxmlformats.org/officeDocument/2006/relationships/hyperlink" Target="https://universidade.pipelovers.net/m/lessons/chief-revenue-officer-papeis-e-responsabilidades1769552272299?classId=3229" TargetMode="External"/><Relationship Id="rId221" Type="http://schemas.openxmlformats.org/officeDocument/2006/relationships/hyperlink" Target="https://universidade.pipelovers.net/m/lessons/chief-revenue-officer-papeis-e-responsabilidades1769552272299?classId=3229" TargetMode="External"/><Relationship Id="rId217" Type="http://schemas.openxmlformats.org/officeDocument/2006/relationships/hyperlink" Target="https://universidade.pipelovers.net/m/lessons/como-aumentar-a-participacao-de-mercado1769552272169?classId=3227" TargetMode="External"/><Relationship Id="rId216" Type="http://schemas.openxmlformats.org/officeDocument/2006/relationships/hyperlink" Target="https://universidade.pipelovers.net/m/lessons/o-futuro-de-big-data-na-prospeccao1769552272118?classId=3226" TargetMode="External"/><Relationship Id="rId215" Type="http://schemas.openxmlformats.org/officeDocument/2006/relationships/hyperlink" Target="https://universidade.pipelovers.net/m/lessons/o-futuro-de-big-data-na-prospeccao1769552272118?classId=3226" TargetMode="External"/><Relationship Id="rId214" Type="http://schemas.openxmlformats.org/officeDocument/2006/relationships/hyperlink" Target="https://universidade.pipelovers.net/m/lessons/sucessao-de-um-founder-na-diretoria-de-vendas1769552272009?classId=3225" TargetMode="External"/><Relationship Id="rId219" Type="http://schemas.openxmlformats.org/officeDocument/2006/relationships/hyperlink" Target="https://universidade.pipelovers.net/m/lessons/escolhendo-um-mentor-para-sua-carreira1769552272246?classId=3228" TargetMode="External"/><Relationship Id="rId218" Type="http://schemas.openxmlformats.org/officeDocument/2006/relationships/hyperlink" Target="https://universidade.pipelovers.net/m/lessons/como-aumentar-a-participacao-de-mercado1769552272169?classId=3227" TargetMode="External"/><Relationship Id="rId213" Type="http://schemas.openxmlformats.org/officeDocument/2006/relationships/hyperlink" Target="https://universidade.pipelovers.net/m/lessons/sucessao-de-um-founder-na-diretoria-de-vendas1769552272009?classId=3225" TargetMode="External"/><Relationship Id="rId212" Type="http://schemas.openxmlformats.org/officeDocument/2006/relationships/hyperlink" Target="https://www.linkedin.com/in/felipeplay2sell/" TargetMode="External"/><Relationship Id="rId211" Type="http://schemas.openxmlformats.org/officeDocument/2006/relationships/hyperlink" Target="https://universidade.pipelovers.net/m/lessons/gamification-na-gestao-comercial1769552267860?classId=3224" TargetMode="External"/><Relationship Id="rId210" Type="http://schemas.openxmlformats.org/officeDocument/2006/relationships/hyperlink" Target="https://universidade.pipelovers.net/m/lessons/gamification-na-gestao-comercial1769552267860?classId=3224" TargetMode="External"/><Relationship Id="rId249" Type="http://schemas.openxmlformats.org/officeDocument/2006/relationships/hyperlink" Target="https://www.linkedin.com/in/julianodias/" TargetMode="External"/><Relationship Id="rId248" Type="http://schemas.openxmlformats.org/officeDocument/2006/relationships/hyperlink" Target="https://universidade.pipelovers.net/m/lessons/criacao-de-bases-de-prospeccao-com-ldrs1769552283794?classId=3239" TargetMode="External"/><Relationship Id="rId247" Type="http://schemas.openxmlformats.org/officeDocument/2006/relationships/hyperlink" Target="https://universidade.pipelovers.net/m/lessons/criacao-de-bases-de-prospeccao-com-ldrs1769552283794?classId=3239" TargetMode="External"/><Relationship Id="rId242" Type="http://schemas.openxmlformats.org/officeDocument/2006/relationships/hyperlink" Target="https://www.linkedin.com/in/renatacenturion/" TargetMode="External"/><Relationship Id="rId241" Type="http://schemas.openxmlformats.org/officeDocument/2006/relationships/hyperlink" Target="https://universidade.pipelovers.net/m/lessons/como-calcular-o-roi-de-sales-enablement1769552283601?classId=3236" TargetMode="External"/><Relationship Id="rId240" Type="http://schemas.openxmlformats.org/officeDocument/2006/relationships/hyperlink" Target="https://universidade.pipelovers.net/m/lessons/como-calcular-o-roi-de-sales-enablement1769552283601?classId=3236" TargetMode="External"/><Relationship Id="rId246" Type="http://schemas.openxmlformats.org/officeDocument/2006/relationships/hyperlink" Target="https://universidade.pipelovers.net/m/lessons/estruturando-uma-area-de-customer-success1769552283732?classId=3238" TargetMode="External"/><Relationship Id="rId245" Type="http://schemas.openxmlformats.org/officeDocument/2006/relationships/hyperlink" Target="https://universidade.pipelovers.net/m/lessons/estruturando-uma-area-de-customer-success1769552283732?classId=3238" TargetMode="External"/><Relationship Id="rId244" Type="http://schemas.openxmlformats.org/officeDocument/2006/relationships/hyperlink" Target="https://universidade.pipelovers.net/m/lessons/validacao-e-escala-de-novos-canais-de-geracao-de-demanda1769552283674?classId=3237" TargetMode="External"/><Relationship Id="rId243" Type="http://schemas.openxmlformats.org/officeDocument/2006/relationships/hyperlink" Target="https://universidade.pipelovers.net/m/lessons/validacao-e-escala-de-novos-canais-de-geracao-de-demanda1769552283674?classId=3237" TargetMode="External"/><Relationship Id="rId239" Type="http://schemas.openxmlformats.org/officeDocument/2006/relationships/hyperlink" Target="https://www.linkedin.com/in/chriscornehl/" TargetMode="External"/><Relationship Id="rId238" Type="http://schemas.openxmlformats.org/officeDocument/2006/relationships/hyperlink" Target="https://universidade.pipelovers.net/m/lessons/jolt-effect-como-superar-a-indecisao-de-clientes1769552283527?classId=3235" TargetMode="External"/><Relationship Id="rId237" Type="http://schemas.openxmlformats.org/officeDocument/2006/relationships/hyperlink" Target="https://universidade.pipelovers.net/m/lessons/jolt-effect-como-superar-a-indecisao-de-clientes1769552283527?classId=3235" TargetMode="External"/><Relationship Id="rId236" Type="http://schemas.openxmlformats.org/officeDocument/2006/relationships/hyperlink" Target="https://universidade.pipelovers.net/m/lessons/como-aprender-com-a-concorrencia1769552283257?classId=3234" TargetMode="External"/><Relationship Id="rId231" Type="http://schemas.openxmlformats.org/officeDocument/2006/relationships/hyperlink" Target="https://universidade.pipelovers.net/m/lessons/inclusao-de-pcds-em-equipes-de-vendas1769552272512?classId=3232" TargetMode="External"/><Relationship Id="rId230" Type="http://schemas.openxmlformats.org/officeDocument/2006/relationships/hyperlink" Target="https://universidade.pipelovers.net/m/lessons/inclusao-de-pcds-em-equipes-de-vendas1769552272512?classId=3232" TargetMode="External"/><Relationship Id="rId235" Type="http://schemas.openxmlformats.org/officeDocument/2006/relationships/hyperlink" Target="https://universidade.pipelovers.net/m/lessons/como-aprender-com-a-concorrencia1769552283257?classId=3234" TargetMode="External"/><Relationship Id="rId234" Type="http://schemas.openxmlformats.org/officeDocument/2006/relationships/hyperlink" Target="https://www.linkedin.com/in/marcelopereira/" TargetMode="External"/><Relationship Id="rId233" Type="http://schemas.openxmlformats.org/officeDocument/2006/relationships/hyperlink" Target="https://universidade.pipelovers.net/m/lessons/criando-um-programa-de-indicacao-de-clientes1769552272579?classId=3233" TargetMode="External"/><Relationship Id="rId232" Type="http://schemas.openxmlformats.org/officeDocument/2006/relationships/hyperlink" Target="https://universidade.pipelovers.net/m/lessons/criando-um-programa-de-indicacao-de-clientes1769552272579?classId=3233" TargetMode="External"/><Relationship Id="rId206" Type="http://schemas.openxmlformats.org/officeDocument/2006/relationships/hyperlink" Target="https://universidade.pipelovers.net/m/lessons/o-cfo-como-um-aliado-do-time-de-vendas1769552267798?classId=3222" TargetMode="External"/><Relationship Id="rId205" Type="http://schemas.openxmlformats.org/officeDocument/2006/relationships/hyperlink" Target="https://universidade.pipelovers.net/m/lessons/aumento-de-conversao-basedo-em-nichos-e-especializacao1769552267720?classId=3221" TargetMode="External"/><Relationship Id="rId204" Type="http://schemas.openxmlformats.org/officeDocument/2006/relationships/hyperlink" Target="https://universidade.pipelovers.net/m/lessons/aumento-de-conversao-basedo-em-nichos-e-especializacao1769552267720?classId=3221" TargetMode="External"/><Relationship Id="rId203" Type="http://schemas.openxmlformats.org/officeDocument/2006/relationships/hyperlink" Target="https://universidade.pipelovers.net/m/lessons/construcao-e-gestao-de-playbooks-de-vendas1769552267688?classId=3220" TargetMode="External"/><Relationship Id="rId209" Type="http://schemas.openxmlformats.org/officeDocument/2006/relationships/hyperlink" Target="https://universidade.pipelovers.net/m/lessons/aumento-de-portfolio-de-produtos-desafios-e-oportunidades1769552267829?classId=3223" TargetMode="External"/><Relationship Id="rId208" Type="http://schemas.openxmlformats.org/officeDocument/2006/relationships/hyperlink" Target="https://universidade.pipelovers.net/m/lessons/aumento-de-portfolio-de-produtos-desafios-e-oportunidades1769552267829?classId=3223" TargetMode="External"/><Relationship Id="rId207" Type="http://schemas.openxmlformats.org/officeDocument/2006/relationships/hyperlink" Target="https://universidade.pipelovers.net/m/lessons/o-cfo-como-um-aliado-do-time-de-vendas1769552267798?classId=3222" TargetMode="External"/><Relationship Id="rId202" Type="http://schemas.openxmlformats.org/officeDocument/2006/relationships/hyperlink" Target="https://universidade.pipelovers.net/m/lessons/construcao-e-gestao-de-playbooks-de-vendas1769552267688?classId=3220" TargetMode="External"/><Relationship Id="rId201" Type="http://schemas.openxmlformats.org/officeDocument/2006/relationships/hyperlink" Target="https://universidade.pipelovers.net/aulas/spin-selling-como-metodologia-em-todo-funil-de-vendas-1775811498821" TargetMode="External"/><Relationship Id="rId200" Type="http://schemas.openxmlformats.org/officeDocument/2006/relationships/hyperlink" Target="https://universidade.pipelovers.net/aulas/spin-selling-como-metodologia-em-todo-funil-de-vendas-1775811498821" TargetMode="External"/><Relationship Id="rId190" Type="http://schemas.openxmlformats.org/officeDocument/2006/relationships/hyperlink" Target="https://universidade.pipelovers.net/m/lessons/como-formar-um-vendedor-como-seu-sucessor1769552264640?classId=3209" TargetMode="External"/><Relationship Id="rId194" Type="http://schemas.openxmlformats.org/officeDocument/2006/relationships/hyperlink" Target="https://universidade.pipelovers.net/m/lessons/como-estruturar-uma-nova-unidade-de-negocios1769552264713?classId=3211" TargetMode="External"/><Relationship Id="rId193" Type="http://schemas.openxmlformats.org/officeDocument/2006/relationships/hyperlink" Target="https://universidade.pipelovers.net/aulas/a-importancia-de-idiomas-na-sua-carreira-1775811110807" TargetMode="External"/><Relationship Id="rId192" Type="http://schemas.openxmlformats.org/officeDocument/2006/relationships/hyperlink" Target="https://universidade.pipelovers.net/aulas/a-importancia-de-idiomas-na-sua-carreira-1775811110807" TargetMode="External"/><Relationship Id="rId191" Type="http://schemas.openxmlformats.org/officeDocument/2006/relationships/hyperlink" Target="https://universidade.pipelovers.net/m/lessons/como-formar-um-vendedor-como-seu-sucessor1769552264640?classId=3209" TargetMode="External"/><Relationship Id="rId187" Type="http://schemas.openxmlformats.org/officeDocument/2006/relationships/hyperlink" Target="https://universidade.pipelovers.net/m/lessons/saude-mental-para-lideres-de-vendas1769552264576?classId=3207" TargetMode="External"/><Relationship Id="rId186" Type="http://schemas.openxmlformats.org/officeDocument/2006/relationships/hyperlink" Target="https://universidade.pipelovers.net/m/lessons/saude-mental-para-lideres-de-vendas1769552264576?classId=3207" TargetMode="External"/><Relationship Id="rId185" Type="http://schemas.openxmlformats.org/officeDocument/2006/relationships/hyperlink" Target="https://universidade.pipelovers.net/m/lessons/planejamento-de-vendas-bottom-up1769552264540?classId=3206" TargetMode="External"/><Relationship Id="rId184" Type="http://schemas.openxmlformats.org/officeDocument/2006/relationships/hyperlink" Target="https://universidade.pipelovers.net/m/lessons/planejamento-de-vendas-bottom-up1769552264540?classId=3206" TargetMode="External"/><Relationship Id="rId189" Type="http://schemas.openxmlformats.org/officeDocument/2006/relationships/hyperlink" Target="https://universidade.pipelovers.net/m/lessons/estrategias-de-internacionalizacao1769552264608?classId=3208" TargetMode="External"/><Relationship Id="rId188" Type="http://schemas.openxmlformats.org/officeDocument/2006/relationships/hyperlink" Target="https://universidade.pipelovers.net/m/lessons/estrategias-de-internacionalizacao1769552264608?classId=3208" TargetMode="External"/><Relationship Id="rId183" Type="http://schemas.openxmlformats.org/officeDocument/2006/relationships/hyperlink" Target="https://universidade.pipelovers.net/m/lessons/rituais-efetivos-para-gestao-de-vendas1769552264515?classId=3205" TargetMode="External"/><Relationship Id="rId182" Type="http://schemas.openxmlformats.org/officeDocument/2006/relationships/hyperlink" Target="https://universidade.pipelovers.net/m/lessons/rituais-efetivos-para-gestao-de-vendas1769552264515?classId=3205" TargetMode="External"/><Relationship Id="rId181" Type="http://schemas.openxmlformats.org/officeDocument/2006/relationships/hyperlink" Target="https://universidade.pipelovers.net/m/lessons/pesquisa-de-nps-como-fonte-de-insights1769552264439?classId=3204" TargetMode="External"/><Relationship Id="rId180" Type="http://schemas.openxmlformats.org/officeDocument/2006/relationships/hyperlink" Target="https://universidade.pipelovers.net/m/lessons/pesquisa-de-nps-como-fonte-de-insights1769552264439?classId=3204" TargetMode="External"/><Relationship Id="rId176" Type="http://schemas.openxmlformats.org/officeDocument/2006/relationships/hyperlink" Target="https://universidade.pipelovers.net/m/lessons/relacoes-publicas-como-estrategia-de-crescimento1769552264352?classId=3202" TargetMode="External"/><Relationship Id="rId175" Type="http://schemas.openxmlformats.org/officeDocument/2006/relationships/hyperlink" Target="https://www.linkedin.com/in/gpagotto/" TargetMode="External"/><Relationship Id="rId174" Type="http://schemas.openxmlformats.org/officeDocument/2006/relationships/hyperlink" Target="https://universidade.pipelovers.net/m/lessons/qual-perfil-de-vendedor-ideal-para-sua-empresa1769552264323?classId=3201" TargetMode="External"/><Relationship Id="rId173" Type="http://schemas.openxmlformats.org/officeDocument/2006/relationships/hyperlink" Target="https://universidade.pipelovers.net/m/lessons/qual-perfil-de-vendedor-ideal-para-sua-empresa1769552264323?classId=3201" TargetMode="External"/><Relationship Id="rId179" Type="http://schemas.openxmlformats.org/officeDocument/2006/relationships/hyperlink" Target="https://universidade.pipelovers.net/m/lessons/alinhamento-entre-marketing-e-vendas1769552264387?classId=3203" TargetMode="External"/><Relationship Id="rId178" Type="http://schemas.openxmlformats.org/officeDocument/2006/relationships/hyperlink" Target="https://universidade.pipelovers.net/m/lessons/alinhamento-entre-marketing-e-vendas1769552264387?classId=3203" TargetMode="External"/><Relationship Id="rId177" Type="http://schemas.openxmlformats.org/officeDocument/2006/relationships/hyperlink" Target="https://universidade.pipelovers.net/m/lessons/relacoes-publicas-como-estrategia-de-crescimento1769552264352?classId=3202" TargetMode="External"/><Relationship Id="rId198" Type="http://schemas.openxmlformats.org/officeDocument/2006/relationships/hyperlink" Target="https://universidade.pipelovers.net/m/lessons/carreira-em-rede-rotacionando-dentro-da-organizacao1769552267627?classId=3214" TargetMode="External"/><Relationship Id="rId197" Type="http://schemas.openxmlformats.org/officeDocument/2006/relationships/hyperlink" Target="https://universidade.pipelovers.net/m/lessons/vendas-omnichannel-aumentando-a-conversao-de-vendas-com-comunicacao-3601769552264744?classId=3212" TargetMode="External"/><Relationship Id="rId196" Type="http://schemas.openxmlformats.org/officeDocument/2006/relationships/hyperlink" Target="https://universidade.pipelovers.net/m/lessons/vendas-omnichannel-aumentando-a-conversao-de-vendas-com-comunicacao-3601769552264744?classId=3212" TargetMode="External"/><Relationship Id="rId195" Type="http://schemas.openxmlformats.org/officeDocument/2006/relationships/hyperlink" Target="https://universidade.pipelovers.net/m/lessons/como-estruturar-uma-nova-unidade-de-negocios1769552264713?classId=3211" TargetMode="External"/><Relationship Id="rId199" Type="http://schemas.openxmlformats.org/officeDocument/2006/relationships/hyperlink" Target="https://universidade.pipelovers.net/m/lessons/carreira-em-rede-rotacionando-dentro-da-organizacao1769552267627?classId=3214" TargetMode="External"/><Relationship Id="rId150" Type="http://schemas.openxmlformats.org/officeDocument/2006/relationships/hyperlink" Target="https://universidade.pipelovers.net/m/lessons/crm-hubspot-melhores-praticas1769552264024?classId=3134" TargetMode="External"/><Relationship Id="rId149" Type="http://schemas.openxmlformats.org/officeDocument/2006/relationships/hyperlink" Target="https://universidade.pipelovers.net/m/lessons/land-expand1769552263983?classId=3132" TargetMode="External"/><Relationship Id="rId148" Type="http://schemas.openxmlformats.org/officeDocument/2006/relationships/hyperlink" Target="https://universidade.pipelovers.net/m/lessons/land-expand1769552263983?classId=3132" TargetMode="External"/><Relationship Id="rId143" Type="http://schemas.openxmlformats.org/officeDocument/2006/relationships/hyperlink" Target="https://universidade.pipelovers.net/aulas/metas-e-rampagem-de-vendedores-1775499932119" TargetMode="External"/><Relationship Id="rId142" Type="http://schemas.openxmlformats.org/officeDocument/2006/relationships/hyperlink" Target="https://universidade.pipelovers.net/m/lessons/whatsapp-para-acelerar-vendas1769552252013?classId=3125" TargetMode="External"/><Relationship Id="rId141" Type="http://schemas.openxmlformats.org/officeDocument/2006/relationships/hyperlink" Target="https://universidade.pipelovers.net/m/lessons/whatsapp-para-acelerar-vendas1769552252013?classId=3125" TargetMode="External"/><Relationship Id="rId140" Type="http://schemas.openxmlformats.org/officeDocument/2006/relationships/hyperlink" Target="https://www.linkedin.com/in/fspina/" TargetMode="External"/><Relationship Id="rId147" Type="http://schemas.openxmlformats.org/officeDocument/2006/relationships/hyperlink" Target="https://www.linkedin.com/in/vidalo/" TargetMode="External"/><Relationship Id="rId146" Type="http://schemas.openxmlformats.org/officeDocument/2006/relationships/hyperlink" Target="https://universidade.pipelovers.net/m/lessons/terceirizacao-de-equipes-de-vendas1769552262930?classId=3130" TargetMode="External"/><Relationship Id="rId145" Type="http://schemas.openxmlformats.org/officeDocument/2006/relationships/hyperlink" Target="https://universidade.pipelovers.net/m/lessons/terceirizacao-de-equipes-de-vendas1769552262930?classId=3130" TargetMode="External"/><Relationship Id="rId144" Type="http://schemas.openxmlformats.org/officeDocument/2006/relationships/hyperlink" Target="https://universidade.pipelovers.net/aulas/metas-e-rampagem-de-vendedores-1775499932119" TargetMode="External"/><Relationship Id="rId139" Type="http://schemas.openxmlformats.org/officeDocument/2006/relationships/hyperlink" Target="https://universidade.pipelovers.net/m/lessons/account-based-marketing-o-papel-do-vendedor-nessa-estrategia1769552344814?classId=3611" TargetMode="External"/><Relationship Id="rId138" Type="http://schemas.openxmlformats.org/officeDocument/2006/relationships/hyperlink" Target="https://universidade.pipelovers.net/m/lessons/account-based-marketing-o-papel-do-vendedor-nessa-estrategia1769552344814?classId=3611" TargetMode="External"/><Relationship Id="rId137" Type="http://schemas.openxmlformats.org/officeDocument/2006/relationships/hyperlink" Target="https://www.linkedin.com/in/liviaalves-/" TargetMode="External"/><Relationship Id="rId132" Type="http://schemas.openxmlformats.org/officeDocument/2006/relationships/hyperlink" Target="https://universidade.pipelovers.net/m/lessons/integrando-equipes-de-vendas-pos-ma1769552251793?classId=3494" TargetMode="External"/><Relationship Id="rId131" Type="http://schemas.openxmlformats.org/officeDocument/2006/relationships/hyperlink" Target="https://universidade.pipelovers.net/m/lessons/integrando-equipes-de-vendas-pos-ma1769552251793?classId=3494" TargetMode="External"/><Relationship Id="rId130" Type="http://schemas.openxmlformats.org/officeDocument/2006/relationships/hyperlink" Target="https://universidade.pipelovers.net/m/lessons/gestao-de-vendas-nas-big-techs1769552251724?classId=3495" TargetMode="External"/><Relationship Id="rId136" Type="http://schemas.openxmlformats.org/officeDocument/2006/relationships/hyperlink" Target="https://universidade.pipelovers.net/m/lessons/criando-uma-cultura-de-alta-performance1769552251931?classId=3122" TargetMode="External"/><Relationship Id="rId135" Type="http://schemas.openxmlformats.org/officeDocument/2006/relationships/hyperlink" Target="https://universidade.pipelovers.net/m/lessons/criando-uma-cultura-de-alta-performance1769552251931?classId=3122" TargetMode="External"/><Relationship Id="rId134" Type="http://schemas.openxmlformats.org/officeDocument/2006/relationships/hyperlink" Target="https://universidade.pipelovers.net/m/lessons/demissoes-e-layoffs1769552251847?classId=3493" TargetMode="External"/><Relationship Id="rId133" Type="http://schemas.openxmlformats.org/officeDocument/2006/relationships/hyperlink" Target="https://universidade.pipelovers.net/m/lessons/demissoes-e-layoffs1769552251847?classId=3493" TargetMode="External"/><Relationship Id="rId172" Type="http://schemas.openxmlformats.org/officeDocument/2006/relationships/hyperlink" Target="https://universidade.pipelovers.net/m/lessons/o-impacto-de-comunicar-a-estrategia-da-empresa-para-vendedores1769552264297?classId=3200" TargetMode="External"/><Relationship Id="rId171" Type="http://schemas.openxmlformats.org/officeDocument/2006/relationships/hyperlink" Target="https://universidade.pipelovers.net/m/lessons/o-impacto-de-comunicar-a-estrategia-da-empresa-para-vendedores1769552264297?classId=3200" TargetMode="External"/><Relationship Id="rId170" Type="http://schemas.openxmlformats.org/officeDocument/2006/relationships/hyperlink" Target="https://universidade.pipelovers.net/m/lessons/como-conduzir-conversas-dificeis-com-vendedores1769552264271?classId=3146" TargetMode="External"/><Relationship Id="rId165" Type="http://schemas.openxmlformats.org/officeDocument/2006/relationships/hyperlink" Target="https://universidade.pipelovers.net/m/lessons/o-que-motiva-vendedores-de-alta-performance1769552264188?classId=3144" TargetMode="External"/><Relationship Id="rId164" Type="http://schemas.openxmlformats.org/officeDocument/2006/relationships/hyperlink" Target="https://universidade.pipelovers.net/m/lessons/o-que-motiva-vendedores-de-alta-performance1769552264188?classId=3144" TargetMode="External"/><Relationship Id="rId163" Type="http://schemas.openxmlformats.org/officeDocument/2006/relationships/hyperlink" Target="https://www.linkedin.com/in/mauricioschorsch/" TargetMode="External"/><Relationship Id="rId162" Type="http://schemas.openxmlformats.org/officeDocument/2006/relationships/hyperlink" Target="https://universidade.pipelovers.net/m/lessons/o-papel-da-lideranca-no-work-life-balance1769552264162?classId=3143" TargetMode="External"/><Relationship Id="rId169" Type="http://schemas.openxmlformats.org/officeDocument/2006/relationships/hyperlink" Target="https://universidade.pipelovers.net/m/lessons/como-conduzir-conversas-dificeis-com-vendedores1769552264271?classId=3146" TargetMode="External"/><Relationship Id="rId168" Type="http://schemas.openxmlformats.org/officeDocument/2006/relationships/hyperlink" Target="https://www.linkedin.com/in/rafaelalexandre/" TargetMode="External"/><Relationship Id="rId167" Type="http://schemas.openxmlformats.org/officeDocument/2006/relationships/hyperlink" Target="https://universidade.pipelovers.net/m/lessons/extraindo-o-maximo-de-uma-sessao-de-benchmark1769552264244?classId=3145" TargetMode="External"/><Relationship Id="rId166" Type="http://schemas.openxmlformats.org/officeDocument/2006/relationships/hyperlink" Target="https://universidade.pipelovers.net/m/lessons/extraindo-o-maximo-de-uma-sessao-de-benchmark1769552264244?classId=3145" TargetMode="External"/><Relationship Id="rId161" Type="http://schemas.openxmlformats.org/officeDocument/2006/relationships/hyperlink" Target="https://universidade.pipelovers.net/m/lessons/o-papel-da-lideranca-no-work-life-balance1769552264162?classId=3143" TargetMode="External"/><Relationship Id="rId160" Type="http://schemas.openxmlformats.org/officeDocument/2006/relationships/hyperlink" Target="https://universidade.pipelovers.net/m/lessons/win-loss-analysis1769552264107?classId=3139" TargetMode="External"/><Relationship Id="rId159" Type="http://schemas.openxmlformats.org/officeDocument/2006/relationships/hyperlink" Target="https://universidade.pipelovers.net/m/lessons/win-loss-analysis1769552264107?classId=3139" TargetMode="External"/><Relationship Id="rId154" Type="http://schemas.openxmlformats.org/officeDocument/2006/relationships/hyperlink" Target="https://www.linkedin.com/in/paulofelix/" TargetMode="External"/><Relationship Id="rId153" Type="http://schemas.openxmlformats.org/officeDocument/2006/relationships/hyperlink" Target="https://universidade.pipelovers.net/m/lessons/e-commerce-como-canal-de-vendas-b2b1769552264051?classId=3136" TargetMode="External"/><Relationship Id="rId152" Type="http://schemas.openxmlformats.org/officeDocument/2006/relationships/hyperlink" Target="https://universidade.pipelovers.net/m/lessons/e-commerce-como-canal-de-vendas-b2b1769552264051?classId=3136" TargetMode="External"/><Relationship Id="rId151" Type="http://schemas.openxmlformats.org/officeDocument/2006/relationships/hyperlink" Target="https://universidade.pipelovers.net/m/lessons/crm-hubspot-melhores-praticas1769552264024?classId=3134" TargetMode="External"/><Relationship Id="rId158" Type="http://schemas.openxmlformats.org/officeDocument/2006/relationships/hyperlink" Target="https://universidade.pipelovers.net/m/lessons/passagem-de-bastao-entre-hunters-farmers1769552264134?classId=3138" TargetMode="External"/><Relationship Id="rId157" Type="http://schemas.openxmlformats.org/officeDocument/2006/relationships/hyperlink" Target="https://universidade.pipelovers.net/m/lessons/passagem-de-bastao-entre-hunters-farmers1769552264134?classId=3138" TargetMode="External"/><Relationship Id="rId156" Type="http://schemas.openxmlformats.org/officeDocument/2006/relationships/hyperlink" Target="https://universidade.pipelovers.net/m/lessons/cultura-de-feedback-para-lideres-de-vendas1769552264076?classId=3141" TargetMode="External"/><Relationship Id="rId155" Type="http://schemas.openxmlformats.org/officeDocument/2006/relationships/hyperlink" Target="https://universidade.pipelovers.net/m/lessons/cultura-de-feedback-para-lideres-de-vendas1769552264076?classId=3141" TargetMode="External"/><Relationship Id="rId509" Type="http://schemas.openxmlformats.org/officeDocument/2006/relationships/hyperlink" Target="https://universidade.pipelovers.net/m/lessons/como-tomar-decisoes-dificeis-na-lideranca-comercial-1775044173022?classId=3879" TargetMode="External"/><Relationship Id="rId508" Type="http://schemas.openxmlformats.org/officeDocument/2006/relationships/hyperlink" Target="https://www.linkedin.com/in/nathalia-koga-0072261b9/" TargetMode="External"/><Relationship Id="rId503" Type="http://schemas.openxmlformats.org/officeDocument/2006/relationships/hyperlink" Target="https://www.linkedin.com/in/pirinelli/" TargetMode="External"/><Relationship Id="rId502" Type="http://schemas.openxmlformats.org/officeDocument/2006/relationships/hyperlink" Target="https://universidade.pipelovers.net/m/lessons/como-revisar-e-melhorar-seu-processo-comercial-1773687658454?classId=3810" TargetMode="External"/><Relationship Id="rId501" Type="http://schemas.openxmlformats.org/officeDocument/2006/relationships/hyperlink" Target="https://universidade.pipelovers.net/m/lessons/como-revisar-e-melhorar-seu-processo-comercial-1773687658454?classId=3810" TargetMode="External"/><Relationship Id="rId500" Type="http://schemas.openxmlformats.org/officeDocument/2006/relationships/hyperlink" Target="https://www.linkedin.com/in/andrezacarias/" TargetMode="External"/><Relationship Id="rId507" Type="http://schemas.openxmlformats.org/officeDocument/2006/relationships/hyperlink" Target="https://universidade.pipelovers.net/m/lessons/gestao-de-canais-como-estruturar-ativar-e-acompanhar-parceiros-1775675970943?classId=3916" TargetMode="External"/><Relationship Id="rId506" Type="http://schemas.openxmlformats.org/officeDocument/2006/relationships/hyperlink" Target="https://universidade.pipelovers.net/m/lessons/gestao-de-canais-como-estruturar-ativar-e-acompanhar-parceiros-1775675970943?classId=3916" TargetMode="External"/><Relationship Id="rId505" Type="http://schemas.openxmlformats.org/officeDocument/2006/relationships/hyperlink" Target="https://universidade.pipelovers.net/m/lessons/estrutura-de-uma-operacao-de-gestao-de-carteira-cs-1773688863277?moduleId=1237&amp;classId=3812" TargetMode="External"/><Relationship Id="rId504" Type="http://schemas.openxmlformats.org/officeDocument/2006/relationships/hyperlink" Target="https://universidade.pipelovers.net/m/lessons/estrutura-de-uma-operacao-de-gestao-de-carteira-cs-1773688863277?moduleId=1237&amp;classId=3812" TargetMode="External"/><Relationship Id="rId525" Type="http://schemas.openxmlformats.org/officeDocument/2006/relationships/hyperlink" Target="https://www.linkedin.com/in/eduardofaccio/" TargetMode="External"/><Relationship Id="rId524" Type="http://schemas.openxmlformats.org/officeDocument/2006/relationships/hyperlink" Target="https://universidade.pipelovers.net/m/lessons/modelos-de-incentivo-e-recompensa-para-vendedores-1778011143206?moduleId=1404&amp;classId=3989" TargetMode="External"/><Relationship Id="rId523" Type="http://schemas.openxmlformats.org/officeDocument/2006/relationships/hyperlink" Target="https://universidade.pipelovers.net/m/lessons/modelos-de-incentivo-e-recompensa-para-vendedores-1778011143206?moduleId=1404&amp;classId=3989" TargetMode="External"/><Relationship Id="rId522" Type="http://schemas.openxmlformats.org/officeDocument/2006/relationships/hyperlink" Target="https://www.linkedin.com/in/rodrigoformento/" TargetMode="External"/><Relationship Id="rId529" Type="http://schemas.openxmlformats.org/officeDocument/2006/relationships/hyperlink" Target="https://universidade.pipelovers.net/m/lessons/cultura-de-valorizacao-como-engajar-times-de-vendas-no-dia-a-dia-1778615587418?moduleId=1414&amp;classId=4000" TargetMode="External"/><Relationship Id="rId528" Type="http://schemas.openxmlformats.org/officeDocument/2006/relationships/hyperlink" Target="https://universidade.pipelovers.net/m/lessons/cultura-de-valorizacao-como-engajar-times-de-vendas-no-dia-a-dia-1778615587418?moduleId=1414&amp;classId=4000" TargetMode="External"/><Relationship Id="rId527" Type="http://schemas.openxmlformats.org/officeDocument/2006/relationships/hyperlink" Target="https://www.linkedin.com/in/lucasferreira123/?skipRedirect=true" TargetMode="External"/><Relationship Id="rId526" Type="http://schemas.openxmlformats.org/officeDocument/2006/relationships/hyperlink" Target="https://universidade.pipelovers.net/m/lessons/gestao-de-territorio-de-vendas-externas-como-equilibrar-sua-equipe-1782225749478?moduleId=1457&amp;classId=4041" TargetMode="External"/><Relationship Id="rId521" Type="http://schemas.openxmlformats.org/officeDocument/2006/relationships/hyperlink" Target="https://universidade.pipelovers.net/m/lessons/organizacao-de-rotina-e-agenda-para-lideres-de-vendas-1775679204466?moduleId=1335&amp;classId=3917" TargetMode="External"/><Relationship Id="rId520" Type="http://schemas.openxmlformats.org/officeDocument/2006/relationships/hyperlink" Target="https://universidade.pipelovers.net/m/lessons/organizacao-de-rotina-e-agenda-para-lideres-de-vendas-1775679204466?moduleId=1335&amp;classId=3917" TargetMode="External"/><Relationship Id="rId519" Type="http://schemas.openxmlformats.org/officeDocument/2006/relationships/hyperlink" Target="https://www.linkedin.com/in/andrezacarias/" TargetMode="External"/><Relationship Id="rId514" Type="http://schemas.openxmlformats.org/officeDocument/2006/relationships/hyperlink" Target="https://universidade.pipelovers.net/m/lessons/estrutura-de-uma-operacao-de-aquisicao-de-novos-clientes-1779132718608?moduleId=1420&amp;classId=4006" TargetMode="External"/><Relationship Id="rId513" Type="http://schemas.openxmlformats.org/officeDocument/2006/relationships/hyperlink" Target="https://universidade.pipelovers.net/m/lessons/atuacao-com-segmentos-especificos-como-personalizar-abordagens-e-estrutura-1778682804297?classId=4001" TargetMode="External"/><Relationship Id="rId512" Type="http://schemas.openxmlformats.org/officeDocument/2006/relationships/hyperlink" Target="https://universidade.pipelovers.net/m/lessons/atuacao-com-segmentos-especificos-como-personalizar-abordagens-e-estrutura-1778682804297?classId=4001" TargetMode="External"/><Relationship Id="rId511" Type="http://schemas.openxmlformats.org/officeDocument/2006/relationships/hyperlink" Target="https://www.linkedin.com/in/carloseduardomerlin/" TargetMode="External"/><Relationship Id="rId518" Type="http://schemas.openxmlformats.org/officeDocument/2006/relationships/hyperlink" Target="https://universidade.pipelovers.net/m/lessons/5-praticas-para-alavancar-vendas-externas-1780516324791?moduleId=1432&amp;classId=4020" TargetMode="External"/><Relationship Id="rId517" Type="http://schemas.openxmlformats.org/officeDocument/2006/relationships/hyperlink" Target="https://universidade.pipelovers.net/m/lessons/5-praticas-para-alavancar-vendas-externas-1780516324791?moduleId=1432&amp;classId=4020" TargetMode="External"/><Relationship Id="rId516" Type="http://schemas.openxmlformats.org/officeDocument/2006/relationships/hyperlink" Target="https://www.linkedin.com/in/leandrohirose" TargetMode="External"/><Relationship Id="rId515" Type="http://schemas.openxmlformats.org/officeDocument/2006/relationships/hyperlink" Target="https://universidade.pipelovers.net/m/lessons/estrutura-de-uma-operacao-de-aquisicao-de-novos-clientes-1779132718608?moduleId=1420&amp;classId=4006" TargetMode="External"/><Relationship Id="rId510" Type="http://schemas.openxmlformats.org/officeDocument/2006/relationships/hyperlink" Target="https://universidade.pipelovers.net/m/lessons/como-tomar-decisoes-dificeis-na-lideranca-comercial-1775044173022?classId=3879" TargetMode="External"/><Relationship Id="rId590" Type="http://schemas.openxmlformats.org/officeDocument/2006/relationships/table" Target="../tables/table42.xml"/><Relationship Id="rId107" Type="http://schemas.openxmlformats.org/officeDocument/2006/relationships/hyperlink" Target="https://universidade.pipelovers.net/m/lessons/carreira-em-vendas-desafios-da-lideranca-comercial1769552243571?classId=3775" TargetMode="External"/><Relationship Id="rId106" Type="http://schemas.openxmlformats.org/officeDocument/2006/relationships/hyperlink" Target="https://universidade.pipelovers.net/m/lessons/cultura-de-equipes-de-vendas-de-alta-performance1769552243539?classId=3481" TargetMode="External"/><Relationship Id="rId105" Type="http://schemas.openxmlformats.org/officeDocument/2006/relationships/hyperlink" Target="https://universidade.pipelovers.net/m/lessons/cultura-de-equipes-de-vendas-de-alta-performance1769552243539?classId=3481" TargetMode="External"/><Relationship Id="rId589" Type="http://schemas.openxmlformats.org/officeDocument/2006/relationships/table" Target="../tables/table41.xml"/><Relationship Id="rId104" Type="http://schemas.openxmlformats.org/officeDocument/2006/relationships/hyperlink" Target="https://universidade.pipelovers.net/m/lessons/vendas-gestao-40-educacao-e-empreendedorismo1769552243459?classId=3116" TargetMode="External"/><Relationship Id="rId588" Type="http://schemas.openxmlformats.org/officeDocument/2006/relationships/table" Target="../tables/table40.xml"/><Relationship Id="rId109" Type="http://schemas.openxmlformats.org/officeDocument/2006/relationships/hyperlink" Target="https://www.linkedin.com/in/gpagotto/" TargetMode="External"/><Relationship Id="rId108" Type="http://schemas.openxmlformats.org/officeDocument/2006/relationships/hyperlink" Target="https://universidade.pipelovers.net/m/lessons/carreira-em-vendas-desafios-da-lideranca-comercial1769552243571?classId=3775" TargetMode="External"/><Relationship Id="rId583" Type="http://schemas.openxmlformats.org/officeDocument/2006/relationships/table" Target="../tables/table35.xml"/><Relationship Id="rId582" Type="http://schemas.openxmlformats.org/officeDocument/2006/relationships/table" Target="../tables/table34.xml"/><Relationship Id="rId581" Type="http://schemas.openxmlformats.org/officeDocument/2006/relationships/table" Target="../tables/table33.xml"/><Relationship Id="rId580" Type="http://schemas.openxmlformats.org/officeDocument/2006/relationships/table" Target="../tables/table32.xml"/><Relationship Id="rId103" Type="http://schemas.openxmlformats.org/officeDocument/2006/relationships/hyperlink" Target="https://universidade.pipelovers.net/m/lessons/vendas-gestao-40-educacao-e-empreendedorismo1769552243459?classId=3116" TargetMode="External"/><Relationship Id="rId587" Type="http://schemas.openxmlformats.org/officeDocument/2006/relationships/table" Target="../tables/table39.xml"/><Relationship Id="rId102" Type="http://schemas.openxmlformats.org/officeDocument/2006/relationships/hyperlink" Target="https://universidade.pipelovers.net/aulas/como-montar-seu-stack-de-ferramentas-1775505416458" TargetMode="External"/><Relationship Id="rId586" Type="http://schemas.openxmlformats.org/officeDocument/2006/relationships/table" Target="../tables/table38.xml"/><Relationship Id="rId101" Type="http://schemas.openxmlformats.org/officeDocument/2006/relationships/hyperlink" Target="https://universidade.pipelovers.net/aulas/como-montar-seu-stack-de-ferramentas-1775505416458" TargetMode="External"/><Relationship Id="rId585" Type="http://schemas.openxmlformats.org/officeDocument/2006/relationships/table" Target="../tables/table37.xml"/><Relationship Id="rId100" Type="http://schemas.openxmlformats.org/officeDocument/2006/relationships/hyperlink" Target="https://universidade.pipelovers.net/aulas/recrutamento-de-equipes-de-vendas-de-alta-performance-1775495873086" TargetMode="External"/><Relationship Id="rId584" Type="http://schemas.openxmlformats.org/officeDocument/2006/relationships/table" Target="../tables/table36.xml"/><Relationship Id="rId579" Type="http://schemas.openxmlformats.org/officeDocument/2006/relationships/table" Target="../tables/table31.xml"/><Relationship Id="rId129" Type="http://schemas.openxmlformats.org/officeDocument/2006/relationships/hyperlink" Target="https://universidade.pipelovers.net/m/lessons/gestao-de-vendas-nas-big-techs1769552251724?classId=3495" TargetMode="External"/><Relationship Id="rId128" Type="http://schemas.openxmlformats.org/officeDocument/2006/relationships/hyperlink" Target="https://universidade.pipelovers.net/m/lessons/gestao-de-vendas-de-servicos1769552251657?classId=3496" TargetMode="External"/><Relationship Id="rId127" Type="http://schemas.openxmlformats.org/officeDocument/2006/relationships/hyperlink" Target="https://universidade.pipelovers.net/m/lessons/gestao-de-vendas-de-servicos1769552251657?classId=3496" TargetMode="External"/><Relationship Id="rId126" Type="http://schemas.openxmlformats.org/officeDocument/2006/relationships/hyperlink" Target="https://universidade.pipelovers.net/m/lessons/vendas-no-mercado-de-midia-e-advertising1769552251526?classId=3499" TargetMode="External"/><Relationship Id="rId121" Type="http://schemas.openxmlformats.org/officeDocument/2006/relationships/hyperlink" Target="https://universidade.pipelovers.net/m/lessons/gestao-de-equipes-de-vendas-enterprise1769552247429?classId=3472" TargetMode="External"/><Relationship Id="rId120" Type="http://schemas.openxmlformats.org/officeDocument/2006/relationships/hyperlink" Target="https://universidade.pipelovers.net/m/lessons/gestao-de-equipes-de-vendas-enterprise1769552247429?classId=3472" TargetMode="External"/><Relationship Id="rId125" Type="http://schemas.openxmlformats.org/officeDocument/2006/relationships/hyperlink" Target="https://universidade.pipelovers.net/m/lessons/vendas-no-mercado-de-midia-e-advertising1769552251526?classId=3499" TargetMode="External"/><Relationship Id="rId124" Type="http://schemas.openxmlformats.org/officeDocument/2006/relationships/hyperlink" Target="https://universidade.pipelovers.net/m/lessons/estrategias-de-pricing-para-b2b1769552247505?classId=3120" TargetMode="External"/><Relationship Id="rId123" Type="http://schemas.openxmlformats.org/officeDocument/2006/relationships/hyperlink" Target="https://universidade.pipelovers.net/m/lessons/estrategias-de-pricing-para-b2b1769552247505?classId=3120" TargetMode="External"/><Relationship Id="rId122" Type="http://schemas.openxmlformats.org/officeDocument/2006/relationships/hyperlink" Target="https://universidade.pipelovers.net/m/lessons/escalando-operacoes-de-vendas-para-pmes1769552247459?moduleId=910&amp;classId=3501" TargetMode="External"/><Relationship Id="rId118" Type="http://schemas.openxmlformats.org/officeDocument/2006/relationships/hyperlink" Target="https://universidade.pipelovers.net/m/lessons/estrategias-de-customer-success-para-aceleracao-e-crescimento1769552247399?classId=3475" TargetMode="External"/><Relationship Id="rId117" Type="http://schemas.openxmlformats.org/officeDocument/2006/relationships/hyperlink" Target="https://universidade.pipelovers.net/m/lessons/parcerias-estrategicas-e-canais-indiretos1769552247370?classId=3477" TargetMode="External"/><Relationship Id="rId116" Type="http://schemas.openxmlformats.org/officeDocument/2006/relationships/hyperlink" Target="https://universidade.pipelovers.net/m/lessons/parcerias-estrategicas-e-canais-indiretos1769552247370?classId=3477" TargetMode="External"/><Relationship Id="rId115" Type="http://schemas.openxmlformats.org/officeDocument/2006/relationships/hyperlink" Target="https://universidade.pipelovers.net/m/lessons/escalando-equipes-de-prospeccao1769552247342?classId=3478" TargetMode="External"/><Relationship Id="rId119" Type="http://schemas.openxmlformats.org/officeDocument/2006/relationships/hyperlink" Target="https://universidade.pipelovers.net/m/lessons/estrategias-de-customer-success-para-aceleracao-e-crescimento1769552247399?classId=3475" TargetMode="External"/><Relationship Id="rId110" Type="http://schemas.openxmlformats.org/officeDocument/2006/relationships/hyperlink" Target="https://universidade.pipelovers.net/m/lessons/alinhamento-entre-marketing-e-vendas-b2b1769552247196?classId=3118" TargetMode="External"/><Relationship Id="rId594" Type="http://schemas.openxmlformats.org/officeDocument/2006/relationships/table" Target="../tables/table46.xml"/><Relationship Id="rId593" Type="http://schemas.openxmlformats.org/officeDocument/2006/relationships/table" Target="../tables/table45.xml"/><Relationship Id="rId592" Type="http://schemas.openxmlformats.org/officeDocument/2006/relationships/table" Target="../tables/table44.xml"/><Relationship Id="rId591" Type="http://schemas.openxmlformats.org/officeDocument/2006/relationships/table" Target="../tables/table43.xml"/><Relationship Id="rId114" Type="http://schemas.openxmlformats.org/officeDocument/2006/relationships/hyperlink" Target="https://universidade.pipelovers.net/m/lessons/escalando-equipes-de-prospeccao1769552247342?classId=3478" TargetMode="External"/><Relationship Id="rId113" Type="http://schemas.openxmlformats.org/officeDocument/2006/relationships/hyperlink" Target="https://universidade.pipelovers.net/m/lessons/construindo-uma-maquina-de-vendas-inbound1769552247256?classId=3479" TargetMode="External"/><Relationship Id="rId112" Type="http://schemas.openxmlformats.org/officeDocument/2006/relationships/hyperlink" Target="https://universidade.pipelovers.net/m/lessons/construindo-uma-maquina-de-vendas-inbound1769552247256?classId=3479" TargetMode="External"/><Relationship Id="rId111" Type="http://schemas.openxmlformats.org/officeDocument/2006/relationships/hyperlink" Target="https://universidade.pipelovers.net/m/lessons/alinhamento-entre-marketing-e-vendas-b2b1769552247196?classId=3118" TargetMode="External"/><Relationship Id="rId547" Type="http://schemas.openxmlformats.org/officeDocument/2006/relationships/hyperlink" Target="https://universidade.pipelovers.net/m/lessons/eventos-como-maquina-de-geracao-de-demanda-e-roi-1786644544313?moduleId=1654&amp;classId=4560" TargetMode="External"/><Relationship Id="rId546" Type="http://schemas.openxmlformats.org/officeDocument/2006/relationships/hyperlink" Target="https://www.linkedin.com/in/marcelopereira/" TargetMode="External"/><Relationship Id="rId545" Type="http://schemas.openxmlformats.org/officeDocument/2006/relationships/hyperlink" Target="https://universidade.pipelovers.net/m/lessons/consistencia-do-programa-1784051514542?moduleId=1510&amp;classId=4209" TargetMode="External"/><Relationship Id="rId544" Type="http://schemas.openxmlformats.org/officeDocument/2006/relationships/hyperlink" Target="https://www.linkedin.com/in/marcelopereira/" TargetMode="External"/><Relationship Id="rId549" Type="http://schemas.openxmlformats.org/officeDocument/2006/relationships/hyperlink" Target="https://universidade.pipelovers.net/m/lessons/prontos-pro-confronto-a-ferramenta-que-seu-time-usa-contra-a-concorrencia-1786643367432?moduleId=1589&amp;classId=4480" TargetMode="External"/><Relationship Id="rId548" Type="http://schemas.openxmlformats.org/officeDocument/2006/relationships/hyperlink" Target="https://www.linkedin.com/in/robertakuzolitz/" TargetMode="External"/><Relationship Id="rId543" Type="http://schemas.openxmlformats.org/officeDocument/2006/relationships/hyperlink" Target="https://universidade.pipelovers.net/m/lessons/o-formato-da-indicacao-e-divulgacao-do-programa-1784051352689?moduleId=1509&amp;classId=4208" TargetMode="External"/><Relationship Id="rId542" Type="http://schemas.openxmlformats.org/officeDocument/2006/relationships/hyperlink" Target="https://www.linkedin.com/in/marcelopereira/" TargetMode="External"/><Relationship Id="rId541" Type="http://schemas.openxmlformats.org/officeDocument/2006/relationships/hyperlink" Target="https://universidade.pipelovers.net/m/lessons/a-persona-do-indicador-e-a-definicao-do-modelo-de-recompensa-1784051189434?moduleId=1508&amp;classId=4207" TargetMode="External"/><Relationship Id="rId540" Type="http://schemas.openxmlformats.org/officeDocument/2006/relationships/hyperlink" Target="https://www.linkedin.com/in/marcelopereira/" TargetMode="External"/><Relationship Id="rId536" Type="http://schemas.openxmlformats.org/officeDocument/2006/relationships/hyperlink" Target="https://www.linkedin.com/in/vinicius-tirapelle-da-silva-51451349/" TargetMode="External"/><Relationship Id="rId535" Type="http://schemas.openxmlformats.org/officeDocument/2006/relationships/hyperlink" Target="https://universidade.pipelovers.net/m/lessons/aumento-de-taxa-de-conversao-atraves-de-coaching-de-vendedores-1783099432674" TargetMode="External"/><Relationship Id="rId534" Type="http://schemas.openxmlformats.org/officeDocument/2006/relationships/hyperlink" Target="https://www.linkedin.com/in/felipebkroque/" TargetMode="External"/><Relationship Id="rId533" Type="http://schemas.openxmlformats.org/officeDocument/2006/relationships/hyperlink" Target="https://universidade.pipelovers.net/m/lessons/acoes-praticas-para-desenvolver-e-reter-os-talentos-do-seu-time-1782224168574?moduleId=1563&amp;classId=4415" TargetMode="External"/><Relationship Id="rId539" Type="http://schemas.openxmlformats.org/officeDocument/2006/relationships/hyperlink" Target="https://universidade.pipelovers.net/m/lessons/a-indicacao-como-canal-de-vendas-1784050890632?moduleId=1507&amp;classId=4206" TargetMode="External"/><Relationship Id="rId538" Type="http://schemas.openxmlformats.org/officeDocument/2006/relationships/hyperlink" Target="https://www.linkedin.com/in/david-mattos/" TargetMode="External"/><Relationship Id="rId537" Type="http://schemas.openxmlformats.org/officeDocument/2006/relationships/hyperlink" Target="https://universidade.pipelovers.net/m/lessons/gestao-de-vendas-internacionais-a-partir-do-brasil-1783099942622?moduleId=1470&amp;classId=4052" TargetMode="External"/><Relationship Id="rId532" Type="http://schemas.openxmlformats.org/officeDocument/2006/relationships/hyperlink" Target="https://www.linkedin.com/in/julia-drumond/" TargetMode="External"/><Relationship Id="rId531" Type="http://schemas.openxmlformats.org/officeDocument/2006/relationships/hyperlink" Target="https://universidade.pipelovers.net/m/lessons/preparacao-para-promocao-como-se-tornar-lider-de-lideres-1781809613628" TargetMode="External"/><Relationship Id="rId530" Type="http://schemas.openxmlformats.org/officeDocument/2006/relationships/hyperlink" Target="https://www.linkedin.com/in/alexandercabral/" TargetMode="External"/><Relationship Id="rId561" Type="http://schemas.openxmlformats.org/officeDocument/2006/relationships/hyperlink" Target="https://www.linkedin.com/in/felipebkroque/" TargetMode="External"/><Relationship Id="rId560" Type="http://schemas.openxmlformats.org/officeDocument/2006/relationships/hyperlink" Target="https://universidade.pipelovers.net/m/lessons/como-justificar-mais-investimentos-em-vendas-para-a-diretoria-1789157896633?moduleId=1664&amp;classId=4600" TargetMode="External"/><Relationship Id="rId562" Type="http://schemas.openxmlformats.org/officeDocument/2006/relationships/drawing" Target="../drawings/drawing4.xml"/><Relationship Id="rId558" Type="http://schemas.openxmlformats.org/officeDocument/2006/relationships/hyperlink" Target="https://www.linkedin.com/in/matheus-gomes-dasilva/" TargetMode="External"/><Relationship Id="rId557" Type="http://schemas.openxmlformats.org/officeDocument/2006/relationships/hyperlink" Target="https://universidade.pipelovers.net/m/lessons/o-impacto-da-ia-na-jornada-de-compra-b2b-1789157620083?moduleId=1663&amp;classId=4599" TargetMode="External"/><Relationship Id="rId556" Type="http://schemas.openxmlformats.org/officeDocument/2006/relationships/hyperlink" Target="https://www.linkedin.com/in/bonaroti/" TargetMode="External"/><Relationship Id="rId555" Type="http://schemas.openxmlformats.org/officeDocument/2006/relationships/hyperlink" Target="https://universidade.pipelovers.net/m/lessons/resenha-do-livro-pipelines-da-lideranca-de-ram-charan-1789157418378?moduleId=1662&amp;classId=4598" TargetMode="External"/><Relationship Id="rId559" Type="http://schemas.openxmlformats.org/officeDocument/2006/relationships/hyperlink" Target="https://universidade.pipelovers.net/m/lessons/como-justificar-mais-investimentos-em-vendas-para-a-diretoria-1789157896633?moduleId=1664&amp;classId=4600" TargetMode="External"/><Relationship Id="rId550" Type="http://schemas.openxmlformats.org/officeDocument/2006/relationships/hyperlink" Target="https://www.linkedin.com/in/lorenavonhroch/" TargetMode="External"/><Relationship Id="rId554" Type="http://schemas.openxmlformats.org/officeDocument/2006/relationships/hyperlink" Target="https://www.linkedin.com/in/edusmattos/" TargetMode="External"/><Relationship Id="rId553" Type="http://schemas.openxmlformats.org/officeDocument/2006/relationships/hyperlink" Target="https://universidade.pipelovers.net/m/lessons/sinais-de-intencao-de-compra-como-usar-dado-pra-saber-a-hora-certa-de-abordar-1788461986742?moduleId=1639&amp;classId=4546" TargetMode="External"/><Relationship Id="rId552" Type="http://schemas.openxmlformats.org/officeDocument/2006/relationships/hyperlink" Target="https://universidade.pipelovers.net/m/lessons/ia-aplicada-na-gestao-de-crm-1789503124269?moduleId=1676&amp;classId=4611" TargetMode="External"/><Relationship Id="rId551" Type="http://schemas.openxmlformats.org/officeDocument/2006/relationships/hyperlink" Target="http://elephan.ai" TargetMode="External"/><Relationship Id="rId495" Type="http://schemas.openxmlformats.org/officeDocument/2006/relationships/hyperlink" Target="https://universidade.pipelovers.net/m/lessons/vendas-enterprise-e-abm-como-identificar-contas-estrategicas-e-escalar-receita-1773687243812?classId=3809" TargetMode="External"/><Relationship Id="rId494" Type="http://schemas.openxmlformats.org/officeDocument/2006/relationships/hyperlink" Target="https://www.linkedin.com/in/milena-brentan/" TargetMode="External"/><Relationship Id="rId493" Type="http://schemas.openxmlformats.org/officeDocument/2006/relationships/hyperlink" Target="https://universidade.pipelovers.net/m/lessons/como-usar-autoconhecimento-para-ajustar-seu-estilo-de-gestao-1773686456054?classId=3808" TargetMode="External"/><Relationship Id="rId492" Type="http://schemas.openxmlformats.org/officeDocument/2006/relationships/hyperlink" Target="https://universidade.pipelovers.net/m/lessons/como-usar-autoconhecimento-para-ajustar-seu-estilo-de-gestao-1773686456054?classId=3808" TargetMode="External"/><Relationship Id="rId499" Type="http://schemas.openxmlformats.org/officeDocument/2006/relationships/hyperlink" Target="https://universidade.pipelovers.net/m/lessons/a-importancia-de-conectar-vendas-externas-com-revops-1774988845409?classId=3877" TargetMode="External"/><Relationship Id="rId498" Type="http://schemas.openxmlformats.org/officeDocument/2006/relationships/hyperlink" Target="https://universidade.pipelovers.net/m/lessons/a-importancia-de-conectar-vendas-externas-com-revops-1774988845409?classId=3877" TargetMode="External"/><Relationship Id="rId497" Type="http://schemas.openxmlformats.org/officeDocument/2006/relationships/hyperlink" Target="https://www.linkedin.com/in/kelmerteixeira/" TargetMode="External"/><Relationship Id="rId496" Type="http://schemas.openxmlformats.org/officeDocument/2006/relationships/hyperlink" Target="https://universidade.pipelovers.net/m/lessons/vendas-enterprise-e-abm-como-identificar-contas-estrategicas-e-escalar-receita-1773687243812?classId=3809" TargetMode="External"/><Relationship Id="rId409" Type="http://schemas.openxmlformats.org/officeDocument/2006/relationships/hyperlink" Target="https://universidade.pipelovers.net/m/lessons/rituais-regras-e-processos-como-criar-uma-cultura-de-vendas-forte1769552312672?classId=3306" TargetMode="External"/><Relationship Id="rId404" Type="http://schemas.openxmlformats.org/officeDocument/2006/relationships/hyperlink" Target="https://universidade.pipelovers.net/m/lessons/forecast-como-estruturar-processo-e-rotina1769552312542?classId=3305" TargetMode="External"/><Relationship Id="rId403" Type="http://schemas.openxmlformats.org/officeDocument/2006/relationships/hyperlink" Target="https://universidade.pipelovers.net/m/lessons/forecast-como-estruturar-processo-e-rotina1769552312542?classId=3305" TargetMode="External"/><Relationship Id="rId402" Type="http://schemas.openxmlformats.org/officeDocument/2006/relationships/hyperlink" Target="https://universidade.pipelovers.net/m/lessons/gestao-de-produtividade-o-impacto-da-desorganizacao-na-performance-comercial1769552312473?classId=3303" TargetMode="External"/><Relationship Id="rId401" Type="http://schemas.openxmlformats.org/officeDocument/2006/relationships/hyperlink" Target="https://universidade.pipelovers.net/m/lessons/gestao-de-produtividade-o-impacto-da-desorganizacao-na-performance-comercial1769552312473?classId=3303" TargetMode="External"/><Relationship Id="rId408" Type="http://schemas.openxmlformats.org/officeDocument/2006/relationships/hyperlink" Target="https://universidade.pipelovers.net/m/lessons/rituais-regras-e-processos-como-criar-uma-cultura-de-vendas-forte1769552312672?classId=3306" TargetMode="External"/><Relationship Id="rId407" Type="http://schemas.openxmlformats.org/officeDocument/2006/relationships/hyperlink" Target="https://www.linkedin.com/in/thais-sterenberg-de-oliveira/" TargetMode="External"/><Relationship Id="rId406" Type="http://schemas.openxmlformats.org/officeDocument/2006/relationships/hyperlink" Target="https://universidade.pipelovers.net/m/lessons/como-identificar-e-escalar-os-padroes-dos-melhores-vendedores1769552312590?classId=3490" TargetMode="External"/><Relationship Id="rId405" Type="http://schemas.openxmlformats.org/officeDocument/2006/relationships/hyperlink" Target="https://universidade.pipelovers.net/m/lessons/como-identificar-e-escalar-os-padroes-dos-melhores-vendedores1769552312590?classId=3490" TargetMode="External"/><Relationship Id="rId400" Type="http://schemas.openxmlformats.org/officeDocument/2006/relationships/hyperlink" Target="https://www.linkedin.com/in/pedro-paulo-iglesias/" TargetMode="External"/><Relationship Id="rId469" Type="http://schemas.openxmlformats.org/officeDocument/2006/relationships/hyperlink" Target="https://www.linkedin.com/in/rlcorrea/" TargetMode="External"/><Relationship Id="rId468" Type="http://schemas.openxmlformats.org/officeDocument/2006/relationships/hyperlink" Target="https://universidade.pipelovers.net/m/lessons/melhores-praticas-de-dashboards-de-gestao-de-vendas1772542642663?classId=3761" TargetMode="External"/><Relationship Id="rId467" Type="http://schemas.openxmlformats.org/officeDocument/2006/relationships/hyperlink" Target="https://universidade.pipelovers.net/m/lessons/melhores-praticas-de-dashboards-de-gestao-de-vendas1772542642663?classId=3761" TargetMode="External"/><Relationship Id="rId462" Type="http://schemas.openxmlformats.org/officeDocument/2006/relationships/hyperlink" Target="https://universidade.pipelovers.net/m/lessons/conteudo-como-geracao-de-demanda1772542642394?classId=3755" TargetMode="External"/><Relationship Id="rId461" Type="http://schemas.openxmlformats.org/officeDocument/2006/relationships/hyperlink" Target="https://universidade.pipelovers.net/m/lessons/conteudo-como-geracao-de-demanda1772542642394?classId=3755" TargetMode="External"/><Relationship Id="rId460" Type="http://schemas.openxmlformats.org/officeDocument/2006/relationships/hyperlink" Target="https://www.linkedin.com/in/gpagotto/" TargetMode="External"/><Relationship Id="rId466" Type="http://schemas.openxmlformats.org/officeDocument/2006/relationships/hyperlink" Target="https://www.linkedin.com/in/jessicabosco/" TargetMode="External"/><Relationship Id="rId465" Type="http://schemas.openxmlformats.org/officeDocument/2006/relationships/hyperlink" Target="https://universidade.pipelovers.net/m/lessons/rituais-para-engajar-acompanhar-e-desenvolver-talentos1772542661869?classId=3768" TargetMode="External"/><Relationship Id="rId464" Type="http://schemas.openxmlformats.org/officeDocument/2006/relationships/hyperlink" Target="https://universidade.pipelovers.net/m/lessons/rituais-para-engajar-acompanhar-e-desenvolver-talentos1772542661869?classId=3768" TargetMode="External"/><Relationship Id="rId463" Type="http://schemas.openxmlformats.org/officeDocument/2006/relationships/hyperlink" Target="https://www.linkedin.com/in/brunomicrosaas/" TargetMode="External"/><Relationship Id="rId459" Type="http://schemas.openxmlformats.org/officeDocument/2006/relationships/hyperlink" Target="https://universidade.pipelovers.net/m/lessons/planejamento-anual-de-vendas1769552304646?classId=3281" TargetMode="External"/><Relationship Id="rId458" Type="http://schemas.openxmlformats.org/officeDocument/2006/relationships/hyperlink" Target="https://universidade.pipelovers.net/m/lessons/planejamento-anual-de-vendas1769552304646?classId=3281" TargetMode="External"/><Relationship Id="rId457" Type="http://schemas.openxmlformats.org/officeDocument/2006/relationships/hyperlink" Target="https://universidade.pipelovers.net/m/lessons/a-nova-mentalidade-do-comprador-como-liderancas-comerciais-devem-se-adaptar1769552324840?classId=3069" TargetMode="External"/><Relationship Id="rId456" Type="http://schemas.openxmlformats.org/officeDocument/2006/relationships/hyperlink" Target="https://universidade.pipelovers.net/m/lessons/a-nova-mentalidade-do-comprador-como-liderancas-comerciais-devem-se-adaptar1769552324840?classId=3069" TargetMode="External"/><Relationship Id="rId451" Type="http://schemas.openxmlformats.org/officeDocument/2006/relationships/hyperlink" Target="https://universidade.pipelovers.net/m/lessons/como-construir-autoridade-na-sua-empresa-como-gestor-comercial1769552324761?classId=3320" TargetMode="External"/><Relationship Id="rId450" Type="http://schemas.openxmlformats.org/officeDocument/2006/relationships/hyperlink" Target="https://universidade.pipelovers.net/m/lessons/aprendizados-do-livro-antes-de-vender-desenhe-como-usar-o-visual-para-vender-melhor1769552324708?classId=3319" TargetMode="External"/><Relationship Id="rId455" Type="http://schemas.openxmlformats.org/officeDocument/2006/relationships/hyperlink" Target="https://universidade.pipelovers.net/m/lessons/como-estruturar-um-time-de-pre-vendas1769552324811?classId=3321" TargetMode="External"/><Relationship Id="rId454" Type="http://schemas.openxmlformats.org/officeDocument/2006/relationships/hyperlink" Target="https://universidade.pipelovers.net/m/lessons/como-estruturar-um-time-de-pre-vendas1769552324811?classId=3321" TargetMode="External"/><Relationship Id="rId453" Type="http://schemas.openxmlformats.org/officeDocument/2006/relationships/hyperlink" Target="https://www.linkedin.com/in/eduardo-lara-weigert-789a3a143/" TargetMode="External"/><Relationship Id="rId452" Type="http://schemas.openxmlformats.org/officeDocument/2006/relationships/hyperlink" Target="https://universidade.pipelovers.net/m/lessons/como-construir-autoridade-na-sua-empresa-como-gestor-comercial1769552324761?classId=3320" TargetMode="External"/><Relationship Id="rId491" Type="http://schemas.openxmlformats.org/officeDocument/2006/relationships/hyperlink" Target="https://www.linkedin.com/in/rodrigopinto100/" TargetMode="External"/><Relationship Id="rId490" Type="http://schemas.openxmlformats.org/officeDocument/2006/relationships/hyperlink" Target="https://universidade.pipelovers.net/m/lessons/usando-ia-para-nao-ser-gargalo-na-operacao-comercial-1773338964304?classId=3799" TargetMode="External"/><Relationship Id="rId489" Type="http://schemas.openxmlformats.org/officeDocument/2006/relationships/hyperlink" Target="https://universidade.pipelovers.net/m/lessons/usando-ia-para-nao-ser-gargalo-na-operacao-comercial-1773338964304?classId=3799" TargetMode="External"/><Relationship Id="rId484" Type="http://schemas.openxmlformats.org/officeDocument/2006/relationships/hyperlink" Target="https://www.linkedin.com/in/rodrigovencefy/" TargetMode="External"/><Relationship Id="rId483" Type="http://schemas.openxmlformats.org/officeDocument/2006/relationships/hyperlink" Target="https://universidade.pipelovers.net/m/lessons/decisoes-comerciais-baseadas-no-ciclo-de-vida-do-produto-1771879842617?classId=3814" TargetMode="External"/><Relationship Id="rId482" Type="http://schemas.openxmlformats.org/officeDocument/2006/relationships/hyperlink" Target="https://universidade.pipelovers.net/m/lessons/decisoes-comerciais-baseadas-no-ciclo-de-vida-do-produto-1771879842617?classId=3814" TargetMode="External"/><Relationship Id="rId481" Type="http://schemas.openxmlformats.org/officeDocument/2006/relationships/hyperlink" Target="https://www.linkedin.com/in/gustavodemesquitamota/" TargetMode="External"/><Relationship Id="rId488" Type="http://schemas.openxmlformats.org/officeDocument/2006/relationships/hyperlink" Target="http://socialprompts.ai" TargetMode="External"/><Relationship Id="rId487" Type="http://schemas.openxmlformats.org/officeDocument/2006/relationships/hyperlink" Target="https://www.linkedin.com/in/brgoncalves/" TargetMode="External"/><Relationship Id="rId486" Type="http://schemas.openxmlformats.org/officeDocument/2006/relationships/hyperlink" Target="https://universidade.pipelovers.net/m/lessons/lideranca-do-futuro-menos-controle-mais-autonomia-e-resultado-1773685130767?classId=3805" TargetMode="External"/><Relationship Id="rId485" Type="http://schemas.openxmlformats.org/officeDocument/2006/relationships/hyperlink" Target="https://universidade.pipelovers.net/m/lessons/lideranca-do-futuro-menos-controle-mais-autonomia-e-resultado-1773685130767?classId=3805" TargetMode="External"/><Relationship Id="rId480" Type="http://schemas.openxmlformats.org/officeDocument/2006/relationships/hyperlink" Target="https://universidade.pipelovers.net/m/lessons/modelos-de-remuneracao-para-equipes-de-vendas-b2b-1771879806544?classId=3811" TargetMode="External"/><Relationship Id="rId479" Type="http://schemas.openxmlformats.org/officeDocument/2006/relationships/hyperlink" Target="https://universidade.pipelovers.net/m/lessons/modelos-de-remuneracao-para-equipes-de-vendas-b2b-1771879806544?classId=3811" TargetMode="External"/><Relationship Id="rId478" Type="http://schemas.openxmlformats.org/officeDocument/2006/relationships/hyperlink" Target="https://www.linkedin.com/in/nathan-mota-moraes-1a20071ab/" TargetMode="External"/><Relationship Id="rId473" Type="http://schemas.openxmlformats.org/officeDocument/2006/relationships/hyperlink" Target="https://universidade.pipelovers.net/m/lessons/decisoes-de-gestao-orientadas-por-dados-do-funil-as-metas1772542642479?classId=3757" TargetMode="External"/><Relationship Id="rId472" Type="http://schemas.openxmlformats.org/officeDocument/2006/relationships/hyperlink" Target="https://www.linkedin.com/in/liana-chiaradia/" TargetMode="External"/><Relationship Id="rId471" Type="http://schemas.openxmlformats.org/officeDocument/2006/relationships/hyperlink" Target="https://universidade.pipelovers.net/m/lessons/como-manter-consistencia-do-time-em-meio-a-metas-agressivas-e-alta-pressao1772542642221?classId=3751" TargetMode="External"/><Relationship Id="rId470" Type="http://schemas.openxmlformats.org/officeDocument/2006/relationships/hyperlink" Target="https://universidade.pipelovers.net/m/lessons/como-manter-consistencia-do-time-em-meio-a-metas-agressivas-e-alta-pressao1772542642221?classId=3751" TargetMode="External"/><Relationship Id="rId477" Type="http://schemas.openxmlformats.org/officeDocument/2006/relationships/hyperlink" Target="https://universidade.pipelovers.net/m/lessons/como-identificar-gargalos-no-funil-e-corrigir-rapido-1773686250749?classId=3807" TargetMode="External"/><Relationship Id="rId476" Type="http://schemas.openxmlformats.org/officeDocument/2006/relationships/hyperlink" Target="https://universidade.pipelovers.net/m/lessons/como-identificar-gargalos-no-funil-e-corrigir-rapido-1773686250749?classId=3807" TargetMode="External"/><Relationship Id="rId475" Type="http://schemas.openxmlformats.org/officeDocument/2006/relationships/hyperlink" Target="https://www.linkedin.com/in/fabioelbeck/" TargetMode="External"/><Relationship Id="rId474" Type="http://schemas.openxmlformats.org/officeDocument/2006/relationships/hyperlink" Target="https://universidade.pipelovers.net/m/lessons/decisoes-de-gestao-orientadas-por-dados-do-funil-as-metas1772542642479?classId=3757" TargetMode="External"/><Relationship Id="rId426" Type="http://schemas.openxmlformats.org/officeDocument/2006/relationships/hyperlink" Target="https://universidade.pipelovers.net/m/lessons/gestao-de-expectativas-com-pares-e-lideranca1769552324424?classId=3036" TargetMode="External"/><Relationship Id="rId425" Type="http://schemas.openxmlformats.org/officeDocument/2006/relationships/hyperlink" Target="http://forwd.co" TargetMode="External"/><Relationship Id="rId424" Type="http://schemas.openxmlformats.org/officeDocument/2006/relationships/hyperlink" Target="https://www.linkedin.com/in/paola-behs/" TargetMode="External"/><Relationship Id="rId423" Type="http://schemas.openxmlformats.org/officeDocument/2006/relationships/hyperlink" Target="https://universidade.pipelovers.net/m/lessons/lideranca-sob-pressao-como-manter-foco-e-equilibrio1769552324340?classId=3035" TargetMode="External"/><Relationship Id="rId429" Type="http://schemas.openxmlformats.org/officeDocument/2006/relationships/hyperlink" Target="https://universidade.pipelovers.net/m/lessons/ritual-de-pipeline-review-individual-estrutura-e-implantacao1769552324452?classId=3308" TargetMode="External"/><Relationship Id="rId428" Type="http://schemas.openxmlformats.org/officeDocument/2006/relationships/hyperlink" Target="https://universidade.pipelovers.net/m/lessons/ritual-de-pipeline-review-individual-estrutura-e-implantacao1769552324452?classId=3308" TargetMode="External"/><Relationship Id="rId427" Type="http://schemas.openxmlformats.org/officeDocument/2006/relationships/hyperlink" Target="https://universidade.pipelovers.net/m/lessons/gestao-de-expectativas-com-pares-e-lideranca1769552324424?classId=3036" TargetMode="External"/><Relationship Id="rId422" Type="http://schemas.openxmlformats.org/officeDocument/2006/relationships/hyperlink" Target="https://universidade.pipelovers.net/m/lessons/lideranca-sob-pressao-como-manter-foco-e-equilibrio1769552324340?classId=3035" TargetMode="External"/><Relationship Id="rId421" Type="http://schemas.openxmlformats.org/officeDocument/2006/relationships/hyperlink" Target="https://universidade.pipelovers.net/m/lessons/crescimento-orientado-pela-experiencia-do-cliente1769552324183?classId=3030" TargetMode="External"/><Relationship Id="rId420" Type="http://schemas.openxmlformats.org/officeDocument/2006/relationships/hyperlink" Target="https://universidade.pipelovers.net/m/lessons/crescimento-orientado-pela-experiencia-do-cliente1769552324183?classId=3030" TargetMode="External"/><Relationship Id="rId415" Type="http://schemas.openxmlformats.org/officeDocument/2006/relationships/hyperlink" Target="https://universidade.pipelovers.net/m/lessons/email-como-canal-de-geracao-de-demanda1769552312874?classId=3032" TargetMode="External"/><Relationship Id="rId414" Type="http://schemas.openxmlformats.org/officeDocument/2006/relationships/hyperlink" Target="https://universidade.pipelovers.net/m/lessons/email-como-canal-de-geracao-de-demanda1769552312874?classId=3032" TargetMode="External"/><Relationship Id="rId413" Type="http://schemas.openxmlformats.org/officeDocument/2006/relationships/hyperlink" Target="https://universidade.pipelovers.net/m/lessons/indicadores-financeiros-que-todo-gestor-de-vendas-precisa-saber1769552312810?classId=3031" TargetMode="External"/><Relationship Id="rId412" Type="http://schemas.openxmlformats.org/officeDocument/2006/relationships/hyperlink" Target="https://universidade.pipelovers.net/m/lessons/indicadores-financeiros-que-todo-gestor-de-vendas-precisa-saber1769552312810?classId=3031" TargetMode="External"/><Relationship Id="rId419" Type="http://schemas.openxmlformats.org/officeDocument/2006/relationships/hyperlink" Target="https://universidade.pipelovers.net/m/lessons/como-construir-autoridade-e-confianca-com-contas-estrategicas1769552313019?classId=3034" TargetMode="External"/><Relationship Id="rId418" Type="http://schemas.openxmlformats.org/officeDocument/2006/relationships/hyperlink" Target="https://universidade.pipelovers.net/m/lessons/como-construir-autoridade-e-confianca-com-contas-estrategicas1769552313019?classId=3034" TargetMode="External"/><Relationship Id="rId417" Type="http://schemas.openxmlformats.org/officeDocument/2006/relationships/hyperlink" Target="https://universidade.pipelovers.net/m/lessons/escala-internacional-estrategia-comercial-e-da-marca1769552312939?classId=3033" TargetMode="External"/><Relationship Id="rId416" Type="http://schemas.openxmlformats.org/officeDocument/2006/relationships/hyperlink" Target="https://universidade.pipelovers.net/m/lessons/escala-internacional-estrategia-comercial-e-da-marca1769552312939?classId=3033" TargetMode="External"/><Relationship Id="rId411" Type="http://schemas.openxmlformats.org/officeDocument/2006/relationships/hyperlink" Target="https://universidade.pipelovers.net/m/lessons/inbound-na-pratica-estruturando-sua-maquina-de-vendas1769552312732?classId=3307" TargetMode="External"/><Relationship Id="rId410" Type="http://schemas.openxmlformats.org/officeDocument/2006/relationships/hyperlink" Target="https://universidade.pipelovers.net/m/lessons/inbound-na-pratica-estruturando-sua-maquina-de-vendas1769552312732?classId=3307" TargetMode="External"/><Relationship Id="rId448" Type="http://schemas.openxmlformats.org/officeDocument/2006/relationships/hyperlink" Target="https://universidade.pipelovers.net/m/lessons/thought-leadership-ads-estrategia-de-midia-paga-com-conteudo-executivo1769552324683?classId=3318" TargetMode="External"/><Relationship Id="rId447" Type="http://schemas.openxmlformats.org/officeDocument/2006/relationships/hyperlink" Target="https://universidade.pipelovers.net/m/lessons/thought-leadership-ads-estrategia-de-midia-paga-com-conteudo-executivo1769552324683?classId=3318" TargetMode="External"/><Relationship Id="rId446" Type="http://schemas.openxmlformats.org/officeDocument/2006/relationships/hyperlink" Target="https://www.linkedin.com/in/gpagotto/" TargetMode="External"/><Relationship Id="rId445" Type="http://schemas.openxmlformats.org/officeDocument/2006/relationships/hyperlink" Target="https://universidade.pipelovers.net/m/lessons/o-impacto-da-geracao-z-no-ecossistema-de-vendas-b2b1769552324656?classId=3317" TargetMode="External"/><Relationship Id="rId449" Type="http://schemas.openxmlformats.org/officeDocument/2006/relationships/hyperlink" Target="https://universidade.pipelovers.net/m/lessons/aprendizados-do-livro-antes-de-vender-desenhe-como-usar-o-visual-para-vender-melhor1769552324708?classId=3319" TargetMode="External"/><Relationship Id="rId440" Type="http://schemas.openxmlformats.org/officeDocument/2006/relationships/hyperlink" Target="https://universidade.pipelovers.net/m/lessons/como-a-experiencia-do-cliente-e-potencializada-pela-tecnologia1769552324589?classId=3315" TargetMode="External"/><Relationship Id="rId444" Type="http://schemas.openxmlformats.org/officeDocument/2006/relationships/hyperlink" Target="https://universidade.pipelovers.net/m/lessons/o-impacto-da-geracao-z-no-ecossistema-de-vendas-b2b1769552324656?classId=3317" TargetMode="External"/><Relationship Id="rId443" Type="http://schemas.openxmlformats.org/officeDocument/2006/relationships/hyperlink" Target="https://www.linkedin.com/in/rafaelgonttijo/" TargetMode="External"/><Relationship Id="rId442" Type="http://schemas.openxmlformats.org/officeDocument/2006/relationships/hyperlink" Target="https://universidade.pipelovers.net/m/lessons/prova-de-conceito-poc-quando-usar-como-alinhar-e-gerar-conversao1769552324626?classId=3316" TargetMode="External"/><Relationship Id="rId441" Type="http://schemas.openxmlformats.org/officeDocument/2006/relationships/hyperlink" Target="https://universidade.pipelovers.net/m/lessons/prova-de-conceito-poc-quando-usar-como-alinhar-e-gerar-conversao1769552324626?classId=3316" TargetMode="External"/><Relationship Id="rId437" Type="http://schemas.openxmlformats.org/officeDocument/2006/relationships/hyperlink" Target="https://universidade.pipelovers.net/m/lessons/desaprender-para-vender-como-aplicar-a-metodologia-sandler-no-dia-a-dia1769552324562?classId=3313" TargetMode="External"/><Relationship Id="rId436" Type="http://schemas.openxmlformats.org/officeDocument/2006/relationships/hyperlink" Target="https://universidade.pipelovers.net/m/lessons/otimizacao-de-processos-manuais-com-ia1769552324535?classId=3312" TargetMode="External"/><Relationship Id="rId435" Type="http://schemas.openxmlformats.org/officeDocument/2006/relationships/hyperlink" Target="https://universidade.pipelovers.net/m/lessons/otimizacao-de-processos-manuais-com-ia1769552324535?classId=3312" TargetMode="External"/><Relationship Id="rId434" Type="http://schemas.openxmlformats.org/officeDocument/2006/relationships/hyperlink" Target="https://universidade.pipelovers.net/m/lessons/teoria-da-evolucao-da-natureza-aplicada-a-vendas1769552324507?classId=3310" TargetMode="External"/><Relationship Id="rId439" Type="http://schemas.openxmlformats.org/officeDocument/2006/relationships/hyperlink" Target="https://universidade.pipelovers.net/m/lessons/como-a-experiencia-do-cliente-e-potencializada-pela-tecnologia1769552324589?classId=3315" TargetMode="External"/><Relationship Id="rId438" Type="http://schemas.openxmlformats.org/officeDocument/2006/relationships/hyperlink" Target="https://universidade.pipelovers.net/m/lessons/desaprender-para-vender-como-aplicar-a-metodologia-sandler-no-dia-a-dia1769552324562?classId=3313" TargetMode="External"/><Relationship Id="rId433" Type="http://schemas.openxmlformats.org/officeDocument/2006/relationships/hyperlink" Target="https://universidade.pipelovers.net/m/lessons/teoria-da-evolucao-da-natureza-aplicada-a-vendas1769552324507?classId=3310" TargetMode="External"/><Relationship Id="rId432" Type="http://schemas.openxmlformats.org/officeDocument/2006/relationships/hyperlink" Target="https://www.linkedin.com/in/gustavogadotti/" TargetMode="External"/><Relationship Id="rId431" Type="http://schemas.openxmlformats.org/officeDocument/2006/relationships/hyperlink" Target="https://universidade.pipelovers.net/m/lessons/o-papel-do-gestor-comercial-na-geracao-de-demanda1769552324479?classId=3309" TargetMode="External"/><Relationship Id="rId430" Type="http://schemas.openxmlformats.org/officeDocument/2006/relationships/hyperlink" Target="https://universidade.pipelovers.net/m/lessons/o-papel-do-gestor-comercial-na-geracao-de-demanda1769552324479?classId=3309" TargetMode="External"/></Relationships>
</file>

<file path=xl/worksheets/_rels/sheet5.xml.rels><?xml version="1.0" encoding="UTF-8" standalone="yes"?><Relationships xmlns="http://schemas.openxmlformats.org/package/2006/relationships"><Relationship Id="rId392" Type="http://schemas.openxmlformats.org/officeDocument/2006/relationships/hyperlink" Target="https://universidade.pipelovers.net/m/lessons/acelerando-fechamentos-no-inicio-do-ano1769552376164?classId=3647" TargetMode="External"/><Relationship Id="rId391" Type="http://schemas.openxmlformats.org/officeDocument/2006/relationships/hyperlink" Target="https://www.linkedin.com/in/gabriel-sbrasil/" TargetMode="External"/><Relationship Id="rId390" Type="http://schemas.openxmlformats.org/officeDocument/2006/relationships/hyperlink" Target="https://drive.google.com/file/d/1agWjKDKkvDpw4-6MDkyjQ9nzl63yovja/view?usp=drive_link" TargetMode="External"/><Relationship Id="rId1" Type="http://schemas.openxmlformats.org/officeDocument/2006/relationships/hyperlink" Target="https://square-help-401.notion.site/PipeLovers-Gest-o-de-Conte-dos-092a0245b45d4913bc546769f201f09c" TargetMode="External"/><Relationship Id="rId2" Type="http://schemas.openxmlformats.org/officeDocument/2006/relationships/hyperlink" Target="https://www.linkedin.com/in/thiago-reis-/" TargetMode="External"/><Relationship Id="rId3" Type="http://schemas.openxmlformats.org/officeDocument/2006/relationships/hyperlink" Target="https://universidade.pipelovers.net/m/lessons/carreira-e-crescimento-em-vendas-para-executivos-de-vendas1769552324735?classId=2703" TargetMode="External"/><Relationship Id="rId4" Type="http://schemas.openxmlformats.org/officeDocument/2006/relationships/hyperlink" Target="https://universidade.pipelovers.net/m/lessons/carreira-e-crescimento-em-vendas-para-executivos-de-vendas1769552324735?classId=2703" TargetMode="External"/><Relationship Id="rId9" Type="http://schemas.openxmlformats.org/officeDocument/2006/relationships/hyperlink" Target="https://universidade.pipelovers.net/m/lessons/estrategias-de-negociacao1769552324893?classId=3587" TargetMode="External"/><Relationship Id="rId385" Type="http://schemas.openxmlformats.org/officeDocument/2006/relationships/hyperlink" Target="https://universidade.pipelovers.net/m/lessons/tecnicas-de-oratoria-para-executivos-de-vendas1769552376065?classId=3571" TargetMode="External"/><Relationship Id="rId384" Type="http://schemas.openxmlformats.org/officeDocument/2006/relationships/hyperlink" Target="https://universidade.pipelovers.net/m/lessons/tecnicas-de-oratoria-para-executivos-de-vendas1769552376065?classId=3571" TargetMode="External"/><Relationship Id="rId383" Type="http://schemas.openxmlformats.org/officeDocument/2006/relationships/hyperlink" Target="https://www.linkedin.com/in/biakobal/" TargetMode="External"/><Relationship Id="rId382" Type="http://schemas.openxmlformats.org/officeDocument/2006/relationships/hyperlink" Target="https://drive.google.com/file/d/1P_2i1kDJogXG_DxhY8gvkuDNjkazeBuJ/view?usp=drive_link" TargetMode="External"/><Relationship Id="rId5" Type="http://schemas.openxmlformats.org/officeDocument/2006/relationships/hyperlink" Target="https://www.linkedin.com/in/marcellrosa/" TargetMode="External"/><Relationship Id="rId389" Type="http://schemas.openxmlformats.org/officeDocument/2006/relationships/hyperlink" Target="https://universidade.pipelovers.net/m/lessons/estrategias-para-aplicacao-de-descontos-comerciais1769552376115?classId=3648" TargetMode="External"/><Relationship Id="rId6" Type="http://schemas.openxmlformats.org/officeDocument/2006/relationships/hyperlink" Target="https://universidade.pipelovers.net/m/lessons/de-vendedor-a-vp-de-vendas1769552324867?classId=3586" TargetMode="External"/><Relationship Id="rId388" Type="http://schemas.openxmlformats.org/officeDocument/2006/relationships/hyperlink" Target="https://universidade.pipelovers.net/m/lessons/estrategias-para-aplicacao-de-descontos-comerciais1769552376115?classId=3648" TargetMode="External"/><Relationship Id="rId7" Type="http://schemas.openxmlformats.org/officeDocument/2006/relationships/hyperlink" Target="https://universidade.pipelovers.net/m/lessons/de-vendedor-a-vp-de-vendas1769552324867?classId=3586" TargetMode="External"/><Relationship Id="rId387" Type="http://schemas.openxmlformats.org/officeDocument/2006/relationships/hyperlink" Target="https://www.linkedin.com/in/pedro-henrique-alves-872b0245/" TargetMode="External"/><Relationship Id="rId8" Type="http://schemas.openxmlformats.org/officeDocument/2006/relationships/hyperlink" Target="https://www.linkedin.com/in/thaisa-cesar-fausto/" TargetMode="External"/><Relationship Id="rId386" Type="http://schemas.openxmlformats.org/officeDocument/2006/relationships/hyperlink" Target="https://drive.google.com/file/d/1aXmSTzQ0IE4MxT1fDb7gutqAtsf4h4GO/view?usp=drive_link" TargetMode="External"/><Relationship Id="rId381" Type="http://schemas.openxmlformats.org/officeDocument/2006/relationships/hyperlink" Target="https://universidade.pipelovers.net/m/lessons/como-fortalecer-sua-marca-pessoal-no-linkedin1769552375801?classId=3649" TargetMode="External"/><Relationship Id="rId380" Type="http://schemas.openxmlformats.org/officeDocument/2006/relationships/hyperlink" Target="https://universidade.pipelovers.net/m/lessons/como-fortalecer-sua-marca-pessoal-no-linkedin1769552375801?classId=3649" TargetMode="External"/><Relationship Id="rId379" Type="http://schemas.openxmlformats.org/officeDocument/2006/relationships/hyperlink" Target="https://www.linkedin.com/in/bonaroti/" TargetMode="External"/><Relationship Id="rId374" Type="http://schemas.openxmlformats.org/officeDocument/2006/relationships/hyperlink" Target="https://drive.google.com/file/d/1LjI-lGaBxKjqh7pMNrGtyR2ZqBIVy__e/view?usp=drive_link" TargetMode="External"/><Relationship Id="rId373" Type="http://schemas.openxmlformats.org/officeDocument/2006/relationships/hyperlink" Target="https://universidade.pipelovers.net/m/lessons/consistencia-em-resultados-como-ter-previsibilidade-para-bater-metas1769552368647?classId=3651" TargetMode="External"/><Relationship Id="rId372" Type="http://schemas.openxmlformats.org/officeDocument/2006/relationships/hyperlink" Target="https://universidade.pipelovers.net/m/lessons/consistencia-em-resultados-como-ter-previsibilidade-para-bater-metas1769552368647?classId=3651" TargetMode="External"/><Relationship Id="rId371" Type="http://schemas.openxmlformats.org/officeDocument/2006/relationships/hyperlink" Target="https://www.linkedin.com/in/henrique-carrer/" TargetMode="External"/><Relationship Id="rId378" Type="http://schemas.openxmlformats.org/officeDocument/2006/relationships/hyperlink" Target="https://drive.google.com/file/d/1hhbK64FGtdKVG-aVvU-_9G4ulFknA0yC/view?usp=drive_link" TargetMode="External"/><Relationship Id="rId377" Type="http://schemas.openxmlformats.org/officeDocument/2006/relationships/hyperlink" Target="https://universidade.pipelovers.net/m/lessons/como-influenciar-a-percepcao-de-valor-do-cliente1769552368711?classId=3650" TargetMode="External"/><Relationship Id="rId376" Type="http://schemas.openxmlformats.org/officeDocument/2006/relationships/hyperlink" Target="https://universidade.pipelovers.net/m/lessons/como-influenciar-a-percepcao-de-valor-do-cliente1769552368711?classId=3650" TargetMode="External"/><Relationship Id="rId375" Type="http://schemas.openxmlformats.org/officeDocument/2006/relationships/hyperlink" Target="https://www.linkedin.com/in/elderjascolka/" TargetMode="External"/><Relationship Id="rId396" Type="http://schemas.openxmlformats.org/officeDocument/2006/relationships/hyperlink" Target="https://universidade.pipelovers.net/m/lessons/gatilhos-para-upsell-e-cross-sell-na-jornada-do-cliente1769552376252?classId=3645" TargetMode="External"/><Relationship Id="rId395" Type="http://schemas.openxmlformats.org/officeDocument/2006/relationships/hyperlink" Target="https://www.linkedin.com/in/marianaassis/" TargetMode="External"/><Relationship Id="rId394" Type="http://schemas.openxmlformats.org/officeDocument/2006/relationships/hyperlink" Target="https://drive.google.com/file/d/1ECIf7wPJ7gfZZ_CKF97AEg1ZC0VAVxRz/view?usp=drive_link" TargetMode="External"/><Relationship Id="rId393" Type="http://schemas.openxmlformats.org/officeDocument/2006/relationships/hyperlink" Target="https://universidade.pipelovers.net/m/lessons/acelerando-fechamentos-no-inicio-do-ano1769552376164?classId=3647" TargetMode="External"/><Relationship Id="rId399" Type="http://schemas.openxmlformats.org/officeDocument/2006/relationships/hyperlink" Target="https://www.linkedin.com/in/pamelagottschalk/" TargetMode="External"/><Relationship Id="rId398" Type="http://schemas.openxmlformats.org/officeDocument/2006/relationships/hyperlink" Target="https://drive.google.com/file/d/1vH3Lrl2olMfOII1kWmL7rdDYlejYr8av/view?usp=drive_link" TargetMode="External"/><Relationship Id="rId397" Type="http://schemas.openxmlformats.org/officeDocument/2006/relationships/hyperlink" Target="https://universidade.pipelovers.net/m/lessons/gatilhos-para-upsell-e-cross-sell-na-jornada-do-cliente1769552376252?classId=3645" TargetMode="External"/><Relationship Id="rId40" Type="http://schemas.openxmlformats.org/officeDocument/2006/relationships/hyperlink" Target="https://www.linkedin.com/in/borjacastelar/" TargetMode="External"/><Relationship Id="rId42" Type="http://schemas.openxmlformats.org/officeDocument/2006/relationships/hyperlink" Target="https://universidade.pipelovers.net/m/lessons/o-melhor-vendedor-do-mundo-no-linkedin1769552328127?classId=3679" TargetMode="External"/><Relationship Id="rId41" Type="http://schemas.openxmlformats.org/officeDocument/2006/relationships/hyperlink" Target="https://universidade.pipelovers.net/m/lessons/o-melhor-vendedor-do-mundo-no-linkedin1769552328127?classId=3679" TargetMode="External"/><Relationship Id="rId44" Type="http://schemas.openxmlformats.org/officeDocument/2006/relationships/hyperlink" Target="https://www.linkedin.com/in/marcosdocanto/" TargetMode="External"/><Relationship Id="rId43" Type="http://schemas.openxmlformats.org/officeDocument/2006/relationships/hyperlink" Target="https://drive.google.com/file/d/1YdXvfWqYlPaQpZNd4aKAlkgAOwbyGaVj/view?usp=drive_link" TargetMode="External"/><Relationship Id="rId46" Type="http://schemas.openxmlformats.org/officeDocument/2006/relationships/hyperlink" Target="https://universidade.pipelovers.net/m/lessons/inteligencia-artificial-para-vendedores1769552328155?classId=3595" TargetMode="External"/><Relationship Id="rId45" Type="http://schemas.openxmlformats.org/officeDocument/2006/relationships/hyperlink" Target="https://universidade.pipelovers.net/m/lessons/inteligencia-artificial-para-vendedores1769552328155?classId=3595" TargetMode="External"/><Relationship Id="rId48" Type="http://schemas.openxmlformats.org/officeDocument/2006/relationships/hyperlink" Target="https://www.linkedin.com/in/v-pagotto/" TargetMode="External"/><Relationship Id="rId47" Type="http://schemas.openxmlformats.org/officeDocument/2006/relationships/hyperlink" Target="https://drive.google.com/file/d/1rQR8mcKpmOxkIj4BVM2OdYgIrscah3IE/view?usp=drive_link" TargetMode="External"/><Relationship Id="rId49" Type="http://schemas.openxmlformats.org/officeDocument/2006/relationships/hyperlink" Target="https://universidade.pipelovers.net/m/lessons/construindo-relacionamento-de-confianca-com-o-cliente1769552328181?classId=3596" TargetMode="External"/><Relationship Id="rId31" Type="http://schemas.openxmlformats.org/officeDocument/2006/relationships/hyperlink" Target="https://drive.google.com/file/d/1XATeggYCDSDaFml5xQxZyQ7-sjpCqj4R/view?usp=drive_link" TargetMode="External"/><Relationship Id="rId30" Type="http://schemas.openxmlformats.org/officeDocument/2006/relationships/hyperlink" Target="https://universidade.pipelovers.net/m/lessons/como-provar-valor-ao-cliente1769552325063?classId=3592" TargetMode="External"/><Relationship Id="rId33" Type="http://schemas.openxmlformats.org/officeDocument/2006/relationships/hyperlink" Target="https://universidade.pipelovers.net/m/lessons/gerenciando-vendas-complexas1769552328060?classId=3593" TargetMode="External"/><Relationship Id="rId32" Type="http://schemas.openxmlformats.org/officeDocument/2006/relationships/hyperlink" Target="https://www.linkedin.com/in/fabianocorreia/" TargetMode="External"/><Relationship Id="rId35" Type="http://schemas.openxmlformats.org/officeDocument/2006/relationships/hyperlink" Target="https://drive.google.com/file/d/1XnKtbFflaK1Ltbko_YsV0TvPDy3-GPy3/view?usp=drive_link" TargetMode="External"/><Relationship Id="rId34" Type="http://schemas.openxmlformats.org/officeDocument/2006/relationships/hyperlink" Target="https://universidade.pipelovers.net/m/lessons/gerenciando-vendas-complexas1769552328060?classId=3593" TargetMode="External"/><Relationship Id="rId37" Type="http://schemas.openxmlformats.org/officeDocument/2006/relationships/hyperlink" Target="https://universidade.pipelovers.net/m/lessons/funil-de-vendas-porta-a-porta1769552328092?classId=3594" TargetMode="External"/><Relationship Id="rId36" Type="http://schemas.openxmlformats.org/officeDocument/2006/relationships/hyperlink" Target="https://www.linkedin.com/in/fernando-baldan/" TargetMode="External"/><Relationship Id="rId39" Type="http://schemas.openxmlformats.org/officeDocument/2006/relationships/hyperlink" Target="https://drive.google.com/file/d/1xekoux1poIpTVRYb5nGFSq0b_WQmHoNb/view?usp=drive_link" TargetMode="External"/><Relationship Id="rId38" Type="http://schemas.openxmlformats.org/officeDocument/2006/relationships/hyperlink" Target="https://universidade.pipelovers.net/m/lessons/funil-de-vendas-porta-a-porta1769552328092?classId=3594" TargetMode="External"/><Relationship Id="rId20" Type="http://schemas.openxmlformats.org/officeDocument/2006/relationships/hyperlink" Target="https://www.linkedin.com/in/alanschultelinkedin/" TargetMode="External"/><Relationship Id="rId22" Type="http://schemas.openxmlformats.org/officeDocument/2006/relationships/hyperlink" Target="https://universidade.pipelovers.net/m/lessons/vendas-para-grandes-contas1769552324984?classId=3590" TargetMode="External"/><Relationship Id="rId21" Type="http://schemas.openxmlformats.org/officeDocument/2006/relationships/hyperlink" Target="https://universidade.pipelovers.net/m/lessons/vendas-para-grandes-contas1769552324984?classId=3590" TargetMode="External"/><Relationship Id="rId24" Type="http://schemas.openxmlformats.org/officeDocument/2006/relationships/hyperlink" Target="https://www.linkedin.com/in/brunnaremorborghezan/" TargetMode="External"/><Relationship Id="rId23" Type="http://schemas.openxmlformats.org/officeDocument/2006/relationships/hyperlink" Target="https://drive.google.com/file/d/1vnfHe2Qc17gdbznuDxlH5jIdn-ZshXnK/view?usp=drive_link" TargetMode="External"/><Relationship Id="rId26" Type="http://schemas.openxmlformats.org/officeDocument/2006/relationships/hyperlink" Target="https://universidade.pipelovers.net/m/lessons/o-papel-do-vendedor-especialista1769552325022?classId=3591" TargetMode="External"/><Relationship Id="rId25" Type="http://schemas.openxmlformats.org/officeDocument/2006/relationships/hyperlink" Target="https://universidade.pipelovers.net/m/lessons/o-papel-do-vendedor-especialista1769552325022?classId=3591" TargetMode="External"/><Relationship Id="rId28" Type="http://schemas.openxmlformats.org/officeDocument/2006/relationships/hyperlink" Target="https://www.linkedin.com/in/beatrizpadrao/" TargetMode="External"/><Relationship Id="rId27" Type="http://schemas.openxmlformats.org/officeDocument/2006/relationships/hyperlink" Target="https://drive.google.com/file/d/1cWYNV-r9bKl5wD32N96HQyiD-GuXQQZT/view?usp=drive_link" TargetMode="External"/><Relationship Id="rId29" Type="http://schemas.openxmlformats.org/officeDocument/2006/relationships/hyperlink" Target="https://universidade.pipelovers.net/m/lessons/como-provar-valor-ao-cliente1769552325063?classId=3592" TargetMode="External"/><Relationship Id="rId11" Type="http://schemas.openxmlformats.org/officeDocument/2006/relationships/hyperlink" Target="https://drive.google.com/file/d/1nRY49bKvs483aFhX6_VfsBEQjwgy6CNA/view?usp=drive_link" TargetMode="External"/><Relationship Id="rId10" Type="http://schemas.openxmlformats.org/officeDocument/2006/relationships/hyperlink" Target="https://universidade.pipelovers.net/m/lessons/estrategias-de-negociacao1769552324893?classId=3587" TargetMode="External"/><Relationship Id="rId13" Type="http://schemas.openxmlformats.org/officeDocument/2006/relationships/hyperlink" Target="https://universidade.pipelovers.net/m/lessons/vendendo-produtos-lideres-de-mercado1769552324928?classId=3588" TargetMode="External"/><Relationship Id="rId12" Type="http://schemas.openxmlformats.org/officeDocument/2006/relationships/hyperlink" Target="https://www.linkedin.com/in/ricardo-dellova-5085427/" TargetMode="External"/><Relationship Id="rId15" Type="http://schemas.openxmlformats.org/officeDocument/2006/relationships/hyperlink" Target="https://drive.google.com/file/d/1w0D3Z3JWdjKFTIcJmoWEG1v-v7yHJ8ix/view?usp=drive_link" TargetMode="External"/><Relationship Id="rId14" Type="http://schemas.openxmlformats.org/officeDocument/2006/relationships/hyperlink" Target="https://universidade.pipelovers.net/m/lessons/vendendo-produtos-lideres-de-mercado1769552324928?classId=3588" TargetMode="External"/><Relationship Id="rId17" Type="http://schemas.openxmlformats.org/officeDocument/2006/relationships/hyperlink" Target="https://universidade.pipelovers.net/m/lessons/cross-selling-e-up-selling1769552324956?classId=3589" TargetMode="External"/><Relationship Id="rId16" Type="http://schemas.openxmlformats.org/officeDocument/2006/relationships/hyperlink" Target="https://www.linkedin.com/in/talitapassos/" TargetMode="External"/><Relationship Id="rId19" Type="http://schemas.openxmlformats.org/officeDocument/2006/relationships/hyperlink" Target="https://drive.google.com/file/d/1ibZt276CeRw0AYS6zlAnUvGDKxO6xCgh/view?usp=drive_link" TargetMode="External"/><Relationship Id="rId18" Type="http://schemas.openxmlformats.org/officeDocument/2006/relationships/hyperlink" Target="https://universidade.pipelovers.net/m/lessons/cross-selling-e-up-selling1769552324956?classId=3589" TargetMode="External"/><Relationship Id="rId84" Type="http://schemas.openxmlformats.org/officeDocument/2006/relationships/hyperlink" Target="https://www.linkedin.com/in/caraujo-ecomm/" TargetMode="External"/><Relationship Id="rId83" Type="http://schemas.openxmlformats.org/officeDocument/2006/relationships/hyperlink" Target="https://drive.google.com/file/d/1ui47Iu0PTs5KiYIKNiaN8vAudQDof9ma/view?usp=drive_link" TargetMode="External"/><Relationship Id="rId86" Type="http://schemas.openxmlformats.org/officeDocument/2006/relationships/hyperlink" Target="https://universidade.pipelovers.net/m/lessons/o-impacto-do-ecommerce-b2b-para-vendedores1769552334177?moduleId=1014&amp;classId=3604" TargetMode="External"/><Relationship Id="rId85" Type="http://schemas.openxmlformats.org/officeDocument/2006/relationships/hyperlink" Target="https://universidade.pipelovers.net/m/lessons/o-impacto-do-ecommerce-b2b-para-vendedores1769552334177?classId=3604" TargetMode="External"/><Relationship Id="rId88" Type="http://schemas.openxmlformats.org/officeDocument/2006/relationships/hyperlink" Target="https://www.linkedin.com/in/helioazevedo/" TargetMode="External"/><Relationship Id="rId87" Type="http://schemas.openxmlformats.org/officeDocument/2006/relationships/hyperlink" Target="https://drive.google.com/file/d/1Dv3NHPFXj0f3qEAo9RkSlx9DNuLB6onE/view?usp=drive_link" TargetMode="External"/><Relationship Id="rId89" Type="http://schemas.openxmlformats.org/officeDocument/2006/relationships/hyperlink" Target="https://universidade.pipelovers.net/m/lessons/escolhendo-sua-metodologia-de-vendas1769552334242?classId=3624" TargetMode="External"/><Relationship Id="rId80" Type="http://schemas.openxmlformats.org/officeDocument/2006/relationships/hyperlink" Target="https://www.linkedin.com/in/rodrigomdeoliveira/" TargetMode="External"/><Relationship Id="rId82" Type="http://schemas.openxmlformats.org/officeDocument/2006/relationships/hyperlink" Target="https://universidade.pipelovers.net/m/lessons/autogestao-com-metas-de-execucao1769552334079?classId=3603" TargetMode="External"/><Relationship Id="rId81" Type="http://schemas.openxmlformats.org/officeDocument/2006/relationships/hyperlink" Target="https://universidade.pipelovers.net/m/lessons/autogestao-com-metas-de-execucao1769552334079?classId=3603" TargetMode="External"/><Relationship Id="rId73" Type="http://schemas.openxmlformats.org/officeDocument/2006/relationships/hyperlink" Target="https://universidade.pipelovers.net/m/lessons/qualificacao-de-oportunidades1769552333940?classId=3602" TargetMode="External"/><Relationship Id="rId72" Type="http://schemas.openxmlformats.org/officeDocument/2006/relationships/hyperlink" Target="https://www.linkedin.com/in/eugusouza/" TargetMode="External"/><Relationship Id="rId75" Type="http://schemas.openxmlformats.org/officeDocument/2006/relationships/hyperlink" Target="https://drive.google.com/file/d/11wMV1qBwK_d_LpO8OGN0HRElAYktCWaB/view?usp=drive_link" TargetMode="External"/><Relationship Id="rId74" Type="http://schemas.openxmlformats.org/officeDocument/2006/relationships/hyperlink" Target="https://universidade.pipelovers.net/m/lessons/qualificacao-de-oportunidades1769552333940?classId=3602" TargetMode="External"/><Relationship Id="rId77" Type="http://schemas.openxmlformats.org/officeDocument/2006/relationships/hyperlink" Target="https://universidade.pipelovers.net/m/lessons/top-performers-habitos-rotinas-e-atitudes-de-vendedores-que-batem-meta1769552334011?classId=3572" TargetMode="External"/><Relationship Id="rId76" Type="http://schemas.openxmlformats.org/officeDocument/2006/relationships/hyperlink" Target="https://www.linkedin.com/in/coelhofarc/" TargetMode="External"/><Relationship Id="rId79" Type="http://schemas.openxmlformats.org/officeDocument/2006/relationships/hyperlink" Target="https://drive.google.com/file/d/1Cu02dvWdb_BNjckBoNxbj9bbXrk8mHzY/view?usp=drive_link" TargetMode="External"/><Relationship Id="rId78" Type="http://schemas.openxmlformats.org/officeDocument/2006/relationships/hyperlink" Target="https://universidade.pipelovers.net/m/lessons/top-performers-habitos-rotinas-e-atitudes-de-vendedores-que-batem-meta1769552334011?classId=3572" TargetMode="External"/><Relationship Id="rId71" Type="http://schemas.openxmlformats.org/officeDocument/2006/relationships/hyperlink" Target="https://drive.google.com/file/d/1L6gZb8U7prUDzu3eUH0qS_FuyGwf5uQ7/view?usp=drive_link" TargetMode="External"/><Relationship Id="rId70" Type="http://schemas.openxmlformats.org/officeDocument/2006/relationships/hyperlink" Target="https://universidade.pipelovers.net/m/lessons/white-spaces-e-priorizacao-de-portfolio1769552333856?classId=3601" TargetMode="External"/><Relationship Id="rId62" Type="http://schemas.openxmlformats.org/officeDocument/2006/relationships/hyperlink" Target="https://universidade.pipelovers.net/m/lessons/vendas-tecnicas-para-vendedores-generalistas1769552333569?classId=3599" TargetMode="External"/><Relationship Id="rId61" Type="http://schemas.openxmlformats.org/officeDocument/2006/relationships/hyperlink" Target="https://universidade.pipelovers.net/m/lessons/vendas-tecnicas-para-vendedores-generalistas1769552333569?classId=3599" TargetMode="External"/><Relationship Id="rId64" Type="http://schemas.openxmlformats.org/officeDocument/2006/relationships/hyperlink" Target="https://www.linkedin.com/in/cirofalcao/" TargetMode="External"/><Relationship Id="rId63" Type="http://schemas.openxmlformats.org/officeDocument/2006/relationships/hyperlink" Target="https://drive.google.com/file/d/1_1a-Qag8dRzcIQSU97O9A9aS6ZAXzOBN/view?usp=drive_link" TargetMode="External"/><Relationship Id="rId66" Type="http://schemas.openxmlformats.org/officeDocument/2006/relationships/hyperlink" Target="https://universidade.pipelovers.net/aulas/motivacao-em-pre-vendas-como-descobrir-o-que-sustenta-sua-alta-performance-1775685383496" TargetMode="External"/><Relationship Id="rId65" Type="http://schemas.openxmlformats.org/officeDocument/2006/relationships/hyperlink" Target="https://universidade.pipelovers.net/aulas/motivacao-em-pre-vendas-como-descobrir-o-que-sustenta-sua-alta-performance-1775685383496" TargetMode="External"/><Relationship Id="rId68" Type="http://schemas.openxmlformats.org/officeDocument/2006/relationships/hyperlink" Target="https://www.linkedin.com/in/vinicius-vilela-vieira/" TargetMode="External"/><Relationship Id="rId67" Type="http://schemas.openxmlformats.org/officeDocument/2006/relationships/hyperlink" Target="https://drive.google.com/file/d/19BSbEUi5ANmguOp5jP4-mXn1ZVBBfa14/view?usp=drive_link" TargetMode="External"/><Relationship Id="rId60" Type="http://schemas.openxmlformats.org/officeDocument/2006/relationships/hyperlink" Target="https://www.linkedin.com/in/felipepervelli/" TargetMode="External"/><Relationship Id="rId69" Type="http://schemas.openxmlformats.org/officeDocument/2006/relationships/hyperlink" Target="https://universidade.pipelovers.net/m/lessons/white-spaces-e-priorizacao-de-portfolio1769552333856?classId=3601" TargetMode="External"/><Relationship Id="rId51" Type="http://schemas.openxmlformats.org/officeDocument/2006/relationships/hyperlink" Target="https://drive.google.com/file/d/1jv5BjmU-pknBrAiDxp6Hih24NnzbRkFE/view?usp=drive_link" TargetMode="External"/><Relationship Id="rId50" Type="http://schemas.openxmlformats.org/officeDocument/2006/relationships/hyperlink" Target="https://universidade.pipelovers.net/m/lessons/construindo-relacionamento-de-confianca-com-o-cliente1769552328181?classId=3596" TargetMode="External"/><Relationship Id="rId53" Type="http://schemas.openxmlformats.org/officeDocument/2006/relationships/hyperlink" Target="https://universidade.pipelovers.net/m/lessons/priorizacao-de-carteira-de-clientes1769552328210?classId=3597" TargetMode="External"/><Relationship Id="rId52" Type="http://schemas.openxmlformats.org/officeDocument/2006/relationships/hyperlink" Target="https://www.linkedin.com/in/joaodamatta/" TargetMode="External"/><Relationship Id="rId55" Type="http://schemas.openxmlformats.org/officeDocument/2006/relationships/hyperlink" Target="https://drive.google.com/file/d/11PTrhSjgp71nUssBTJWFOlHYw4i4YjF-/view?usp=drive_link" TargetMode="External"/><Relationship Id="rId54" Type="http://schemas.openxmlformats.org/officeDocument/2006/relationships/hyperlink" Target="https://universidade.pipelovers.net/m/lessons/priorizacao-de-carteira-de-clientes1769552328210?classId=3597" TargetMode="External"/><Relationship Id="rId57" Type="http://schemas.openxmlformats.org/officeDocument/2006/relationships/hyperlink" Target="https://universidade.pipelovers.net/m/lessons/engenharia-de-valor-para-provar-roi1769552328262?classId=3598" TargetMode="External"/><Relationship Id="rId56" Type="http://schemas.openxmlformats.org/officeDocument/2006/relationships/hyperlink" Target="https://www.linkedin.com/in/marcosmylius/" TargetMode="External"/><Relationship Id="rId59" Type="http://schemas.openxmlformats.org/officeDocument/2006/relationships/hyperlink" Target="https://drive.google.com/file/d/1AiUiYE4XKGa-Nh7m8QDQh_vVED8sTvd-/view?usp=drive_link" TargetMode="External"/><Relationship Id="rId58" Type="http://schemas.openxmlformats.org/officeDocument/2006/relationships/hyperlink" Target="https://universidade.pipelovers.net/m/lessons/engenharia-de-valor-para-provar-roi1769552328262?classId=3598" TargetMode="External"/><Relationship Id="rId349" Type="http://schemas.openxmlformats.org/officeDocument/2006/relationships/hyperlink" Target="https://universidade.pipelovers.net/m/lessons/caracteristicas-em-comum-dos-melhores-vendedores1769552365701?classId=3656" TargetMode="External"/><Relationship Id="rId348" Type="http://schemas.openxmlformats.org/officeDocument/2006/relationships/hyperlink" Target="https://universidade.pipelovers.net/m/lessons/caracteristicas-em-comum-dos-melhores-vendedores1769552365701?classId=3656" TargetMode="External"/><Relationship Id="rId347" Type="http://schemas.openxmlformats.org/officeDocument/2006/relationships/hyperlink" Target="https://www.linkedin.com/in/octavio-garbi/" TargetMode="External"/><Relationship Id="rId346" Type="http://schemas.openxmlformats.org/officeDocument/2006/relationships/hyperlink" Target="https://drive.google.com/file/d/1FSEOeHMUlATTm4_h7wzo1ltXe3QWrMMv/view?usp=drive_link" TargetMode="External"/><Relationship Id="rId341" Type="http://schemas.openxmlformats.org/officeDocument/2006/relationships/hyperlink" Target="https://universidade.pipelovers.net/m/lessons/blockchain-e-crypto-como-isso-ira-transformar-vendas-b2b1769552365640?classId=3658" TargetMode="External"/><Relationship Id="rId340" Type="http://schemas.openxmlformats.org/officeDocument/2006/relationships/hyperlink" Target="https://universidade.pipelovers.net/m/lessons/blockchain-e-crypto-como-isso-ira-transformar-vendas-b2b1769552365640?classId=3658" TargetMode="External"/><Relationship Id="rId345" Type="http://schemas.openxmlformats.org/officeDocument/2006/relationships/hyperlink" Target="https://universidade.pipelovers.net/m/lessons/criacao-de-um-territory-plan1769552365670?classId=3657" TargetMode="External"/><Relationship Id="rId344" Type="http://schemas.openxmlformats.org/officeDocument/2006/relationships/hyperlink" Target="https://universidade.pipelovers.net/m/lessons/criacao-de-um-territory-plan1769552365670?classId=3657" TargetMode="External"/><Relationship Id="rId343" Type="http://schemas.openxmlformats.org/officeDocument/2006/relationships/hyperlink" Target="https://www.linkedin.com/in/edusmattos/" TargetMode="External"/><Relationship Id="rId342" Type="http://schemas.openxmlformats.org/officeDocument/2006/relationships/hyperlink" Target="https://drive.google.com/file/d/1ngaAA3ZYnx5cIs59KP67yJzSiVNcqIrP/view?usp=drive_link" TargetMode="External"/><Relationship Id="rId338" Type="http://schemas.openxmlformats.org/officeDocument/2006/relationships/hyperlink" Target="https://drive.google.com/file/d/12U2jDjxVdC5iK0DAH-Yp-QNI8knMz4J1/view?usp=drive_link" TargetMode="External"/><Relationship Id="rId337" Type="http://schemas.openxmlformats.org/officeDocument/2006/relationships/hyperlink" Target="https://universidade.pipelovers.net/m/lessons/melhores-praticas-de-role-plays-e-simulacoes-de-venda1769552365588?classId=3659" TargetMode="External"/><Relationship Id="rId336" Type="http://schemas.openxmlformats.org/officeDocument/2006/relationships/hyperlink" Target="https://universidade.pipelovers.net/m/lessons/melhores-praticas-de-role-plays-e-simulacoes-de-venda1769552365588?classId=3659" TargetMode="External"/><Relationship Id="rId335" Type="http://schemas.openxmlformats.org/officeDocument/2006/relationships/hyperlink" Target="https://www.linkedin.com/in/raquelavelar/" TargetMode="External"/><Relationship Id="rId339" Type="http://schemas.openxmlformats.org/officeDocument/2006/relationships/hyperlink" Target="https://www.linkedin.com/in/fmsoul/" TargetMode="External"/><Relationship Id="rId330" Type="http://schemas.openxmlformats.org/officeDocument/2006/relationships/hyperlink" Target="https://drive.google.com/file/d/17j1KtaBDNlNYWRtnl4p0JplJeAFfp391/view?usp=drive_link" TargetMode="External"/><Relationship Id="rId334" Type="http://schemas.openxmlformats.org/officeDocument/2006/relationships/hyperlink" Target="https://drive.google.com/file/d/1htQxQ45GBFqdSPZrHBYEq_Q87g8-xLYO/view?usp=drive_link" TargetMode="External"/><Relationship Id="rId333" Type="http://schemas.openxmlformats.org/officeDocument/2006/relationships/hyperlink" Target="https://universidade.pipelovers.net/m/lessons/segmento-de-servicos-dores-e-oportunidades-do-setor1769552365538?classId=3660" TargetMode="External"/><Relationship Id="rId332" Type="http://schemas.openxmlformats.org/officeDocument/2006/relationships/hyperlink" Target="https://universidade.pipelovers.net/m/lessons/segmento-de-servicos-dores-e-oportunidades-do-setor1769552365538?classId=3660" TargetMode="External"/><Relationship Id="rId331" Type="http://schemas.openxmlformats.org/officeDocument/2006/relationships/hyperlink" Target="https://www.linkedin.com/in/albertolopes/" TargetMode="External"/><Relationship Id="rId370" Type="http://schemas.openxmlformats.org/officeDocument/2006/relationships/hyperlink" Target="https://drive.google.com/file/d/1kg6PpAmSi-6HAobs-ksYqT0wnisV4E4R/view?usp=drive_link" TargetMode="External"/><Relationship Id="rId369" Type="http://schemas.openxmlformats.org/officeDocument/2006/relationships/hyperlink" Target="https://universidade.pipelovers.net/m/lessons/desafios-comerciais-do-interior1769552368611?classId=3652" TargetMode="External"/><Relationship Id="rId368" Type="http://schemas.openxmlformats.org/officeDocument/2006/relationships/hyperlink" Target="https://universidade.pipelovers.net/m/lessons/desafios-comerciais-do-interior1769552368611?classId=3652" TargetMode="External"/><Relationship Id="rId363" Type="http://schemas.openxmlformats.org/officeDocument/2006/relationships/hyperlink" Target="https://www.linkedin.com/in/gpagotto/" TargetMode="External"/><Relationship Id="rId362" Type="http://schemas.openxmlformats.org/officeDocument/2006/relationships/hyperlink" Target="https://drive.google.com/file/d/1XK-iKq5Plh3j8SEPqoRSYVhkUuWfx0Hw/view?usp=drive_link" TargetMode="External"/><Relationship Id="rId361" Type="http://schemas.openxmlformats.org/officeDocument/2006/relationships/hyperlink" Target="https://universidade.pipelovers.net/m/lessons/como-se-preparar-para-suas-reunioes-comerciais-usando-ia1769552368528?classId=3653" TargetMode="External"/><Relationship Id="rId360" Type="http://schemas.openxmlformats.org/officeDocument/2006/relationships/hyperlink" Target="https://universidade.pipelovers.net/m/lessons/como-se-preparar-para-suas-reunioes-comerciais-usando-ia1769552368528?classId=3653" TargetMode="External"/><Relationship Id="rId367" Type="http://schemas.openxmlformats.org/officeDocument/2006/relationships/hyperlink" Target="https://www.linkedin.com/in/jandreynogueira/" TargetMode="External"/><Relationship Id="rId366" Type="http://schemas.openxmlformats.org/officeDocument/2006/relationships/hyperlink" Target="https://drive.google.com/file/d/1pWIC9wAgARv5cMHcraPbzw7_0EsKI8Jx/view?usp=drive_link" TargetMode="External"/><Relationship Id="rId365" Type="http://schemas.openxmlformats.org/officeDocument/2006/relationships/hyperlink" Target="https://universidade.pipelovers.net/m/lessons/rd-summit-2024-niveis-de-maturidade-em-vendas-b2b1769552060152?classId=3026" TargetMode="External"/><Relationship Id="rId364" Type="http://schemas.openxmlformats.org/officeDocument/2006/relationships/hyperlink" Target="https://universidade.pipelovers.net/m/lessons/rd-summit-2024-niveis-de-maturidade-em-vendas-b2b1769552060152?classId=3026" TargetMode="External"/><Relationship Id="rId95" Type="http://schemas.openxmlformats.org/officeDocument/2006/relationships/hyperlink" Target="https://drive.google.com/file/d/1vYQcR3lIQ4uqQktV29gFYETbNrPrQ-aK/view?usp=drive_link" TargetMode="External"/><Relationship Id="rId94" Type="http://schemas.openxmlformats.org/officeDocument/2006/relationships/hyperlink" Target="https://universidade.pipelovers.net/m/lessons/usando-o-crm-para-gestao-de-tempo1769552334326?classId=3605" TargetMode="External"/><Relationship Id="rId97" Type="http://schemas.openxmlformats.org/officeDocument/2006/relationships/hyperlink" Target="https://universidade.pipelovers.net/m/lessons/a-nova-era-das-vendas-sociais1769552334377?classId=3625" TargetMode="External"/><Relationship Id="rId96" Type="http://schemas.openxmlformats.org/officeDocument/2006/relationships/hyperlink" Target="https://www.linkedin.com/in/fernandanascimentow/" TargetMode="External"/><Relationship Id="rId99" Type="http://schemas.openxmlformats.org/officeDocument/2006/relationships/hyperlink" Target="https://drive.google.com/file/d/1-JWKAYy5L9i8g8Echp_AVzNWAcvhwlBq/view?usp=drive_link" TargetMode="External"/><Relationship Id="rId98" Type="http://schemas.openxmlformats.org/officeDocument/2006/relationships/hyperlink" Target="https://universidade.pipelovers.net/m/lessons/a-nova-era-das-vendas-sociais1769552334377?classId=3625" TargetMode="External"/><Relationship Id="rId91" Type="http://schemas.openxmlformats.org/officeDocument/2006/relationships/hyperlink" Target="https://drive.google.com/file/d/12xH2_jtwi2pj0DBcUdyk2TvBaBrAvtuo/view?usp=drive_link" TargetMode="External"/><Relationship Id="rId90" Type="http://schemas.openxmlformats.org/officeDocument/2006/relationships/hyperlink" Target="https://universidade.pipelovers.net/m/lessons/escolhendo-sua-metodologia-de-vendas1769552334242?classId=3624" TargetMode="External"/><Relationship Id="rId93" Type="http://schemas.openxmlformats.org/officeDocument/2006/relationships/hyperlink" Target="https://universidade.pipelovers.net/m/lessons/usando-o-crm-para-gestao-de-tempo1769552334326?classId=3605" TargetMode="External"/><Relationship Id="rId92" Type="http://schemas.openxmlformats.org/officeDocument/2006/relationships/hyperlink" Target="https://www.linkedin.com/in/thiagoschioppa/" TargetMode="External"/><Relationship Id="rId359" Type="http://schemas.openxmlformats.org/officeDocument/2006/relationships/hyperlink" Target="https://www.linkedin.com/in/marcelohamu/" TargetMode="External"/><Relationship Id="rId358" Type="http://schemas.openxmlformats.org/officeDocument/2006/relationships/hyperlink" Target="https://drive.google.com/file/d/1HqVD6UyUuo7MVuJ_VX2964spNFyHPwhD/view?usp=drive_link" TargetMode="External"/><Relationship Id="rId357" Type="http://schemas.openxmlformats.org/officeDocument/2006/relationships/hyperlink" Target="https://universidade.pipelovers.net/m/lessons/mapeando-objecoes-como-antecipar-e-reduzir-resistencias1769552368499?classId=3654" TargetMode="External"/><Relationship Id="rId352" Type="http://schemas.openxmlformats.org/officeDocument/2006/relationships/hyperlink" Target="https://universidade.pipelovers.net/m/lessons/value-based-selling-entregando-valor-ao-seu-cliente1769552368468?classId=3655" TargetMode="External"/><Relationship Id="rId351" Type="http://schemas.openxmlformats.org/officeDocument/2006/relationships/hyperlink" Target="https://www.linkedin.com/in/santosandre/" TargetMode="External"/><Relationship Id="rId350" Type="http://schemas.openxmlformats.org/officeDocument/2006/relationships/hyperlink" Target="https://drive.google.com/file/d/15XmPJbmuovX3qhEvuMAp-KfRvkN6S7c1/view?usp=drive_link" TargetMode="External"/><Relationship Id="rId356" Type="http://schemas.openxmlformats.org/officeDocument/2006/relationships/hyperlink" Target="https://universidade.pipelovers.net/m/lessons/mapeando-objecoes-como-antecipar-e-reduzir-resistencias1769552368499?classId=3654" TargetMode="External"/><Relationship Id="rId355" Type="http://schemas.openxmlformats.org/officeDocument/2006/relationships/hyperlink" Target="https://www.linkedin.com/in/raphael-gonzalez-portugal-b723a7115/" TargetMode="External"/><Relationship Id="rId354" Type="http://schemas.openxmlformats.org/officeDocument/2006/relationships/hyperlink" Target="https://drive.google.com/file/d/1uAH_Ni8q7A_TjwBt00BSDTOBIrF1G1Ln/view?usp=drive_link" TargetMode="External"/><Relationship Id="rId353" Type="http://schemas.openxmlformats.org/officeDocument/2006/relationships/hyperlink" Target="https://universidade.pipelovers.net/m/lessons/value-based-selling-entregando-valor-ao-seu-cliente1769552368468?classId=3655" TargetMode="External"/><Relationship Id="rId305" Type="http://schemas.openxmlformats.org/officeDocument/2006/relationships/hyperlink" Target="https://universidade.pipelovers.net/m/lessons/como-vender-para-o-cmo1769552365162?classId=3717" TargetMode="External"/><Relationship Id="rId304" Type="http://schemas.openxmlformats.org/officeDocument/2006/relationships/hyperlink" Target="https://universidade.pipelovers.net/m/lessons/como-vender-para-o-cmo1769552365162?classId=3717" TargetMode="External"/><Relationship Id="rId303" Type="http://schemas.openxmlformats.org/officeDocument/2006/relationships/hyperlink" Target="https://www.linkedin.com/in/dacarjb/" TargetMode="External"/><Relationship Id="rId302" Type="http://schemas.openxmlformats.org/officeDocument/2006/relationships/hyperlink" Target="https://universidade.pipelovers.net/aulas/bestsellers-1775504294126" TargetMode="External"/><Relationship Id="rId309" Type="http://schemas.openxmlformats.org/officeDocument/2006/relationships/hyperlink" Target="https://universidade.pipelovers.net/m/lessons/qualificacao-de-oportunidades-com-spin-selling1769552365187?classId=3718" TargetMode="External"/><Relationship Id="rId308" Type="http://schemas.openxmlformats.org/officeDocument/2006/relationships/hyperlink" Target="https://universidade.pipelovers.net/m/lessons/qualificacao-de-oportunidades-com-spin-selling1769552365187?classId=3718" TargetMode="External"/><Relationship Id="rId307" Type="http://schemas.openxmlformats.org/officeDocument/2006/relationships/hyperlink" Target="https://www.linkedin.com/in/lincon-beraldo/" TargetMode="External"/><Relationship Id="rId306" Type="http://schemas.openxmlformats.org/officeDocument/2006/relationships/hyperlink" Target="https://drive.google.com/file/d/1nfaWQ83vOzGHWPFPS646mUeuLHCa5-tm/view?usp=drive_link" TargetMode="External"/><Relationship Id="rId301" Type="http://schemas.openxmlformats.org/officeDocument/2006/relationships/hyperlink" Target="https://universidade.pipelovers.net/aulas/bestsellers-1775504294126" TargetMode="External"/><Relationship Id="rId300" Type="http://schemas.openxmlformats.org/officeDocument/2006/relationships/hyperlink" Target="https://www.linkedin.com/in/aaronross/" TargetMode="External"/><Relationship Id="rId327" Type="http://schemas.openxmlformats.org/officeDocument/2006/relationships/hyperlink" Target="https://www.linkedin.com/in/filipegbento/" TargetMode="External"/><Relationship Id="rId326" Type="http://schemas.openxmlformats.org/officeDocument/2006/relationships/hyperlink" Target="https://drive.google.com/file/d/1naf6-9vUHA4frZJ62_C3XWtNogooW9la/view?usp=drive_link" TargetMode="External"/><Relationship Id="rId325" Type="http://schemas.openxmlformats.org/officeDocument/2006/relationships/hyperlink" Target="https://universidade.pipelovers.net/m/lessons/mapeamento-e-influencia-no-comite-de-compras1769552365486?classId=3719" TargetMode="External"/><Relationship Id="rId324" Type="http://schemas.openxmlformats.org/officeDocument/2006/relationships/hyperlink" Target="https://universidade.pipelovers.net/m/lessons/mapeamento-e-influencia-no-comite-de-compras1769552365486?classId=3719" TargetMode="External"/><Relationship Id="rId329" Type="http://schemas.openxmlformats.org/officeDocument/2006/relationships/hyperlink" Target="https://universidade.pipelovers.net/m/lessons/recuperando-a-confianca-em-momentos-de-baixo-desempenho1769552365512?classId=3661" TargetMode="External"/><Relationship Id="rId328" Type="http://schemas.openxmlformats.org/officeDocument/2006/relationships/hyperlink" Target="https://universidade.pipelovers.net/m/lessons/recuperando-a-confianca-em-momentos-de-baixo-desempenho1769552365512?classId=3661" TargetMode="External"/><Relationship Id="rId323" Type="http://schemas.openxmlformats.org/officeDocument/2006/relationships/hyperlink" Target="https://www.linkedin.com/in/andrepribeiro/" TargetMode="External"/><Relationship Id="rId322" Type="http://schemas.openxmlformats.org/officeDocument/2006/relationships/hyperlink" Target="https://drive.google.com/file/d/14UE-U2BLeek_Z6fJMvZUyz7L9sILQCO7/view?usp=drive_link" TargetMode="External"/><Relationship Id="rId321" Type="http://schemas.openxmlformats.org/officeDocument/2006/relationships/hyperlink" Target="https://universidade.pipelovers.net/m/lessons/autodidata-vendedores-aprendendo-por-conta-propria1769552365413?classId=3720" TargetMode="External"/><Relationship Id="rId320" Type="http://schemas.openxmlformats.org/officeDocument/2006/relationships/hyperlink" Target="https://universidade.pipelovers.net/m/lessons/autodidata-vendedores-aprendendo-por-conta-propria1769552365413?classId=3720" TargetMode="External"/><Relationship Id="rId316" Type="http://schemas.openxmlformats.org/officeDocument/2006/relationships/hyperlink" Target="https://universidade.pipelovers.net/m/lessons/tecnicas-de-organizacao-de-funil-para-previsibilidade1769552365452?classId=3721" TargetMode="External"/><Relationship Id="rId315" Type="http://schemas.openxmlformats.org/officeDocument/2006/relationships/hyperlink" Target="https://www.linkedin.com/in/rodrigobeckecabral/" TargetMode="External"/><Relationship Id="rId314" Type="http://schemas.openxmlformats.org/officeDocument/2006/relationships/hyperlink" Target="https://drive.google.com/file/d/1bx8sprQ434DbTeoZT6M8TakrAGLpfdWL/view?usp=drive_link" TargetMode="External"/><Relationship Id="rId313" Type="http://schemas.openxmlformats.org/officeDocument/2006/relationships/hyperlink" Target="https://universidade.pipelovers.net/m/lessons/segmentacao-de-mercado-e-priorizacao-de-clientes1769552365215?classId=3722" TargetMode="External"/><Relationship Id="rId319" Type="http://schemas.openxmlformats.org/officeDocument/2006/relationships/hyperlink" Target="https://www.linkedin.com/in/izabelaguarino/" TargetMode="External"/><Relationship Id="rId318" Type="http://schemas.openxmlformats.org/officeDocument/2006/relationships/hyperlink" Target="https://drive.google.com/file/d/1HSLHJBczT4nYRImGdvdScHl_2NzuZ0wp/view?usp=drive_link" TargetMode="External"/><Relationship Id="rId317" Type="http://schemas.openxmlformats.org/officeDocument/2006/relationships/hyperlink" Target="https://universidade.pipelovers.net/m/lessons/tecnicas-de-organizacao-de-funil-para-previsibilidade1769552365452?classId=3721" TargetMode="External"/><Relationship Id="rId312" Type="http://schemas.openxmlformats.org/officeDocument/2006/relationships/hyperlink" Target="https://universidade.pipelovers.net/m/lessons/segmentacao-de-mercado-e-priorizacao-de-clientes1769552365215?classId=3722" TargetMode="External"/><Relationship Id="rId311" Type="http://schemas.openxmlformats.org/officeDocument/2006/relationships/hyperlink" Target="https://www.linkedin.com/in/pedro-lage/" TargetMode="External"/><Relationship Id="rId310" Type="http://schemas.openxmlformats.org/officeDocument/2006/relationships/hyperlink" Target="https://drive.google.com/file/d/1aPBZ9Cxxtz0KBqqSpzdycDGpuVdSRRwu/view?usp=drive_link" TargetMode="External"/><Relationship Id="rId297" Type="http://schemas.openxmlformats.org/officeDocument/2006/relationships/hyperlink" Target="https://universidade.pipelovers.net/m/lessons/customer-health-score-indicadores-para-prevenir-o-churn1769552365136?classId=3716" TargetMode="External"/><Relationship Id="rId296" Type="http://schemas.openxmlformats.org/officeDocument/2006/relationships/hyperlink" Target="https://www.linkedin.com/in/superti/" TargetMode="External"/><Relationship Id="rId295" Type="http://schemas.openxmlformats.org/officeDocument/2006/relationships/hyperlink" Target="https://drive.google.com/file/d/1u6ScdhaDUxApUxQPlfjLe-l23JC-4-kS/view?usp=drive_link" TargetMode="External"/><Relationship Id="rId294" Type="http://schemas.openxmlformats.org/officeDocument/2006/relationships/hyperlink" Target="https://universidade.pipelovers.net/m/lessons/agronegocio-dores-e-oportunidades-do-setor1769552365094?classId=3715" TargetMode="External"/><Relationship Id="rId299" Type="http://schemas.openxmlformats.org/officeDocument/2006/relationships/hyperlink" Target="https://drive.google.com/file/d/1O0Vppbmd4hD4bVpleAt8qvtvHzhYYXfq/view?usp=drive_link" TargetMode="External"/><Relationship Id="rId298" Type="http://schemas.openxmlformats.org/officeDocument/2006/relationships/hyperlink" Target="https://universidade.pipelovers.net/m/lessons/customer-health-score-indicadores-para-prevenir-o-churn1769552365136?classId=3716" TargetMode="External"/><Relationship Id="rId271" Type="http://schemas.openxmlformats.org/officeDocument/2006/relationships/hyperlink" Target="https://drive.google.com/file/d/1xr1zNDth15mYRh9CsRuijxmujQzxBKuF/view?usp=drive_link" TargetMode="External"/><Relationship Id="rId270" Type="http://schemas.openxmlformats.org/officeDocument/2006/relationships/hyperlink" Target="https://universidade.pipelovers.net/m/lessons/modelos-de-autogestao-para-vendedores1769552356266?classId=3710" TargetMode="External"/><Relationship Id="rId269" Type="http://schemas.openxmlformats.org/officeDocument/2006/relationships/hyperlink" Target="https://universidade.pipelovers.net/m/lessons/modelos-de-autogestao-para-vendedores1769552356266?classId=3710" TargetMode="External"/><Relationship Id="rId264" Type="http://schemas.openxmlformats.org/officeDocument/2006/relationships/hyperlink" Target="https://www.linkedin.com/in/manoelamitchell/" TargetMode="External"/><Relationship Id="rId263" Type="http://schemas.openxmlformats.org/officeDocument/2006/relationships/hyperlink" Target="https://drive.google.com/file/d/1jXPmcCbMvmkkzlymGaD5el7JGcriBzbH/view?usp=drive_link" TargetMode="External"/><Relationship Id="rId262" Type="http://schemas.openxmlformats.org/officeDocument/2006/relationships/hyperlink" Target="https://universidade.pipelovers.net/m/lessons/como-vender-para-o-chro1769552356129?classId=3014" TargetMode="External"/><Relationship Id="rId261" Type="http://schemas.openxmlformats.org/officeDocument/2006/relationships/hyperlink" Target="https://universidade.pipelovers.net/m/lessons/como-vender-para-o-chro1769552356129?classId=3014" TargetMode="External"/><Relationship Id="rId268" Type="http://schemas.openxmlformats.org/officeDocument/2006/relationships/hyperlink" Target="https://www.linkedin.com/in/leandrohirose" TargetMode="External"/><Relationship Id="rId267" Type="http://schemas.openxmlformats.org/officeDocument/2006/relationships/hyperlink" Target="https://drive.google.com/file/d/1x79t1umMzg0-igMVXLBm-5aZymaQnNYH/view?usp=drive_link" TargetMode="External"/><Relationship Id="rId266" Type="http://schemas.openxmlformats.org/officeDocument/2006/relationships/hyperlink" Target="https://universidade.pipelovers.net/m/lessons/roadmap-to-close-para-gestao-de-forecast1769552356215?classId=3709" TargetMode="External"/><Relationship Id="rId265" Type="http://schemas.openxmlformats.org/officeDocument/2006/relationships/hyperlink" Target="https://universidade.pipelovers.net/m/lessons/roadmap-to-close-para-gestao-de-forecast1769552356215?classId=3709" TargetMode="External"/><Relationship Id="rId260" Type="http://schemas.openxmlformats.org/officeDocument/2006/relationships/hyperlink" Target="https://www.linkedin.com/in/felipe-f-ceitlin-122653124/" TargetMode="External"/><Relationship Id="rId259" Type="http://schemas.openxmlformats.org/officeDocument/2006/relationships/hyperlink" Target="https://drive.google.com/file/d/1RjjP9B88bbLkEC57JF4u2jumRMey9ExQ/view?usp=drive_link" TargetMode="External"/><Relationship Id="rId258" Type="http://schemas.openxmlformats.org/officeDocument/2006/relationships/hyperlink" Target="https://universidade.pipelovers.net/m/lessons/como-virar-a-chave-de-uma-venda-transacional-para-uma-relacional1769552356033?classId=3013" TargetMode="External"/><Relationship Id="rId253" Type="http://schemas.openxmlformats.org/officeDocument/2006/relationships/hyperlink" Target="https://universidade.pipelovers.net/m/lessons/varejo-dores-e-oportunidades-do-setor1769552355983?classId=3012" TargetMode="External"/><Relationship Id="rId252" Type="http://schemas.openxmlformats.org/officeDocument/2006/relationships/hyperlink" Target="https://www.linkedin.com/in/ronanmaia/" TargetMode="External"/><Relationship Id="rId251" Type="http://schemas.openxmlformats.org/officeDocument/2006/relationships/hyperlink" Target="https://drive.google.com/file/d/1BMxor0b1UOHZB7HVB1A7csZttmwkeO_5/view?usp=drive_link" TargetMode="External"/><Relationship Id="rId250" Type="http://schemas.openxmlformats.org/officeDocument/2006/relationships/hyperlink" Target="https://universidade.pipelovers.net/m/lessons/diferencas-de-papeis-entre-account-manager-e-csm1769552355906?classId=3011" TargetMode="External"/><Relationship Id="rId257" Type="http://schemas.openxmlformats.org/officeDocument/2006/relationships/hyperlink" Target="https://universidade.pipelovers.net/m/lessons/como-virar-a-chave-de-uma-venda-transacional-para-uma-relacional1769552356033?classId=3013" TargetMode="External"/><Relationship Id="rId256" Type="http://schemas.openxmlformats.org/officeDocument/2006/relationships/hyperlink" Target="https://www.linkedin.com/in/ronanmaia/" TargetMode="External"/><Relationship Id="rId255" Type="http://schemas.openxmlformats.org/officeDocument/2006/relationships/hyperlink" Target="https://drive.google.com/file/d/1jHV9oZLFY_o6g1B2fetonL54B-S8h8yX/view?usp=drive_link" TargetMode="External"/><Relationship Id="rId254" Type="http://schemas.openxmlformats.org/officeDocument/2006/relationships/hyperlink" Target="https://universidade.pipelovers.net/m/lessons/varejo-dores-e-oportunidades-do-setor1769552355983?classId=3012" TargetMode="External"/><Relationship Id="rId293" Type="http://schemas.openxmlformats.org/officeDocument/2006/relationships/hyperlink" Target="https://universidade.pipelovers.net/m/lessons/agronegocio-dores-e-oportunidades-do-setor1769552365094?classId=3715" TargetMode="External"/><Relationship Id="rId292" Type="http://schemas.openxmlformats.org/officeDocument/2006/relationships/hyperlink" Target="https://www.linkedin.com/in/maur%C3%ADcio-pagotto-278b1959/" TargetMode="External"/><Relationship Id="rId291" Type="http://schemas.openxmlformats.org/officeDocument/2006/relationships/hyperlink" Target="https://drive.google.com/file/d/18Kzwl00KhII0emWkHAJjVV4Xg9GSI6LO/view?usp=drive_link" TargetMode="External"/><Relationship Id="rId290" Type="http://schemas.openxmlformats.org/officeDocument/2006/relationships/hyperlink" Target="https://universidade.pipelovers.net/m/lessons/como-vender-para-o-cfo1769552365068?classId=3708" TargetMode="External"/><Relationship Id="rId286" Type="http://schemas.openxmlformats.org/officeDocument/2006/relationships/hyperlink" Target="https://universidade.pipelovers.net/m/lessons/aprendendo-na-pratica-em-eventos-presenciais1769552365337?classId=3714" TargetMode="External"/><Relationship Id="rId285" Type="http://schemas.openxmlformats.org/officeDocument/2006/relationships/hyperlink" Target="https://universidade.pipelovers.net/m/lessons/aprendendo-na-pratica-em-eventos-presenciais1769552365337?classId=3714" TargetMode="External"/><Relationship Id="rId284" Type="http://schemas.openxmlformats.org/officeDocument/2006/relationships/hyperlink" Target="https://www.linkedin.com/in/billmoraes/" TargetMode="External"/><Relationship Id="rId283" Type="http://schemas.openxmlformats.org/officeDocument/2006/relationships/hyperlink" Target="https://drive.google.com/file/d/1q8i1EFZ-dj4-FjpGIb4Vs_0aFqN0SFtI/view?usp=drive_link" TargetMode="External"/><Relationship Id="rId289" Type="http://schemas.openxmlformats.org/officeDocument/2006/relationships/hyperlink" Target="https://universidade.pipelovers.net/m/lessons/como-vender-para-o-cfo1769552365068?classId=3708" TargetMode="External"/><Relationship Id="rId288" Type="http://schemas.openxmlformats.org/officeDocument/2006/relationships/hyperlink" Target="https://www.linkedin.com/in/mafra/" TargetMode="External"/><Relationship Id="rId287" Type="http://schemas.openxmlformats.org/officeDocument/2006/relationships/hyperlink" Target="https://drive.google.com/file/d/1r70MAVICPsEeAWM4wGGMC4ocf3R9DBCR/view?usp=drive_link" TargetMode="External"/><Relationship Id="rId282" Type="http://schemas.openxmlformats.org/officeDocument/2006/relationships/hyperlink" Target="https://universidade.pipelovers.net/m/lessons/as-4-disciplinas-da-execucao-4dx1769552364686?classId=3713" TargetMode="External"/><Relationship Id="rId281" Type="http://schemas.openxmlformats.org/officeDocument/2006/relationships/hyperlink" Target="https://universidade.pipelovers.net/m/lessons/as-4-disciplinas-da-execucao-4dx1769552364686?classId=3713" TargetMode="External"/><Relationship Id="rId280" Type="http://schemas.openxmlformats.org/officeDocument/2006/relationships/hyperlink" Target="https://www.linkedin.com/in/marcelo-zeferino-a9422837/" TargetMode="External"/><Relationship Id="rId275" Type="http://schemas.openxmlformats.org/officeDocument/2006/relationships/hyperlink" Target="https://drive.google.com/file/d/1Fqs2FUWUiNLg-FnN-rbovLQwZHFMKpVv/view?usp=drive_link" TargetMode="External"/><Relationship Id="rId274" Type="http://schemas.openxmlformats.org/officeDocument/2006/relationships/hyperlink" Target="https://universidade.pipelovers.net/m/lessons/demonstracoes-de-produto-como-escalar-e-acelerar-suas-vendas1769552356376?classId=3711" TargetMode="External"/><Relationship Id="rId273" Type="http://schemas.openxmlformats.org/officeDocument/2006/relationships/hyperlink" Target="https://universidade.pipelovers.net/m/lessons/demonstracoes-de-produto-como-escalar-e-acelerar-suas-vendas1769552356376?classId=3711" TargetMode="External"/><Relationship Id="rId272" Type="http://schemas.openxmlformats.org/officeDocument/2006/relationships/hyperlink" Target="https://www.linkedin.com/in/cassio-lopes/" TargetMode="External"/><Relationship Id="rId279" Type="http://schemas.openxmlformats.org/officeDocument/2006/relationships/hyperlink" Target="https://drive.google.com/file/d/1T9RUzBn9OsdPBI4rWcX7ytuqeha4J05G/view?usp=drive_link" TargetMode="External"/><Relationship Id="rId278" Type="http://schemas.openxmlformats.org/officeDocument/2006/relationships/hyperlink" Target="https://universidade.pipelovers.net/m/lessons/como-fugir-da-guerra-de-precos-com-concorrentes1769552365255?classId=3712" TargetMode="External"/><Relationship Id="rId277" Type="http://schemas.openxmlformats.org/officeDocument/2006/relationships/hyperlink" Target="https://universidade.pipelovers.net/m/lessons/como-fugir-da-guerra-de-precos-com-concorrentes1769552365255?classId=3712" TargetMode="External"/><Relationship Id="rId276" Type="http://schemas.openxmlformats.org/officeDocument/2006/relationships/hyperlink" Target="https://www.linkedin.com/in/vitor-ramos-pereira-oliveira/" TargetMode="External"/><Relationship Id="rId629" Type="http://schemas.openxmlformats.org/officeDocument/2006/relationships/hyperlink" Target="https://universidade.pipelovers.net/m/lessons/networking-para-se-tornar-referencia-no-seu-mercado-1773947210529?classId=3841" TargetMode="External"/><Relationship Id="rId624" Type="http://schemas.openxmlformats.org/officeDocument/2006/relationships/hyperlink" Target="https://www.linkedin.com/in/fredjunco/" TargetMode="External"/><Relationship Id="rId623" Type="http://schemas.openxmlformats.org/officeDocument/2006/relationships/hyperlink" Target="https://universidade.pipelovers.net/m/lessons/tecnicas-de-rapport-para-prospecao-1777489239231?classId=3965" TargetMode="External"/><Relationship Id="rId622" Type="http://schemas.openxmlformats.org/officeDocument/2006/relationships/hyperlink" Target="https://universidade.pipelovers.net/m/lessons/tecnicas-de-rapport-para-prospecao-1777489239231?classId=3965" TargetMode="External"/><Relationship Id="rId621" Type="http://schemas.openxmlformats.org/officeDocument/2006/relationships/hyperlink" Target="https://www.linkedin.com/in/jessicabosco/" TargetMode="External"/><Relationship Id="rId628" Type="http://schemas.openxmlformats.org/officeDocument/2006/relationships/hyperlink" Target="https://universidade.pipelovers.net/m/lessons/networking-para-se-tornar-referencia-no-seu-mercado-1773947210529?classId=3841" TargetMode="External"/><Relationship Id="rId627" Type="http://schemas.openxmlformats.org/officeDocument/2006/relationships/hyperlink" Target="https://www.linkedin.com/in/sidimar-sagaz/" TargetMode="External"/><Relationship Id="rId626" Type="http://schemas.openxmlformats.org/officeDocument/2006/relationships/hyperlink" Target="https://universidade.pipelovers.net/m/lessons/como-aprofundar-o-diagnostico-na-primeira-conversa-1777320853661?classId=3961" TargetMode="External"/><Relationship Id="rId625" Type="http://schemas.openxmlformats.org/officeDocument/2006/relationships/hyperlink" Target="https://universidade.pipelovers.net/m/lessons/como-aprofundar-o-diagnostico-na-primeira-conversa-1777320853661?classId=3961" TargetMode="External"/><Relationship Id="rId620" Type="http://schemas.openxmlformats.org/officeDocument/2006/relationships/hyperlink" Target="https://universidade.pipelovers.net/m/lessons/conducao-de-reunioes-presenciais-com-grandes-contas-1773693102701?classId=3822" TargetMode="External"/><Relationship Id="rId619" Type="http://schemas.openxmlformats.org/officeDocument/2006/relationships/hyperlink" Target="https://universidade.pipelovers.net/m/lessons/conducao-de-reunioes-presenciais-com-grandes-contas-1773693102701?classId=3822" TargetMode="External"/><Relationship Id="rId618" Type="http://schemas.openxmlformats.org/officeDocument/2006/relationships/hyperlink" Target="https://www.linkedin.com/in/marcelopark/" TargetMode="External"/><Relationship Id="rId613" Type="http://schemas.openxmlformats.org/officeDocument/2006/relationships/hyperlink" Target="https://universidade.pipelovers.net/aulas/apresentacoes-comerciais-que-convertem-1773692006975" TargetMode="External"/><Relationship Id="rId612" Type="http://schemas.openxmlformats.org/officeDocument/2006/relationships/hyperlink" Target="https://www.linkedin.com/in/profile-lucasalves/" TargetMode="External"/><Relationship Id="rId611" Type="http://schemas.openxmlformats.org/officeDocument/2006/relationships/hyperlink" Target="https://universidade.pipelovers.net/aulas/tecnicas-de-negociacao-de-preco-e-desconto-1773691593549" TargetMode="External"/><Relationship Id="rId610" Type="http://schemas.openxmlformats.org/officeDocument/2006/relationships/hyperlink" Target="https://universidade.pipelovers.net/aulas/tecnicas-de-negociacao-de-preco-e-desconto-1773691593549" TargetMode="External"/><Relationship Id="rId617" Type="http://schemas.openxmlformats.org/officeDocument/2006/relationships/hyperlink" Target="https://universidade.pipelovers.net/m/lessons/metricas-que-todo-vendedor-deve-saber-e-acompanhar-1773692316042?classId=3820" TargetMode="External"/><Relationship Id="rId616" Type="http://schemas.openxmlformats.org/officeDocument/2006/relationships/hyperlink" Target="https://universidade.pipelovers.net/m/lessons/metricas-que-todo-vendedor-deve-saber-e-acompanhar-1773692316042?classId=3820" TargetMode="External"/><Relationship Id="rId615" Type="http://schemas.openxmlformats.org/officeDocument/2006/relationships/hyperlink" Target="https://www.linkedin.com/in/iagobraz/" TargetMode="External"/><Relationship Id="rId614" Type="http://schemas.openxmlformats.org/officeDocument/2006/relationships/hyperlink" Target="https://universidade.pipelovers.net/aulas/apresentacoes-comerciais-que-convertem-1773692006975" TargetMode="External"/><Relationship Id="rId646" Type="http://schemas.openxmlformats.org/officeDocument/2006/relationships/hyperlink" Target="https://www.linkedin.com/in/oyagobaia/" TargetMode="External"/><Relationship Id="rId645" Type="http://schemas.openxmlformats.org/officeDocument/2006/relationships/hyperlink" Target="https://universidade.pipelovers.net/m/lessons/tecnicas-de-storytelling-em-vendas-1783082834091" TargetMode="External"/><Relationship Id="rId644" Type="http://schemas.openxmlformats.org/officeDocument/2006/relationships/hyperlink" Target="https://www.linkedin.com/in/oyagobaia/" TargetMode="External"/><Relationship Id="rId643" Type="http://schemas.openxmlformats.org/officeDocument/2006/relationships/hyperlink" Target="https://universidade.pipelovers.net/m/lessons/como-usar-o-whatsapp-para-vender-mais-1782496646812?moduleId=1500&amp;classId=4198" TargetMode="External"/><Relationship Id="rId649" Type="http://schemas.openxmlformats.org/officeDocument/2006/relationships/hyperlink" Target="https://universidade.pipelovers.net/m/lessons/oratoria-em-reunioes-e-apresentacoes-comerciais-1783083122826?moduleId=1465&amp;classId=4047" TargetMode="External"/><Relationship Id="rId648" Type="http://schemas.openxmlformats.org/officeDocument/2006/relationships/hyperlink" Target="https://www.linkedin.com/in/oyagobaia/" TargetMode="External"/><Relationship Id="rId647" Type="http://schemas.openxmlformats.org/officeDocument/2006/relationships/hyperlink" Target="https://universidade.pipelovers.net/m/lessons/linguagem-persuasiva-na-comunicacao-verbal-e-nao-verbal-1783082989459?moduleId=1463&amp;classId=4046" TargetMode="External"/><Relationship Id="rId642" Type="http://schemas.openxmlformats.org/officeDocument/2006/relationships/hyperlink" Target="https://universidade.pipelovers.net/m/lessons/aprendendo-com-seu-proprio-crm-insights-para-evoluir-sua-abordagem-1773693851517?moduleId=1248&amp;classId=3823" TargetMode="External"/><Relationship Id="rId641" Type="http://schemas.openxmlformats.org/officeDocument/2006/relationships/hyperlink" Target="https://www.linkedin.com/in/viniciussoarees/" TargetMode="External"/><Relationship Id="rId640" Type="http://schemas.openxmlformats.org/officeDocument/2006/relationships/hyperlink" Target="https://universidade.pipelovers.net/m/lessons/matriz-de-kraljic-matrix-como-comprador-compra-o-seu-produto-1779215203356?moduleId=1422&amp;classId=4008" TargetMode="External"/><Relationship Id="rId635" Type="http://schemas.openxmlformats.org/officeDocument/2006/relationships/hyperlink" Target="https://www.linkedin.com/in/hervandil/" TargetMode="External"/><Relationship Id="rId634" Type="http://schemas.openxmlformats.org/officeDocument/2006/relationships/hyperlink" Target="https://universidade.pipelovers.net/m/lessons/erros-comuns-em-pitch-de-vendas-1777407944522?moduleId=1385&amp;classId=3964" TargetMode="External"/><Relationship Id="rId633" Type="http://schemas.openxmlformats.org/officeDocument/2006/relationships/hyperlink" Target="https://universidade.pipelovers.net/m/lessons/erros-comuns-em-pitch-de-vendas-1777407944522?moduleId=1385&amp;classId=3964" TargetMode="External"/><Relationship Id="rId632" Type="http://schemas.openxmlformats.org/officeDocument/2006/relationships/hyperlink" Target="https://universidade.pipelovers.net/m/lessons/metodologia-avancada-de-vendas-consultivas-1779479481188?classId=4013" TargetMode="External"/><Relationship Id="rId639" Type="http://schemas.openxmlformats.org/officeDocument/2006/relationships/hyperlink" Target="https://www.linkedin.com/in/lucianabicas/" TargetMode="External"/><Relationship Id="rId638" Type="http://schemas.openxmlformats.org/officeDocument/2006/relationships/hyperlink" Target="https://universidade.pipelovers.net/m/lessons/estrategias-para-cultivar-relacionamentos-com-clientes-e-gerar-novas-oportunidades-1778509762753?moduleId=1408&amp;classId=3994" TargetMode="External"/><Relationship Id="rId637" Type="http://schemas.openxmlformats.org/officeDocument/2006/relationships/hyperlink" Target="https://www.linkedin.com/in/eduarda-dionisio/" TargetMode="External"/><Relationship Id="rId636" Type="http://schemas.openxmlformats.org/officeDocument/2006/relationships/hyperlink" Target="https://universidade.pipelovers.net/m/lessons/como-identificar-oportunidades-de-expansao-em-clientes-da-carteira-1779133546181?moduleId=1421&amp;classId=4007" TargetMode="External"/><Relationship Id="rId631" Type="http://schemas.openxmlformats.org/officeDocument/2006/relationships/hyperlink" Target="https://universidade.pipelovers.net/m/lessons/metodologia-avancada-de-vendas-consultivas-1779479481188?classId=4013" TargetMode="External"/><Relationship Id="rId630" Type="http://schemas.openxmlformats.org/officeDocument/2006/relationships/hyperlink" Target="https://www.linkedin.com/in/coelhofarc/" TargetMode="External"/><Relationship Id="rId609" Type="http://schemas.openxmlformats.org/officeDocument/2006/relationships/hyperlink" Target="https://www.linkedin.com/in/sandroivo/" TargetMode="External"/><Relationship Id="rId608" Type="http://schemas.openxmlformats.org/officeDocument/2006/relationships/hyperlink" Target="https://universidade.pipelovers.net/m/lessons/vendendo-para-cfo-como-estruturar-proposta-discurso-e-numeros-1773691169853" TargetMode="External"/><Relationship Id="rId607" Type="http://schemas.openxmlformats.org/officeDocument/2006/relationships/hyperlink" Target="https://universidade.pipelovers.net/m/lessons/produtividade-em-vendas-como-priorizar-o-que-gera-resultado-1773690571961?classId=3846" TargetMode="External"/><Relationship Id="rId602" Type="http://schemas.openxmlformats.org/officeDocument/2006/relationships/hyperlink" Target="https://www.linkedin.com/in/roberto-prik/" TargetMode="External"/><Relationship Id="rId601" Type="http://schemas.openxmlformats.org/officeDocument/2006/relationships/hyperlink" Target="https://universidade.pipelovers.net/m/lessons/como-vender-tecnologia-e-inovacao-para-o-setor-publico-1773692216685?classId=3821" TargetMode="External"/><Relationship Id="rId600" Type="http://schemas.openxmlformats.org/officeDocument/2006/relationships/hyperlink" Target="https://universidade.pipelovers.net/m/lessons/como-vender-tecnologia-e-inovacao-para-o-setor-publico-1773692216685?classId=3821" TargetMode="External"/><Relationship Id="rId606" Type="http://schemas.openxmlformats.org/officeDocument/2006/relationships/hyperlink" Target="https://universidade.pipelovers.net/m/lessons/produtividade-em-vendas-como-priorizar-o-que-gera-resultado-1773690571961?classId=3846" TargetMode="External"/><Relationship Id="rId605" Type="http://schemas.openxmlformats.org/officeDocument/2006/relationships/hyperlink" Target="https://www.linkedin.com/in/joaoruffo/" TargetMode="External"/><Relationship Id="rId604" Type="http://schemas.openxmlformats.org/officeDocument/2006/relationships/hyperlink" Target="https://universidade.pipelovers.net/m/lessons/boas-praticas-para-ciclos-de-vendas-longos-1773689974457?classId=3813" TargetMode="External"/><Relationship Id="rId603" Type="http://schemas.openxmlformats.org/officeDocument/2006/relationships/hyperlink" Target="https://universidade.pipelovers.net/m/lessons/boas-praticas-para-ciclos-de-vendas-longos-1773689974457?classId=3813" TargetMode="External"/><Relationship Id="rId228" Type="http://schemas.openxmlformats.org/officeDocument/2006/relationships/hyperlink" Target="https://www.linkedin.com/in/marcelopereira/" TargetMode="External"/><Relationship Id="rId227" Type="http://schemas.openxmlformats.org/officeDocument/2006/relationships/hyperlink" Target="https://drive.google.com/file/d/1yhB0j4pWeHglwXGm-M0dG1q8fAIPkhS3/view?usp=drive_link" TargetMode="External"/><Relationship Id="rId226" Type="http://schemas.openxmlformats.org/officeDocument/2006/relationships/hyperlink" Target="https://universidade.pipelovers.net/m/lessons/como-vender-para-o-cto1769552355238?classId=2996" TargetMode="External"/><Relationship Id="rId225" Type="http://schemas.openxmlformats.org/officeDocument/2006/relationships/hyperlink" Target="https://universidade.pipelovers.net/m/lessons/como-vender-para-o-cto1769552355238?classId=2996" TargetMode="External"/><Relationship Id="rId229" Type="http://schemas.openxmlformats.org/officeDocument/2006/relationships/hyperlink" Target="https://universidade.pipelovers.net/m/lessons/pdi-plano-de-desenvolvimento-individual1769552355308?classId=2995" TargetMode="External"/><Relationship Id="rId220" Type="http://schemas.openxmlformats.org/officeDocument/2006/relationships/hyperlink" Target="https://www.linkedin.com/in/karinagflima/" TargetMode="External"/><Relationship Id="rId224" Type="http://schemas.openxmlformats.org/officeDocument/2006/relationships/hyperlink" Target="https://www.linkedin.com/in/vanessatiba/" TargetMode="External"/><Relationship Id="rId223" Type="http://schemas.openxmlformats.org/officeDocument/2006/relationships/hyperlink" Target="https://drive.google.com/file/d/1xHgQPFNm89a7a6KjClFER_Qo3zleCUaq/view?usp=drive_link" TargetMode="External"/><Relationship Id="rId222" Type="http://schemas.openxmlformats.org/officeDocument/2006/relationships/hyperlink" Target="https://universidade.pipelovers.net/aulas/desafios-de-vender-novas-ofertas-lancamentos-de-produto-1775077697142" TargetMode="External"/><Relationship Id="rId221" Type="http://schemas.openxmlformats.org/officeDocument/2006/relationships/hyperlink" Target="https://universidade.pipelovers.net/aulas/desafios-de-vender-novas-ofertas-lancamentos-de-produto-1775077697142" TargetMode="External"/><Relationship Id="rId217" Type="http://schemas.openxmlformats.org/officeDocument/2006/relationships/hyperlink" Target="https://universidade.pipelovers.net/m/lessons/metodologia-spiced-da-winning-by-design1769552348535?classId=2998" TargetMode="External"/><Relationship Id="rId216" Type="http://schemas.openxmlformats.org/officeDocument/2006/relationships/hyperlink" Target="https://www.linkedin.com/in/renatacenturion/" TargetMode="External"/><Relationship Id="rId215" Type="http://schemas.openxmlformats.org/officeDocument/2006/relationships/hyperlink" Target="https://drive.google.com/file/d/1fR4jA-IIq_xIZKUUqdKCEQJy3NaCUkox/view?usp=drive_link" TargetMode="External"/><Relationship Id="rId214" Type="http://schemas.openxmlformats.org/officeDocument/2006/relationships/hyperlink" Target="https://universidade.pipelovers.net/m/lessons/planejamento-de-metricas-de-execucao1769552348507?classId=2999" TargetMode="External"/><Relationship Id="rId219" Type="http://schemas.openxmlformats.org/officeDocument/2006/relationships/hyperlink" Target="https://drive.google.com/file/d/1ipKJs3ZZWUAIG5frpQGENxyWM72LUb9Y/view?usp=drive_link" TargetMode="External"/><Relationship Id="rId218" Type="http://schemas.openxmlformats.org/officeDocument/2006/relationships/hyperlink" Target="https://universidade.pipelovers.net/m/lessons/metodologia-spiced-da-winning-by-design1769552348535?classId=2998" TargetMode="External"/><Relationship Id="rId691" Type="http://schemas.openxmlformats.org/officeDocument/2006/relationships/table" Target="../tables/table54.xml"/><Relationship Id="rId690" Type="http://schemas.openxmlformats.org/officeDocument/2006/relationships/table" Target="../tables/table53.xml"/><Relationship Id="rId213" Type="http://schemas.openxmlformats.org/officeDocument/2006/relationships/hyperlink" Target="https://universidade.pipelovers.net/m/lessons/planejamento-de-metricas-de-execucao1769552348507?classId=2999" TargetMode="External"/><Relationship Id="rId212" Type="http://schemas.openxmlformats.org/officeDocument/2006/relationships/hyperlink" Target="https://www.linkedin.com/in/marcio-pereira-5327939/" TargetMode="External"/><Relationship Id="rId211" Type="http://schemas.openxmlformats.org/officeDocument/2006/relationships/hyperlink" Target="https://drive.google.com/file/d/1DVz6n00lnW9RQajX-BB5mQAywo_3eA2Y/view?usp=drive_link" TargetMode="External"/><Relationship Id="rId210" Type="http://schemas.openxmlformats.org/officeDocument/2006/relationships/hyperlink" Target="https://universidade.pipelovers.net/m/lessons/erros-e-acertos-de-20231769552348476?classId=3000" TargetMode="External"/><Relationship Id="rId249" Type="http://schemas.openxmlformats.org/officeDocument/2006/relationships/hyperlink" Target="https://universidade.pipelovers.net/m/lessons/diferencas-de-papeis-entre-account-manager-e-csm1769552355906?classId=3011" TargetMode="External"/><Relationship Id="rId248" Type="http://schemas.openxmlformats.org/officeDocument/2006/relationships/hyperlink" Target="https://www.linkedin.com/in/beatrizpontes/" TargetMode="External"/><Relationship Id="rId247" Type="http://schemas.openxmlformats.org/officeDocument/2006/relationships/hyperlink" Target="https://drive.google.com/file/d/1CalXqTBxl_nA4xOXfuWhgHX2FhkvIUZr/view?usp=drive_link" TargetMode="External"/><Relationship Id="rId242" Type="http://schemas.openxmlformats.org/officeDocument/2006/relationships/hyperlink" Target="https://universidade.pipelovers.net/m/lessons/construcao-de-relacionamentos-em-grandes-contas1769552355679?classId=3009" TargetMode="External"/><Relationship Id="rId241" Type="http://schemas.openxmlformats.org/officeDocument/2006/relationships/hyperlink" Target="https://universidade.pipelovers.net/m/lessons/construcao-de-relacionamentos-em-grandes-contas1769552355679?classId=3009" TargetMode="External"/><Relationship Id="rId240" Type="http://schemas.openxmlformats.org/officeDocument/2006/relationships/hyperlink" Target="https://www.linkedin.com/in/bernardo-agosti-a5032423/" TargetMode="External"/><Relationship Id="rId246" Type="http://schemas.openxmlformats.org/officeDocument/2006/relationships/hyperlink" Target="https://universidade.pipelovers.net/m/lessons/challenger-sales-a-venda-desafiadora1769552355728?classId=3010" TargetMode="External"/><Relationship Id="rId245" Type="http://schemas.openxmlformats.org/officeDocument/2006/relationships/hyperlink" Target="https://universidade.pipelovers.net/m/lessons/challenger-sales-a-venda-desafiadora1769552355728?classId=3010" TargetMode="External"/><Relationship Id="rId244" Type="http://schemas.openxmlformats.org/officeDocument/2006/relationships/hyperlink" Target="https://www.linkedin.com/in/marcellrosa/" TargetMode="External"/><Relationship Id="rId243" Type="http://schemas.openxmlformats.org/officeDocument/2006/relationships/hyperlink" Target="https://drive.google.com/file/d/1msn4fFIWt9nr2ouGohxWUg_WAAKac8vr/view?usp=drive_link" TargetMode="External"/><Relationship Id="rId239" Type="http://schemas.openxmlformats.org/officeDocument/2006/relationships/hyperlink" Target="https://drive.google.com/file/d/1DtrmHR0o90S3KZuKA1k9LiGbLIw28MLt/view?usp=drive_link" TargetMode="External"/><Relationship Id="rId238" Type="http://schemas.openxmlformats.org/officeDocument/2006/relationships/hyperlink" Target="https://universidade.pipelovers.net/m/lessons/crm-analytics-para-vendedores-b2b1769552355610?classId=3007" TargetMode="External"/><Relationship Id="rId237" Type="http://schemas.openxmlformats.org/officeDocument/2006/relationships/hyperlink" Target="https://universidade.pipelovers.net/m/lessons/crm-analytics-para-vendedores-b2b1769552355610?classId=3007" TargetMode="External"/><Relationship Id="rId236" Type="http://schemas.openxmlformats.org/officeDocument/2006/relationships/hyperlink" Target="https://www.linkedin.com/in/lucasscridelli/" TargetMode="External"/><Relationship Id="rId231" Type="http://schemas.openxmlformats.org/officeDocument/2006/relationships/hyperlink" Target="https://drive.google.com/file/d/1xGOiPM5v1oPLw8y7jxt2hzM7Rxnal34X/view?usp=drive_link" TargetMode="External"/><Relationship Id="rId230" Type="http://schemas.openxmlformats.org/officeDocument/2006/relationships/hyperlink" Target="https://universidade.pipelovers.net/m/lessons/pdi-plano-de-desenvolvimento-individual1769552355308?classId=2995" TargetMode="External"/><Relationship Id="rId235" Type="http://schemas.openxmlformats.org/officeDocument/2006/relationships/hyperlink" Target="https://drive.google.com/file/d/1S7bqTRTF3_9TBgX7xLvYXb4eIhtvfu6n/view?usp=drive_link" TargetMode="External"/><Relationship Id="rId234" Type="http://schemas.openxmlformats.org/officeDocument/2006/relationships/hyperlink" Target="https://universidade.pipelovers.net/m/lessons/desvendando-a-cadeia-de-valor-do-cliente1769552355447?classId=3008" TargetMode="External"/><Relationship Id="rId233" Type="http://schemas.openxmlformats.org/officeDocument/2006/relationships/hyperlink" Target="https://universidade.pipelovers.net/m/lessons/desvendando-a-cadeia-de-valor-do-cliente1769552355447?classId=3008" TargetMode="External"/><Relationship Id="rId232" Type="http://schemas.openxmlformats.org/officeDocument/2006/relationships/hyperlink" Target="https://www.linkedin.com/in/-vitor-ramos/" TargetMode="External"/><Relationship Id="rId668" Type="http://schemas.openxmlformats.org/officeDocument/2006/relationships/hyperlink" Target="https://www.linkedin.com/in/rogeriomellojr/" TargetMode="External"/><Relationship Id="rId667" Type="http://schemas.openxmlformats.org/officeDocument/2006/relationships/hyperlink" Target="https://universidade.pipelovers.net/m/lessons/business-case-como-provar-o-roi-ao-cliente-1788462678927?moduleId=1641&amp;classId=4548" TargetMode="External"/><Relationship Id="rId666" Type="http://schemas.openxmlformats.org/officeDocument/2006/relationships/hyperlink" Target="https://www.linkedin.com/in/andrey-d%E2%80%99almeida-ba6b8853/" TargetMode="External"/><Relationship Id="rId665" Type="http://schemas.openxmlformats.org/officeDocument/2006/relationships/hyperlink" Target="https://universidade.pipelovers.net/m/lessons/como-destravar-fechamentos-no-final-de-mes-1787581891095?moduleId=1606&amp;classId=4498" TargetMode="External"/><Relationship Id="rId669" Type="http://schemas.openxmlformats.org/officeDocument/2006/relationships/hyperlink" Target="https://universidade.pipelovers.net/m/lessons/payback-e-tco-como-defender-valor-sem-conceder-descontos-1789158618034?moduleId=1667&amp;classId=4603" TargetMode="External"/><Relationship Id="rId660" Type="http://schemas.openxmlformats.org/officeDocument/2006/relationships/hyperlink" Target="https://www.linkedin.com/in/ronaldonunes/" TargetMode="External"/><Relationship Id="rId664" Type="http://schemas.openxmlformats.org/officeDocument/2006/relationships/hyperlink" Target="https://www.linkedin.com/in/ronaldonunes/" TargetMode="External"/><Relationship Id="rId663" Type="http://schemas.openxmlformats.org/officeDocument/2006/relationships/hyperlink" Target="https://universidade.pipelovers.net/m/lessons/arquitetura-de-concessoes-ceder-sem-destruir-margem-1787581737845?moduleId=1605&amp;classId=4497" TargetMode="External"/><Relationship Id="rId662" Type="http://schemas.openxmlformats.org/officeDocument/2006/relationships/hyperlink" Target="https://www.linkedin.com/in/jorgegalvao10/" TargetMode="External"/><Relationship Id="rId661" Type="http://schemas.openxmlformats.org/officeDocument/2006/relationships/hyperlink" Target="https://universidade.pipelovers.net/m/lessons/fundamentos-e-preparacao-da-negociacao-b2b-1787581524133?moduleId=1604&amp;classId=4496" TargetMode="External"/><Relationship Id="rId657" Type="http://schemas.openxmlformats.org/officeDocument/2006/relationships/hyperlink" Target="https://universidade.pipelovers.net/m/lessons/como-funciona-uma-area-de-compras-profissional-1785516437812?moduleId=1579&amp;classId=4454" TargetMode="External"/><Relationship Id="rId656" Type="http://schemas.openxmlformats.org/officeDocument/2006/relationships/hyperlink" Target="https://www.linkedin.com/in/arthurcesmegi/" TargetMode="External"/><Relationship Id="rId655" Type="http://schemas.openxmlformats.org/officeDocument/2006/relationships/hyperlink" Target="https://universidade.pipelovers.net/m/lessons/work-life-balance-tecnicas-para-um-equilibrio-saudavel-1786642905274?moduleId=1588&amp;classId=4479" TargetMode="External"/><Relationship Id="rId654" Type="http://schemas.openxmlformats.org/officeDocument/2006/relationships/hyperlink" Target="https://www.linkedin.com/in/juliana-c%C3%A2ndido-consultora/" TargetMode="External"/><Relationship Id="rId659" Type="http://schemas.openxmlformats.org/officeDocument/2006/relationships/hyperlink" Target="https://universidade.pipelovers.net/m/lessons/tecnica-de-carrapato-aprenda-observando-os-top-performers-1785436105991?moduleId=1578&amp;classId=4453" TargetMode="External"/><Relationship Id="rId658" Type="http://schemas.openxmlformats.org/officeDocument/2006/relationships/hyperlink" Target="https://www.linkedin.com/in/enrico-bianchi-mazon-ba80171a4/" TargetMode="External"/><Relationship Id="rId653" Type="http://schemas.openxmlformats.org/officeDocument/2006/relationships/hyperlink" Target="https://universidade.pipelovers.net/m/lessons/carreira-em-y-para-vendedores-1784051791931?moduleId=1511&amp;classId=4210" TargetMode="External"/><Relationship Id="rId652" Type="http://schemas.openxmlformats.org/officeDocument/2006/relationships/hyperlink" Target="https://www.linkedin.com/in/gloriagruberr/" TargetMode="External"/><Relationship Id="rId651" Type="http://schemas.openxmlformats.org/officeDocument/2006/relationships/hyperlink" Target="https://universidade.pipelovers.net/m/lessons/gatilhos-mentais-para-contorno-de-objecoes-e-fechamento-1783083248519?moduleId=1466&amp;classId=4048" TargetMode="External"/><Relationship Id="rId650" Type="http://schemas.openxmlformats.org/officeDocument/2006/relationships/hyperlink" Target="https://www.linkedin.com/in/oyagobaia/" TargetMode="External"/><Relationship Id="rId206" Type="http://schemas.openxmlformats.org/officeDocument/2006/relationships/hyperlink" Target="https://universidade.pipelovers.net/aulas/negociacao-de-contratos-com-juridico-1775077264298" TargetMode="External"/><Relationship Id="rId205" Type="http://schemas.openxmlformats.org/officeDocument/2006/relationships/hyperlink" Target="https://universidade.pipelovers.net/aulas/negociacao-de-contratos-com-juridico-1775077264298" TargetMode="External"/><Relationship Id="rId689" Type="http://schemas.openxmlformats.org/officeDocument/2006/relationships/table" Target="../tables/table52.xml"/><Relationship Id="rId204" Type="http://schemas.openxmlformats.org/officeDocument/2006/relationships/hyperlink" Target="https://www.linkedin.com/in/raquel-trindade." TargetMode="External"/><Relationship Id="rId688" Type="http://schemas.openxmlformats.org/officeDocument/2006/relationships/table" Target="../tables/table51.xml"/><Relationship Id="rId203" Type="http://schemas.openxmlformats.org/officeDocument/2006/relationships/hyperlink" Target="https://drive.google.com/file/d/14ws5nOWe3Qc79hrVupDdvR-BWyo0rvcd/view?usp=drive_link" TargetMode="External"/><Relationship Id="rId687" Type="http://schemas.openxmlformats.org/officeDocument/2006/relationships/table" Target="../tables/table50.xml"/><Relationship Id="rId209" Type="http://schemas.openxmlformats.org/officeDocument/2006/relationships/hyperlink" Target="https://universidade.pipelovers.net/m/lessons/erros-e-acertos-de-20231769552348476?classId=3000" TargetMode="External"/><Relationship Id="rId208" Type="http://schemas.openxmlformats.org/officeDocument/2006/relationships/hyperlink" Target="https://www.linkedin.com/in/eziojemma/" TargetMode="External"/><Relationship Id="rId207" Type="http://schemas.openxmlformats.org/officeDocument/2006/relationships/hyperlink" Target="https://drive.google.com/file/d/1-5a6_zyHc698MR0nkTqI_4wzES0OkunW/view?usp=drive_link" TargetMode="External"/><Relationship Id="rId202" Type="http://schemas.openxmlformats.org/officeDocument/2006/relationships/hyperlink" Target="https://universidade.pipelovers.net/m/lessons/planejamento-e-estrategia-de-territorios1769552348416?classId=3002" TargetMode="External"/><Relationship Id="rId686" Type="http://schemas.openxmlformats.org/officeDocument/2006/relationships/table" Target="../tables/table49.xml"/><Relationship Id="rId201" Type="http://schemas.openxmlformats.org/officeDocument/2006/relationships/hyperlink" Target="https://universidade.pipelovers.net/m/lessons/planejamento-e-estrategia-de-territorios1769552348416?classId=3002" TargetMode="External"/><Relationship Id="rId685" Type="http://schemas.openxmlformats.org/officeDocument/2006/relationships/table" Target="../tables/table48.xml"/><Relationship Id="rId200" Type="http://schemas.openxmlformats.org/officeDocument/2006/relationships/hyperlink" Target="https://www.linkedin.com/in/diogomarra/" TargetMode="External"/><Relationship Id="rId684" Type="http://schemas.openxmlformats.org/officeDocument/2006/relationships/table" Target="../tables/table47.xml"/><Relationship Id="rId671" Type="http://schemas.openxmlformats.org/officeDocument/2006/relationships/hyperlink" Target="https://universidade.pipelovers.net/m/lessons/sinais-que-seu-cliente-mente-para-voce-1790084891289?moduleId=1694&amp;classId=4631" TargetMode="External"/><Relationship Id="rId670" Type="http://schemas.openxmlformats.org/officeDocument/2006/relationships/hyperlink" Target="https://www.linkedin.com/in/nestorneto130482/" TargetMode="External"/><Relationship Id="rId675" Type="http://schemas.openxmlformats.org/officeDocument/2006/relationships/drawing" Target="../drawings/drawing5.xml"/><Relationship Id="rId674" Type="http://schemas.openxmlformats.org/officeDocument/2006/relationships/hyperlink" Target="https://universidade.pipelovers.net/m/lessons/tecnica-de-time-blocking-foco-e-gestao-de-tempo-1790085027422?moduleId=1695&amp;classId=4632" TargetMode="External"/><Relationship Id="rId673" Type="http://schemas.openxmlformats.org/officeDocument/2006/relationships/hyperlink" Target="https://universidade.pipelovers.net/m/lessons/tecnica-de-time-blocking-foco-e-gestao-de-tempo-1790085027422?moduleId=1695&amp;classId=4632" TargetMode="External"/><Relationship Id="rId672" Type="http://schemas.openxmlformats.org/officeDocument/2006/relationships/hyperlink" Target="https://www.linkedin.com/in/evertonsbruzzi/" TargetMode="External"/><Relationship Id="rId190" Type="http://schemas.openxmlformats.org/officeDocument/2006/relationships/hyperlink" Target="https://universidade.pipelovers.net/m/lessons/crescimento-de-carreira-dentro-da-mesma-organizacao1769552345927?classId=3005" TargetMode="External"/><Relationship Id="rId194" Type="http://schemas.openxmlformats.org/officeDocument/2006/relationships/hyperlink" Target="https://universidade.pipelovers.net/m/lessons/aprendendo-com-benchmarking1769552348296?classId=3004" TargetMode="External"/><Relationship Id="rId193" Type="http://schemas.openxmlformats.org/officeDocument/2006/relationships/hyperlink" Target="https://universidade.pipelovers.net/m/lessons/aprendendo-com-benchmarking1769552348296?classId=3004" TargetMode="External"/><Relationship Id="rId192" Type="http://schemas.openxmlformats.org/officeDocument/2006/relationships/hyperlink" Target="https://www.linkedin.com/in/manuelalenzi/" TargetMode="External"/><Relationship Id="rId191" Type="http://schemas.openxmlformats.org/officeDocument/2006/relationships/hyperlink" Target="https://drive.google.com/file/d/1ubln9iH4G4aZLhR7iJLS6nNu_9FDZ5Cs/view?usp=drive_link" TargetMode="External"/><Relationship Id="rId187" Type="http://schemas.openxmlformats.org/officeDocument/2006/relationships/hyperlink" Target="https://drive.google.com/file/d/16k-LoD9YvrM7YikBOmD-TyNmtu7BXIX9/view?usp=drive_link" TargetMode="External"/><Relationship Id="rId186" Type="http://schemas.openxmlformats.org/officeDocument/2006/relationships/hyperlink" Target="https://universidade.pipelovers.net/m/lessons/como-chegar-ao-presidents-club1769552345813?classId=3006" TargetMode="External"/><Relationship Id="rId185" Type="http://schemas.openxmlformats.org/officeDocument/2006/relationships/hyperlink" Target="https://universidade.pipelovers.net/m/lessons/como-chegar-ao-presidents-club1769552345813?classId=3006" TargetMode="External"/><Relationship Id="rId184" Type="http://schemas.openxmlformats.org/officeDocument/2006/relationships/hyperlink" Target="https://www.linkedin.com/in/eduedulima/" TargetMode="External"/><Relationship Id="rId189" Type="http://schemas.openxmlformats.org/officeDocument/2006/relationships/hyperlink" Target="https://universidade.pipelovers.net/m/lessons/crescimento-de-carreira-dentro-da-mesma-organizacao1769552345927?classId=3005" TargetMode="External"/><Relationship Id="rId188" Type="http://schemas.openxmlformats.org/officeDocument/2006/relationships/hyperlink" Target="https://www.linkedin.com/in/vinicius-tirapelle-da-silva-51451349/" TargetMode="External"/><Relationship Id="rId183" Type="http://schemas.openxmlformats.org/officeDocument/2006/relationships/hyperlink" Target="https://drive.google.com/file/d/1bxT0RxHSIQJdvGcLnoavzbnLBsGq1ybp/view?usp=drive_link" TargetMode="External"/><Relationship Id="rId182" Type="http://schemas.openxmlformats.org/officeDocument/2006/relationships/hyperlink" Target="https://universidade.pipelovers.net/m/lessons/palestra-rd-summit-20231769552039345?classId=3108" TargetMode="External"/><Relationship Id="rId181" Type="http://schemas.openxmlformats.org/officeDocument/2006/relationships/hyperlink" Target="https://universidade.pipelovers.net/m/lessons/palestra-rd-summit-20231769552039345?classId=3108" TargetMode="External"/><Relationship Id="rId180" Type="http://schemas.openxmlformats.org/officeDocument/2006/relationships/hyperlink" Target="https://www.linkedin.com/in/gpagotto/" TargetMode="External"/><Relationship Id="rId176" Type="http://schemas.openxmlformats.org/officeDocument/2006/relationships/hyperlink" Target="https://www.linkedin.com/in/fernandesfigueiredo/" TargetMode="External"/><Relationship Id="rId175" Type="http://schemas.openxmlformats.org/officeDocument/2006/relationships/hyperlink" Target="https://drive.google.com/file/d/1YsdBol8Hu0-c_I_gy-ZjCRVk5f_IfSOs/view?usp=drive_link" TargetMode="External"/><Relationship Id="rId174" Type="http://schemas.openxmlformats.org/officeDocument/2006/relationships/hyperlink" Target="https://universidade.pipelovers.net/m/lessons/teaching-and-learning-aprendendo-com-seu-cliente1769552345612?classId=3623" TargetMode="External"/><Relationship Id="rId173" Type="http://schemas.openxmlformats.org/officeDocument/2006/relationships/hyperlink" Target="https://universidade.pipelovers.net/m/lessons/teaching-and-learning-aprendendo-com-seu-cliente1769552345612?classId=3623" TargetMode="External"/><Relationship Id="rId179" Type="http://schemas.openxmlformats.org/officeDocument/2006/relationships/hyperlink" Target="https://drive.google.com/file/d/1bMFZnMkLsFp150NQzceBtWew92fqXNVi/view?usp=drive_link" TargetMode="External"/><Relationship Id="rId178" Type="http://schemas.openxmlformats.org/officeDocument/2006/relationships/hyperlink" Target="https://universidade.pipelovers.net/m/lessons/aprendendo-com-a-concorrencia1769552345692?classId=3706" TargetMode="External"/><Relationship Id="rId177" Type="http://schemas.openxmlformats.org/officeDocument/2006/relationships/hyperlink" Target="https://universidade.pipelovers.net/m/lessons/aprendendo-com-a-concorrencia1769552345692?classId=3706" TargetMode="External"/><Relationship Id="rId198" Type="http://schemas.openxmlformats.org/officeDocument/2006/relationships/hyperlink" Target="https://universidade.pipelovers.net/aulas/como-se-preparar-para-uma-reunia0-de-forecast-1775076746828" TargetMode="External"/><Relationship Id="rId197" Type="http://schemas.openxmlformats.org/officeDocument/2006/relationships/hyperlink" Target="https://universidade.pipelovers.net/aulas/como-se-preparar-para-uma-reunia0-de-forecast-1775076746828" TargetMode="External"/><Relationship Id="rId196" Type="http://schemas.openxmlformats.org/officeDocument/2006/relationships/hyperlink" Target="https://www.linkedin.com/in/carlos-gustavo-bortolotto/" TargetMode="External"/><Relationship Id="rId195" Type="http://schemas.openxmlformats.org/officeDocument/2006/relationships/hyperlink" Target="https://drive.google.com/file/d/1DCLBW5xrlWHHi4F9TyoFr_zPD8uiJhTk/view?usp=drive_link" TargetMode="External"/><Relationship Id="rId199" Type="http://schemas.openxmlformats.org/officeDocument/2006/relationships/hyperlink" Target="https://drive.google.com/file/d/1lJo0feJ2mjElWy_-ZvDtSaCuflNu_wh6/view?usp=drive_link" TargetMode="External"/><Relationship Id="rId150" Type="http://schemas.openxmlformats.org/officeDocument/2006/relationships/hyperlink" Target="https://universidade.pipelovers.net/m/lessons/gestao-de-crises-com-clientes1769552345297?classId=3617" TargetMode="External"/><Relationship Id="rId149" Type="http://schemas.openxmlformats.org/officeDocument/2006/relationships/hyperlink" Target="https://universidade.pipelovers.net/m/lessons/gestao-de-crises-com-clientes1769552345297?classId=3617" TargetMode="External"/><Relationship Id="rId148" Type="http://schemas.openxmlformats.org/officeDocument/2006/relationships/hyperlink" Target="https://www.linkedin.com/in/mairabevilaqua/" TargetMode="External"/><Relationship Id="rId143" Type="http://schemas.openxmlformats.org/officeDocument/2006/relationships/hyperlink" Target="https://drive.google.com/file/d/1rCZkMQlrFS_WsNbEnveuNGwBTm_UzOau/view?usp=drive_link" TargetMode="External"/><Relationship Id="rId142" Type="http://schemas.openxmlformats.org/officeDocument/2006/relationships/hyperlink" Target="https://universidade.pipelovers.net/m/lessons/propostas-comerciais-efetivas1769552345090?classId=3615" TargetMode="External"/><Relationship Id="rId141" Type="http://schemas.openxmlformats.org/officeDocument/2006/relationships/hyperlink" Target="https://universidade.pipelovers.net/m/lessons/propostas-comerciais-efetivas1769552345090?classId=3615" TargetMode="External"/><Relationship Id="rId140" Type="http://schemas.openxmlformats.org/officeDocument/2006/relationships/hyperlink" Target="https://www.linkedin.com/in/mauriciokigiela/" TargetMode="External"/><Relationship Id="rId147" Type="http://schemas.openxmlformats.org/officeDocument/2006/relationships/hyperlink" Target="https://drive.google.com/file/d/1YA1kQxC0BstDWu1F2b9Y1KwIecgJ-qfe/view?usp=drive_link" TargetMode="External"/><Relationship Id="rId146" Type="http://schemas.openxmlformats.org/officeDocument/2006/relationships/hyperlink" Target="https://universidade.pipelovers.net/m/lessons/vendas-para-o-setor-publico1769552345148?classId=3616" TargetMode="External"/><Relationship Id="rId145" Type="http://schemas.openxmlformats.org/officeDocument/2006/relationships/hyperlink" Target="https://universidade.pipelovers.net/m/lessons/vendas-para-o-setor-publico1769552345148?classId=3616" TargetMode="External"/><Relationship Id="rId144" Type="http://schemas.openxmlformats.org/officeDocument/2006/relationships/hyperlink" Target="https://www.linkedin.com/in/rfassoni/" TargetMode="External"/><Relationship Id="rId139" Type="http://schemas.openxmlformats.org/officeDocument/2006/relationships/hyperlink" Target="https://drive.google.com/file/d/1hlD9v5u_cLUkR7rixp9glWZ_VnESqxp_/view?usp=drive_link" TargetMode="External"/><Relationship Id="rId138" Type="http://schemas.openxmlformats.org/officeDocument/2006/relationships/hyperlink" Target="https://universidade.pipelovers.net/m/lessons/contabilidade-para-vendedores1769552344959?classId=3614" TargetMode="External"/><Relationship Id="rId137" Type="http://schemas.openxmlformats.org/officeDocument/2006/relationships/hyperlink" Target="https://universidade.pipelovers.net/m/lessons/contabilidade-para-vendedores1769552344959?classId=3614" TargetMode="External"/><Relationship Id="rId132" Type="http://schemas.openxmlformats.org/officeDocument/2006/relationships/hyperlink" Target="https://www.linkedin.com/in/caroline-andreola/" TargetMode="External"/><Relationship Id="rId131" Type="http://schemas.openxmlformats.org/officeDocument/2006/relationships/hyperlink" Target="https://drive.google.com/file/d/1n8RRekHtI4suDuAKjCUyADxhcSHqKtrA/view?usp=drive_link" TargetMode="External"/><Relationship Id="rId130" Type="http://schemas.openxmlformats.org/officeDocument/2006/relationships/hyperlink" Target="https://universidade.pipelovers.net/m/lessons/entendendo-as-raizes-das-objecoes1769552344891?classId=3612" TargetMode="External"/><Relationship Id="rId136" Type="http://schemas.openxmlformats.org/officeDocument/2006/relationships/hyperlink" Target="https://www.linkedin.com/in/fabio-moreira-0141b121/" TargetMode="External"/><Relationship Id="rId135" Type="http://schemas.openxmlformats.org/officeDocument/2006/relationships/hyperlink" Target="https://drive.google.com/file/d/1hg-0LSTErHjYGZXyqTLVP_trskxkS3ev/view?usp=drive_link" TargetMode="External"/><Relationship Id="rId134" Type="http://schemas.openxmlformats.org/officeDocument/2006/relationships/hyperlink" Target="https://universidade.pipelovers.net/m/lessons/100-atualizado-antes-do-seu-cliente1769552345017?classId=3613" TargetMode="External"/><Relationship Id="rId133" Type="http://schemas.openxmlformats.org/officeDocument/2006/relationships/hyperlink" Target="https://universidade.pipelovers.net/m/lessons/100-atualizado-antes-do-seu-cliente1769552345017?classId=3613" TargetMode="External"/><Relationship Id="rId172" Type="http://schemas.openxmlformats.org/officeDocument/2006/relationships/hyperlink" Target="https://www.linkedin.com/in/luciene-souza/" TargetMode="External"/><Relationship Id="rId171" Type="http://schemas.openxmlformats.org/officeDocument/2006/relationships/hyperlink" Target="https://drive.google.com/file/d/1wsSw2uW6RdalAQhCPYthLTOlzsPQZyES/view?usp=drive_link" TargetMode="External"/><Relationship Id="rId170" Type="http://schemas.openxmlformats.org/officeDocument/2006/relationships/hyperlink" Target="https://universidade.pipelovers.net/m/lessons/como-participar-do-planejamento-estrategico-do-cliente1769552345544?classId=3622" TargetMode="External"/><Relationship Id="rId165" Type="http://schemas.openxmlformats.org/officeDocument/2006/relationships/hyperlink" Target="https://universidade.pipelovers.net/m/lessons/como-potencializar-o-seu-pre-vendedor1769552345486?classId=3621" TargetMode="External"/><Relationship Id="rId164" Type="http://schemas.openxmlformats.org/officeDocument/2006/relationships/hyperlink" Target="https://www.linkedin.com/in/orlandolatam" TargetMode="External"/><Relationship Id="rId163" Type="http://schemas.openxmlformats.org/officeDocument/2006/relationships/hyperlink" Target="https://drive.google.com/file/d/1VgpWh5W7kLilpwzI9cYna0PKfLRHvof9/view?usp=drive_link" TargetMode="External"/><Relationship Id="rId162" Type="http://schemas.openxmlformats.org/officeDocument/2006/relationships/hyperlink" Target="https://universidade.pipelovers.net/m/lessons/os-principios-de-dale-carnegie1769552345425?classId=3620" TargetMode="External"/><Relationship Id="rId169" Type="http://schemas.openxmlformats.org/officeDocument/2006/relationships/hyperlink" Target="https://universidade.pipelovers.net/m/lessons/como-participar-do-planejamento-estrategico-do-cliente1769552345544?classId=3622" TargetMode="External"/><Relationship Id="rId168" Type="http://schemas.openxmlformats.org/officeDocument/2006/relationships/hyperlink" Target="https://www.linkedin.com/in/marcelo-lourencon/" TargetMode="External"/><Relationship Id="rId167" Type="http://schemas.openxmlformats.org/officeDocument/2006/relationships/hyperlink" Target="https://drive.google.com/file/d/1wODl6Y9-NdVusgBxTy1jQya0c43eo6gl/view?usp=drive_link" TargetMode="External"/><Relationship Id="rId166" Type="http://schemas.openxmlformats.org/officeDocument/2006/relationships/hyperlink" Target="https://universidade.pipelovers.net/m/lessons/como-potencializar-o-seu-pre-vendedor1769552345486?classId=3621" TargetMode="External"/><Relationship Id="rId161" Type="http://schemas.openxmlformats.org/officeDocument/2006/relationships/hyperlink" Target="https://universidade.pipelovers.net/m/lessons/os-principios-de-dale-carnegie1769552345425?classId=3620" TargetMode="External"/><Relationship Id="rId160" Type="http://schemas.openxmlformats.org/officeDocument/2006/relationships/hyperlink" Target="https://www.linkedin.com/in/candidoandre/" TargetMode="External"/><Relationship Id="rId159" Type="http://schemas.openxmlformats.org/officeDocument/2006/relationships/hyperlink" Target="https://drive.google.com/file/d/1F3AHsDk_tq0HPgKboccDdb2RoQHO_dd6/view?usp=drive_link" TargetMode="External"/><Relationship Id="rId154" Type="http://schemas.openxmlformats.org/officeDocument/2006/relationships/hyperlink" Target="https://universidade.pipelovers.net/m/lessons/a-jornada-do-onboarding-a-promocao1769552345215?classId=3618" TargetMode="External"/><Relationship Id="rId153" Type="http://schemas.openxmlformats.org/officeDocument/2006/relationships/hyperlink" Target="https://universidade.pipelovers.net/m/lessons/a-jornada-do-onboarding-a-promocao1769552345215?classId=3618" TargetMode="External"/><Relationship Id="rId152" Type="http://schemas.openxmlformats.org/officeDocument/2006/relationships/hyperlink" Target="https://www.linkedin.com/in/gabrielapaganotto/" TargetMode="External"/><Relationship Id="rId151" Type="http://schemas.openxmlformats.org/officeDocument/2006/relationships/hyperlink" Target="https://drive.google.com/file/d/11DCKt4vBozB2LeGCbd2i7hyhWLos0dqz/view?usp=drive_link" TargetMode="External"/><Relationship Id="rId158" Type="http://schemas.openxmlformats.org/officeDocument/2006/relationships/hyperlink" Target="https://universidade.pipelovers.net/m/lessons/whatsapp-como-ferramenta-de-vendas-b2b1769552345360?classId=3619" TargetMode="External"/><Relationship Id="rId157" Type="http://schemas.openxmlformats.org/officeDocument/2006/relationships/hyperlink" Target="https://universidade.pipelovers.net/m/lessons/whatsapp-como-ferramenta-de-vendas-b2b1769552345360?classId=3619" TargetMode="External"/><Relationship Id="rId156" Type="http://schemas.openxmlformats.org/officeDocument/2006/relationships/hyperlink" Target="https://www.linkedin.com/in/malbio/" TargetMode="External"/><Relationship Id="rId155" Type="http://schemas.openxmlformats.org/officeDocument/2006/relationships/hyperlink" Target="https://drive.google.com/file/d/1Fc-ZDmK6McqogN_tTJJoUlKtRCWJRkc_/view?usp=drive_link" TargetMode="External"/><Relationship Id="rId509" Type="http://schemas.openxmlformats.org/officeDocument/2006/relationships/hyperlink" Target="https://www.linkedin.com/in/agmarin/" TargetMode="External"/><Relationship Id="rId508" Type="http://schemas.openxmlformats.org/officeDocument/2006/relationships/hyperlink" Target="https://drive.google.com/file/d/1D-SKO2L90qrJmnbKCbq7ghdkYpXonj1q/view?usp=drive_link" TargetMode="External"/><Relationship Id="rId503" Type="http://schemas.openxmlformats.org/officeDocument/2006/relationships/hyperlink" Target="https://universidade.pipelovers.net/m/lessons/neurovendas-como-adaptar-seu-processo-comercial-a-logica-de-decisao-do-cerebro-humano1769552386512?classId=3045" TargetMode="External"/><Relationship Id="rId502" Type="http://schemas.openxmlformats.org/officeDocument/2006/relationships/hyperlink" Target="https://universidade.pipelovers.net/m/lessons/neurovendas-como-adaptar-seu-processo-comercial-a-logica-de-decisao-do-cerebro-humano1769552386512?classId=3045" TargetMode="External"/><Relationship Id="rId501" Type="http://schemas.openxmlformats.org/officeDocument/2006/relationships/hyperlink" Target="https://www.linkedin.com/in/marcieli-pachecco-b9a7871bb/" TargetMode="External"/><Relationship Id="rId500" Type="http://schemas.openxmlformats.org/officeDocument/2006/relationships/hyperlink" Target="https://drive.google.com/file/d/1ZaWC6mPkN0BkpR6ftOD6He7yWsZDAmxE/view?usp=drive_link" TargetMode="External"/><Relationship Id="rId507" Type="http://schemas.openxmlformats.org/officeDocument/2006/relationships/hyperlink" Target="https://universidade.pipelovers.net/m/lessons/construcao-de-networking-e-conexoes-de-valor1769552386580?classId=3046" TargetMode="External"/><Relationship Id="rId506" Type="http://schemas.openxmlformats.org/officeDocument/2006/relationships/hyperlink" Target="https://universidade.pipelovers.net/m/lessons/construcao-de-networking-e-conexoes-de-valor1769552386580?classId=3046" TargetMode="External"/><Relationship Id="rId505" Type="http://schemas.openxmlformats.org/officeDocument/2006/relationships/hyperlink" Target="https://www.linkedin.com/in/pauloguidugli/" TargetMode="External"/><Relationship Id="rId504" Type="http://schemas.openxmlformats.org/officeDocument/2006/relationships/hyperlink" Target="https://drive.google.com/file/d/1O4QVFzqXTVtOgyNaQjxYGI7D6AAKKTb1/view?usp=drive_link" TargetMode="External"/><Relationship Id="rId525" Type="http://schemas.openxmlformats.org/officeDocument/2006/relationships/hyperlink" Target="https://www.linkedin.com/in/felipecaezar/" TargetMode="External"/><Relationship Id="rId524" Type="http://schemas.openxmlformats.org/officeDocument/2006/relationships/hyperlink" Target="https://drive.google.com/file/d/1OW8TLO96k2ZdHxOh6ADhvvlnsiqdlh8Z/view?usp=drive_link" TargetMode="External"/><Relationship Id="rId523" Type="http://schemas.openxmlformats.org/officeDocument/2006/relationships/hyperlink" Target="https://universidade.pipelovers.net/m/lessons/como-usar-cases-de-sucesso-para-acelerar-vendas1769552388920?classId=3079" TargetMode="External"/><Relationship Id="rId522" Type="http://schemas.openxmlformats.org/officeDocument/2006/relationships/hyperlink" Target="https://universidade.pipelovers.net/m/lessons/como-usar-cases-de-sucesso-para-acelerar-vendas1769552388920?classId=3079" TargetMode="External"/><Relationship Id="rId529" Type="http://schemas.openxmlformats.org/officeDocument/2006/relationships/hyperlink" Target="https://www.linkedin.com/in/felipe-santos-machado/" TargetMode="External"/><Relationship Id="rId528" Type="http://schemas.openxmlformats.org/officeDocument/2006/relationships/hyperlink" Target="https://drive.google.com/file/d/1iI7KIspuGRVRAk4G5HgKe-lXtbPAus6C/view?usp=drive_link" TargetMode="External"/><Relationship Id="rId527" Type="http://schemas.openxmlformats.org/officeDocument/2006/relationships/hyperlink" Target="https://universidade.pipelovers.net/m/lessons/tecnicas-para-reducao-do-ciclo-de-vendas-com-pmes1769552389024?classId=3049" TargetMode="External"/><Relationship Id="rId526" Type="http://schemas.openxmlformats.org/officeDocument/2006/relationships/hyperlink" Target="https://universidade.pipelovers.net/m/lessons/tecnicas-para-reducao-do-ciclo-de-vendas-com-pmes1769552389024?classId=3049" TargetMode="External"/><Relationship Id="rId521" Type="http://schemas.openxmlformats.org/officeDocument/2006/relationships/hyperlink" Target="https://www.linkedin.com/in/denistassitano/" TargetMode="External"/><Relationship Id="rId520" Type="http://schemas.openxmlformats.org/officeDocument/2006/relationships/hyperlink" Target="https://drive.google.com/file/d/1BPwseD8ZDl683T5fPE4YMj69Yr3-_myG/view?usp=drive_link" TargetMode="External"/><Relationship Id="rId519" Type="http://schemas.openxmlformats.org/officeDocument/2006/relationships/hyperlink" Target="https://universidade.pipelovers.net/m/lessons/segmentacao-e-definicao-do-seu-mercado-alvo1769552388883?classId=3048" TargetMode="External"/><Relationship Id="rId514" Type="http://schemas.openxmlformats.org/officeDocument/2006/relationships/hyperlink" Target="https://universidade.pipelovers.net/m/lessons/como-gerar-engajamento-em-reunioes-online1769552388759?classId=3072" TargetMode="External"/><Relationship Id="rId513" Type="http://schemas.openxmlformats.org/officeDocument/2006/relationships/hyperlink" Target="https://www.linkedin.com/in/jo%C3%A3ovictoraandrade/" TargetMode="External"/><Relationship Id="rId512" Type="http://schemas.openxmlformats.org/officeDocument/2006/relationships/hyperlink" Target="https://drive.google.com/file/d/1b_s2-3f-aYV7bs9z1ggvCvTzCs8CiNth/view?usp=drive_link" TargetMode="External"/><Relationship Id="rId511" Type="http://schemas.openxmlformats.org/officeDocument/2006/relationships/hyperlink" Target="https://universidade.pipelovers.net/m/lessons/identificacao-e-validacao-do-perfil-de-cliente-ideal1769552388727?classId=3047" TargetMode="External"/><Relationship Id="rId518" Type="http://schemas.openxmlformats.org/officeDocument/2006/relationships/hyperlink" Target="https://universidade.pipelovers.net/m/lessons/segmentacao-e-definicao-do-seu-mercado-alvo1769552388883?classId=3048" TargetMode="External"/><Relationship Id="rId517" Type="http://schemas.openxmlformats.org/officeDocument/2006/relationships/hyperlink" Target="https://www.linkedin.com/in/gustavogadotti/" TargetMode="External"/><Relationship Id="rId516" Type="http://schemas.openxmlformats.org/officeDocument/2006/relationships/hyperlink" Target="https://drive.google.com/file/d/1gkhaHh2IYPTjTBIrvGJoHfToMW-2zeVr/view?usp=drive_link" TargetMode="External"/><Relationship Id="rId515" Type="http://schemas.openxmlformats.org/officeDocument/2006/relationships/hyperlink" Target="https://universidade.pipelovers.net/m/lessons/como-gerar-engajamento-em-reunioes-online1769552388759?classId=3072" TargetMode="External"/><Relationship Id="rId510" Type="http://schemas.openxmlformats.org/officeDocument/2006/relationships/hyperlink" Target="https://universidade.pipelovers.net/m/lessons/identificacao-e-validacao-do-perfil-de-cliente-ideal1769552388727?classId=3047" TargetMode="External"/><Relationship Id="rId590" Type="http://schemas.openxmlformats.org/officeDocument/2006/relationships/hyperlink" Target="https://www.linkedin.com/in/marketeiroconfesso/" TargetMode="External"/><Relationship Id="rId107" Type="http://schemas.openxmlformats.org/officeDocument/2006/relationships/hyperlink" Target="https://drive.google.com/file/d/1rTzVntgxDJmwBNtHBZPdN6VRyckKo9IJ/view?usp=drive_link" TargetMode="External"/><Relationship Id="rId106" Type="http://schemas.openxmlformats.org/officeDocument/2006/relationships/hyperlink" Target="https://universidade.pipelovers.net/aulas/tecnicas-de-negociacao-1775076476292" TargetMode="External"/><Relationship Id="rId105" Type="http://schemas.openxmlformats.org/officeDocument/2006/relationships/hyperlink" Target="https://universidade.pipelovers.net/aulas/tecnicas-de-negociacao-1775076476292" TargetMode="External"/><Relationship Id="rId589" Type="http://schemas.openxmlformats.org/officeDocument/2006/relationships/hyperlink" Target="https://universidade.pipelovers.net/m/lessons/como-pedir-e-receber-feedbacks-para-acelerar-seu-crescimento1772542642277?classId=3752" TargetMode="External"/><Relationship Id="rId104" Type="http://schemas.openxmlformats.org/officeDocument/2006/relationships/hyperlink" Target="https://www.linkedin.com/in/edney-quaresma-7a327564/" TargetMode="External"/><Relationship Id="rId588" Type="http://schemas.openxmlformats.org/officeDocument/2006/relationships/hyperlink" Target="https://universidade.pipelovers.net/m/lessons/como-pedir-e-receber-feedbacks-para-acelerar-seu-crescimento1772542642277?classId=3752" TargetMode="External"/><Relationship Id="rId109" Type="http://schemas.openxmlformats.org/officeDocument/2006/relationships/hyperlink" Target="https://universidade.pipelovers.net/m/lessons/administrando-a-rejeicao-em-vendas1769552344637?classId=3608" TargetMode="External"/><Relationship Id="rId108" Type="http://schemas.openxmlformats.org/officeDocument/2006/relationships/hyperlink" Target="https://www.linkedin.com/in/renatolamardo/" TargetMode="External"/><Relationship Id="rId583" Type="http://schemas.openxmlformats.org/officeDocument/2006/relationships/hyperlink" Target="https://universidade.pipelovers.net/m/lessons/vendedores-felizes-vendem-mais1772542662184?classId=3773" TargetMode="External"/><Relationship Id="rId582" Type="http://schemas.openxmlformats.org/officeDocument/2006/relationships/hyperlink" Target="https://universidade.pipelovers.net/m/lessons/vendedores-felizes-vendem-mais1772542662184?classId=3773" TargetMode="External"/><Relationship Id="rId581" Type="http://schemas.openxmlformats.org/officeDocument/2006/relationships/hyperlink" Target="https://www.linkedin.com/in/julianamilton/" TargetMode="External"/><Relationship Id="rId580" Type="http://schemas.openxmlformats.org/officeDocument/2006/relationships/hyperlink" Target="https://universidade.pipelovers.net/m/lessons/fluxo-de-cadencia-e-follow-up1772542642554?classId=3759" TargetMode="External"/><Relationship Id="rId103" Type="http://schemas.openxmlformats.org/officeDocument/2006/relationships/hyperlink" Target="https://drive.google.com/file/d/1xXLQ-m2IYwLrxSp14ac0COFriiFiKf2G/view?usp=drive_link" TargetMode="External"/><Relationship Id="rId587" Type="http://schemas.openxmlformats.org/officeDocument/2006/relationships/hyperlink" Target="https://www.linkedin.com/in/alinecgomes/" TargetMode="External"/><Relationship Id="rId102" Type="http://schemas.openxmlformats.org/officeDocument/2006/relationships/hyperlink" Target="https://universidade.pipelovers.net/m/lessons/controlando-a-ansiedade-em-vendas1769552334427?classId=3606" TargetMode="External"/><Relationship Id="rId586" Type="http://schemas.openxmlformats.org/officeDocument/2006/relationships/hyperlink" Target="https://universidade.pipelovers.net/m/lessons/venda-com-clareza-storytelling-e-argumentacao-para-executivos-de-vendas1772542662067?classId=3771" TargetMode="External"/><Relationship Id="rId101" Type="http://schemas.openxmlformats.org/officeDocument/2006/relationships/hyperlink" Target="https://universidade.pipelovers.net/m/lessons/controlando-a-ansiedade-em-vendas1769552334427?classId=3606" TargetMode="External"/><Relationship Id="rId585" Type="http://schemas.openxmlformats.org/officeDocument/2006/relationships/hyperlink" Target="https://universidade.pipelovers.net/m/lessons/venda-com-clareza-storytelling-e-argumentacao-para-executivos-de-vendas1772542662067?classId=3771" TargetMode="External"/><Relationship Id="rId100" Type="http://schemas.openxmlformats.org/officeDocument/2006/relationships/hyperlink" Target="https://www.linkedin.com/in/fabiano-br" TargetMode="External"/><Relationship Id="rId584" Type="http://schemas.openxmlformats.org/officeDocument/2006/relationships/hyperlink" Target="https://www.linkedin.com/in/rodrigo-maia-theodoro-dos-santos-59357532/?utm_source=share&amp;utm_campaign=share_via&amp;utm_content=profile&amp;utm_medium=ios_app" TargetMode="External"/><Relationship Id="rId579" Type="http://schemas.openxmlformats.org/officeDocument/2006/relationships/hyperlink" Target="https://universidade.pipelovers.net/m/lessons/fluxo-de-cadencia-e-follow-up1772542642554?classId=3759" TargetMode="External"/><Relationship Id="rId578" Type="http://schemas.openxmlformats.org/officeDocument/2006/relationships/hyperlink" Target="https://www.linkedin.com/in/malavota/" TargetMode="External"/><Relationship Id="rId577" Type="http://schemas.openxmlformats.org/officeDocument/2006/relationships/hyperlink" Target="https://universidade.pipelovers.net/m/lessons/vendas-para-cliente-que-ja-deram-churn1769552397267?classId=3740" TargetMode="External"/><Relationship Id="rId572" Type="http://schemas.openxmlformats.org/officeDocument/2006/relationships/hyperlink" Target="https://www.linkedin.com/in/felipe-engelhardt-de-carvalho/" TargetMode="External"/><Relationship Id="rId571" Type="http://schemas.openxmlformats.org/officeDocument/2006/relationships/hyperlink" Target="https://universidade.pipelovers.net/m/lessons/metodologia-meddpicc-para-vendas-enterprise1769552397053?classId=3060" TargetMode="External"/><Relationship Id="rId570" Type="http://schemas.openxmlformats.org/officeDocument/2006/relationships/hyperlink" Target="https://universidade.pipelovers.net/m/lessons/metodologia-meddpicc-para-vendas-enterprise1769552397053?classId=3060" TargetMode="External"/><Relationship Id="rId576" Type="http://schemas.openxmlformats.org/officeDocument/2006/relationships/hyperlink" Target="https://universidade.pipelovers.net/m/lessons/vendas-para-cliente-que-ja-deram-churn1769552397267?classId=3740" TargetMode="External"/><Relationship Id="rId575" Type="http://schemas.openxmlformats.org/officeDocument/2006/relationships/hyperlink" Target="https://www.linkedin.com/in/bruna-nabais/" TargetMode="External"/><Relationship Id="rId574" Type="http://schemas.openxmlformats.org/officeDocument/2006/relationships/hyperlink" Target="https://universidade.pipelovers.net/m/lessons/como-calcular-e-demonstrar-o-roi-para-o-cliente1769552397183?classId=3061" TargetMode="External"/><Relationship Id="rId573" Type="http://schemas.openxmlformats.org/officeDocument/2006/relationships/hyperlink" Target="https://universidade.pipelovers.net/m/lessons/como-calcular-e-demonstrar-o-roi-para-o-cliente1769552397183?classId=3061" TargetMode="External"/><Relationship Id="rId129" Type="http://schemas.openxmlformats.org/officeDocument/2006/relationships/hyperlink" Target="https://universidade.pipelovers.net/m/lessons/entendendo-as-raizes-das-objecoes1769552344891?classId=3612" TargetMode="External"/><Relationship Id="rId128" Type="http://schemas.openxmlformats.org/officeDocument/2006/relationships/hyperlink" Target="https://www.linkedin.com/in/marinarlemos/" TargetMode="External"/><Relationship Id="rId127" Type="http://schemas.openxmlformats.org/officeDocument/2006/relationships/hyperlink" Target="https://drive.google.com/file/d/1SuLkDAXT_t0wbdyULxNodXlzUZQ9IrD6/view?usp=drive_link" TargetMode="External"/><Relationship Id="rId126" Type="http://schemas.openxmlformats.org/officeDocument/2006/relationships/hyperlink" Target="https://universidade.pipelovers.net/m/lessons/account-based-marketing-o-papel-do-vendedor-nessa-estrategia1769552344814?classId=3611" TargetMode="External"/><Relationship Id="rId121" Type="http://schemas.openxmlformats.org/officeDocument/2006/relationships/hyperlink" Target="https://universidade.pipelovers.net/m/lessons/vendendo-para-cliente-bilionarios1769552344699?classId=3610" TargetMode="External"/><Relationship Id="rId120" Type="http://schemas.openxmlformats.org/officeDocument/2006/relationships/hyperlink" Target="https://www.linkedin.com/in/daniel-prado-3815b93b/" TargetMode="External"/><Relationship Id="rId125" Type="http://schemas.openxmlformats.org/officeDocument/2006/relationships/hyperlink" Target="https://universidade.pipelovers.net/m/lessons/account-based-marketing-o-papel-do-vendedor-nessa-estrategia1769552344814?classId=3611" TargetMode="External"/><Relationship Id="rId124" Type="http://schemas.openxmlformats.org/officeDocument/2006/relationships/hyperlink" Target="https://www.linkedin.com/in/fspina/" TargetMode="External"/><Relationship Id="rId123" Type="http://schemas.openxmlformats.org/officeDocument/2006/relationships/hyperlink" Target="https://drive.google.com/file/d/1cmYTjs_gFn_EsCAVeRaEXqMiYrv91Wmp/view?usp=drive_link" TargetMode="External"/><Relationship Id="rId122" Type="http://schemas.openxmlformats.org/officeDocument/2006/relationships/hyperlink" Target="https://universidade.pipelovers.net/m/lessons/vendendo-para-cliente-bilionarios1769552344699?classId=3610" TargetMode="External"/><Relationship Id="rId118" Type="http://schemas.openxmlformats.org/officeDocument/2006/relationships/hyperlink" Target="https://universidade.pipelovers.net/m/lessons/feiras-e-eventos-hacks-para-valer-a-pena-para-o-vendedor1769552344753?classId=3609" TargetMode="External"/><Relationship Id="rId117" Type="http://schemas.openxmlformats.org/officeDocument/2006/relationships/hyperlink" Target="https://universidade.pipelovers.net/m/lessons/feiras-e-eventos-hacks-para-valer-a-pena-para-o-vendedor1769552344753?classId=3609" TargetMode="External"/><Relationship Id="rId116" Type="http://schemas.openxmlformats.org/officeDocument/2006/relationships/hyperlink" Target="https://www.linkedin.com/in/marcelosinhorini/" TargetMode="External"/><Relationship Id="rId115" Type="http://schemas.openxmlformats.org/officeDocument/2006/relationships/hyperlink" Target="https://drive.google.com/file/d/1G0Ithdnd1KqxW3NgqSzOScjb60S3U0Kw/view?usp=drive_link" TargetMode="External"/><Relationship Id="rId599" Type="http://schemas.openxmlformats.org/officeDocument/2006/relationships/hyperlink" Target="https://www.linkedin.com/in/matheusalencarcosta/" TargetMode="External"/><Relationship Id="rId119" Type="http://schemas.openxmlformats.org/officeDocument/2006/relationships/hyperlink" Target="https://drive.google.com/file/d/1Ytv1PpZFEX8k4L2f92IYcFp4Vg18JUrI/view?usp=drive_link" TargetMode="External"/><Relationship Id="rId110" Type="http://schemas.openxmlformats.org/officeDocument/2006/relationships/hyperlink" Target="https://universidade.pipelovers.net/m/lessons/administrando-a-rejeicao-em-vendas1769552344637?classId=3608" TargetMode="External"/><Relationship Id="rId594" Type="http://schemas.openxmlformats.org/officeDocument/2006/relationships/hyperlink" Target="https://universidade.pipelovers.net/m/lessons/como-conduzir-vendas-de-solucoes-complexas1772542642158?classId=3750" TargetMode="External"/><Relationship Id="rId593" Type="http://schemas.openxmlformats.org/officeDocument/2006/relationships/hyperlink" Target="https://www.linkedin.com/in/victor-sperli/" TargetMode="External"/><Relationship Id="rId592" Type="http://schemas.openxmlformats.org/officeDocument/2006/relationships/hyperlink" Target="https://universidade.pipelovers.net/m/lessons/como-a-presenca-digital-impulsiona-a-performance-dos-vendedores1772542642086?classId=3748" TargetMode="External"/><Relationship Id="rId591" Type="http://schemas.openxmlformats.org/officeDocument/2006/relationships/hyperlink" Target="https://universidade.pipelovers.net/m/lessons/como-a-presenca-digital-impulsiona-a-performance-dos-vendedores1772542642086?classId=3748" TargetMode="External"/><Relationship Id="rId114" Type="http://schemas.openxmlformats.org/officeDocument/2006/relationships/hyperlink" Target="https://universidade.pipelovers.net/m/lessons/aprendendo-com-oportunidades-perdidas1769552344431?classId=2775" TargetMode="External"/><Relationship Id="rId598" Type="http://schemas.openxmlformats.org/officeDocument/2006/relationships/hyperlink" Target="https://universidade.pipelovers.net/m/lessons/linguagem-corporal-na-pratica-tecnica-intencao-e-confianca-1771879667022?classId=3816" TargetMode="External"/><Relationship Id="rId113" Type="http://schemas.openxmlformats.org/officeDocument/2006/relationships/hyperlink" Target="https://universidade.pipelovers.net/m/lessons/aprendendo-com-oportunidades-perdidas1769552344431?classId=2775" TargetMode="External"/><Relationship Id="rId597" Type="http://schemas.openxmlformats.org/officeDocument/2006/relationships/hyperlink" Target="https://universidade.pipelovers.net/m/lessons/linguagem-corporal-na-pratica-tecnica-intencao-e-confianca-1771879667022?classId=3816" TargetMode="External"/><Relationship Id="rId112" Type="http://schemas.openxmlformats.org/officeDocument/2006/relationships/hyperlink" Target="https://www.linkedin.com/in/b%C3%A1rbara-ribeiro-martins-460aa764/" TargetMode="External"/><Relationship Id="rId596" Type="http://schemas.openxmlformats.org/officeDocument/2006/relationships/hyperlink" Target="https://www.linkedin.com/in/marcieli-pachecco-b9a7871bb/" TargetMode="External"/><Relationship Id="rId111" Type="http://schemas.openxmlformats.org/officeDocument/2006/relationships/hyperlink" Target="https://drive.google.com/file/d/1JBWXIbQzovQVCt7EDJ16glJi4ENfC8jv/view?usp=drive_link" TargetMode="External"/><Relationship Id="rId595" Type="http://schemas.openxmlformats.org/officeDocument/2006/relationships/hyperlink" Target="https://universidade.pipelovers.net/m/lessons/como-conduzir-vendas-de-solucoes-complexas1772542642158?classId=3750" TargetMode="External"/><Relationship Id="rId547" Type="http://schemas.openxmlformats.org/officeDocument/2006/relationships/hyperlink" Target="https://universidade.pipelovers.net/m/lessons/definicao-de-icp-para-atuacao-em-novos-mercados1769552396631?classId=3054" TargetMode="External"/><Relationship Id="rId546" Type="http://schemas.openxmlformats.org/officeDocument/2006/relationships/hyperlink" Target="https://universidade.pipelovers.net/m/lessons/definicao-de-icp-para-atuacao-em-novos-mercados1769552396631?classId=3054" TargetMode="External"/><Relationship Id="rId545" Type="http://schemas.openxmlformats.org/officeDocument/2006/relationships/hyperlink" Target="https://www.linkedin.com/in/rafaelgonttijo/" TargetMode="External"/><Relationship Id="rId544" Type="http://schemas.openxmlformats.org/officeDocument/2006/relationships/hyperlink" Target="https://drive.google.com/file/d/1G_M_NyEhuIpuxc1lDG-2WkA2IcZr2eja/view?usp=drive_link" TargetMode="External"/><Relationship Id="rId549" Type="http://schemas.openxmlformats.org/officeDocument/2006/relationships/hyperlink" Target="https://www.linkedin.com/in/rafarptrader/" TargetMode="External"/><Relationship Id="rId548" Type="http://schemas.openxmlformats.org/officeDocument/2006/relationships/hyperlink" Target="https://drive.google.com/file/d/1iCgKo8pNFtOSTKRTlD0OQeH2NRwQkMW7/view?usp=drive_link" TargetMode="External"/><Relationship Id="rId543" Type="http://schemas.openxmlformats.org/officeDocument/2006/relationships/hyperlink" Target="https://universidade.pipelovers.net/m/lessons/o-papel-da-mentalidade-no-sucesso-em-vendas1769552396581?classId=3053" TargetMode="External"/><Relationship Id="rId542" Type="http://schemas.openxmlformats.org/officeDocument/2006/relationships/hyperlink" Target="https://universidade.pipelovers.net/m/lessons/o-papel-da-mentalidade-no-sucesso-em-vendas1769552396581?classId=3053" TargetMode="External"/><Relationship Id="rId541" Type="http://schemas.openxmlformats.org/officeDocument/2006/relationships/hyperlink" Target="https://www.linkedin.com/in/gabriellaraweigert/" TargetMode="External"/><Relationship Id="rId540" Type="http://schemas.openxmlformats.org/officeDocument/2006/relationships/hyperlink" Target="https://drive.google.com/file/d/1LYxm9iuDEXfE44QSmiHMXpiNlUXOhdLu/view?usp=drive_link" TargetMode="External"/><Relationship Id="rId536" Type="http://schemas.openxmlformats.org/officeDocument/2006/relationships/hyperlink" Target="https://drive.google.com/file/d/1rqb1Y2oSkQEswAn0Q-uMSsidevbMJaC1/view?usp=drive_link" TargetMode="External"/><Relationship Id="rId535" Type="http://schemas.openxmlformats.org/officeDocument/2006/relationships/hyperlink" Target="https://universidade.pipelovers.net/m/lessons/como-automatizar-tarefas-do-dia-a-dia-sem-depender-de-ninguem1769552389113?classId=3051" TargetMode="External"/><Relationship Id="rId534" Type="http://schemas.openxmlformats.org/officeDocument/2006/relationships/hyperlink" Target="https://universidade.pipelovers.net/m/lessons/como-automatizar-tarefas-do-dia-a-dia-sem-depender-de-ninguem1769552389113?classId=3051" TargetMode="External"/><Relationship Id="rId533" Type="http://schemas.openxmlformats.org/officeDocument/2006/relationships/hyperlink" Target="https://www.linkedin.com/in/carolinepinna/" TargetMode="External"/><Relationship Id="rId539" Type="http://schemas.openxmlformats.org/officeDocument/2006/relationships/hyperlink" Target="https://universidade.pipelovers.net/m/lessons/criacao-de-novos-discursos-de-vendas1769552396435?classId=3052" TargetMode="External"/><Relationship Id="rId538" Type="http://schemas.openxmlformats.org/officeDocument/2006/relationships/hyperlink" Target="https://universidade.pipelovers.net/m/lessons/criacao-de-novos-discursos-de-vendas1769552396435?classId=3052" TargetMode="External"/><Relationship Id="rId537" Type="http://schemas.openxmlformats.org/officeDocument/2006/relationships/hyperlink" Target="https://www.linkedin.com/in/moavianna/" TargetMode="External"/><Relationship Id="rId532" Type="http://schemas.openxmlformats.org/officeDocument/2006/relationships/hyperlink" Target="https://drive.google.com/file/d/1iVl9br9WpO8_6TVmmzQQvkI9IMbcQ36E/view?usp=drive_link" TargetMode="External"/><Relationship Id="rId531" Type="http://schemas.openxmlformats.org/officeDocument/2006/relationships/hyperlink" Target="https://universidade.pipelovers.net/m/lessons/antes-do-pitch-como-usar-o-contexto-do-lead-pra-abrir-portas1769552389083?classId=3050" TargetMode="External"/><Relationship Id="rId530" Type="http://schemas.openxmlformats.org/officeDocument/2006/relationships/hyperlink" Target="https://universidade.pipelovers.net/m/lessons/antes-do-pitch-como-usar-o-contexto-do-lead-pra-abrir-portas1769552389083?classId=3050" TargetMode="External"/><Relationship Id="rId569" Type="http://schemas.openxmlformats.org/officeDocument/2006/relationships/hyperlink" Target="https://www.linkedin.com/in/venturinilucas/" TargetMode="External"/><Relationship Id="rId568" Type="http://schemas.openxmlformats.org/officeDocument/2006/relationships/hyperlink" Target="https://drive.google.com/file/d/1aRPgM9lQXhGTGnQX6KEEdBd_DhweEW-d/view?usp=drive_link" TargetMode="External"/><Relationship Id="rId567" Type="http://schemas.openxmlformats.org/officeDocument/2006/relationships/hyperlink" Target="https://universidade.pipelovers.net/m/lessons/inteligencia-de-mercado-aprendendo-com-a-concorrencia1769552396981?classId=3059" TargetMode="External"/><Relationship Id="rId566" Type="http://schemas.openxmlformats.org/officeDocument/2006/relationships/hyperlink" Target="https://universidade.pipelovers.net/m/lessons/inteligencia-de-mercado-aprendendo-com-a-concorrencia1769552396981?classId=3059" TargetMode="External"/><Relationship Id="rId561" Type="http://schemas.openxmlformats.org/officeDocument/2006/relationships/hyperlink" Target="https://www.linkedin.com/in/felipedecarvalho1982/" TargetMode="External"/><Relationship Id="rId560" Type="http://schemas.openxmlformats.org/officeDocument/2006/relationships/hyperlink" Target="https://drive.google.com/file/d/1H5l3uNQxix_hXMJ6sFzj9OQBg1Lr2r4w/view?usp=drive_link" TargetMode="External"/><Relationship Id="rId565" Type="http://schemas.openxmlformats.org/officeDocument/2006/relationships/hyperlink" Target="https://www.linkedin.com/in/leonardcastro/" TargetMode="External"/><Relationship Id="rId564" Type="http://schemas.openxmlformats.org/officeDocument/2006/relationships/hyperlink" Target="https://drive.google.com/file/d/1fWXjNiJz7POGbjrDoR-aILxj9hDtyLVX/view?usp=drive_link" TargetMode="External"/><Relationship Id="rId563" Type="http://schemas.openxmlformats.org/officeDocument/2006/relationships/hyperlink" Target="https://universidade.pipelovers.net/m/lessons/identificando-seus-pontos-fortes-e-fracos-em-vendas1769552396894?classId=3058" TargetMode="External"/><Relationship Id="rId562" Type="http://schemas.openxmlformats.org/officeDocument/2006/relationships/hyperlink" Target="https://universidade.pipelovers.net/m/lessons/identificando-seus-pontos-fortes-e-fracos-em-vendas1769552396894?classId=3058" TargetMode="External"/><Relationship Id="rId558" Type="http://schemas.openxmlformats.org/officeDocument/2006/relationships/hyperlink" Target="https://universidade.pipelovers.net/m/lessons/metodologia-solution-selling1769552396844?classId=3057" TargetMode="External"/><Relationship Id="rId557" Type="http://schemas.openxmlformats.org/officeDocument/2006/relationships/hyperlink" Target="https://www.linkedin.com/in/wagner-martins/" TargetMode="External"/><Relationship Id="rId556" Type="http://schemas.openxmlformats.org/officeDocument/2006/relationships/hyperlink" Target="https://drive.google.com/file/d/1LV-YAG22vou-yPDf_PFQN5ABXIF6bLV4/view?usp=drive_link" TargetMode="External"/><Relationship Id="rId555" Type="http://schemas.openxmlformats.org/officeDocument/2006/relationships/hyperlink" Target="https://universidade.pipelovers.net/aulas/os-4-pilares-de-uma-oratoria-de-impacto-1775687356455" TargetMode="External"/><Relationship Id="rId559" Type="http://schemas.openxmlformats.org/officeDocument/2006/relationships/hyperlink" Target="https://universidade.pipelovers.net/m/lessons/metodologia-solution-selling1769552396844?classId=3057" TargetMode="External"/><Relationship Id="rId550" Type="http://schemas.openxmlformats.org/officeDocument/2006/relationships/hyperlink" Target="https://universidade.pipelovers.net/m/lessons/estoicismo-aplicado-a-venda-disciplina-paciencia-e-resultado1769552396737?classId=3055" TargetMode="External"/><Relationship Id="rId554" Type="http://schemas.openxmlformats.org/officeDocument/2006/relationships/hyperlink" Target="https://universidade.pipelovers.net/aulas/os-4-pilares-de-uma-oratoria-de-impacto-1775687356455" TargetMode="External"/><Relationship Id="rId553" Type="http://schemas.openxmlformats.org/officeDocument/2006/relationships/hyperlink" Target="https://www.linkedin.com/in/oyagobaia/" TargetMode="External"/><Relationship Id="rId552" Type="http://schemas.openxmlformats.org/officeDocument/2006/relationships/hyperlink" Target="https://drive.google.com/file/d/1GobDb1UPFwZCRgQ2HxL3TlBtCniLI0Yh/view?usp=drive_link" TargetMode="External"/><Relationship Id="rId551" Type="http://schemas.openxmlformats.org/officeDocument/2006/relationships/hyperlink" Target="https://universidade.pipelovers.net/m/lessons/estoicismo-aplicado-a-venda-disciplina-paciencia-e-resultado1769552396737?classId=3055" TargetMode="External"/><Relationship Id="rId495" Type="http://schemas.openxmlformats.org/officeDocument/2006/relationships/hyperlink" Target="https://universidade.pipelovers.net/m/lessons/resiliencia-em-vendas-como-superar-rejeicoes-constantes1769552386411?classId=3043" TargetMode="External"/><Relationship Id="rId494" Type="http://schemas.openxmlformats.org/officeDocument/2006/relationships/hyperlink" Target="https://drive.google.com/file/d/1yPg9eX_RqgMF8IZZ9ye7VhXTvn2BUm8Z/view?usp=drive_link" TargetMode="External"/><Relationship Id="rId493" Type="http://schemas.openxmlformats.org/officeDocument/2006/relationships/hyperlink" Target="https://universidade.pipelovers.net/m/lessons/o-que-realmente-funciona-em-contas-estrategicas1769552386212?classId=3042" TargetMode="External"/><Relationship Id="rId492" Type="http://schemas.openxmlformats.org/officeDocument/2006/relationships/hyperlink" Target="https://universidade.pipelovers.net/m/lessons/o-que-realmente-funciona-em-contas-estrategicas1769552386212?classId=3042" TargetMode="External"/><Relationship Id="rId499" Type="http://schemas.openxmlformats.org/officeDocument/2006/relationships/hyperlink" Target="https://universidade.pipelovers.net/m/lessons/discovery-e-causa-raiz-como-investigar-o-problema-certo-antes-de-vender1769552386471?classId=3044" TargetMode="External"/><Relationship Id="rId498" Type="http://schemas.openxmlformats.org/officeDocument/2006/relationships/hyperlink" Target="https://universidade.pipelovers.net/m/lessons/discovery-e-causa-raiz-como-investigar-o-problema-certo-antes-de-vender1769552386471?classId=3044" TargetMode="External"/><Relationship Id="rId497" Type="http://schemas.openxmlformats.org/officeDocument/2006/relationships/hyperlink" Target="https://drive.google.com/file/d/1LyHPjzA5wI6xnC8r3J6iF7XaINxOkHj4/view?usp=drive_link" TargetMode="External"/><Relationship Id="rId496" Type="http://schemas.openxmlformats.org/officeDocument/2006/relationships/hyperlink" Target="https://universidade.pipelovers.net/m/lessons/resiliencia-em-vendas-como-superar-rejeicoes-constantes1769552386411?classId=3043" TargetMode="External"/><Relationship Id="rId409" Type="http://schemas.openxmlformats.org/officeDocument/2006/relationships/hyperlink" Target="https://universidade.pipelovers.net/m/lessons/vendas-enterprise-estrategias-para-fechar-grandes-contas1769552376494?classId=3640" TargetMode="External"/><Relationship Id="rId404" Type="http://schemas.openxmlformats.org/officeDocument/2006/relationships/hyperlink" Target="https://universidade.pipelovers.net/aulas/acelerando-negociacoes-hacks-praticos-para-fechamento-1775686254317" TargetMode="External"/><Relationship Id="rId403" Type="http://schemas.openxmlformats.org/officeDocument/2006/relationships/hyperlink" Target="https://www.linkedin.com/in/arnold-frota-13974a182/" TargetMode="External"/><Relationship Id="rId402" Type="http://schemas.openxmlformats.org/officeDocument/2006/relationships/hyperlink" Target="https://drive.google.com/file/d/1yr6t1HdcjoSzcj94tFcFkLZIPD4Hd_3n/view?usp=drive_link" TargetMode="External"/><Relationship Id="rId401" Type="http://schemas.openxmlformats.org/officeDocument/2006/relationships/hyperlink" Target="https://universidade.pipelovers.net/m/lessons/spin-selling-em-negociacoes-complexas1769552376302?classId=3573" TargetMode="External"/><Relationship Id="rId408" Type="http://schemas.openxmlformats.org/officeDocument/2006/relationships/hyperlink" Target="https://universidade.pipelovers.net/m/lessons/vendas-enterprise-estrategias-para-fechar-grandes-contas1769552376494?classId=3640" TargetMode="External"/><Relationship Id="rId407" Type="http://schemas.openxmlformats.org/officeDocument/2006/relationships/hyperlink" Target="https://www.linkedin.com/in/julio--vigna/" TargetMode="External"/><Relationship Id="rId406" Type="http://schemas.openxmlformats.org/officeDocument/2006/relationships/hyperlink" Target="https://drive.google.com/file/d/1YPEVYeSYNdC3irr733EJbsHJRNINNdK3/view?usp=drive_link" TargetMode="External"/><Relationship Id="rId405" Type="http://schemas.openxmlformats.org/officeDocument/2006/relationships/hyperlink" Target="https://universidade.pipelovers.net/aulas/acelerando-negociacoes-hacks-praticos-para-fechamento-1775686254317" TargetMode="External"/><Relationship Id="rId400" Type="http://schemas.openxmlformats.org/officeDocument/2006/relationships/hyperlink" Target="https://universidade.pipelovers.net/m/lessons/spin-selling-em-negociacoes-complexas1769552376302?classId=3573" TargetMode="External"/><Relationship Id="rId469" Type="http://schemas.openxmlformats.org/officeDocument/2006/relationships/hyperlink" Target="https://universidade.pipelovers.net/m/lessons/crm-na-pratica-o-que-importa-registrar1769552385716?classId=3627" TargetMode="External"/><Relationship Id="rId468" Type="http://schemas.openxmlformats.org/officeDocument/2006/relationships/hyperlink" Target="https://universidade.pipelovers.net/m/lessons/crm-na-pratica-o-que-importa-registrar1769552385716?classId=3627" TargetMode="External"/><Relationship Id="rId467" Type="http://schemas.openxmlformats.org/officeDocument/2006/relationships/hyperlink" Target="https://www.linkedin.com/in/thiagofriedrich/" TargetMode="External"/><Relationship Id="rId462" Type="http://schemas.openxmlformats.org/officeDocument/2006/relationships/hyperlink" Target="https://drive.google.com/file/d/15j5QkKCqDjnPivaUJPQaqG9JliRSNfdc/view?usp=drive_link" TargetMode="External"/><Relationship Id="rId461" Type="http://schemas.openxmlformats.org/officeDocument/2006/relationships/hyperlink" Target="https://universidade.pipelovers.net/m/lessons/estrategias-para-evitar-o-burnout-no-ambiente-comercial1769552385638?classId=3629" TargetMode="External"/><Relationship Id="rId460" Type="http://schemas.openxmlformats.org/officeDocument/2006/relationships/hyperlink" Target="https://universidade.pipelovers.net/m/lessons/estrategias-para-evitar-o-burnout-no-ambiente-comercial1769552385638?classId=3629" TargetMode="External"/><Relationship Id="rId466" Type="http://schemas.openxmlformats.org/officeDocument/2006/relationships/hyperlink" Target="https://drive.google.com/file/d/17JvKhaE2FIbROzRaNk2MUu0b8JME7ecR/view?usp=drive_link" TargetMode="External"/><Relationship Id="rId465" Type="http://schemas.openxmlformats.org/officeDocument/2006/relationships/hyperlink" Target="https://universidade.pipelovers.net/m/lessons/processo-forecast-e-previsibilidade-na-pratica1769552385773?classId=3707" TargetMode="External"/><Relationship Id="rId464" Type="http://schemas.openxmlformats.org/officeDocument/2006/relationships/hyperlink" Target="https://universidade.pipelovers.net/m/lessons/processo-forecast-e-previsibilidade-na-pratica1769552385773?classId=3707" TargetMode="External"/><Relationship Id="rId463" Type="http://schemas.openxmlformats.org/officeDocument/2006/relationships/hyperlink" Target="https://www.linkedin.com/in/ferruciojunior/" TargetMode="External"/><Relationship Id="rId459" Type="http://schemas.openxmlformats.org/officeDocument/2006/relationships/hyperlink" Target="https://www.linkedin.com/in/carolina-januzzi/" TargetMode="External"/><Relationship Id="rId458" Type="http://schemas.openxmlformats.org/officeDocument/2006/relationships/hyperlink" Target="https://drive.google.com/file/d/1sWfgEz8E2Gs4mi-LwY5hU31WUlOsYEEQ/view?usp=drive_link" TargetMode="External"/><Relationship Id="rId457" Type="http://schemas.openxmlformats.org/officeDocument/2006/relationships/hyperlink" Target="https://universidade.pipelovers.net/m/lessons/como-lidar-com-conversas-dificeis1769552385567?classId=3630" TargetMode="External"/><Relationship Id="rId456" Type="http://schemas.openxmlformats.org/officeDocument/2006/relationships/hyperlink" Target="https://universidade.pipelovers.net/m/lessons/como-lidar-com-conversas-dificeis1769552385567?classId=3630" TargetMode="External"/><Relationship Id="rId451" Type="http://schemas.openxmlformats.org/officeDocument/2006/relationships/hyperlink" Target="https://www.linkedin.com/in/rafael-morais-faria/" TargetMode="External"/><Relationship Id="rId450" Type="http://schemas.openxmlformats.org/officeDocument/2006/relationships/hyperlink" Target="https://drive.google.com/file/d/1iFj83M3674iSTEgAJzMQrwLw2ZzJDfOM/view?usp=drive_link" TargetMode="External"/><Relationship Id="rId455" Type="http://schemas.openxmlformats.org/officeDocument/2006/relationships/hyperlink" Target="https://www.linkedin.com/in/rafaela-frankenthal/" TargetMode="External"/><Relationship Id="rId454" Type="http://schemas.openxmlformats.org/officeDocument/2006/relationships/hyperlink" Target="https://drive.google.com/file/d/1htGDNL1tYO_NUGvEp2xg8P6bP59lDp-j/view?usp=drive_link" TargetMode="External"/><Relationship Id="rId453" Type="http://schemas.openxmlformats.org/officeDocument/2006/relationships/hyperlink" Target="https://universidade.pipelovers.net/m/lessons/como-criar-um-senso-de-urgencia-sem-ser-agressivo1769552385445?classId=3631" TargetMode="External"/><Relationship Id="rId452" Type="http://schemas.openxmlformats.org/officeDocument/2006/relationships/hyperlink" Target="https://universidade.pipelovers.net/m/lessons/como-criar-um-senso-de-urgencia-sem-ser-agressivo1769552385445?classId=3631" TargetMode="External"/><Relationship Id="rId491" Type="http://schemas.openxmlformats.org/officeDocument/2006/relationships/hyperlink" Target="https://drive.google.com/file/d/1I4CyIAbVhGj_n89kIJcnjN6-52N3sZBV/view?usp=drive_link" TargetMode="External"/><Relationship Id="rId490" Type="http://schemas.openxmlformats.org/officeDocument/2006/relationships/hyperlink" Target="https://universidade.pipelovers.net/m/lessons/mapeando-influenciadores-e-decisores-na-venda-b2b1769552386126?classId=3041" TargetMode="External"/><Relationship Id="rId489" Type="http://schemas.openxmlformats.org/officeDocument/2006/relationships/hyperlink" Target="https://universidade.pipelovers.net/m/lessons/mapeando-influenciadores-e-decisores-na-venda-b2b1769552386126?classId=3041" TargetMode="External"/><Relationship Id="rId484" Type="http://schemas.openxmlformats.org/officeDocument/2006/relationships/hyperlink" Target="https://www.linkedin.com/in/ebersonterra/" TargetMode="External"/><Relationship Id="rId483" Type="http://schemas.openxmlformats.org/officeDocument/2006/relationships/hyperlink" Target="https://drive.google.com/file/d/1NXtvj4rfvOuSZ5OmSmafVlnMJWnxkyo6/view?usp=drive_link" TargetMode="External"/><Relationship Id="rId482" Type="http://schemas.openxmlformats.org/officeDocument/2006/relationships/hyperlink" Target="https://universidade.pipelovers.net/aulas/escuta-estrategica-como-fechar-mais-negocios-so-ouvindo-melhor-1775086091746" TargetMode="External"/><Relationship Id="rId481" Type="http://schemas.openxmlformats.org/officeDocument/2006/relationships/hyperlink" Target="https://universidade.pipelovers.net/aulas/escuta-estrategica-como-fechar-mais-negocios-so-ouvindo-melhor-1775086091746" TargetMode="External"/><Relationship Id="rId488" Type="http://schemas.openxmlformats.org/officeDocument/2006/relationships/hyperlink" Target="https://www.linkedin.com/in/arthurfrota/" TargetMode="External"/><Relationship Id="rId487" Type="http://schemas.openxmlformats.org/officeDocument/2006/relationships/hyperlink" Target="https://drive.google.com/file/d/1Z8eWnlgxhja2OuEADoyIyu4BaVXhG0Rq/view?usp=drive_link" TargetMode="External"/><Relationship Id="rId486" Type="http://schemas.openxmlformats.org/officeDocument/2006/relationships/hyperlink" Target="https://universidade.pipelovers.net/m/lessons/da-pra-se-desenvolver-mesmo-com-um-chefe-ruim1769552386064?classId=3040" TargetMode="External"/><Relationship Id="rId485" Type="http://schemas.openxmlformats.org/officeDocument/2006/relationships/hyperlink" Target="https://universidade.pipelovers.net/m/lessons/da-pra-se-desenvolver-mesmo-com-um-chefe-ruim1769552386064?classId=3040" TargetMode="External"/><Relationship Id="rId480" Type="http://schemas.openxmlformats.org/officeDocument/2006/relationships/hyperlink" Target="https://www.linkedin.com/in/thais-sterenberg-de-oliveira/" TargetMode="External"/><Relationship Id="rId479" Type="http://schemas.openxmlformats.org/officeDocument/2006/relationships/hyperlink" Target="http://elephan.ai/" TargetMode="External"/><Relationship Id="rId478" Type="http://schemas.openxmlformats.org/officeDocument/2006/relationships/hyperlink" Target="https://drive.google.com/file/d/1vA3iOk-kRjROKLpaHa1ZXmcfzhwgQn9p/view?usp=drive_link" TargetMode="External"/><Relationship Id="rId473" Type="http://schemas.openxmlformats.org/officeDocument/2006/relationships/hyperlink" Target="https://universidade.pipelovers.net/m/lessons/como-aumentar-a-conversao-melhorando-sua-proposta-comercial1769552385869?classId=3626" TargetMode="External"/><Relationship Id="rId472" Type="http://schemas.openxmlformats.org/officeDocument/2006/relationships/hyperlink" Target="https://universidade.pipelovers.net/m/lessons/como-aumentar-a-conversao-melhorando-sua-proposta-comercial1769552385869?classId=3626" TargetMode="External"/><Relationship Id="rId471" Type="http://schemas.openxmlformats.org/officeDocument/2006/relationships/hyperlink" Target="https://www.linkedin.com/in/falafelipecosta/" TargetMode="External"/><Relationship Id="rId470" Type="http://schemas.openxmlformats.org/officeDocument/2006/relationships/hyperlink" Target="https://drive.google.com/file/d/1P8FBQurkZF9_AZ1h3j1Nw4Rxy0zT1wMm/view?usp=drive_link" TargetMode="External"/><Relationship Id="rId477" Type="http://schemas.openxmlformats.org/officeDocument/2006/relationships/hyperlink" Target="https://universidade.pipelovers.net/m/lessons/gatilhos-que-aceleram-a-jornada-de-compra1769552385930" TargetMode="External"/><Relationship Id="rId476" Type="http://schemas.openxmlformats.org/officeDocument/2006/relationships/hyperlink" Target="https://universidade.pipelovers.net/m/lessons/gatilhos-que-aceleram-a-jornada-de-compra1769552385930" TargetMode="External"/><Relationship Id="rId475" Type="http://schemas.openxmlformats.org/officeDocument/2006/relationships/hyperlink" Target="https://www.linkedin.com/in/fiamma-cardoso-897934157/" TargetMode="External"/><Relationship Id="rId474" Type="http://schemas.openxmlformats.org/officeDocument/2006/relationships/hyperlink" Target="https://drive.google.com/file/d/1iNkQ0ZvsaMqTG6GMfnNMkEmh4hynR6e_/view?usp=drive_link" TargetMode="External"/><Relationship Id="rId426" Type="http://schemas.openxmlformats.org/officeDocument/2006/relationships/hyperlink" Target="https://drive.google.com/file/d/1VflqUYOve91nXNr8lq2B7YMwg0ABu8ky/view?usp=drive_link" TargetMode="External"/><Relationship Id="rId425" Type="http://schemas.openxmlformats.org/officeDocument/2006/relationships/hyperlink" Target="https://universidade.pipelovers.net/m/lessons/jolt-effect-como-vencer-a-indecisao-do-cliente1769552376803?classId=3636" TargetMode="External"/><Relationship Id="rId424" Type="http://schemas.openxmlformats.org/officeDocument/2006/relationships/hyperlink" Target="https://universidade.pipelovers.net/m/lessons/jolt-effect-como-vencer-a-indecisao-do-cliente1769552376803?classId=3636" TargetMode="External"/><Relationship Id="rId423" Type="http://schemas.openxmlformats.org/officeDocument/2006/relationships/hyperlink" Target="https://www.linkedin.com/in/chriscornehl/" TargetMode="External"/><Relationship Id="rId429" Type="http://schemas.openxmlformats.org/officeDocument/2006/relationships/hyperlink" Target="https://universidade.pipelovers.net/m/lessons/reunioes-com-c-level-abordagem-consultiva-para-ganhar-credibilidade1769552376876?classId=3774" TargetMode="External"/><Relationship Id="rId428" Type="http://schemas.openxmlformats.org/officeDocument/2006/relationships/hyperlink" Target="https://universidade.pipelovers.net/m/lessons/reunioes-com-c-level-abordagem-consultiva-para-ganhar-credibilidade1769552376876?classId=3774" TargetMode="External"/><Relationship Id="rId427" Type="http://schemas.openxmlformats.org/officeDocument/2006/relationships/hyperlink" Target="https://www.linkedin.com/in/luizfelipecrosa/" TargetMode="External"/><Relationship Id="rId422" Type="http://schemas.openxmlformats.org/officeDocument/2006/relationships/hyperlink" Target="https://drive.google.com/file/d/1r2hRc9bXKNIvPnyv22DqZJi-4u88xHUY/view?usp=drive_link" TargetMode="External"/><Relationship Id="rId421" Type="http://schemas.openxmlformats.org/officeDocument/2006/relationships/hyperlink" Target="https://universidade.pipelovers.net/m/lessons/descomplicando-a-venda-de-servicos-dicas-para-fechar-mais-negocios1769552376715?classId=3637" TargetMode="External"/><Relationship Id="rId420" Type="http://schemas.openxmlformats.org/officeDocument/2006/relationships/hyperlink" Target="https://universidade.pipelovers.net/m/lessons/descomplicando-a-venda-de-servicos-dicas-para-fechar-mais-negocios1769552376715?classId=3637" TargetMode="External"/><Relationship Id="rId415" Type="http://schemas.openxmlformats.org/officeDocument/2006/relationships/hyperlink" Target="https://www.linkedin.com/in/thiagocherem/" TargetMode="External"/><Relationship Id="rId414" Type="http://schemas.openxmlformats.org/officeDocument/2006/relationships/hyperlink" Target="https://drive.google.com/file/d/1hDGFdPHp4_6jXKc80ra8RHVyoYxgIWLu/view?usp=drive_link" TargetMode="External"/><Relationship Id="rId413" Type="http://schemas.openxmlformats.org/officeDocument/2006/relationships/hyperlink" Target="https://universidade.pipelovers.net/m/lessons/estrategias-de-cadencia-no-whatsapp-para-leads-inbound1769552376588?classId=3639" TargetMode="External"/><Relationship Id="rId412" Type="http://schemas.openxmlformats.org/officeDocument/2006/relationships/hyperlink" Target="https://universidade.pipelovers.net/m/lessons/estrategias-de-cadencia-no-whatsapp-para-leads-inbound1769552376588?classId=3639" TargetMode="External"/><Relationship Id="rId419" Type="http://schemas.openxmlformats.org/officeDocument/2006/relationships/hyperlink" Target="https://www.linkedin.com/in/gustavotorrente/" TargetMode="External"/><Relationship Id="rId418" Type="http://schemas.openxmlformats.org/officeDocument/2006/relationships/hyperlink" Target="https://drive.google.com/file/d/1UkBd0eki_AU3Z-bFuCS7KDJbPPHdtyHU/view?usp=drive_link" TargetMode="External"/><Relationship Id="rId417" Type="http://schemas.openxmlformats.org/officeDocument/2006/relationships/hyperlink" Target="https://universidade.pipelovers.net/m/lessons/como-estruturar-um-roadmap-to-close-alinhado-ao-ciclo-de-compra1769552376649?classId=3638" TargetMode="External"/><Relationship Id="rId416" Type="http://schemas.openxmlformats.org/officeDocument/2006/relationships/hyperlink" Target="https://universidade.pipelovers.net/m/lessons/como-estruturar-um-roadmap-to-close-alinhado-ao-ciclo-de-compra1769552376649?classId=3638" TargetMode="External"/><Relationship Id="rId411" Type="http://schemas.openxmlformats.org/officeDocument/2006/relationships/hyperlink" Target="https://www.linkedin.com/in/leandromunhozmoreira/" TargetMode="External"/><Relationship Id="rId410" Type="http://schemas.openxmlformats.org/officeDocument/2006/relationships/hyperlink" Target="https://drive.google.com/file/d/1hDGFdPHp4_6jXKc80ra8RHVyoYxgIWLu/view?usp=drive_link" TargetMode="External"/><Relationship Id="rId448" Type="http://schemas.openxmlformats.org/officeDocument/2006/relationships/hyperlink" Target="https://universidade.pipelovers.net/m/lessons/pratica-de-negociacao-com-metodologia-de-harvard1769552385506?classId=3632" TargetMode="External"/><Relationship Id="rId447" Type="http://schemas.openxmlformats.org/officeDocument/2006/relationships/hyperlink" Target="https://www.linkedin.com/in/marianaschaffer/" TargetMode="External"/><Relationship Id="rId446" Type="http://schemas.openxmlformats.org/officeDocument/2006/relationships/hyperlink" Target="https://drive.google.com/file/d/1zAz95B8UHldfaJWvaADyJU02ZKMkfwdf/view?usp=drive_link" TargetMode="External"/><Relationship Id="rId445" Type="http://schemas.openxmlformats.org/officeDocument/2006/relationships/hyperlink" Target="https://universidade.pipelovers.net/m/lessons/social-selling-para-dominar-nichos1769552385374?classId=3633" TargetMode="External"/><Relationship Id="rId449" Type="http://schemas.openxmlformats.org/officeDocument/2006/relationships/hyperlink" Target="https://universidade.pipelovers.net/m/lessons/pratica-de-negociacao-com-metodologia-de-harvard1769552385506?classId=3632" TargetMode="External"/><Relationship Id="rId440" Type="http://schemas.openxmlformats.org/officeDocument/2006/relationships/hyperlink" Target="https://universidade.pipelovers.net/m/lessons/venda-com-autoridade-como-dominar-o-negocio-e-segmento-do-cliente1769552385007?classId=3634" TargetMode="External"/><Relationship Id="rId444" Type="http://schemas.openxmlformats.org/officeDocument/2006/relationships/hyperlink" Target="https://universidade.pipelovers.net/m/lessons/social-selling-para-dominar-nichos1769552385374?classId=3633" TargetMode="External"/><Relationship Id="rId443" Type="http://schemas.openxmlformats.org/officeDocument/2006/relationships/hyperlink" Target="https://www.linkedin.com/in/matheus-weigand/" TargetMode="External"/><Relationship Id="rId442" Type="http://schemas.openxmlformats.org/officeDocument/2006/relationships/hyperlink" Target="https://drive.google.com/file/d/11_QV1H2RA66sBmjdnBFPGPUf4YGsu3d4/view?usp=drive_link" TargetMode="External"/><Relationship Id="rId441" Type="http://schemas.openxmlformats.org/officeDocument/2006/relationships/hyperlink" Target="https://universidade.pipelovers.net/m/lessons/venda-com-autoridade-como-dominar-o-negocio-e-segmento-do-cliente1769552385007?classId=3634" TargetMode="External"/><Relationship Id="rId437" Type="http://schemas.openxmlformats.org/officeDocument/2006/relationships/hyperlink" Target="https://universidade.pipelovers.net/m/lessons/tecnicas-para-reducao-do-ciclo-de-venda-ativando-senso-de-urgencia1769552376960?classId=3635" TargetMode="External"/><Relationship Id="rId436" Type="http://schemas.openxmlformats.org/officeDocument/2006/relationships/hyperlink" Target="https://universidade.pipelovers.net/m/lessons/tecnicas-para-reducao-do-ciclo-de-venda-ativando-senso-de-urgencia1769552376960?classId=3635" TargetMode="External"/><Relationship Id="rId435" Type="http://schemas.openxmlformats.org/officeDocument/2006/relationships/hyperlink" Target="https://www.linkedin.com/in/flaubifarias/" TargetMode="External"/><Relationship Id="rId434" Type="http://schemas.openxmlformats.org/officeDocument/2006/relationships/hyperlink" Target="https://drive.google.com/file/d/1j0crhYJwWfmMrhXvUI4m1RHrmE1Bnzxn/view?usp=drive_link" TargetMode="External"/><Relationship Id="rId439" Type="http://schemas.openxmlformats.org/officeDocument/2006/relationships/hyperlink" Target="https://www.linkedin.com/in/gabriellpss/" TargetMode="External"/><Relationship Id="rId438" Type="http://schemas.openxmlformats.org/officeDocument/2006/relationships/hyperlink" Target="https://drive.google.com/file/d/1LidZuuIg6m0TkGgGJQNcT1R4MdMGumBn/view?usp=drive_link" TargetMode="External"/><Relationship Id="rId433" Type="http://schemas.openxmlformats.org/officeDocument/2006/relationships/hyperlink" Target="https://universidade.pipelovers.net/m/lessons/dar-e-receber-feedback-com-clareza1769552060864?classId=3028" TargetMode="External"/><Relationship Id="rId432" Type="http://schemas.openxmlformats.org/officeDocument/2006/relationships/hyperlink" Target="https://universidade.pipelovers.net/m/lessons/dar-e-receber-feedback-com-clareza1769552060864?classId=3028" TargetMode="External"/><Relationship Id="rId431" Type="http://schemas.openxmlformats.org/officeDocument/2006/relationships/hyperlink" Target="https://www.linkedin.com/in/carol-deberaldini-21793442/" TargetMode="External"/><Relationship Id="rId430" Type="http://schemas.openxmlformats.org/officeDocument/2006/relationships/hyperlink" Target="https://drive.google.com/file/d/1RYIMQf5ti5Rz72EUHTq413XxUn-MW3N4/view?usp=drive_link" TargetMode="External"/></Relationships>
</file>

<file path=xl/worksheets/_rels/sheet6.xml.rels><?xml version="1.0" encoding="UTF-8" standalone="yes"?><Relationships xmlns="http://schemas.openxmlformats.org/package/2006/relationships"><Relationship Id="rId392" Type="http://schemas.openxmlformats.org/officeDocument/2006/relationships/hyperlink" Target="https://www.linkedin.com/in/renatasrico/" TargetMode="External"/><Relationship Id="rId391" Type="http://schemas.openxmlformats.org/officeDocument/2006/relationships/hyperlink" Target="https://drive.google.com/file/d/1_YefoCUxXQPY7UzgGRljmHiN3QOicOhW/view?usp=drive_link" TargetMode="External"/><Relationship Id="rId390" Type="http://schemas.openxmlformats.org/officeDocument/2006/relationships/hyperlink" Target="https://universidade.pipelovers.net/m/lessons/a-culpa-nao-e-do-canal-erros-que-cometemos-e-como-evita-los1769552446280?classId=3181" TargetMode="External"/><Relationship Id="rId1" Type="http://schemas.openxmlformats.org/officeDocument/2006/relationships/hyperlink" Target="https://square-help-401.notion.site/PipeLovers-Gest-o-de-Conte-dos-092a0245b45d4913bc546769f201f09c" TargetMode="External"/><Relationship Id="rId2" Type="http://schemas.openxmlformats.org/officeDocument/2006/relationships/hyperlink" Target="https://www.linkedin.com/in/rafael-milare/" TargetMode="External"/><Relationship Id="rId3" Type="http://schemas.openxmlformats.org/officeDocument/2006/relationships/hyperlink" Target="https://universidade.pipelovers.net/m/lessons/programa-de-canais-ter-ou-nao-ter1769552397371?classId=2854" TargetMode="External"/><Relationship Id="rId4" Type="http://schemas.openxmlformats.org/officeDocument/2006/relationships/hyperlink" Target="https://universidade.pipelovers.net/m/lessons/programa-de-canais-ter-ou-nao-ter1769552397371?classId=2854" TargetMode="External"/><Relationship Id="rId9" Type="http://schemas.openxmlformats.org/officeDocument/2006/relationships/hyperlink" Target="https://drive.google.com/file/d/12nFgcrvx4hzQnpkfltYCJUtWh9uD8732/view?usp=drive_link" TargetMode="External"/><Relationship Id="rId385" Type="http://schemas.openxmlformats.org/officeDocument/2006/relationships/hyperlink" Target="https://universidade.pipelovers.net/m/lessons/canais-de-distribuicao-estruturando-o-essencial-para-crescer1769552446221?classId=3180" TargetMode="External"/><Relationship Id="rId384" Type="http://schemas.openxmlformats.org/officeDocument/2006/relationships/hyperlink" Target="https://www.linkedin.com/in/douglas-a-medeiros/" TargetMode="External"/><Relationship Id="rId383" Type="http://schemas.openxmlformats.org/officeDocument/2006/relationships/hyperlink" Target="https://drive.google.com/file/d/1FB-gW09ARnmM9R4DKWxbdh8hAYH76nSw/view?usp=drive_link" TargetMode="External"/><Relationship Id="rId382" Type="http://schemas.openxmlformats.org/officeDocument/2006/relationships/hyperlink" Target="https://universidade.pipelovers.net/m/lessons/planejando-o-ano-com-canais-franqueado1769552446135?classId=3179" TargetMode="External"/><Relationship Id="rId5" Type="http://schemas.openxmlformats.org/officeDocument/2006/relationships/hyperlink" Target="https://drive.google.com/file/d/1oEbDazy7jyGwS3S1H-rwTzwPEos7ocdS/view?usp=drive_link" TargetMode="External"/><Relationship Id="rId389" Type="http://schemas.openxmlformats.org/officeDocument/2006/relationships/hyperlink" Target="https://universidade.pipelovers.net/m/lessons/a-culpa-nao-e-do-canal-erros-que-cometemos-e-como-evita-los1769552446280?classId=3181" TargetMode="External"/><Relationship Id="rId6" Type="http://schemas.openxmlformats.org/officeDocument/2006/relationships/hyperlink" Target="https://www.linkedin.com/in/naravazguimaraes/" TargetMode="External"/><Relationship Id="rId388" Type="http://schemas.openxmlformats.org/officeDocument/2006/relationships/hyperlink" Target="https://www.linkedin.com/in/denys-vojnovskis/" TargetMode="External"/><Relationship Id="rId7" Type="http://schemas.openxmlformats.org/officeDocument/2006/relationships/hyperlink" Target="https://universidade.pipelovers.net/m/lessons/modelos-de-programas-de-canais1769552397431?classId=3070" TargetMode="External"/><Relationship Id="rId387" Type="http://schemas.openxmlformats.org/officeDocument/2006/relationships/hyperlink" Target="https://drive.google.com/file/d/18FukbMvOIFORT0sbk7jWq44Y8CYdbwno/view?usp=drive_link" TargetMode="External"/><Relationship Id="rId8" Type="http://schemas.openxmlformats.org/officeDocument/2006/relationships/hyperlink" Target="https://universidade.pipelovers.net/m/lessons/modelos-de-programas-de-canais1769552397431?classId=3070" TargetMode="External"/><Relationship Id="rId386" Type="http://schemas.openxmlformats.org/officeDocument/2006/relationships/hyperlink" Target="https://universidade.pipelovers.net/m/lessons/canais-de-distribuicao-estruturando-o-essencial-para-crescer1769552446221?classId=3180" TargetMode="External"/><Relationship Id="rId381" Type="http://schemas.openxmlformats.org/officeDocument/2006/relationships/hyperlink" Target="https://universidade.pipelovers.net/m/lessons/planejando-o-ano-com-canais-franqueado1769552446135?classId=3179" TargetMode="External"/><Relationship Id="rId380" Type="http://schemas.openxmlformats.org/officeDocument/2006/relationships/hyperlink" Target="https://www.linkedin.com/in/ricardomtanaka/" TargetMode="External"/><Relationship Id="rId379" Type="http://schemas.openxmlformats.org/officeDocument/2006/relationships/hyperlink" Target="https://drive.google.com/file/d/1f8DYkTvSkZ-QIyqiYnbPXFS21n1dg_PE/view?usp=drive_link" TargetMode="External"/><Relationship Id="rId374" Type="http://schemas.openxmlformats.org/officeDocument/2006/relationships/hyperlink" Target="https://universidade.pipelovers.net/m/lessons/parcerias-de-valor-adicionado-value-added-partnerships-para-crescimento-sustentavel1769552445999?classId=3177" TargetMode="External"/><Relationship Id="rId373" Type="http://schemas.openxmlformats.org/officeDocument/2006/relationships/hyperlink" Target="https://universidade.pipelovers.net/m/lessons/parcerias-de-valor-adicionado-value-added-partnerships-para-crescimento-sustentavel1769552445999?classId=3177" TargetMode="External"/><Relationship Id="rId372" Type="http://schemas.openxmlformats.org/officeDocument/2006/relationships/hyperlink" Target="https://www.linkedin.com/in/kalina-renno/?utm_source=share&amp;utm_campaign=share_via&amp;utm_content=profile&amp;utm_medium=ios_app" TargetMode="External"/><Relationship Id="rId371" Type="http://schemas.openxmlformats.org/officeDocument/2006/relationships/hyperlink" Target="https://drive.google.com/file/d/1ZOjLy1QJh_KRjWa7GjUInLvfX4bN2AlU/view?usp=drive_link" TargetMode="External"/><Relationship Id="rId378" Type="http://schemas.openxmlformats.org/officeDocument/2006/relationships/hyperlink" Target="https://universidade.pipelovers.net/m/lessons/primeiros-passos-para-criar-um-playbook-de-canais1769552446074?classId=3178" TargetMode="External"/><Relationship Id="rId377" Type="http://schemas.openxmlformats.org/officeDocument/2006/relationships/hyperlink" Target="https://universidade.pipelovers.net/m/lessons/primeiros-passos-para-criar-um-playbook-de-canais1769552446074?classId=3178" TargetMode="External"/><Relationship Id="rId376" Type="http://schemas.openxmlformats.org/officeDocument/2006/relationships/hyperlink" Target="https://www.linkedin.com/in/antonio-forte-9211762/" TargetMode="External"/><Relationship Id="rId375" Type="http://schemas.openxmlformats.org/officeDocument/2006/relationships/hyperlink" Target="https://drive.google.com/file/d/1bUWFIrllxugzmZgIjVwwXyFIVtnpDZqO/view?usp=drive_link" TargetMode="External"/><Relationship Id="rId396" Type="http://schemas.openxmlformats.org/officeDocument/2006/relationships/hyperlink" Target="https://www.linkedin.com/in/c%C3%A9lio-pupo-ab745623/" TargetMode="External"/><Relationship Id="rId395" Type="http://schemas.openxmlformats.org/officeDocument/2006/relationships/hyperlink" Target="https://drive.google.com/file/d/1RiXrauHOOr9Am5IrvOrQliIqC502Ejt-/view?usp=drive_link" TargetMode="External"/><Relationship Id="rId394" Type="http://schemas.openxmlformats.org/officeDocument/2006/relationships/hyperlink" Target="https://universidade.pipelovers.net/m/lessons/plano-de-carreira-em-vendas-indiretas1769552446341?classId=3182" TargetMode="External"/><Relationship Id="rId393" Type="http://schemas.openxmlformats.org/officeDocument/2006/relationships/hyperlink" Target="https://universidade.pipelovers.net/m/lessons/plano-de-carreira-em-vendas-indiretas1769552446341?classId=3182" TargetMode="External"/><Relationship Id="rId399" Type="http://schemas.openxmlformats.org/officeDocument/2006/relationships/hyperlink" Target="https://drive.google.com/file/d/1W7qqINTwUZsdKi394wOuUaiU1_-gRxKl/view?usp=drive_link" TargetMode="External"/><Relationship Id="rId398" Type="http://schemas.openxmlformats.org/officeDocument/2006/relationships/hyperlink" Target="https://universidade.pipelovers.net/m/lessons/captacao-de-canais-de-ticket-baixo1769552446416?classId=3189" TargetMode="External"/><Relationship Id="rId397" Type="http://schemas.openxmlformats.org/officeDocument/2006/relationships/hyperlink" Target="https://universidade.pipelovers.net/m/lessons/captacao-de-canais-de-ticket-baixo1769552446416?classId=3189" TargetMode="External"/><Relationship Id="rId40" Type="http://schemas.openxmlformats.org/officeDocument/2006/relationships/hyperlink" Target="https://universidade.pipelovers.net/m/lessons/engajamento-de-parceiros1769552405642?classId=3331" TargetMode="External"/><Relationship Id="rId42" Type="http://schemas.openxmlformats.org/officeDocument/2006/relationships/hyperlink" Target="https://www.linkedin.com/in/danielaspinardi/" TargetMode="External"/><Relationship Id="rId41" Type="http://schemas.openxmlformats.org/officeDocument/2006/relationships/hyperlink" Target="https://drive.google.com/file/d/1rSG6mI38aeptXw3dRu2zDfyhmZU0bYkP/view?usp=drive_link" TargetMode="External"/><Relationship Id="rId44" Type="http://schemas.openxmlformats.org/officeDocument/2006/relationships/hyperlink" Target="https://universidade.pipelovers.net/m/lessons/internacionalizacao-via-canais1769552405580?classId=3333" TargetMode="External"/><Relationship Id="rId43" Type="http://schemas.openxmlformats.org/officeDocument/2006/relationships/hyperlink" Target="https://universidade.pipelovers.net/m/lessons/internacionalizacao-via-canais1769552405580?classId=3333" TargetMode="External"/><Relationship Id="rId46" Type="http://schemas.openxmlformats.org/officeDocument/2006/relationships/hyperlink" Target="https://www.linkedin.com/in/lourencoluis/" TargetMode="External"/><Relationship Id="rId45" Type="http://schemas.openxmlformats.org/officeDocument/2006/relationships/hyperlink" Target="https://drive.google.com/file/d/1iM15kaKIkKUaQ2NYqqNMtP7RZb5Tituq/view?usp=drive_link" TargetMode="External"/><Relationship Id="rId48" Type="http://schemas.openxmlformats.org/officeDocument/2006/relationships/hyperlink" Target="https://universidade.pipelovers.net/m/lessons/metricas-de-gestao-de-canais1769552405737?classId=3334" TargetMode="External"/><Relationship Id="rId47" Type="http://schemas.openxmlformats.org/officeDocument/2006/relationships/hyperlink" Target="https://universidade.pipelovers.net/m/lessons/metricas-de-gestao-de-canais1769552405737?classId=3334" TargetMode="External"/><Relationship Id="rId49" Type="http://schemas.openxmlformats.org/officeDocument/2006/relationships/hyperlink" Target="https://drive.google.com/file/d/1xJsiRo_ElABaaS9HjSC97wLbDoYFYvGa/view?usp=drive_link" TargetMode="External"/><Relationship Id="rId31" Type="http://schemas.openxmlformats.org/officeDocument/2006/relationships/hyperlink" Target="https://universidade.pipelovers.net/m/lessons/case-alelo1769552405429?classId=3327" TargetMode="External"/><Relationship Id="rId30" Type="http://schemas.openxmlformats.org/officeDocument/2006/relationships/hyperlink" Target="https://www.linkedin.com/in/barbara-luchese/overlay/photo/" TargetMode="External"/><Relationship Id="rId33" Type="http://schemas.openxmlformats.org/officeDocument/2006/relationships/hyperlink" Target="https://drive.google.com/file/d/1eSIV5fkLxGHvGGbSZ2J6-aUk7LI9MNBd/view?usp=drive_link" TargetMode="External"/><Relationship Id="rId32" Type="http://schemas.openxmlformats.org/officeDocument/2006/relationships/hyperlink" Target="https://universidade.pipelovers.net/m/lessons/case-alelo1769552405429?classId=3327" TargetMode="External"/><Relationship Id="rId35" Type="http://schemas.openxmlformats.org/officeDocument/2006/relationships/hyperlink" Target="https://universidade.pipelovers.net/m/lessons/case-gympass1769552405373?classId=3328" TargetMode="External"/><Relationship Id="rId34" Type="http://schemas.openxmlformats.org/officeDocument/2006/relationships/hyperlink" Target="https://www.linkedin.com/in/raphael-gouvea-b9788624/" TargetMode="External"/><Relationship Id="rId37" Type="http://schemas.openxmlformats.org/officeDocument/2006/relationships/hyperlink" Target="https://drive.google.com/file/d/1rH_qvpxRSPbKHPPtqleCsVYyNaxJ8hJ5/view?usp=drive_link" TargetMode="External"/><Relationship Id="rId36" Type="http://schemas.openxmlformats.org/officeDocument/2006/relationships/hyperlink" Target="https://universidade.pipelovers.net/m/lessons/case-gympass1769552405373?classId=3328" TargetMode="External"/><Relationship Id="rId39" Type="http://schemas.openxmlformats.org/officeDocument/2006/relationships/hyperlink" Target="https://universidade.pipelovers.net/m/lessons/engajamento-de-parceiros1769552405642?classId=3331" TargetMode="External"/><Relationship Id="rId38" Type="http://schemas.openxmlformats.org/officeDocument/2006/relationships/hyperlink" Target="https://www.linkedin.com/in/vitorcesar/" TargetMode="External"/><Relationship Id="rId20" Type="http://schemas.openxmlformats.org/officeDocument/2006/relationships/hyperlink" Target="https://universidade.pipelovers.net/m/lessons/case-mercado-pago1769552405200?classId=3325" TargetMode="External"/><Relationship Id="rId22" Type="http://schemas.openxmlformats.org/officeDocument/2006/relationships/hyperlink" Target="https://www.linkedin.com/in/yasmim-dib-loureiro/" TargetMode="External"/><Relationship Id="rId21" Type="http://schemas.openxmlformats.org/officeDocument/2006/relationships/hyperlink" Target="https://drive.google.com/file/d/1OQhj281BDkd8AQ1w32dTIdQDhf7vPiB8/view?usp=drive_link" TargetMode="External"/><Relationship Id="rId24" Type="http://schemas.openxmlformats.org/officeDocument/2006/relationships/hyperlink" Target="https://universidade.pipelovers.net/m/lessons/case-amazon-aws1769552405299?classId=3329" TargetMode="External"/><Relationship Id="rId23" Type="http://schemas.openxmlformats.org/officeDocument/2006/relationships/hyperlink" Target="https://universidade.pipelovers.net/m/lessons/case-amazon-aws1769552405299?classId=3329" TargetMode="External"/><Relationship Id="rId26" Type="http://schemas.openxmlformats.org/officeDocument/2006/relationships/hyperlink" Target="https://www.linkedin.com/in/anaduccini/" TargetMode="External"/><Relationship Id="rId25" Type="http://schemas.openxmlformats.org/officeDocument/2006/relationships/hyperlink" Target="https://drive.google.com/file/d/1tlZMm7HVNBAJYRQMTJnXSkynDwr9oJs0/view?usp=drive_link" TargetMode="External"/><Relationship Id="rId28" Type="http://schemas.openxmlformats.org/officeDocument/2006/relationships/hyperlink" Target="https://universidade.pipelovers.net/m/lessons/case-loja-integrada1769552405489?classId=3326" TargetMode="External"/><Relationship Id="rId27" Type="http://schemas.openxmlformats.org/officeDocument/2006/relationships/hyperlink" Target="https://universidade.pipelovers.net/m/lessons/case-loja-integrada1769552405489?classId=3326" TargetMode="External"/><Relationship Id="rId29" Type="http://schemas.openxmlformats.org/officeDocument/2006/relationships/hyperlink" Target="https://drive.google.com/file/d/1sgVDl9fiu3yVKf-VNKsvR9XcktbfOUhe/view?usp=drive_link" TargetMode="External"/><Relationship Id="rId11" Type="http://schemas.openxmlformats.org/officeDocument/2006/relationships/hyperlink" Target="https://universidade.pipelovers.net/aulas/case-stone-1775081594547" TargetMode="External"/><Relationship Id="rId10" Type="http://schemas.openxmlformats.org/officeDocument/2006/relationships/hyperlink" Target="https://www.linkedin.com/in/joaobarcellos/" TargetMode="External"/><Relationship Id="rId13" Type="http://schemas.openxmlformats.org/officeDocument/2006/relationships/hyperlink" Target="https://drive.google.com/file/d/1zHd5bPR6Uvfc-6Ei-ElhlqyhQQPiYbSI/view?usp=drive_link" TargetMode="External"/><Relationship Id="rId12" Type="http://schemas.openxmlformats.org/officeDocument/2006/relationships/hyperlink" Target="https://universidade.pipelovers.net/aulas/case-stone-1775081594547" TargetMode="External"/><Relationship Id="rId15" Type="http://schemas.openxmlformats.org/officeDocument/2006/relationships/hyperlink" Target="https://universidade.pipelovers.net/m/lessons/case-xp-inc1769552397542?classId=3324" TargetMode="External"/><Relationship Id="rId14" Type="http://schemas.openxmlformats.org/officeDocument/2006/relationships/hyperlink" Target="https://www.linkedin.com/in/caio-peres-cfa-57253693/" TargetMode="External"/><Relationship Id="rId17" Type="http://schemas.openxmlformats.org/officeDocument/2006/relationships/hyperlink" Target="https://drive.google.com/file/d/1rNmJQwxdo63nw_IjCAMbpGrcwbOL8JQl/view?usp=drive_link" TargetMode="External"/><Relationship Id="rId16" Type="http://schemas.openxmlformats.org/officeDocument/2006/relationships/hyperlink" Target="https://universidade.pipelovers.net/m/lessons/case-xp-inc1769552397542?classId=3324" TargetMode="External"/><Relationship Id="rId19" Type="http://schemas.openxmlformats.org/officeDocument/2006/relationships/hyperlink" Target="https://universidade.pipelovers.net/m/lessons/case-mercado-pago1769552405200?classId=3325" TargetMode="External"/><Relationship Id="rId18" Type="http://schemas.openxmlformats.org/officeDocument/2006/relationships/hyperlink" Target="https://www.linkedin.com/in/samircarlton/" TargetMode="External"/><Relationship Id="rId84" Type="http://schemas.openxmlformats.org/officeDocument/2006/relationships/hyperlink" Target="https://drive.google.com/file/d/1_TgBTU-utZ0QFU5aZFPAwt-dMoQEeOD4/view?usp=drive_link" TargetMode="External"/><Relationship Id="rId83" Type="http://schemas.openxmlformats.org/officeDocument/2006/relationships/hyperlink" Target="https://universidade.pipelovers.net/m/lessons/modelo-de-franquias-case-algar-telecom1769552406396?classId=3349" TargetMode="External"/><Relationship Id="rId86" Type="http://schemas.openxmlformats.org/officeDocument/2006/relationships/hyperlink" Target="https://universidade.pipelovers.net/m/lessons/como-estruturar-comissionamento-para-canais-indiretos1769552409063?classId=3348" TargetMode="External"/><Relationship Id="rId85" Type="http://schemas.openxmlformats.org/officeDocument/2006/relationships/hyperlink" Target="https://www.linkedin.com/in/williantrovo/" TargetMode="External"/><Relationship Id="rId88" Type="http://schemas.openxmlformats.org/officeDocument/2006/relationships/hyperlink" Target="https://drive.google.com/file/d/1IwHryiHGYttfYX5JwwJcZB-tbUmHzqn3/view?usp=drive_link" TargetMode="External"/><Relationship Id="rId87" Type="http://schemas.openxmlformats.org/officeDocument/2006/relationships/hyperlink" Target="https://universidade.pipelovers.net/m/lessons/como-estruturar-comissionamento-para-canais-indiretos1769552409063?classId=3348" TargetMode="External"/><Relationship Id="rId89" Type="http://schemas.openxmlformats.org/officeDocument/2006/relationships/hyperlink" Target="https://www.linkedin.com/in/douglas-a-medeiros/" TargetMode="External"/><Relationship Id="rId80" Type="http://schemas.openxmlformats.org/officeDocument/2006/relationships/hyperlink" Target="https://drive.google.com/file/d/1D85FGxY-R4u1oTqWdwljMFBBN0Oo2Z0c/view?usp=drive_link" TargetMode="External"/><Relationship Id="rId82" Type="http://schemas.openxmlformats.org/officeDocument/2006/relationships/hyperlink" Target="https://universidade.pipelovers.net/m/lessons/modelo-de-franquias-case-algar-telecom1769552406396?classId=3349" TargetMode="External"/><Relationship Id="rId81" Type="http://schemas.openxmlformats.org/officeDocument/2006/relationships/hyperlink" Target="https://www.linkedin.com/in/anaflaviamartins/" TargetMode="External"/><Relationship Id="rId73" Type="http://schemas.openxmlformats.org/officeDocument/2006/relationships/hyperlink" Target="https://www.linkedin.com/in/henriquesaraiva/" TargetMode="External"/><Relationship Id="rId72" Type="http://schemas.openxmlformats.org/officeDocument/2006/relationships/hyperlink" Target="https://drive.google.com/file/d/1Hx_sKoh5HHbnjoIFYZTu3Q3-4PWNBya4/view?usp=drive_link" TargetMode="External"/><Relationship Id="rId75" Type="http://schemas.openxmlformats.org/officeDocument/2006/relationships/hyperlink" Target="https://universidade.pipelovers.net/m/lessons/case-google-cloud1769552406256?classId=3338" TargetMode="External"/><Relationship Id="rId74" Type="http://schemas.openxmlformats.org/officeDocument/2006/relationships/hyperlink" Target="https://universidade.pipelovers.net/m/lessons/case-google-cloud1769552406256?classId=3338" TargetMode="External"/><Relationship Id="rId77" Type="http://schemas.openxmlformats.org/officeDocument/2006/relationships/hyperlink" Target="https://www.linkedin.com/in/glaucio-goncalves/" TargetMode="External"/><Relationship Id="rId76" Type="http://schemas.openxmlformats.org/officeDocument/2006/relationships/hyperlink" Target="https://drive.google.com/file/d/1axhjSOdIiQiuyM3-560ZEUegCXLzUy2Q/view?usp=drive_link" TargetMode="External"/><Relationship Id="rId79" Type="http://schemas.openxmlformats.org/officeDocument/2006/relationships/hyperlink" Target="https://universidade.pipelovers.net/m/lessons/rotinas-de-gestao-de-canais-indiretos1769552406333?classId=3350" TargetMode="External"/><Relationship Id="rId78" Type="http://schemas.openxmlformats.org/officeDocument/2006/relationships/hyperlink" Target="https://universidade.pipelovers.net/m/lessons/rotinas-de-gestao-de-canais-indiretos1769552406333?classId=3350" TargetMode="External"/><Relationship Id="rId71" Type="http://schemas.openxmlformats.org/officeDocument/2006/relationships/hyperlink" Target="https://universidade.pipelovers.net/m/lessons/fusao-de-programas-de-canais-pos-ma1769552406157?classId=3340" TargetMode="External"/><Relationship Id="rId70" Type="http://schemas.openxmlformats.org/officeDocument/2006/relationships/hyperlink" Target="https://universidade.pipelovers.net/m/lessons/fusao-de-programas-de-canais-pos-ma1769552406157?classId=3340" TargetMode="External"/><Relationship Id="rId62" Type="http://schemas.openxmlformats.org/officeDocument/2006/relationships/hyperlink" Target="https://universidade.pipelovers.net/m/lessons/o-outro-lado-como-e-ser-um-parceiro1769552405979?classId=3342" TargetMode="External"/><Relationship Id="rId61" Type="http://schemas.openxmlformats.org/officeDocument/2006/relationships/hyperlink" Target="https://www.linkedin.com/in/giovanni-batista-4091032/" TargetMode="External"/><Relationship Id="rId64" Type="http://schemas.openxmlformats.org/officeDocument/2006/relationships/hyperlink" Target="https://drive.google.com/file/d/1yzxGyIvhq0BSZj1Noi7mobJG1lc75-FU/view?usp=drive_link" TargetMode="External"/><Relationship Id="rId63" Type="http://schemas.openxmlformats.org/officeDocument/2006/relationships/hyperlink" Target="https://universidade.pipelovers.net/m/lessons/o-outro-lado-como-e-ser-um-parceiro1769552405979?classId=3342" TargetMode="External"/><Relationship Id="rId66" Type="http://schemas.openxmlformats.org/officeDocument/2006/relationships/hyperlink" Target="https://universidade.pipelovers.net/m/lessons/case-microsoft1769552406083?classId=3341" TargetMode="External"/><Relationship Id="rId65" Type="http://schemas.openxmlformats.org/officeDocument/2006/relationships/hyperlink" Target="https://www.linkedin.com/in/gtsuchida/" TargetMode="External"/><Relationship Id="rId68" Type="http://schemas.openxmlformats.org/officeDocument/2006/relationships/hyperlink" Target="https://drive.google.com/file/d/18aN0VjQMeDKQMjaAO_UsI5HSuHeB_2I9/view?usp=drive_link" TargetMode="External"/><Relationship Id="rId67" Type="http://schemas.openxmlformats.org/officeDocument/2006/relationships/hyperlink" Target="https://universidade.pipelovers.net/m/lessons/case-microsoft1769552406083?classId=3341" TargetMode="External"/><Relationship Id="rId60" Type="http://schemas.openxmlformats.org/officeDocument/2006/relationships/hyperlink" Target="https://universidade.pipelovers.net/m/lessons/case-creditas1769552405918?classId=3343" TargetMode="External"/><Relationship Id="rId69" Type="http://schemas.openxmlformats.org/officeDocument/2006/relationships/hyperlink" Target="https://www.linkedin.com/in/cristiano-gregorius-b73bb7/" TargetMode="External"/><Relationship Id="rId51" Type="http://schemas.openxmlformats.org/officeDocument/2006/relationships/hyperlink" Target="https://universidade.pipelovers.net/m/lessons/ferramentas-e-engajamento-de-parceiros1769552405791?classId=3335" TargetMode="External"/><Relationship Id="rId50" Type="http://schemas.openxmlformats.org/officeDocument/2006/relationships/hyperlink" Target="https://www.linkedin.com/in/fcambraia/" TargetMode="External"/><Relationship Id="rId53" Type="http://schemas.openxmlformats.org/officeDocument/2006/relationships/hyperlink" Target="https://drive.google.com/file/d/1-iF4VSjkhmzKEZZBA8g40HTrNfj-nIpu/view?usp=drive_link" TargetMode="External"/><Relationship Id="rId52" Type="http://schemas.openxmlformats.org/officeDocument/2006/relationships/hyperlink" Target="https://universidade.pipelovers.net/m/lessons/ferramentas-e-engajamento-de-parceiros1769552405791?classId=3335" TargetMode="External"/><Relationship Id="rId55" Type="http://schemas.openxmlformats.org/officeDocument/2006/relationships/hyperlink" Target="https://universidade.pipelovers.net/m/lessons/processos-de-canais-b2b2c1769552405853?classId=3336" TargetMode="External"/><Relationship Id="rId54" Type="http://schemas.openxmlformats.org/officeDocument/2006/relationships/hyperlink" Target="https://www.linkedin.com/in/mathiascosta/" TargetMode="External"/><Relationship Id="rId57" Type="http://schemas.openxmlformats.org/officeDocument/2006/relationships/hyperlink" Target="https://drive.google.com/file/d/18y-pHiGn99dxXo4ZL78H9o0WPffv35jc/view?usp=drive_link" TargetMode="External"/><Relationship Id="rId56" Type="http://schemas.openxmlformats.org/officeDocument/2006/relationships/hyperlink" Target="https://universidade.pipelovers.net/m/lessons/processos-de-canais-b2b2c1769552405853?classId=3336" TargetMode="External"/><Relationship Id="rId59" Type="http://schemas.openxmlformats.org/officeDocument/2006/relationships/hyperlink" Target="https://universidade.pipelovers.net/m/lessons/case-creditas1769552405918?classId=3343" TargetMode="External"/><Relationship Id="rId58" Type="http://schemas.openxmlformats.org/officeDocument/2006/relationships/hyperlink" Target="https://www.linkedin.com/in/luccas-speranzini-56a39a78/" TargetMode="External"/><Relationship Id="rId349" Type="http://schemas.openxmlformats.org/officeDocument/2006/relationships/hyperlink" Target="https://universidade.pipelovers.net/m/lessons/transicao-de-carreira-de-vendas-diretas-para-gestao-de-canais-diretos1769552445623?classId=3169" TargetMode="External"/><Relationship Id="rId348" Type="http://schemas.openxmlformats.org/officeDocument/2006/relationships/hyperlink" Target="https://www.linkedin.com/in/guilherme-losekann/?utm_source=share&amp;utm_campaign=share_via&amp;utm_content=profile&amp;utm_medium=ios_app" TargetMode="External"/><Relationship Id="rId347" Type="http://schemas.openxmlformats.org/officeDocument/2006/relationships/hyperlink" Target="https://drive.google.com/file/d/1ksYwjHNxWOYvhBgbzHcnX1dwrn4rmVMi/view?usp=drive_link" TargetMode="External"/><Relationship Id="rId346" Type="http://schemas.openxmlformats.org/officeDocument/2006/relationships/hyperlink" Target="https://universidade.pipelovers.net/m/lessons/partner-account-manager-escopo-e-responsabilidades1769552445557?classId=3168" TargetMode="External"/><Relationship Id="rId341" Type="http://schemas.openxmlformats.org/officeDocument/2006/relationships/hyperlink" Target="https://universidade.pipelovers.net/m/lessons/conectando-canais-com-marketing-produto-e-customer-success1769552445429?classId=3167" TargetMode="External"/><Relationship Id="rId340" Type="http://schemas.openxmlformats.org/officeDocument/2006/relationships/hyperlink" Target="https://www.linkedin.com/in/karine-catani-336679149/" TargetMode="External"/><Relationship Id="rId345" Type="http://schemas.openxmlformats.org/officeDocument/2006/relationships/hyperlink" Target="https://universidade.pipelovers.net/m/lessons/partner-account-manager-escopo-e-responsabilidades1769552445557?classId=3168" TargetMode="External"/><Relationship Id="rId344" Type="http://schemas.openxmlformats.org/officeDocument/2006/relationships/hyperlink" Target="https://www.linkedin.com/in/macielguilherme/" TargetMode="External"/><Relationship Id="rId343" Type="http://schemas.openxmlformats.org/officeDocument/2006/relationships/hyperlink" Target="https://drive.google.com/file/d/1ppSZtLBQ7sMCS4o55MTWqXtRkASUhzdi/view?usp=drive_link" TargetMode="External"/><Relationship Id="rId342" Type="http://schemas.openxmlformats.org/officeDocument/2006/relationships/hyperlink" Target="https://universidade.pipelovers.net/m/lessons/conectando-canais-com-marketing-produto-e-customer-success1769552445429?classId=3167" TargetMode="External"/><Relationship Id="rId338" Type="http://schemas.openxmlformats.org/officeDocument/2006/relationships/hyperlink" Target="https://universidade.pipelovers.net/m/lessons/licoes-de-uma-carreira-em-tecnologia-e-empreendedorismo1769552439117?classId=3166" TargetMode="External"/><Relationship Id="rId337" Type="http://schemas.openxmlformats.org/officeDocument/2006/relationships/hyperlink" Target="https://universidade.pipelovers.net/m/lessons/licoes-de-uma-carreira-em-tecnologia-e-empreendedorismo1769552439117?classId=3166" TargetMode="External"/><Relationship Id="rId336" Type="http://schemas.openxmlformats.org/officeDocument/2006/relationships/hyperlink" Target="https://www.linkedin.com/in/ernestohaberkorn/" TargetMode="External"/><Relationship Id="rId335" Type="http://schemas.openxmlformats.org/officeDocument/2006/relationships/hyperlink" Target="https://drive.google.com/file/d/1_wDqqIl1z41SGFgCjw65OGwpY-DRBSEG/view?usp=drive_link" TargetMode="External"/><Relationship Id="rId339" Type="http://schemas.openxmlformats.org/officeDocument/2006/relationships/hyperlink" Target="https://drive.google.com/file/d/1fw8B_BZMqe7fv70TMmcypuwXWp087ikh/view?usp=drive_link" TargetMode="External"/><Relationship Id="rId330" Type="http://schemas.openxmlformats.org/officeDocument/2006/relationships/hyperlink" Target="https://universidade.pipelovers.net/m/lessons/boas-praticas-de-offboarding-de-canais1769552438998?classId=3164" TargetMode="External"/><Relationship Id="rId334" Type="http://schemas.openxmlformats.org/officeDocument/2006/relationships/hyperlink" Target="https://universidade.pipelovers.net/m/lessons/desafios-de-apuracao-de-comissoes-de-parceiros1769552439066?classId=3165" TargetMode="External"/><Relationship Id="rId333" Type="http://schemas.openxmlformats.org/officeDocument/2006/relationships/hyperlink" Target="https://universidade.pipelovers.net/m/lessons/desafios-de-apuracao-de-comissoes-de-parceiros1769552439066?classId=3165" TargetMode="External"/><Relationship Id="rId332" Type="http://schemas.openxmlformats.org/officeDocument/2006/relationships/hyperlink" Target="https://www.linkedin.com/in/douglas-a-medeiros/" TargetMode="External"/><Relationship Id="rId331" Type="http://schemas.openxmlformats.org/officeDocument/2006/relationships/hyperlink" Target="https://drive.google.com/file/d/1XW2uPRjDSY9r-g-OIUnWixDRh5zk4qLD/view?usp=drive_link" TargetMode="External"/><Relationship Id="rId370" Type="http://schemas.openxmlformats.org/officeDocument/2006/relationships/hyperlink" Target="https://universidade.pipelovers.net/m/lessons/programa-de-afiliados-primeiros-passos-para-criar-um-novo-canal-de-aquisicao1769552445920?classId=3176" TargetMode="External"/><Relationship Id="rId369" Type="http://schemas.openxmlformats.org/officeDocument/2006/relationships/hyperlink" Target="https://universidade.pipelovers.net/m/lessons/programa-de-afiliados-primeiros-passos-para-criar-um-novo-canal-de-aquisicao1769552445920?classId=3176" TargetMode="External"/><Relationship Id="rId368" Type="http://schemas.openxmlformats.org/officeDocument/2006/relationships/hyperlink" Target="https://www.linkedin.com/in/gpagotto/" TargetMode="External"/><Relationship Id="rId363" Type="http://schemas.openxmlformats.org/officeDocument/2006/relationships/hyperlink" Target="https://drive.google.com/file/d/1HEvBQpxjwEio-808M7lo8k50iP-bp8Yc/view?usp=drive_link" TargetMode="External"/><Relationship Id="rId362" Type="http://schemas.openxmlformats.org/officeDocument/2006/relationships/hyperlink" Target="https://universidade.pipelovers.net/m/lessons/geracao-de-leads-atraves-de-canais-nao-remunerados1769552445782?classId=3021" TargetMode="External"/><Relationship Id="rId361" Type="http://schemas.openxmlformats.org/officeDocument/2006/relationships/hyperlink" Target="https://universidade.pipelovers.net/m/lessons/geracao-de-leads-atraves-de-canais-nao-remunerados1769552445782?classId=3021" TargetMode="External"/><Relationship Id="rId360" Type="http://schemas.openxmlformats.org/officeDocument/2006/relationships/hyperlink" Target="https://www.linkedin.com/in/danilosugahara/" TargetMode="External"/><Relationship Id="rId367" Type="http://schemas.openxmlformats.org/officeDocument/2006/relationships/hyperlink" Target="https://drive.google.com/file/d/1M9rkt06iuKAF9PrvUt1vKPDoPDh2GH7-/view?usp=drive_link" TargetMode="External"/><Relationship Id="rId366" Type="http://schemas.openxmlformats.org/officeDocument/2006/relationships/hyperlink" Target="https://universidade.pipelovers.net/m/lessons/hard-e-soft-skills-para-gestao-de-canais1769552445851?classId=3175" TargetMode="External"/><Relationship Id="rId365" Type="http://schemas.openxmlformats.org/officeDocument/2006/relationships/hyperlink" Target="https://universidade.pipelovers.net/m/lessons/hard-e-soft-skills-para-gestao-de-canais1769552445851?classId=3175" TargetMode="External"/><Relationship Id="rId364" Type="http://schemas.openxmlformats.org/officeDocument/2006/relationships/hyperlink" Target="https://www.linkedin.com/in/paula-schaefer/" TargetMode="External"/><Relationship Id="rId95" Type="http://schemas.openxmlformats.org/officeDocument/2006/relationships/hyperlink" Target="https://universidade.pipelovers.net/m/lessons/partner-enablement-o-que-funciona-para-capacitar-canais1769552409191?classId=3345" TargetMode="External"/><Relationship Id="rId94" Type="http://schemas.openxmlformats.org/officeDocument/2006/relationships/hyperlink" Target="https://universidade.pipelovers.net/m/lessons/partner-enablement-o-que-funciona-para-capacitar-canais1769552409191?classId=3345" TargetMode="External"/><Relationship Id="rId97" Type="http://schemas.openxmlformats.org/officeDocument/2006/relationships/hyperlink" Target="https://www.linkedin.com/in/gabriel-mineiro/" TargetMode="External"/><Relationship Id="rId96" Type="http://schemas.openxmlformats.org/officeDocument/2006/relationships/hyperlink" Target="https://drive.google.com/file/d/1G1ehcDZtvchdM2tE9CmnpeatbFrA4rk1/view?usp=drive_link" TargetMode="External"/><Relationship Id="rId99" Type="http://schemas.openxmlformats.org/officeDocument/2006/relationships/hyperlink" Target="https://universidade.pipelovers.net/m/lessons/estrategia-plg-como-canal-de-aquisicao1769552409221?classId=3017" TargetMode="External"/><Relationship Id="rId98" Type="http://schemas.openxmlformats.org/officeDocument/2006/relationships/hyperlink" Target="https://universidade.pipelovers.net/m/lessons/estrategia-plg-como-canal-de-aquisicao1769552409221?classId=3017" TargetMode="External"/><Relationship Id="rId91" Type="http://schemas.openxmlformats.org/officeDocument/2006/relationships/hyperlink" Target="https://universidade.pipelovers.net/m/lessons/partner-business-plan-como-construir-com-o-canal-um-plano-de-crescimento1769552409118?classId=3346" TargetMode="External"/><Relationship Id="rId90" Type="http://schemas.openxmlformats.org/officeDocument/2006/relationships/hyperlink" Target="https://universidade.pipelovers.net/m/lessons/partner-business-plan-como-construir-com-o-canal-um-plano-de-crescimento1769552409118?classId=3346" TargetMode="External"/><Relationship Id="rId93" Type="http://schemas.openxmlformats.org/officeDocument/2006/relationships/hyperlink" Target="https://www.linkedin.com/in/amanda-zeferino-duarte/" TargetMode="External"/><Relationship Id="rId92" Type="http://schemas.openxmlformats.org/officeDocument/2006/relationships/hyperlink" Target="https://drive.google.com/file/d/14a2faNNwnC_g185HRBXVIMsaxQie6a1b/view?usp=drive_link" TargetMode="External"/><Relationship Id="rId359" Type="http://schemas.openxmlformats.org/officeDocument/2006/relationships/hyperlink" Target="https://drive.google.com/file/d/1UtH7raSUXgwmwrNiKFgd5Sv3DJqK9WPt/view?usp=drive_link" TargetMode="External"/><Relationship Id="rId358" Type="http://schemas.openxmlformats.org/officeDocument/2006/relationships/hyperlink" Target="https://universidade.pipelovers.net/m/lessons/rd-summit-2024-niveis-de-maturidade-em-vendas-b2b1769552060152?classId=3026" TargetMode="External"/><Relationship Id="rId357" Type="http://schemas.openxmlformats.org/officeDocument/2006/relationships/hyperlink" Target="https://universidade.pipelovers.net/m/lessons/rd-summit-2024-niveis-de-maturidade-em-vendas-b2b1769552060152?classId=3026" TargetMode="External"/><Relationship Id="rId352" Type="http://schemas.openxmlformats.org/officeDocument/2006/relationships/hyperlink" Target="https://www.linkedin.com/in/lucas-varnieri-a6124a46/" TargetMode="External"/><Relationship Id="rId351" Type="http://schemas.openxmlformats.org/officeDocument/2006/relationships/hyperlink" Target="https://drive.google.com/file/d/1G_HTPyPiM-sFowi5LJXpu0n7esZsupGv/view?usp=drive_link" TargetMode="External"/><Relationship Id="rId350" Type="http://schemas.openxmlformats.org/officeDocument/2006/relationships/hyperlink" Target="https://universidade.pipelovers.net/m/lessons/transicao-de-carreira-de-vendas-diretas-para-gestao-de-canais-diretos1769552445623?classId=3169" TargetMode="External"/><Relationship Id="rId356" Type="http://schemas.openxmlformats.org/officeDocument/2006/relationships/hyperlink" Target="https://www.linkedin.com/in/gpagotto/" TargetMode="External"/><Relationship Id="rId355" Type="http://schemas.openxmlformats.org/officeDocument/2006/relationships/hyperlink" Target="https://drive.google.com/file/d/1JRHHE5AYpzcXMobUGSi5jNhs47c382Py/view?usp=drive_link" TargetMode="External"/><Relationship Id="rId354" Type="http://schemas.openxmlformats.org/officeDocument/2006/relationships/hyperlink" Target="https://universidade.pipelovers.net/m/lessons/alavancando-resultado-atraves-de-parcerias-de-integracao-de-produtos1769552445684?classId=3170" TargetMode="External"/><Relationship Id="rId353" Type="http://schemas.openxmlformats.org/officeDocument/2006/relationships/hyperlink" Target="https://universidade.pipelovers.net/m/lessons/alavancando-resultado-atraves-de-parcerias-de-integracao-de-produtos1769552445684?classId=3170" TargetMode="External"/><Relationship Id="rId305" Type="http://schemas.openxmlformats.org/officeDocument/2006/relationships/hyperlink" Target="https://universidade.pipelovers.net/m/lessons/o-papel-do-distribuidor-para-escalar-vendas-indiretas1769552438586?classId=3159" TargetMode="External"/><Relationship Id="rId304" Type="http://schemas.openxmlformats.org/officeDocument/2006/relationships/hyperlink" Target="https://www.linkedin.com/in/marilena-cancelier/" TargetMode="External"/><Relationship Id="rId303" Type="http://schemas.openxmlformats.org/officeDocument/2006/relationships/hyperlink" Target="https://drive.google.com/file/d/1_JN-pygS26vsg8FaSEBwll2Cw2jioD2c/view?usp=drive_link" TargetMode="External"/><Relationship Id="rId302" Type="http://schemas.openxmlformats.org/officeDocument/2006/relationships/hyperlink" Target="https://universidade.pipelovers.net/m/lessons/geracao-de-demanda-para-canais1769552438466?classId=3158" TargetMode="External"/><Relationship Id="rId309" Type="http://schemas.openxmlformats.org/officeDocument/2006/relationships/hyperlink" Target="https://universidade.pipelovers.net/m/lessons/gamificacao-em-programas-de-canais-e-parcerias1769552438647?classId=3019" TargetMode="External"/><Relationship Id="rId308" Type="http://schemas.openxmlformats.org/officeDocument/2006/relationships/hyperlink" Target="https://www.linkedin.com/in/cristianosacramento/" TargetMode="External"/><Relationship Id="rId307" Type="http://schemas.openxmlformats.org/officeDocument/2006/relationships/hyperlink" Target="https://drive.google.com/file/d/1tNV8LDVCAjAUi-cC8emYjl2CSh3dKTX3/view?usp=drive_link" TargetMode="External"/><Relationship Id="rId306" Type="http://schemas.openxmlformats.org/officeDocument/2006/relationships/hyperlink" Target="https://universidade.pipelovers.net/m/lessons/o-papel-do-distribuidor-para-escalar-vendas-indiretas1769552438586?classId=3159" TargetMode="External"/><Relationship Id="rId301" Type="http://schemas.openxmlformats.org/officeDocument/2006/relationships/hyperlink" Target="https://universidade.pipelovers.net/m/lessons/geracao-de-demanda-para-canais1769552438466?classId=3158" TargetMode="External"/><Relationship Id="rId300" Type="http://schemas.openxmlformats.org/officeDocument/2006/relationships/hyperlink" Target="https://www.linkedin.com/in/cgeronasso/" TargetMode="External"/><Relationship Id="rId327" Type="http://schemas.openxmlformats.org/officeDocument/2006/relationships/hyperlink" Target="https://drive.google.com/file/d/1xX85mknzuBsZC8Wat0B0sfhPa4cK-WH3/view?usp=drive_link" TargetMode="External"/><Relationship Id="rId326" Type="http://schemas.openxmlformats.org/officeDocument/2006/relationships/hyperlink" Target="https://universidade.pipelovers.net/m/lessons/estruturando-uma-equipe-de-gestao-de-parcerias1769552438933?classId=3025" TargetMode="External"/><Relationship Id="rId325" Type="http://schemas.openxmlformats.org/officeDocument/2006/relationships/hyperlink" Target="https://universidade.pipelovers.net/m/lessons/estruturando-uma-equipe-de-gestao-de-parcerias1769552438933?classId=3025" TargetMode="External"/><Relationship Id="rId324" Type="http://schemas.openxmlformats.org/officeDocument/2006/relationships/hyperlink" Target="https://www.linkedin.com/in/wanderl%C3%BAcio-andrade-614ab720?utm_source=share&amp;utm_campaign=share_via&amp;utm_content=profile&amp;utm_medium=ios_app" TargetMode="External"/><Relationship Id="rId329" Type="http://schemas.openxmlformats.org/officeDocument/2006/relationships/hyperlink" Target="https://universidade.pipelovers.net/m/lessons/boas-praticas-de-offboarding-de-canais1769552438998?classId=3164" TargetMode="External"/><Relationship Id="rId328" Type="http://schemas.openxmlformats.org/officeDocument/2006/relationships/hyperlink" Target="https://www.linkedin.com/in/fernandacpn/" TargetMode="External"/><Relationship Id="rId323" Type="http://schemas.openxmlformats.org/officeDocument/2006/relationships/hyperlink" Target="https://drive.google.com/file/d/1AwJrLCTBtttGiIVIrwm-nsqs_VSWVDdY/view?usp=drive_link" TargetMode="External"/><Relationship Id="rId322" Type="http://schemas.openxmlformats.org/officeDocument/2006/relationships/hyperlink" Target="https://universidade.pipelovers.net/m/lessons/padronizacao-de-processos-de-vendas-em-canais-e-revendas1769552438845?classId=3162" TargetMode="External"/><Relationship Id="rId321" Type="http://schemas.openxmlformats.org/officeDocument/2006/relationships/hyperlink" Target="https://universidade.pipelovers.net/m/lessons/padronizacao-de-processos-de-vendas-em-canais-e-revendas1769552438845?classId=3162" TargetMode="External"/><Relationship Id="rId320" Type="http://schemas.openxmlformats.org/officeDocument/2006/relationships/hyperlink" Target="https://www.linkedin.com/in/diogobandeira27/" TargetMode="External"/><Relationship Id="rId316" Type="http://schemas.openxmlformats.org/officeDocument/2006/relationships/hyperlink" Target="https://www.linkedin.com/in/andressa-lagonegro-b08a1411/" TargetMode="External"/><Relationship Id="rId315" Type="http://schemas.openxmlformats.org/officeDocument/2006/relationships/hyperlink" Target="https://drive.google.com/file/d/1_48nJdn3DZ3Z5ZA9QdLVEVFRFko_Hrdk/view?usp=drive_link" TargetMode="External"/><Relationship Id="rId314" Type="http://schemas.openxmlformats.org/officeDocument/2006/relationships/hyperlink" Target="https://universidade.pipelovers.net/m/lessons/aquisicao-de-novos-clientes-via-canais1769552438729?classId=3160" TargetMode="External"/><Relationship Id="rId313" Type="http://schemas.openxmlformats.org/officeDocument/2006/relationships/hyperlink" Target="https://universidade.pipelovers.net/m/lessons/aquisicao-de-novos-clientes-via-canais1769552438729?classId=3160" TargetMode="External"/><Relationship Id="rId319" Type="http://schemas.openxmlformats.org/officeDocument/2006/relationships/hyperlink" Target="https://drive.google.com/file/d/1F9SU5y0S0aq6IY9Ijl1oj8J9c8Zl1zY4/view?usp=drive_link" TargetMode="External"/><Relationship Id="rId318" Type="http://schemas.openxmlformats.org/officeDocument/2006/relationships/hyperlink" Target="https://universidade.pipelovers.net/m/lessons/ampliacao-de-portfolio-de-produtos-nos-canais-de-distribuicao1769552438796?classId=3161" TargetMode="External"/><Relationship Id="rId317" Type="http://schemas.openxmlformats.org/officeDocument/2006/relationships/hyperlink" Target="https://universidade.pipelovers.net/m/lessons/ampliacao-de-portfolio-de-produtos-nos-canais-de-distribuicao1769552438796?classId=3161" TargetMode="External"/><Relationship Id="rId312" Type="http://schemas.openxmlformats.org/officeDocument/2006/relationships/hyperlink" Target="https://linkedin.com/in/rodrigo-gs/" TargetMode="External"/><Relationship Id="rId311" Type="http://schemas.openxmlformats.org/officeDocument/2006/relationships/hyperlink" Target="https://drive.google.com/file/d/1-JZG5UugMnTupPo6Frw01lw5V1i7BII4/view?usp=drive_link" TargetMode="External"/><Relationship Id="rId310" Type="http://schemas.openxmlformats.org/officeDocument/2006/relationships/hyperlink" Target="https://universidade.pipelovers.net/m/lessons/gamificacao-em-programas-de-canais-e-parcerias1769552438647?classId=3019" TargetMode="External"/><Relationship Id="rId297" Type="http://schemas.openxmlformats.org/officeDocument/2006/relationships/hyperlink" Target="https://www.linkedin.com/in/aaronross/" TargetMode="External"/><Relationship Id="rId296" Type="http://schemas.openxmlformats.org/officeDocument/2006/relationships/hyperlink" Target="https://drive.google.com/file/d/1e_ZV5JaVgsNHDpiy-Uhlcdwpuhc10ihh/view?usp=drive_link" TargetMode="External"/><Relationship Id="rId295" Type="http://schemas.openxmlformats.org/officeDocument/2006/relationships/hyperlink" Target="https://universidade.pipelovers.net/m/lessons/o-impacto-dos-marketplaces-em-negocios-b2b1769552438337?classId=3157" TargetMode="External"/><Relationship Id="rId294" Type="http://schemas.openxmlformats.org/officeDocument/2006/relationships/hyperlink" Target="https://universidade.pipelovers.net/m/lessons/o-impacto-dos-marketplaces-em-negocios-b2b1769552438337?classId=3157" TargetMode="External"/><Relationship Id="rId299" Type="http://schemas.openxmlformats.org/officeDocument/2006/relationships/hyperlink" Target="https://universidade.pipelovers.net/aulas/bestsellers-1775504294126" TargetMode="External"/><Relationship Id="rId298" Type="http://schemas.openxmlformats.org/officeDocument/2006/relationships/hyperlink" Target="https://universidade.pipelovers.net/aulas/bestsellers-1775504294126" TargetMode="External"/><Relationship Id="rId271" Type="http://schemas.openxmlformats.org/officeDocument/2006/relationships/hyperlink" Target="https://universidade.pipelovers.net/m/lessons/vendedores-especialistas-com-produtos-de-parceiros1769552429522?classId=3150" TargetMode="External"/><Relationship Id="rId270" Type="http://schemas.openxmlformats.org/officeDocument/2006/relationships/hyperlink" Target="https://universidade.pipelovers.net/m/lessons/vendedores-especialistas-com-produtos-de-parceiros1769552429522?classId=3150" TargetMode="External"/><Relationship Id="rId269" Type="http://schemas.openxmlformats.org/officeDocument/2006/relationships/hyperlink" Target="https://www.linkedin.com/in/romulo-ferreira-16899b73/" TargetMode="External"/><Relationship Id="rId264" Type="http://schemas.openxmlformats.org/officeDocument/2006/relationships/hyperlink" Target="https://drive.google.com/file/d/1spaCsDreMsa8MuEmYrPHENdsG4wpNKjk/view?usp=drive_link" TargetMode="External"/><Relationship Id="rId263" Type="http://schemas.openxmlformats.org/officeDocument/2006/relationships/hyperlink" Target="https://universidade.pipelovers.net/m/lessons/case-programa-de-canais-do-zoho-crm1769552429371?classId=3148" TargetMode="External"/><Relationship Id="rId262" Type="http://schemas.openxmlformats.org/officeDocument/2006/relationships/hyperlink" Target="https://universidade.pipelovers.net/m/lessons/case-programa-de-canais-do-zoho-crm1769552429371?classId=3148" TargetMode="External"/><Relationship Id="rId261" Type="http://schemas.openxmlformats.org/officeDocument/2006/relationships/hyperlink" Target="https://www.linkedin.com/in/katherinesallum/" TargetMode="External"/><Relationship Id="rId268" Type="http://schemas.openxmlformats.org/officeDocument/2006/relationships/hyperlink" Target="https://drive.google.com/file/d/1rI-2fq6SWdDqI0nrjYSynpEfEILo7Cpn/view?usp=drive_link" TargetMode="External"/><Relationship Id="rId267" Type="http://schemas.openxmlformats.org/officeDocument/2006/relationships/hyperlink" Target="https://universidade.pipelovers.net/aulas/identificando-alavancas-nos-canais-de-vendas-indiretas-1775076477959" TargetMode="External"/><Relationship Id="rId266" Type="http://schemas.openxmlformats.org/officeDocument/2006/relationships/hyperlink" Target="https://universidade.pipelovers.net/aulas/identificando-alavancas-nos-canais-de-vendas-indiretas-1775076477959" TargetMode="External"/><Relationship Id="rId265" Type="http://schemas.openxmlformats.org/officeDocument/2006/relationships/hyperlink" Target="https://www.linkedin.com/in/dariva/" TargetMode="External"/><Relationship Id="rId260" Type="http://schemas.openxmlformats.org/officeDocument/2006/relationships/hyperlink" Target="https://drive.google.com/file/d/13sQCSoAF02g0aLYXHLMSqq6H2OXPg5it/view?usp=drive_link" TargetMode="External"/><Relationship Id="rId259" Type="http://schemas.openxmlformats.org/officeDocument/2006/relationships/hyperlink" Target="https://universidade.pipelovers.net/m/lessons/pipeline-de-parcerias-estrategicas1769552429326?classId=3147" TargetMode="External"/><Relationship Id="rId258" Type="http://schemas.openxmlformats.org/officeDocument/2006/relationships/hyperlink" Target="https://universidade.pipelovers.net/m/lessons/pipeline-de-parcerias-estrategicas1769552429326?classId=3147" TargetMode="External"/><Relationship Id="rId253" Type="http://schemas.openxmlformats.org/officeDocument/2006/relationships/hyperlink" Target="https://www.linkedin.com/in/gilsineihansen/" TargetMode="External"/><Relationship Id="rId252" Type="http://schemas.openxmlformats.org/officeDocument/2006/relationships/hyperlink" Target="https://drive.google.com/file/d/1wAty5heSbNCOnYSiXU6JeGsEtaz16FM-/view?usp=drive_link" TargetMode="External"/><Relationship Id="rId251" Type="http://schemas.openxmlformats.org/officeDocument/2006/relationships/hyperlink" Target="https://universidade.pipelovers.net/m/lessons/programa-de-indicacao-de-clientes-case-chatguru1769552429249?classId=3140" TargetMode="External"/><Relationship Id="rId250" Type="http://schemas.openxmlformats.org/officeDocument/2006/relationships/hyperlink" Target="https://universidade.pipelovers.net/m/lessons/programa-de-indicacao-de-clientes-case-chatguru1769552429249?classId=3140" TargetMode="External"/><Relationship Id="rId257" Type="http://schemas.openxmlformats.org/officeDocument/2006/relationships/hyperlink" Target="https://www.linkedin.com/in/leandrosacramento/" TargetMode="External"/><Relationship Id="rId256" Type="http://schemas.openxmlformats.org/officeDocument/2006/relationships/hyperlink" Target="https://drive.google.com/file/d/18cewb_gTgGhfjJsMY6MXAOLwrrNZtdDp/view?usp=drive_link" TargetMode="External"/><Relationship Id="rId255" Type="http://schemas.openxmlformats.org/officeDocument/2006/relationships/hyperlink" Target="https://universidade.pipelovers.net/m/lessons/o-futuro-dos-canais-indiretos-no-mercado-de-tecnologia1769552429297?classId=3142" TargetMode="External"/><Relationship Id="rId254" Type="http://schemas.openxmlformats.org/officeDocument/2006/relationships/hyperlink" Target="https://universidade.pipelovers.net/m/lessons/o-futuro-dos-canais-indiretos-no-mercado-de-tecnologia1769552429297?classId=3142" TargetMode="External"/><Relationship Id="rId293" Type="http://schemas.openxmlformats.org/officeDocument/2006/relationships/hyperlink" Target="https://www.linkedin.com/in/mota-silvio/" TargetMode="External"/><Relationship Id="rId292" Type="http://schemas.openxmlformats.org/officeDocument/2006/relationships/hyperlink" Target="https://drive.google.com/file/d/1MfFVd5_P4nVhak1gtq6OF_ug4d06265e/view?usp=drive_link" TargetMode="External"/><Relationship Id="rId291" Type="http://schemas.openxmlformats.org/officeDocument/2006/relationships/hyperlink" Target="https://universidade.pipelovers.net/m/lessons/vendas-indiretas-para-clientes-enterprise1769552438287?classId=3156" TargetMode="External"/><Relationship Id="rId290" Type="http://schemas.openxmlformats.org/officeDocument/2006/relationships/hyperlink" Target="https://universidade.pipelovers.net/m/lessons/vendas-indiretas-para-clientes-enterprise1769552438287?classId=3156" TargetMode="External"/><Relationship Id="rId286" Type="http://schemas.openxmlformats.org/officeDocument/2006/relationships/hyperlink" Target="https://universidade.pipelovers.net/m/lessons/como-construir-um-ecossistema-em-uma-industria-tradicional1769552438207?classId=3155" TargetMode="External"/><Relationship Id="rId285" Type="http://schemas.openxmlformats.org/officeDocument/2006/relationships/hyperlink" Target="https://www.linkedin.com/in/jrcaporal/" TargetMode="External"/><Relationship Id="rId284" Type="http://schemas.openxmlformats.org/officeDocument/2006/relationships/hyperlink" Target="https://drive.google.com/file/d/1_JHKt0MKFJ3o9roKzThFfuapZSerCqPE/view?usp=drive_link" TargetMode="External"/><Relationship Id="rId283" Type="http://schemas.openxmlformats.org/officeDocument/2006/relationships/hyperlink" Target="https://universidade.pipelovers.net/m/lessons/moldando-seu-programa-de-canais-ao-contexto-organizacional1769552438130?classId=3154" TargetMode="External"/><Relationship Id="rId289" Type="http://schemas.openxmlformats.org/officeDocument/2006/relationships/hyperlink" Target="https://www.linkedin.com/in/pauloasano/" TargetMode="External"/><Relationship Id="rId288" Type="http://schemas.openxmlformats.org/officeDocument/2006/relationships/hyperlink" Target="https://drive.google.com/file/d/1_l8ZjkWhK7bFzWwsIOGJjrJgsOXtQZ_d/view?usp=drive_link" TargetMode="External"/><Relationship Id="rId287" Type="http://schemas.openxmlformats.org/officeDocument/2006/relationships/hyperlink" Target="https://universidade.pipelovers.net/m/lessons/como-construir-um-ecossistema-em-uma-industria-tradicional1769552438207?classId=3155" TargetMode="External"/><Relationship Id="rId282" Type="http://schemas.openxmlformats.org/officeDocument/2006/relationships/hyperlink" Target="https://universidade.pipelovers.net/m/lessons/moldando-seu-programa-de-canais-ao-contexto-organizacional1769552438130?classId=3154" TargetMode="External"/><Relationship Id="rId281" Type="http://schemas.openxmlformats.org/officeDocument/2006/relationships/hyperlink" Target="https://www.linkedin.com/in/gabrielhiga/" TargetMode="External"/><Relationship Id="rId280" Type="http://schemas.openxmlformats.org/officeDocument/2006/relationships/hyperlink" Target="https://drive.google.com/file/d/1iJIDXdNFXvDKmmLc-Q8RIhaiihqq_7s9/view?usp=drive_link" TargetMode="External"/><Relationship Id="rId275" Type="http://schemas.openxmlformats.org/officeDocument/2006/relationships/hyperlink" Target="https://universidade.pipelovers.net/m/lessons/quando-e-como-usar-multicanais-como-estrategia-de-crescimento-de-receita1769552437784?classId=3151" TargetMode="External"/><Relationship Id="rId274" Type="http://schemas.openxmlformats.org/officeDocument/2006/relationships/hyperlink" Target="https://universidade.pipelovers.net/m/lessons/quando-e-como-usar-multicanais-como-estrategia-de-crescimento-de-receita1769552437784?classId=3151" TargetMode="External"/><Relationship Id="rId273" Type="http://schemas.openxmlformats.org/officeDocument/2006/relationships/hyperlink" Target="https://www.linkedin.com/in/fabianeauler/" TargetMode="External"/><Relationship Id="rId272" Type="http://schemas.openxmlformats.org/officeDocument/2006/relationships/hyperlink" Target="https://drive.google.com/file/d/1Suv5U4NugZtSlk6DuaG0to9qdJZgS0Es/view?usp=drive_link" TargetMode="External"/><Relationship Id="rId279" Type="http://schemas.openxmlformats.org/officeDocument/2006/relationships/hyperlink" Target="https://universidade.pipelovers.net/m/lessons/demonstracoes-interativas-para-capacitacao-de-canais-indiretos1769552438073?classId=3152" TargetMode="External"/><Relationship Id="rId278" Type="http://schemas.openxmlformats.org/officeDocument/2006/relationships/hyperlink" Target="https://universidade.pipelovers.net/m/lessons/demonstracoes-interativas-para-capacitacao-de-canais-indiretos1769552438073?classId=3152" TargetMode="External"/><Relationship Id="rId277" Type="http://schemas.openxmlformats.org/officeDocument/2006/relationships/hyperlink" Target="https://www.linkedin.com/in/matheus-weigand-5aa415151/" TargetMode="External"/><Relationship Id="rId276" Type="http://schemas.openxmlformats.org/officeDocument/2006/relationships/hyperlink" Target="https://drive.google.com/file/d/1ZIO2TRNeajDy1u44eYoQKwEH-7jcLGj6/view?usp=drive_link" TargetMode="External"/><Relationship Id="rId629" Type="http://schemas.openxmlformats.org/officeDocument/2006/relationships/hyperlink" Target="https://www.linkedin.com/in/elaine-guzzo-ba08078b/" TargetMode="External"/><Relationship Id="rId624" Type="http://schemas.openxmlformats.org/officeDocument/2006/relationships/hyperlink" Target="https://universidade.pipelovers.net/m/lessons/jornada-do-ipp-como-descobrir-seus-parceiros-ideais-1778870346141?moduleId=1418&amp;classId=4004" TargetMode="External"/><Relationship Id="rId623" Type="http://schemas.openxmlformats.org/officeDocument/2006/relationships/hyperlink" Target="https://universidade.pipelovers.net/m/lessons/jornada-do-ipp-como-descobrir-seus-parceiros-ideais-1778870346141?moduleId=1418&amp;classId=4004" TargetMode="External"/><Relationship Id="rId622" Type="http://schemas.openxmlformats.org/officeDocument/2006/relationships/hyperlink" Target="https://www.linkedin.com/in/valerio-ricardo-budke/" TargetMode="External"/><Relationship Id="rId621" Type="http://schemas.openxmlformats.org/officeDocument/2006/relationships/hyperlink" Target="https://universidade.pipelovers.net/m/lessons/como-planejar-a-entrada-em-novos-mercados-via-canais-1778865833832?moduleId=1417&amp;classId=4003" TargetMode="External"/><Relationship Id="rId628" Type="http://schemas.openxmlformats.org/officeDocument/2006/relationships/hyperlink" Target="https://universidade.pipelovers.net/m/lessons/como-estruturar-uma-estrategia-de-prospeccao-de-parceiros-que-gera-resultados-1783085692519?moduleId=1526&amp;classId=4227" TargetMode="External"/><Relationship Id="rId627" Type="http://schemas.openxmlformats.org/officeDocument/2006/relationships/hyperlink" Target="https://www.linkedin.com/in/robertakuzolitz/" TargetMode="External"/><Relationship Id="rId626" Type="http://schemas.openxmlformats.org/officeDocument/2006/relationships/hyperlink" Target="https://universidade.pipelovers.net/m/lessons/processos-e-rituais-para-gestao-eficaz-de-parceiros-chave-1782390566932?moduleId=1458&amp;classId=4042" TargetMode="External"/><Relationship Id="rId625" Type="http://schemas.openxmlformats.org/officeDocument/2006/relationships/hyperlink" Target="https://www.linkedin.com/in/gusvalle/" TargetMode="External"/><Relationship Id="rId620" Type="http://schemas.openxmlformats.org/officeDocument/2006/relationships/hyperlink" Target="https://universidade.pipelovers.net/m/lessons/como-planejar-a-entrada-em-novos-mercados-via-canais-1778865833832?moduleId=1417&amp;classId=4003" TargetMode="External"/><Relationship Id="rId619" Type="http://schemas.openxmlformats.org/officeDocument/2006/relationships/hyperlink" Target="https://www.linkedin.com/in/thiagorotondo/" TargetMode="External"/><Relationship Id="rId618" Type="http://schemas.openxmlformats.org/officeDocument/2006/relationships/hyperlink" Target="https://universidade.pipelovers.net/m/lessons/case-senior-ecossistema-que-gera-receita-1780517096282?moduleId=1433&amp;classId=4021" TargetMode="External"/><Relationship Id="rId613" Type="http://schemas.openxmlformats.org/officeDocument/2006/relationships/hyperlink" Target="https://www.linkedin.com/in/claudiofernandomartins/" TargetMode="External"/><Relationship Id="rId612" Type="http://schemas.openxmlformats.org/officeDocument/2006/relationships/hyperlink" Target="https://universidade.pipelovers.net/m/lessons/como-aprender-com-vitorias-e-derrotas-para-melhorar-a-atuacao-dos-canais-1773772176498?classId=3831" TargetMode="External"/><Relationship Id="rId611" Type="http://schemas.openxmlformats.org/officeDocument/2006/relationships/hyperlink" Target="https://universidade.pipelovers.net/m/lessons/como-aprender-com-vitorias-e-derrotas-para-melhorar-a-atuacao-dos-canais-1773772176498?classId=3831" TargetMode="External"/><Relationship Id="rId610" Type="http://schemas.openxmlformats.org/officeDocument/2006/relationships/hyperlink" Target="https://www.linkedin.com/in/beatrizschittino/" TargetMode="External"/><Relationship Id="rId617" Type="http://schemas.openxmlformats.org/officeDocument/2006/relationships/hyperlink" Target="https://universidade.pipelovers.net/m/lessons/case-senior-ecossistema-que-gera-receita-1780517096282?moduleId=1433&amp;classId=4021" TargetMode="External"/><Relationship Id="rId616" Type="http://schemas.openxmlformats.org/officeDocument/2006/relationships/hyperlink" Target="https://www.linkedin.com/in/heberlaet/" TargetMode="External"/><Relationship Id="rId615" Type="http://schemas.openxmlformats.org/officeDocument/2006/relationships/hyperlink" Target="https://universidade.pipelovers.net/m/lessons/como-usar-casos-de-sucesso-para-engajar-e-ativar-novos-canais-1778788290511?classId=4002" TargetMode="External"/><Relationship Id="rId614" Type="http://schemas.openxmlformats.org/officeDocument/2006/relationships/hyperlink" Target="https://universidade.pipelovers.net/m/lessons/como-usar-casos-de-sucesso-para-engajar-e-ativar-novos-canais-1778788290511?classId=4002" TargetMode="External"/><Relationship Id="rId646" Type="http://schemas.openxmlformats.org/officeDocument/2006/relationships/hyperlink" Target="https://universidade.pipelovers.net/m/lessons/rituais-de-gestao-de-performance-com-canais-indiretos-1788463008810?moduleId=1642&amp;classId=4549" TargetMode="External"/><Relationship Id="rId645" Type="http://schemas.openxmlformats.org/officeDocument/2006/relationships/hyperlink" Target="https://www.linkedin.com/in/andreiavavassorigerentecomercial/" TargetMode="External"/><Relationship Id="rId644" Type="http://schemas.openxmlformats.org/officeDocument/2006/relationships/hyperlink" Target="https://universidade.pipelovers.net/m/lessons/case-mercos-de-0-a-60-como-construimos-um-canal-do-zero-1787066991400?moduleId=1593&amp;classId=4484" TargetMode="External"/><Relationship Id="rId643" Type="http://schemas.openxmlformats.org/officeDocument/2006/relationships/hyperlink" Target="https://www.linkedin.com/in/andr%C3%A9a-kaestner-03410621/" TargetMode="External"/><Relationship Id="rId649" Type="http://schemas.openxmlformats.org/officeDocument/2006/relationships/drawing" Target="../drawings/drawing6.xml"/><Relationship Id="rId648" Type="http://schemas.openxmlformats.org/officeDocument/2006/relationships/hyperlink" Target="https://universidade.pipelovers.net/m/lessons/tecnicas-de-engajamento-de-vendedores-de-parceiros-1787067289106?moduleId=1594&amp;classId=4485" TargetMode="External"/><Relationship Id="rId647" Type="http://schemas.openxmlformats.org/officeDocument/2006/relationships/hyperlink" Target="https://www.linkedin.com/in/ellenalexsandra/?isSelfProfile=false" TargetMode="External"/><Relationship Id="rId642" Type="http://schemas.openxmlformats.org/officeDocument/2006/relationships/hyperlink" Target="https://universidade.pipelovers.net/m/lessons/ia-aplicada-na-gestao-de-vendas-indiretas-1787066815356?moduleId=1592&amp;classId=4483" TargetMode="External"/><Relationship Id="rId641" Type="http://schemas.openxmlformats.org/officeDocument/2006/relationships/hyperlink" Target="https://www.linkedin.com/in/oyagobaia/" TargetMode="External"/><Relationship Id="rId640" Type="http://schemas.openxmlformats.org/officeDocument/2006/relationships/hyperlink" Target="https://universidade.pipelovers.net/m/lessons/gestao-de-mudancas-em-programas-de-canais-1786046457426?moduleId=1582&amp;classId=4471" TargetMode="External"/><Relationship Id="rId635" Type="http://schemas.openxmlformats.org/officeDocument/2006/relationships/hyperlink" Target="https://www.linkedin.com/in/nathalia-leichsnering/" TargetMode="External"/><Relationship Id="rId634" Type="http://schemas.openxmlformats.org/officeDocument/2006/relationships/hyperlink" Target="https://universidade.pipelovers.net/m/lessons/boas-praticas-para-alinhamento-entre-marketing-vendas-e-canais-1783100686212?moduleId=1472&amp;classId=4054" TargetMode="External"/><Relationship Id="rId633" Type="http://schemas.openxmlformats.org/officeDocument/2006/relationships/hyperlink" Target="https://www.linkedin.com/in/victor-schultz/" TargetMode="External"/><Relationship Id="rId632" Type="http://schemas.openxmlformats.org/officeDocument/2006/relationships/hyperlink" Target="https://universidade.pipelovers.net/m/lessons/como-conduzir-conversas-dificeis-com-parceiros-estrategicos-1778592900163?moduleId=1411&amp;classId=3997" TargetMode="External"/><Relationship Id="rId639" Type="http://schemas.openxmlformats.org/officeDocument/2006/relationships/hyperlink" Target="https://www.linkedin.com/in/diego-almada-92122056/" TargetMode="External"/><Relationship Id="rId638" Type="http://schemas.openxmlformats.org/officeDocument/2006/relationships/hyperlink" Target="https://universidade.pipelovers.net/m/lessons/canais-que-geram-resultados-de-mrr-1785434867780?moduleId=1577&amp;classId=4452" TargetMode="External"/><Relationship Id="rId637" Type="http://schemas.openxmlformats.org/officeDocument/2006/relationships/hyperlink" Target="https://www.linkedin.com/in/tiagoteixeiraoficial/" TargetMode="External"/><Relationship Id="rId636" Type="http://schemas.openxmlformats.org/officeDocument/2006/relationships/hyperlink" Target="https://universidade.pipelovers.net/m/lessons/certificacao-e-treinamento-de-parceiros-em-novos-produtos-1785350680902?moduleId=1574&amp;classId=4449" TargetMode="External"/><Relationship Id="rId631" Type="http://schemas.openxmlformats.org/officeDocument/2006/relationships/hyperlink" Target="https://www.linkedin.com/in/lucaslopan/" TargetMode="External"/><Relationship Id="rId630" Type="http://schemas.openxmlformats.org/officeDocument/2006/relationships/hyperlink" Target="https://universidade.pipelovers.net/m/lessons/case-cimed-como-construiram-um-time-de-representantes-de-alta-performance-1783100217231?moduleId=1525&amp;classId=4226" TargetMode="External"/><Relationship Id="rId609" Type="http://schemas.openxmlformats.org/officeDocument/2006/relationships/hyperlink" Target="https://universidade.pipelovers.net/m/lessons/gestao-de-carteira-de-parceiros-com-a-matriz-rfm-1778012020540?classId=3990" TargetMode="External"/><Relationship Id="rId608" Type="http://schemas.openxmlformats.org/officeDocument/2006/relationships/hyperlink" Target="https://universidade.pipelovers.net/m/lessons/gestao-de-carteira-de-parceiros-com-a-matriz-rfm-1778012020540?classId=3990" TargetMode="External"/><Relationship Id="rId607" Type="http://schemas.openxmlformats.org/officeDocument/2006/relationships/hyperlink" Target="https://www.linkedin.com/in/odouglassilva/" TargetMode="External"/><Relationship Id="rId602" Type="http://schemas.openxmlformats.org/officeDocument/2006/relationships/hyperlink" Target="https://universidade.pipelovers.net/m/lessons/como-adaptar-sua-comunicacao-para-diferentes-perfis-de-parceiros-1773767302165?classId=3829" TargetMode="External"/><Relationship Id="rId601" Type="http://schemas.openxmlformats.org/officeDocument/2006/relationships/hyperlink" Target="https://www.linkedin.com/in/bruno-colpaert-romera-335128134/" TargetMode="External"/><Relationship Id="rId600" Type="http://schemas.openxmlformats.org/officeDocument/2006/relationships/hyperlink" Target="https://universidade.pipelovers.net/m/lessons/co-sell-na-pratica-como-escalar-vendas-com-parceiros-atraves-da-tecnologia-1773766947918?classId=3828" TargetMode="External"/><Relationship Id="rId606" Type="http://schemas.openxmlformats.org/officeDocument/2006/relationships/hyperlink" Target="https://universidade.pipelovers.net/m/lessons/o-peso-de-ecossistemas-na-tese-de-investimento-e-valuation-de-empresas-saas-1773766136629?classId=3827" TargetMode="External"/><Relationship Id="rId605" Type="http://schemas.openxmlformats.org/officeDocument/2006/relationships/hyperlink" Target="https://universidade.pipelovers.net/m/lessons/o-peso-de-ecossistemas-na-tese-de-investimento-e-valuation-de-empresas-saas-1773766136629?classId=3827" TargetMode="External"/><Relationship Id="rId604" Type="http://schemas.openxmlformats.org/officeDocument/2006/relationships/hyperlink" Target="https://www.linkedin.com/in/edsonrigonatti/" TargetMode="External"/><Relationship Id="rId603" Type="http://schemas.openxmlformats.org/officeDocument/2006/relationships/hyperlink" Target="https://universidade.pipelovers.net/m/lessons/como-adaptar-sua-comunicacao-para-diferentes-perfis-de-parceiros-1773767302165?classId=3829" TargetMode="External"/><Relationship Id="rId228" Type="http://schemas.openxmlformats.org/officeDocument/2006/relationships/hyperlink" Target="https://drive.google.com/file/d/10NrSGvAlPp4l7A8GemLmzFvwk2jvXSj4/view?usp=drive_link" TargetMode="External"/><Relationship Id="rId227" Type="http://schemas.openxmlformats.org/officeDocument/2006/relationships/hyperlink" Target="https://universidade.pipelovers.net/m/lessons/diferenca-na-gestao-de-canais-com-marca-propria-e-revendas-independentes1769552426019?classId=3119" TargetMode="External"/><Relationship Id="rId226" Type="http://schemas.openxmlformats.org/officeDocument/2006/relationships/hyperlink" Target="https://universidade.pipelovers.net/m/lessons/diferenca-na-gestao-de-canais-com-marca-propria-e-revendas-independentes1769552426019?classId=3119" TargetMode="External"/><Relationship Id="rId225" Type="http://schemas.openxmlformats.org/officeDocument/2006/relationships/hyperlink" Target="https://www.linkedin.com/in/c%C3%A9lio-pupo-ab745623/" TargetMode="External"/><Relationship Id="rId229" Type="http://schemas.openxmlformats.org/officeDocument/2006/relationships/hyperlink" Target="https://www.linkedin.com/in/brunostuchi/" TargetMode="External"/><Relationship Id="rId220" Type="http://schemas.openxmlformats.org/officeDocument/2006/relationships/hyperlink" Target="https://drive.google.com/file/d/1tRmigwD_PcisC7y2ZvbW_oGdpcEMKotc/view?usp=drive_link" TargetMode="External"/><Relationship Id="rId224" Type="http://schemas.openxmlformats.org/officeDocument/2006/relationships/hyperlink" Target="https://drive.google.com/file/d/1_JFV5SvlqXAG3uxHcNH_C0uxKXMF0mF7/view?usp=drive_link" TargetMode="External"/><Relationship Id="rId223" Type="http://schemas.openxmlformats.org/officeDocument/2006/relationships/hyperlink" Target="https://universidade.pipelovers.net/m/lessons/expansao-internacional-com-franquias1769552425993?classId=3117" TargetMode="External"/><Relationship Id="rId222" Type="http://schemas.openxmlformats.org/officeDocument/2006/relationships/hyperlink" Target="https://universidade.pipelovers.net/m/lessons/expansao-internacional-com-franquias1769552425993?classId=3117" TargetMode="External"/><Relationship Id="rId221" Type="http://schemas.openxmlformats.org/officeDocument/2006/relationships/hyperlink" Target="https://www.linkedin.com/in/arnokrugjunior/" TargetMode="External"/><Relationship Id="rId217" Type="http://schemas.openxmlformats.org/officeDocument/2006/relationships/hyperlink" Target="https://www.linkedin.com/in/felipegiroleti/" TargetMode="External"/><Relationship Id="rId216" Type="http://schemas.openxmlformats.org/officeDocument/2006/relationships/hyperlink" Target="https://drive.google.com/file/d/1rBjk9XThPtYGi-FuFXBY33q6itvXFNbW/view?usp=drive_link" TargetMode="External"/><Relationship Id="rId215" Type="http://schemas.openxmlformats.org/officeDocument/2006/relationships/hyperlink" Target="https://universidade.pipelovers.net/m/lessons/salesforce-trailhead-um-ecossistema-de-enablement1769552425938?classId=3077" TargetMode="External"/><Relationship Id="rId214" Type="http://schemas.openxmlformats.org/officeDocument/2006/relationships/hyperlink" Target="https://universidade.pipelovers.net/m/lessons/salesforce-trailhead-um-ecossistema-de-enablement1769552425938?classId=3077" TargetMode="External"/><Relationship Id="rId219" Type="http://schemas.openxmlformats.org/officeDocument/2006/relationships/hyperlink" Target="https://universidade.pipelovers.net/m/lessons/como-priorizar-a-melhor-oferta-para-seu-canal1769552425966?classId=3078" TargetMode="External"/><Relationship Id="rId218" Type="http://schemas.openxmlformats.org/officeDocument/2006/relationships/hyperlink" Target="https://universidade.pipelovers.net/m/lessons/como-priorizar-a-melhor-oferta-para-seu-canal1769552425966?classId=3078" TargetMode="External"/><Relationship Id="rId213" Type="http://schemas.openxmlformats.org/officeDocument/2006/relationships/hyperlink" Target="https://www.linkedin.com/in/mauricioschorsch/" TargetMode="External"/><Relationship Id="rId212" Type="http://schemas.openxmlformats.org/officeDocument/2006/relationships/hyperlink" Target="https://drive.google.com/file/d/1sWwu60Daajo8Raxs47WED1lKndsCYjHs/view?usp=drive_link" TargetMode="External"/><Relationship Id="rId211" Type="http://schemas.openxmlformats.org/officeDocument/2006/relationships/hyperlink" Target="https://universidade.pipelovers.net/m/lessons/construcao-de-ofertas-de-valor-agregado-com-parceiros1769552425875?classId=3076" TargetMode="External"/><Relationship Id="rId210" Type="http://schemas.openxmlformats.org/officeDocument/2006/relationships/hyperlink" Target="https://universidade.pipelovers.net/m/lessons/construcao-de-ofertas-de-valor-agregado-com-parceiros1769552425875?classId=3076" TargetMode="External"/><Relationship Id="rId249" Type="http://schemas.openxmlformats.org/officeDocument/2006/relationships/hyperlink" Target="https://www.linkedin.com/in/malbio/" TargetMode="External"/><Relationship Id="rId248" Type="http://schemas.openxmlformats.org/officeDocument/2006/relationships/hyperlink" Target="https://drive.google.com/file/d/1ddgxIH9AgVzrQBKhYEloP1Q2rMfFgQLM/view?usp=drive_link" TargetMode="External"/><Relationship Id="rId247" Type="http://schemas.openxmlformats.org/officeDocument/2006/relationships/hyperlink" Target="https://universidade.pipelovers.net/m/lessons/7-pecados-na-gestao-de-canais-indiretos1769552429220?classId=3137" TargetMode="External"/><Relationship Id="rId242" Type="http://schemas.openxmlformats.org/officeDocument/2006/relationships/hyperlink" Target="https://universidade.pipelovers.net/m/lessons/previsibilidade-de-forecast-em-programas-de-canais1769552426137?classId=3135" TargetMode="External"/><Relationship Id="rId241" Type="http://schemas.openxmlformats.org/officeDocument/2006/relationships/hyperlink" Target="https://www.linkedin.com/in/ernanicarraro/" TargetMode="External"/><Relationship Id="rId240" Type="http://schemas.openxmlformats.org/officeDocument/2006/relationships/hyperlink" Target="https://drive.google.com/file/d/1QxEUALxb64EzK0mhsDBr1dRL6mwWV4lx/view?usp=drive_link" TargetMode="External"/><Relationship Id="rId246" Type="http://schemas.openxmlformats.org/officeDocument/2006/relationships/hyperlink" Target="https://universidade.pipelovers.net/m/lessons/7-pecados-na-gestao-de-canais-indiretos1769552429220?classId=3137" TargetMode="External"/><Relationship Id="rId245" Type="http://schemas.openxmlformats.org/officeDocument/2006/relationships/hyperlink" Target="https://www.linkedin.com/in/walteracras/" TargetMode="External"/><Relationship Id="rId244" Type="http://schemas.openxmlformats.org/officeDocument/2006/relationships/hyperlink" Target="https://drive.google.com/file/d/1X6oaTMLcZu8bqj_kNRiOTiffI3BGJfIc/view?usp=drive_link" TargetMode="External"/><Relationship Id="rId243" Type="http://schemas.openxmlformats.org/officeDocument/2006/relationships/hyperlink" Target="https://universidade.pipelovers.net/m/lessons/previsibilidade-de-forecast-em-programas-de-canais1769552426137?classId=3135" TargetMode="External"/><Relationship Id="rId239" Type="http://schemas.openxmlformats.org/officeDocument/2006/relationships/hyperlink" Target="https://universidade.pipelovers.net/m/lessons/influenciadores-como-canal-de-vendas1769552426110?classId=3124" TargetMode="External"/><Relationship Id="rId238" Type="http://schemas.openxmlformats.org/officeDocument/2006/relationships/hyperlink" Target="https://universidade.pipelovers.net/m/lessons/influenciadores-como-canal-de-vendas1769552426110?classId=3124" TargetMode="External"/><Relationship Id="rId237" Type="http://schemas.openxmlformats.org/officeDocument/2006/relationships/hyperlink" Target="https://www.linkedin.com/in/leandro-barankiewicz/" TargetMode="External"/><Relationship Id="rId236" Type="http://schemas.openxmlformats.org/officeDocument/2006/relationships/hyperlink" Target="https://drive.google.com/file/d/13kOJ0AizKi-ykJe0BDpHK_zWXi93gNPs/view?usp=drive_link" TargetMode="External"/><Relationship Id="rId231" Type="http://schemas.openxmlformats.org/officeDocument/2006/relationships/hyperlink" Target="https://universidade.pipelovers.net/m/lessons/estruturando-do-zero-um-canal-top-performer1769552426046?classId=3121" TargetMode="External"/><Relationship Id="rId230" Type="http://schemas.openxmlformats.org/officeDocument/2006/relationships/hyperlink" Target="https://universidade.pipelovers.net/m/lessons/estruturando-do-zero-um-canal-top-performer1769552426046?classId=3121" TargetMode="External"/><Relationship Id="rId235" Type="http://schemas.openxmlformats.org/officeDocument/2006/relationships/hyperlink" Target="https://universidade.pipelovers.net/m/lessons/otimizacao-de-verbas-de-marketing-para-canais1769552426084?classId=3022" TargetMode="External"/><Relationship Id="rId234" Type="http://schemas.openxmlformats.org/officeDocument/2006/relationships/hyperlink" Target="https://universidade.pipelovers.net/m/lessons/otimizacao-de-verbas-de-marketing-para-canais1769552426084?classId=3022" TargetMode="External"/><Relationship Id="rId233" Type="http://schemas.openxmlformats.org/officeDocument/2006/relationships/hyperlink" Target="https://www.linkedin.com/in/mauricio-cardoso/" TargetMode="External"/><Relationship Id="rId232" Type="http://schemas.openxmlformats.org/officeDocument/2006/relationships/hyperlink" Target="https://drive.google.com/file/d/1vmhDdBWvAHi5wmdWQ1501T-q61Jh-e3c/view?usp=drive_link" TargetMode="External"/><Relationship Id="rId657" Type="http://schemas.openxmlformats.org/officeDocument/2006/relationships/table" Target="../tables/table58.xml"/><Relationship Id="rId656" Type="http://schemas.openxmlformats.org/officeDocument/2006/relationships/table" Target="../tables/table57.xml"/><Relationship Id="rId655" Type="http://schemas.openxmlformats.org/officeDocument/2006/relationships/table" Target="../tables/table56.xml"/><Relationship Id="rId654" Type="http://schemas.openxmlformats.org/officeDocument/2006/relationships/table" Target="../tables/table55.xml"/><Relationship Id="rId206" Type="http://schemas.openxmlformats.org/officeDocument/2006/relationships/hyperlink" Target="https://universidade.pipelovers.net/m/lessons/gestao-de-parcerias-em-marketplaces1769552425789?classId=3073" TargetMode="External"/><Relationship Id="rId205" Type="http://schemas.openxmlformats.org/officeDocument/2006/relationships/hyperlink" Target="https://www.linkedin.com/in/paulomadu/" TargetMode="External"/><Relationship Id="rId204" Type="http://schemas.openxmlformats.org/officeDocument/2006/relationships/hyperlink" Target="https://drive.google.com/file/d/18ofSnmUoWT4HJnXL6QsSgne31uBO-mB8/view?usp=drive_link" TargetMode="External"/><Relationship Id="rId203" Type="http://schemas.openxmlformats.org/officeDocument/2006/relationships/hyperlink" Target="https://universidade.pipelovers.net/m/lessons/validacao-de-novos-modelos-de-parcerias1769552425848?classId=3071" TargetMode="External"/><Relationship Id="rId209" Type="http://schemas.openxmlformats.org/officeDocument/2006/relationships/hyperlink" Target="https://www.linkedin.com/in/thiagopassosletra/" TargetMode="External"/><Relationship Id="rId208" Type="http://schemas.openxmlformats.org/officeDocument/2006/relationships/hyperlink" Target="https://drive.google.com/file/d/1HT-Tm0TyD9ij6rXIMQJfoUkyZKB2-sL6/view?usp=drive_link" TargetMode="External"/><Relationship Id="rId207" Type="http://schemas.openxmlformats.org/officeDocument/2006/relationships/hyperlink" Target="https://universidade.pipelovers.net/m/lessons/gestao-de-parcerias-em-marketplaces1769552425789?classId=3073" TargetMode="External"/><Relationship Id="rId202" Type="http://schemas.openxmlformats.org/officeDocument/2006/relationships/hyperlink" Target="https://universidade.pipelovers.net/m/lessons/validacao-de-novos-modelos-de-parcerias1769552425848?classId=3071" TargetMode="External"/><Relationship Id="rId201" Type="http://schemas.openxmlformats.org/officeDocument/2006/relationships/hyperlink" Target="https://www.linkedin.com/in/s-souzavinicius/" TargetMode="External"/><Relationship Id="rId200" Type="http://schemas.openxmlformats.org/officeDocument/2006/relationships/hyperlink" Target="https://drive.google.com/file/d/1XtULLg5o2_DPM77WArI45XapL_XtO4qi/view?usp=drive_link" TargetMode="External"/><Relationship Id="rId190" Type="http://schemas.openxmlformats.org/officeDocument/2006/relationships/hyperlink" Target="https://universidade.pipelovers.net/m/lessons/podcast-como-canal-de-engajamento-com-parceiros-e-clientes1769552425690?classId=3383" TargetMode="External"/><Relationship Id="rId194" Type="http://schemas.openxmlformats.org/officeDocument/2006/relationships/hyperlink" Target="https://universidade.pipelovers.net/m/lessons/como-construir-um-planejamento-estrategico-para-area-de-canais1769552425730?classId=3382" TargetMode="External"/><Relationship Id="rId193" Type="http://schemas.openxmlformats.org/officeDocument/2006/relationships/hyperlink" Target="https://www.linkedin.com/in/alexandre-valle/" TargetMode="External"/><Relationship Id="rId192" Type="http://schemas.openxmlformats.org/officeDocument/2006/relationships/hyperlink" Target="https://drive.google.com/file/d/1Gy-r4iipUWTpy7l73PTNqT2Oax4_27qr/view?usp=drive_link" TargetMode="External"/><Relationship Id="rId191" Type="http://schemas.openxmlformats.org/officeDocument/2006/relationships/hyperlink" Target="https://universidade.pipelovers.net/m/lessons/podcast-como-canal-de-engajamento-com-parceiros-e-clientes1769552425690?classId=3383" TargetMode="External"/><Relationship Id="rId187" Type="http://schemas.openxmlformats.org/officeDocument/2006/relationships/hyperlink" Target="https://universidade.pipelovers.net/m/lessons/metodo-octo1769552425646?classId=3384" TargetMode="External"/><Relationship Id="rId186" Type="http://schemas.openxmlformats.org/officeDocument/2006/relationships/hyperlink" Target="https://universidade.pipelovers.net/m/lessons/metodo-octo1769552425646?classId=3384" TargetMode="External"/><Relationship Id="rId185" Type="http://schemas.openxmlformats.org/officeDocument/2006/relationships/hyperlink" Target="https://www.linkedin.com/in/naravazguimaraes/" TargetMode="External"/><Relationship Id="rId184" Type="http://schemas.openxmlformats.org/officeDocument/2006/relationships/hyperlink" Target="https://drive.google.com/file/d/1KQ_j5SOB-E9SGPPIPN0FHipu1qO_mm-E/view?usp=drive_link" TargetMode="External"/><Relationship Id="rId189" Type="http://schemas.openxmlformats.org/officeDocument/2006/relationships/hyperlink" Target="https://www.linkedin.com/in/romucasp/" TargetMode="External"/><Relationship Id="rId188" Type="http://schemas.openxmlformats.org/officeDocument/2006/relationships/hyperlink" Target="https://drive.google.com/file/d/1nGnnMahe_s0OzzhiXfDOhH5FEoN6MlXN/view?usp=drive_link" TargetMode="External"/><Relationship Id="rId183" Type="http://schemas.openxmlformats.org/officeDocument/2006/relationships/hyperlink" Target="https://universidade.pipelovers.net/m/lessons/palestra-rd-summit-20231769552039345?classId=3108" TargetMode="External"/><Relationship Id="rId182" Type="http://schemas.openxmlformats.org/officeDocument/2006/relationships/hyperlink" Target="https://universidade.pipelovers.net/m/lessons/palestra-rd-summit-20231769552039345?classId=3108" TargetMode="External"/><Relationship Id="rId181" Type="http://schemas.openxmlformats.org/officeDocument/2006/relationships/hyperlink" Target="https://www.linkedin.com/in/gpagotto/" TargetMode="External"/><Relationship Id="rId180" Type="http://schemas.openxmlformats.org/officeDocument/2006/relationships/hyperlink" Target="https://drive.google.com/file/d/1mIsnyzlFpS9SPwkijHks_ODVNY84hc6B/view?usp=drive_link" TargetMode="External"/><Relationship Id="rId176" Type="http://schemas.openxmlformats.org/officeDocument/2006/relationships/hyperlink" Target="https://drive.google.com/file/d/19CCVR0AdP3xxMhJOAweroZBxhPCl0i1X/view?usp=drive_link" TargetMode="External"/><Relationship Id="rId175" Type="http://schemas.openxmlformats.org/officeDocument/2006/relationships/hyperlink" Target="https://universidade.pipelovers.net/m/lessons/a-evolucao-dos-modelos-de-canais-indiretos-no-mundo-digital1769552419444?classId=3374" TargetMode="External"/><Relationship Id="rId174" Type="http://schemas.openxmlformats.org/officeDocument/2006/relationships/hyperlink" Target="https://universidade.pipelovers.net/m/lessons/a-evolucao-dos-modelos-de-canais-indiretos-no-mundo-digital1769552419444?classId=3374" TargetMode="External"/><Relationship Id="rId173" Type="http://schemas.openxmlformats.org/officeDocument/2006/relationships/hyperlink" Target="https://www.linkedin.com/in/aurora-suh/" TargetMode="External"/><Relationship Id="rId179" Type="http://schemas.openxmlformats.org/officeDocument/2006/relationships/hyperlink" Target="https://universidade.pipelovers.net/m/lessons/estrategias-de-customer-success-para-parceiros1769552419494?classId=3373" TargetMode="External"/><Relationship Id="rId178" Type="http://schemas.openxmlformats.org/officeDocument/2006/relationships/hyperlink" Target="https://universidade.pipelovers.net/m/lessons/estrategias-de-customer-success-para-parceiros1769552419494?classId=3373" TargetMode="External"/><Relationship Id="rId177" Type="http://schemas.openxmlformats.org/officeDocument/2006/relationships/hyperlink" Target="https://www.linkedin.com/in/luiholleben/" TargetMode="External"/><Relationship Id="rId198" Type="http://schemas.openxmlformats.org/officeDocument/2006/relationships/hyperlink" Target="https://universidade.pipelovers.net/m/lessons/papeis-e-responsabilidades-do-partner-account-manager1769552425761?classId=3381" TargetMode="External"/><Relationship Id="rId197" Type="http://schemas.openxmlformats.org/officeDocument/2006/relationships/hyperlink" Target="https://www.linkedin.com/in/ligiaalface/" TargetMode="External"/><Relationship Id="rId196" Type="http://schemas.openxmlformats.org/officeDocument/2006/relationships/hyperlink" Target="https://drive.google.com/file/d/1J_WYZoaBp87Lw0e-9xd142PTL2z1H2DC/view?usp=drive_link" TargetMode="External"/><Relationship Id="rId195" Type="http://schemas.openxmlformats.org/officeDocument/2006/relationships/hyperlink" Target="https://universidade.pipelovers.net/m/lessons/como-construir-um-planejamento-estrategico-para-area-de-canais1769552425730?classId=3382" TargetMode="External"/><Relationship Id="rId199" Type="http://schemas.openxmlformats.org/officeDocument/2006/relationships/hyperlink" Target="https://universidade.pipelovers.net/m/lessons/papeis-e-responsabilidades-do-partner-account-manager1769552425761?classId=3381" TargetMode="External"/><Relationship Id="rId150" Type="http://schemas.openxmlformats.org/officeDocument/2006/relationships/hyperlink" Target="https://universidade.pipelovers.net/m/lessons/pesquisa-de-satisfacao-para-canais-1770488598048?classId=3483" TargetMode="External"/><Relationship Id="rId149" Type="http://schemas.openxmlformats.org/officeDocument/2006/relationships/hyperlink" Target="https://www.linkedin.com/in/guireitz/" TargetMode="External"/><Relationship Id="rId148" Type="http://schemas.openxmlformats.org/officeDocument/2006/relationships/hyperlink" Target="https://drive.google.com/file/d/1Rf9h4Hex4LPaZlbIhBGjt_NWJpOASKio/view?usp=drive_link" TargetMode="External"/><Relationship Id="rId143" Type="http://schemas.openxmlformats.org/officeDocument/2006/relationships/hyperlink" Target="https://universidade.pipelovers.net/m/lessons/vendas-para-setor-publico-via-canais1769552418589?classId=3368" TargetMode="External"/><Relationship Id="rId142" Type="http://schemas.openxmlformats.org/officeDocument/2006/relationships/hyperlink" Target="https://universidade.pipelovers.net/m/lessons/vendas-para-setor-publico-via-canais1769552418589?classId=3368" TargetMode="External"/><Relationship Id="rId141" Type="http://schemas.openxmlformats.org/officeDocument/2006/relationships/hyperlink" Target="https://www.linkedin.com/in/roberto-miyahara-856198/" TargetMode="External"/><Relationship Id="rId140" Type="http://schemas.openxmlformats.org/officeDocument/2006/relationships/hyperlink" Target="https://drive.google.com/file/d/1pYZkxRGukn2HHuVeBXzb7ZYkejtI2Zh8/view?usp=drive_link" TargetMode="External"/><Relationship Id="rId147" Type="http://schemas.openxmlformats.org/officeDocument/2006/relationships/hyperlink" Target="https://universidade.pipelovers.net/m/lessons/como-gerar-valor-para-o-canal-alem-da-comissao1769552418381?classId=3484" TargetMode="External"/><Relationship Id="rId146" Type="http://schemas.openxmlformats.org/officeDocument/2006/relationships/hyperlink" Target="https://universidade.pipelovers.net/m/lessons/como-gerar-valor-para-o-canal-alem-da-comissao1769552418381?classId=3484" TargetMode="External"/><Relationship Id="rId145" Type="http://schemas.openxmlformats.org/officeDocument/2006/relationships/hyperlink" Target="https://www.linkedin.com/in/jlquintella/" TargetMode="External"/><Relationship Id="rId144" Type="http://schemas.openxmlformats.org/officeDocument/2006/relationships/hyperlink" Target="https://drive.google.com/file/d/1Z7B8ZXMKKw--2rDZY6Z9Z1iJZRC-_rl1/view?usp=drive_link" TargetMode="External"/><Relationship Id="rId139" Type="http://schemas.openxmlformats.org/officeDocument/2006/relationships/hyperlink" Target="https://universidade.pipelovers.net/m/lessons/segmentacao-de-canais-e-parceiros1769552418755?classId=3015" TargetMode="External"/><Relationship Id="rId138" Type="http://schemas.openxmlformats.org/officeDocument/2006/relationships/hyperlink" Target="https://universidade.pipelovers.net/m/lessons/segmentacao-de-canais-e-parceiros1769552418755?classId=3015" TargetMode="External"/><Relationship Id="rId137" Type="http://schemas.openxmlformats.org/officeDocument/2006/relationships/hyperlink" Target="https://www.linkedin.com/in/paula-chacur-de-arandas-67252228/" TargetMode="External"/><Relationship Id="rId132" Type="http://schemas.openxmlformats.org/officeDocument/2006/relationships/hyperlink" Target="https://drive.google.com/file/d/1p_NLstZiNDSHJhL1q9YNJ_3vwOnoB11d/view?usp=drive_link" TargetMode="External"/><Relationship Id="rId131" Type="http://schemas.openxmlformats.org/officeDocument/2006/relationships/hyperlink" Target="https://universidade.pipelovers.net/m/lessons/como-implementar-uma-politica-de-mdf-marketing-development-fund1769552418260?classId=3360" TargetMode="External"/><Relationship Id="rId130" Type="http://schemas.openxmlformats.org/officeDocument/2006/relationships/hyperlink" Target="https://universidade.pipelovers.net/m/lessons/como-implementar-uma-politica-de-mdf-marketing-development-fund1769552418260?classId=3360" TargetMode="External"/><Relationship Id="rId136" Type="http://schemas.openxmlformats.org/officeDocument/2006/relationships/hyperlink" Target="https://drive.google.com/file/d/1fdtJn52ux1r2FzKCSrH06kKi64OnqOMu/view?usp=drive_link" TargetMode="External"/><Relationship Id="rId135" Type="http://schemas.openxmlformats.org/officeDocument/2006/relationships/hyperlink" Target="https://universidade.pipelovers.net/m/lessons/capacitacao-de-vendas-para-canais1769552418312?classId=3359" TargetMode="External"/><Relationship Id="rId134" Type="http://schemas.openxmlformats.org/officeDocument/2006/relationships/hyperlink" Target="https://universidade.pipelovers.net/m/lessons/capacitacao-de-vendas-para-canais1769552418312?classId=3359" TargetMode="External"/><Relationship Id="rId133" Type="http://schemas.openxmlformats.org/officeDocument/2006/relationships/hyperlink" Target="https://www.linkedin.com/in/daniele-barracas-13186925" TargetMode="External"/><Relationship Id="rId172" Type="http://schemas.openxmlformats.org/officeDocument/2006/relationships/hyperlink" Target="https://drive.google.com/file/d/1cKOD3lwTuums7P_UOYRFn8gDwQN55e2O/view?usp=drive_link" TargetMode="External"/><Relationship Id="rId171" Type="http://schemas.openxmlformats.org/officeDocument/2006/relationships/hyperlink" Target="https://universidade.pipelovers.net/m/lessons/engajamento-de-canais-em-alta-escala1769552419340?classId=3375" TargetMode="External"/><Relationship Id="rId170" Type="http://schemas.openxmlformats.org/officeDocument/2006/relationships/hyperlink" Target="https://universidade.pipelovers.net/m/lessons/engajamento-de-canais-em-alta-escala1769552419340?classId=3375" TargetMode="External"/><Relationship Id="rId165" Type="http://schemas.openxmlformats.org/officeDocument/2006/relationships/hyperlink" Target="https://www.linkedin.com/in/juliocesarazzini/" TargetMode="External"/><Relationship Id="rId164" Type="http://schemas.openxmlformats.org/officeDocument/2006/relationships/hyperlink" Target="https://drive.google.com/file/d/1qyBBNUw2gRVXcHnijM2IXhn3C7c6V24x/view?usp=drive_link" TargetMode="External"/><Relationship Id="rId163" Type="http://schemas.openxmlformats.org/officeDocument/2006/relationships/hyperlink" Target="https://universidade.pipelovers.net/m/lessons/estrutura-organizacional-para-times-de-canais1769552419064?classId=3377" TargetMode="External"/><Relationship Id="rId162" Type="http://schemas.openxmlformats.org/officeDocument/2006/relationships/hyperlink" Target="https://universidade.pipelovers.net/m/lessons/estrutura-organizacional-para-times-de-canais1769552419064?classId=3377" TargetMode="External"/><Relationship Id="rId169" Type="http://schemas.openxmlformats.org/officeDocument/2006/relationships/hyperlink" Target="https://www.linkedin.com/in/monique-kempt-b4683b173/" TargetMode="External"/><Relationship Id="rId168" Type="http://schemas.openxmlformats.org/officeDocument/2006/relationships/hyperlink" Target="https://drive.google.com/file/d/1m7z7UoTa_4VjFeEFQhmViHlvhw13DlEk/view?usp=drive_link" TargetMode="External"/><Relationship Id="rId167" Type="http://schemas.openxmlformats.org/officeDocument/2006/relationships/hyperlink" Target="https://universidade.pipelovers.net/m/lessons/catalyst-2023-melhores-praticas-sobre-parcerias-e-ecossistemas-direto-das-trincheiras1769552419193?classId=3376" TargetMode="External"/><Relationship Id="rId166" Type="http://schemas.openxmlformats.org/officeDocument/2006/relationships/hyperlink" Target="https://universidade.pipelovers.net/m/lessons/catalyst-2023-melhores-praticas-sobre-parcerias-e-ecossistemas-direto-das-trincheiras1769552419193?classId=3376" TargetMode="External"/><Relationship Id="rId161" Type="http://schemas.openxmlformats.org/officeDocument/2006/relationships/hyperlink" Target="https://www.linkedin.com/in/philemonmattos/" TargetMode="External"/><Relationship Id="rId160" Type="http://schemas.openxmlformats.org/officeDocument/2006/relationships/hyperlink" Target="https://drive.google.com/file/d/1wwHK-trCM7PCtM4ejlGQNxrliZcKBnnR/view?usp=drive_link" TargetMode="External"/><Relationship Id="rId159" Type="http://schemas.openxmlformats.org/officeDocument/2006/relationships/hyperlink" Target="https://universidade.pipelovers.net/m/lessons/novas-linhas-de-receita-para-seu-parceiro1769552418990?classId=3366" TargetMode="External"/><Relationship Id="rId154" Type="http://schemas.openxmlformats.org/officeDocument/2006/relationships/hyperlink" Target="https://universidade.pipelovers.net/m/lessons/o-que-um-canal-precisa-para-crescer1769552418873?classId=3367" TargetMode="External"/><Relationship Id="rId153" Type="http://schemas.openxmlformats.org/officeDocument/2006/relationships/hyperlink" Target="https://www.linkedin.com/in/nathalia-koga-0072261b9/" TargetMode="External"/><Relationship Id="rId152" Type="http://schemas.openxmlformats.org/officeDocument/2006/relationships/hyperlink" Target="https://drive.google.com/file/d/1fBLohmT06rjs8rXHWVRh9cetz84b2Hfc/view?usp=drive_link" TargetMode="External"/><Relationship Id="rId151" Type="http://schemas.openxmlformats.org/officeDocument/2006/relationships/hyperlink" Target="https://universidade.pipelovers.net/m/lessons/pesquisa-de-satisfacao-para-canais-1770488598048?classId=3483" TargetMode="External"/><Relationship Id="rId158" Type="http://schemas.openxmlformats.org/officeDocument/2006/relationships/hyperlink" Target="https://universidade.pipelovers.net/m/lessons/novas-linhas-de-receita-para-seu-parceiro1769552418990?classId=3366" TargetMode="External"/><Relationship Id="rId157" Type="http://schemas.openxmlformats.org/officeDocument/2006/relationships/hyperlink" Target="https://www.linkedin.com/in/thales-frade-1009461a7/" TargetMode="External"/><Relationship Id="rId156" Type="http://schemas.openxmlformats.org/officeDocument/2006/relationships/hyperlink" Target="https://drive.google.com/file/d/1nevWTU6jToILb0I-uZQ2mkD-kNBvr5zU/view?usp=drive_link" TargetMode="External"/><Relationship Id="rId155" Type="http://schemas.openxmlformats.org/officeDocument/2006/relationships/hyperlink" Target="https://universidade.pipelovers.net/m/lessons/o-que-um-canal-precisa-para-crescer1769552418873?classId=3367" TargetMode="External"/><Relationship Id="rId509" Type="http://schemas.openxmlformats.org/officeDocument/2006/relationships/hyperlink" Target="https://drive.google.com/file/d/1AaTlY8l_ObFxD_gm5T7N7xJFlRW_vcze/view?usp=drive_link" TargetMode="External"/><Relationship Id="rId508" Type="http://schemas.openxmlformats.org/officeDocument/2006/relationships/hyperlink" Target="https://universidade.pipelovers.net/m/lessons/como-estruturar-um-programa-de-canais-do-zero1769552466069?classId=3420" TargetMode="External"/><Relationship Id="rId503" Type="http://schemas.openxmlformats.org/officeDocument/2006/relationships/hyperlink" Target="https://universidade.pipelovers.net/m/lessons/gestao-de-expectativa-com-stakeholders-em-canais1769552466005?classId=3419" TargetMode="External"/><Relationship Id="rId502" Type="http://schemas.openxmlformats.org/officeDocument/2006/relationships/hyperlink" Target="https://www.linkedin.com/in/cristiano-gregorius-b73bb7/" TargetMode="External"/><Relationship Id="rId501" Type="http://schemas.openxmlformats.org/officeDocument/2006/relationships/hyperlink" Target="https://drive.google.com/file/d/16qejif0e6VXXcXbqoR81craZpiptoO5b/view?usp=drive_link" TargetMode="External"/><Relationship Id="rId500" Type="http://schemas.openxmlformats.org/officeDocument/2006/relationships/hyperlink" Target="https://universidade.pipelovers.net/m/lessons/tam-sam-som-para-canais1769552460341?classId=3418" TargetMode="External"/><Relationship Id="rId507" Type="http://schemas.openxmlformats.org/officeDocument/2006/relationships/hyperlink" Target="https://universidade.pipelovers.net/m/lessons/como-estruturar-um-programa-de-canais-do-zero1769552466069?classId=3420" TargetMode="External"/><Relationship Id="rId506" Type="http://schemas.openxmlformats.org/officeDocument/2006/relationships/hyperlink" Target="https://www.linkedin.com/in/adrianoluizdossantos/" TargetMode="External"/><Relationship Id="rId505" Type="http://schemas.openxmlformats.org/officeDocument/2006/relationships/hyperlink" Target="https://drive.google.com/file/d/1e2kAP3Lvq9mltU2LMmfWPLUVXpALe-Ol/view?usp=drive_link" TargetMode="External"/><Relationship Id="rId504" Type="http://schemas.openxmlformats.org/officeDocument/2006/relationships/hyperlink" Target="https://universidade.pipelovers.net/m/lessons/gestao-de-expectativa-com-stakeholders-em-canais1769552466005?classId=3419" TargetMode="External"/><Relationship Id="rId525" Type="http://schemas.openxmlformats.org/officeDocument/2006/relationships/hyperlink" Target="https://drive.google.com/file/d/12Bl_6laIoe2WOGwM9CN2MJ46ba7foC65/view?usp=drive_link" TargetMode="External"/><Relationship Id="rId524" Type="http://schemas.openxmlformats.org/officeDocument/2006/relationships/hyperlink" Target="https://universidade.pipelovers.net/m/lessons/estrutura-de-um-pitch-de-aquisicao-de-novos-parceiros1769552466257?classId=3426" TargetMode="External"/><Relationship Id="rId523" Type="http://schemas.openxmlformats.org/officeDocument/2006/relationships/hyperlink" Target="https://universidade.pipelovers.net/m/lessons/estrutura-de-um-pitch-de-aquisicao-de-novos-parceiros1769552466257?classId=3426" TargetMode="External"/><Relationship Id="rId522" Type="http://schemas.openxmlformats.org/officeDocument/2006/relationships/hyperlink" Target="https://www.linkedin.com/in/felipedecarvalho1982/" TargetMode="External"/><Relationship Id="rId529" Type="http://schemas.openxmlformats.org/officeDocument/2006/relationships/hyperlink" Target="https://drive.google.com/file/d/1XWsvcAqb3CHVwpDmgk8t0_87t93_x99P/view?usp=drive_link" TargetMode="External"/><Relationship Id="rId528" Type="http://schemas.openxmlformats.org/officeDocument/2006/relationships/hyperlink" Target="https://universidade.pipelovers.net/m/lessons/segmentacao-de-parceiros-para-desenvolver-canais-com-eficiencia1769552465755?classId=3430" TargetMode="External"/><Relationship Id="rId527" Type="http://schemas.openxmlformats.org/officeDocument/2006/relationships/hyperlink" Target="https://universidade.pipelovers.net/m/lessons/segmentacao-de-parceiros-para-desenvolver-canais-com-eficiencia1769552465755?classId=3430" TargetMode="External"/><Relationship Id="rId526" Type="http://schemas.openxmlformats.org/officeDocument/2006/relationships/hyperlink" Target="https://www.linkedin.com/in/danielhollander/" TargetMode="External"/><Relationship Id="rId521" Type="http://schemas.openxmlformats.org/officeDocument/2006/relationships/hyperlink" Target="https://drive.google.com/file/d/1CJXsvuZ3QZf-HcS7lhS_HNUunANcSGgQ/view?usp=drive_link" TargetMode="External"/><Relationship Id="rId520" Type="http://schemas.openxmlformats.org/officeDocument/2006/relationships/hyperlink" Target="https://universidade.pipelovers.net/m/lessons/gestao-de-funil-de-vendas-de-canais-indiretos1769552466194?classId=3425" TargetMode="External"/><Relationship Id="rId519" Type="http://schemas.openxmlformats.org/officeDocument/2006/relationships/hyperlink" Target="https://universidade.pipelovers.net/m/lessons/gestao-de-funil-de-vendas-de-canais-indiretos1769552466194?classId=3425" TargetMode="External"/><Relationship Id="rId514" Type="http://schemas.openxmlformats.org/officeDocument/2006/relationships/hyperlink" Target="https://www.linkedin.com/in/gabrielagapito/" TargetMode="External"/><Relationship Id="rId513" Type="http://schemas.openxmlformats.org/officeDocument/2006/relationships/hyperlink" Target="https://drive.google.com/file/d/17a2R7U9BkbTv3RGXTiEvyZCM0ywCWz4p/view?usp=drive_link" TargetMode="External"/><Relationship Id="rId512" Type="http://schemas.openxmlformats.org/officeDocument/2006/relationships/hyperlink" Target="https://universidade.pipelovers.net/m/lessons/gestao-estrategica-na-era-de-ia-automacao-e-o-novo-papel-do-parceiro1769552466319?classId=3421" TargetMode="External"/><Relationship Id="rId511" Type="http://schemas.openxmlformats.org/officeDocument/2006/relationships/hyperlink" Target="https://universidade.pipelovers.net/m/lessons/gestao-estrategica-na-era-de-ia-automacao-e-o-novo-papel-do-parceiro1769552466319?classId=3421" TargetMode="External"/><Relationship Id="rId518" Type="http://schemas.openxmlformats.org/officeDocument/2006/relationships/hyperlink" Target="https://www.linkedin.com/in/carlos-d-hernandez-m/" TargetMode="External"/><Relationship Id="rId517" Type="http://schemas.openxmlformats.org/officeDocument/2006/relationships/hyperlink" Target="https://drive.google.com/file/d/1Qsz_FJsKWbSG-rQhKTHs0wlY4xgPHShj/view?usp=drive_link" TargetMode="External"/><Relationship Id="rId516" Type="http://schemas.openxmlformats.org/officeDocument/2006/relationships/hyperlink" Target="https://universidade.pipelovers.net/m/lessons/kpis-de-canais-como-medir-engajamento-e-performance1769552466132?classId=3018" TargetMode="External"/><Relationship Id="rId515" Type="http://schemas.openxmlformats.org/officeDocument/2006/relationships/hyperlink" Target="https://universidade.pipelovers.net/m/lessons/kpis-de-canais-como-medir-engajamento-e-performance1769552466132?classId=3018" TargetMode="External"/><Relationship Id="rId510" Type="http://schemas.openxmlformats.org/officeDocument/2006/relationships/hyperlink" Target="https://www.linkedin.com/in/antoniocustodiog/" TargetMode="External"/><Relationship Id="rId590" Type="http://schemas.openxmlformats.org/officeDocument/2006/relationships/hyperlink" Target="https://universidade.pipelovers.net/m/lessons/como-construir-um-pipeline-confiavel-em-vendas-indiretas-1773765565839?classId=3826" TargetMode="External"/><Relationship Id="rId107" Type="http://schemas.openxmlformats.org/officeDocument/2006/relationships/hyperlink" Target="https://universidade.pipelovers.net/m/lessons/como-avaliar-seu-programa-de-canais1769552409278?classId=3355" TargetMode="External"/><Relationship Id="rId106" Type="http://schemas.openxmlformats.org/officeDocument/2006/relationships/hyperlink" Target="https://universidade.pipelovers.net/m/lessons/como-avaliar-seu-programa-de-canais1769552409278?classId=3355" TargetMode="External"/><Relationship Id="rId105" Type="http://schemas.openxmlformats.org/officeDocument/2006/relationships/hyperlink" Target="https://www.linkedin.com/in/naravazguimaraes/" TargetMode="External"/><Relationship Id="rId589" Type="http://schemas.openxmlformats.org/officeDocument/2006/relationships/hyperlink" Target="https://www.linkedin.com/in/jos%C3%A9-eduardo-hunzicker-antunes/" TargetMode="External"/><Relationship Id="rId104" Type="http://schemas.openxmlformats.org/officeDocument/2006/relationships/hyperlink" Target="https://drive.google.com/file/d/1czEICHqlxgSK848Ua-phhzYTlaQY-uuI/view?usp=drive_link" TargetMode="External"/><Relationship Id="rId588" Type="http://schemas.openxmlformats.org/officeDocument/2006/relationships/hyperlink" Target="https://universidade.pipelovers.net/m/lessons/forecast-em-canais-como-montar-acompanhar-e-corrigir-a-rota-1773764797243?classId=3825" TargetMode="External"/><Relationship Id="rId109" Type="http://schemas.openxmlformats.org/officeDocument/2006/relationships/hyperlink" Target="https://www.linkedin.com/in/edsonrigonatti/" TargetMode="External"/><Relationship Id="rId108" Type="http://schemas.openxmlformats.org/officeDocument/2006/relationships/hyperlink" Target="https://drive.google.com/file/d/1SAOgX83iBKz6Ng4yIZNVm3SLt0BBkUKf/view?usp=drive_link" TargetMode="External"/><Relationship Id="rId583" Type="http://schemas.openxmlformats.org/officeDocument/2006/relationships/hyperlink" Target="https://universidade.pipelovers.net/m/lessons/inteligencia-artificial-para-engajar-parceiros-1773780201180?classId=3840" TargetMode="External"/><Relationship Id="rId582" Type="http://schemas.openxmlformats.org/officeDocument/2006/relationships/hyperlink" Target="https://universidade.pipelovers.net/m/lessons/inteligencia-artificial-para-engajar-parceiros-1773780201180?classId=3840" TargetMode="External"/><Relationship Id="rId581" Type="http://schemas.openxmlformats.org/officeDocument/2006/relationships/hyperlink" Target="https://universidade.pipelovers.net/aulas/como-manter-a-motivacao-quando-o-canal-nao-performa-1775814316323" TargetMode="External"/><Relationship Id="rId580" Type="http://schemas.openxmlformats.org/officeDocument/2006/relationships/hyperlink" Target="https://universidade.pipelovers.net/aulas/como-manter-a-motivacao-quando-o-canal-nao-performa-1775814316323" TargetMode="External"/><Relationship Id="rId103" Type="http://schemas.openxmlformats.org/officeDocument/2006/relationships/hyperlink" Target="https://universidade.pipelovers.net/m/lessons/product-marketing-para-canais1769552409251?classId=3356" TargetMode="External"/><Relationship Id="rId587" Type="http://schemas.openxmlformats.org/officeDocument/2006/relationships/hyperlink" Target="https://universidade.pipelovers.net/m/lessons/forecast-em-canais-como-montar-acompanhar-e-corrigir-a-rota-1773764797243?classId=3825" TargetMode="External"/><Relationship Id="rId102" Type="http://schemas.openxmlformats.org/officeDocument/2006/relationships/hyperlink" Target="https://universidade.pipelovers.net/m/lessons/product-marketing-para-canais1769552409251?classId=3356" TargetMode="External"/><Relationship Id="rId586" Type="http://schemas.openxmlformats.org/officeDocument/2006/relationships/hyperlink" Target="https://www.linkedin.com/in/caiovidalsoares/" TargetMode="External"/><Relationship Id="rId101" Type="http://schemas.openxmlformats.org/officeDocument/2006/relationships/hyperlink" Target="https://www.linkedin.com/in/carloseduardopedroza/" TargetMode="External"/><Relationship Id="rId585" Type="http://schemas.openxmlformats.org/officeDocument/2006/relationships/hyperlink" Target="https://universidade.pipelovers.net/m/lessons/estruturacao-e-gestao-de-co-marketing-com-parceiros-1773694700752?classId=3824" TargetMode="External"/><Relationship Id="rId100" Type="http://schemas.openxmlformats.org/officeDocument/2006/relationships/hyperlink" Target="https://drive.google.com/file/d/1NcOtet6Qqar0S_mTeCV5EUkCEM_Pfxyj/view?usp=drive_link" TargetMode="External"/><Relationship Id="rId584" Type="http://schemas.openxmlformats.org/officeDocument/2006/relationships/hyperlink" Target="https://universidade.pipelovers.net/m/lessons/estruturacao-e-gestao-de-co-marketing-com-parceiros-1773694700752?classId=3824" TargetMode="External"/><Relationship Id="rId579" Type="http://schemas.openxmlformats.org/officeDocument/2006/relationships/hyperlink" Target="https://www.linkedin.com/in/geovannalara/" TargetMode="External"/><Relationship Id="rId578" Type="http://schemas.openxmlformats.org/officeDocument/2006/relationships/hyperlink" Target="https://universidade.pipelovers.net/m/lessons/como-manter-o-relacionamento-quando-o-parceiro-vende-para-concorrentes-1771879881462?classId=3837" TargetMode="External"/><Relationship Id="rId577" Type="http://schemas.openxmlformats.org/officeDocument/2006/relationships/hyperlink" Target="https://universidade.pipelovers.net/m/lessons/como-manter-o-relacionamento-quando-o-parceiro-vende-para-concorrentes-1771879881462?classId=3837" TargetMode="External"/><Relationship Id="rId572" Type="http://schemas.openxmlformats.org/officeDocument/2006/relationships/hyperlink" Target="https://universidade.pipelovers.net/m/lessons/onboarding-e-customer-success-do-parceiro1772542642829?classId=3765" TargetMode="External"/><Relationship Id="rId571" Type="http://schemas.openxmlformats.org/officeDocument/2006/relationships/hyperlink" Target="https://universidade.pipelovers.net/m/lessons/onboarding-e-customer-success-do-parceiro1772542642829?classId=3765" TargetMode="External"/><Relationship Id="rId570" Type="http://schemas.openxmlformats.org/officeDocument/2006/relationships/hyperlink" Target="https://www.linkedin.com/in/mariana-gomes-magalh%C3%A3es/" TargetMode="External"/><Relationship Id="rId576" Type="http://schemas.openxmlformats.org/officeDocument/2006/relationships/hyperlink" Target="https://www.linkedin.com/in/henriquerrezende/" TargetMode="External"/><Relationship Id="rId575" Type="http://schemas.openxmlformats.org/officeDocument/2006/relationships/hyperlink" Target="https://universidade.pipelovers.net/m/lessons/definicao-de-metas-internas-para-a-area-de-canais-1773152095428?classId=3778" TargetMode="External"/><Relationship Id="rId574" Type="http://schemas.openxmlformats.org/officeDocument/2006/relationships/hyperlink" Target="https://universidade.pipelovers.net/m/lessons/definicao-de-metas-internas-para-a-area-de-canais-1773152095428?classId=3778" TargetMode="External"/><Relationship Id="rId573" Type="http://schemas.openxmlformats.org/officeDocument/2006/relationships/hyperlink" Target="https://www.linkedin.com/in/naravazguimaraes/" TargetMode="External"/><Relationship Id="rId129" Type="http://schemas.openxmlformats.org/officeDocument/2006/relationships/hyperlink" Target="https://www.linkedin.com/in/paulofelix/" TargetMode="External"/><Relationship Id="rId128" Type="http://schemas.openxmlformats.org/officeDocument/2006/relationships/hyperlink" Target="https://drive.google.com/file/d/1kc-eF0SIiVRL58wcCA2JYncaeEdMNWKh/view?usp=drive_link" TargetMode="External"/><Relationship Id="rId127" Type="http://schemas.openxmlformats.org/officeDocument/2006/relationships/hyperlink" Target="https://universidade.pipelovers.net/m/lessons/gestao-de-conflito-de-contas-entre-canais1769552418182?classId=3024" TargetMode="External"/><Relationship Id="rId126" Type="http://schemas.openxmlformats.org/officeDocument/2006/relationships/hyperlink" Target="https://universidade.pipelovers.net/m/lessons/gestao-de-conflito-de-contas-entre-canais1769552418182?classId=3024" TargetMode="External"/><Relationship Id="rId121" Type="http://schemas.openxmlformats.org/officeDocument/2006/relationships/hyperlink" Target="https://www.linkedin.com/in/anacarolinavrezende/" TargetMode="External"/><Relationship Id="rId120" Type="http://schemas.openxmlformats.org/officeDocument/2006/relationships/hyperlink" Target="https://drive.google.com/file/d/1zAmATEq_qwzch0bEEg638HOwlLn9KRst/view?usp=drive_link" TargetMode="External"/><Relationship Id="rId125" Type="http://schemas.openxmlformats.org/officeDocument/2006/relationships/hyperlink" Target="https://www.linkedin.com/in/brenoriether/" TargetMode="External"/><Relationship Id="rId124" Type="http://schemas.openxmlformats.org/officeDocument/2006/relationships/hyperlink" Target="https://drive.google.com/file/d/14iwI46uQTjUsWkOOrxf_2rZ4KQXTBQNm/view?usp=drive_link" TargetMode="External"/><Relationship Id="rId123" Type="http://schemas.openxmlformats.org/officeDocument/2006/relationships/hyperlink" Target="https://universidade.pipelovers.net/m/lessons/recrutamento-e-selecao-na-pratica1769552417523?classId=3361" TargetMode="External"/><Relationship Id="rId122" Type="http://schemas.openxmlformats.org/officeDocument/2006/relationships/hyperlink" Target="https://universidade.pipelovers.net/m/lessons/recrutamento-e-selecao-na-pratica1769552417523?classId=3361" TargetMode="External"/><Relationship Id="rId118" Type="http://schemas.openxmlformats.org/officeDocument/2006/relationships/hyperlink" Target="https://universidade.pipelovers.net/m/lessons/job-descrition-dos-executivos-de-canais-e-parcerias1769552417458?classId=3362" TargetMode="External"/><Relationship Id="rId117" Type="http://schemas.openxmlformats.org/officeDocument/2006/relationships/hyperlink" Target="https://www.linkedin.com/in/anacarolinavrezende/" TargetMode="External"/><Relationship Id="rId116" Type="http://schemas.openxmlformats.org/officeDocument/2006/relationships/hyperlink" Target="https://drive.google.com/file/d/1nSutgHJV6RuzRDeVOXHHgZKCsFZ6CxlS/view?usp=drive_link" TargetMode="External"/><Relationship Id="rId115" Type="http://schemas.openxmlformats.org/officeDocument/2006/relationships/hyperlink" Target="https://universidade.pipelovers.net/m/lessons/modelo-de-atendimento-high-touch-como-ferramenta-de-go-to-market1769552417300?classId=3353" TargetMode="External"/><Relationship Id="rId599" Type="http://schemas.openxmlformats.org/officeDocument/2006/relationships/hyperlink" Target="https://universidade.pipelovers.net/m/lessons/co-sell-na-pratica-como-escalar-vendas-com-parceiros-atraves-da-tecnologia-1773766947918?classId=3828" TargetMode="External"/><Relationship Id="rId119" Type="http://schemas.openxmlformats.org/officeDocument/2006/relationships/hyperlink" Target="https://universidade.pipelovers.net/m/lessons/job-descrition-dos-executivos-de-canais-e-parcerias1769552417458?classId=3362" TargetMode="External"/><Relationship Id="rId110" Type="http://schemas.openxmlformats.org/officeDocument/2006/relationships/hyperlink" Target="https://universidade.pipelovers.net/m/lessons/como-criar-vantagem-competitiva-e-escalar-negocios-com-ecossistema-de-parceria1769552409306?classId=3354" TargetMode="External"/><Relationship Id="rId594" Type="http://schemas.openxmlformats.org/officeDocument/2006/relationships/hyperlink" Target="https://universidade.pipelovers.net/m/lessons/vendas-via-canal-como-negociar-sem-comprometer-a-margem-1773767978019?classId=3830" TargetMode="External"/><Relationship Id="rId593" Type="http://schemas.openxmlformats.org/officeDocument/2006/relationships/hyperlink" Target="https://universidade.pipelovers.net/m/lessons/vendas-via-canal-como-negociar-sem-comprometer-a-margem-1773767978019?classId=3830" TargetMode="External"/><Relationship Id="rId592" Type="http://schemas.openxmlformats.org/officeDocument/2006/relationships/hyperlink" Target="https://www.linkedin.com/in/stephan-calandrino-16649bb/" TargetMode="External"/><Relationship Id="rId591" Type="http://schemas.openxmlformats.org/officeDocument/2006/relationships/hyperlink" Target="https://universidade.pipelovers.net/m/lessons/como-construir-um-pipeline-confiavel-em-vendas-indiretas-1773765565839?classId=3826" TargetMode="External"/><Relationship Id="rId114" Type="http://schemas.openxmlformats.org/officeDocument/2006/relationships/hyperlink" Target="https://universidade.pipelovers.net/m/lessons/modelo-de-atendimento-high-touch-como-ferramenta-de-go-to-market1769552417300?classId=3353" TargetMode="External"/><Relationship Id="rId598" Type="http://schemas.openxmlformats.org/officeDocument/2006/relationships/hyperlink" Target="https://www.linkedin.com/in/bruno-xavier-11096514/" TargetMode="External"/><Relationship Id="rId113" Type="http://schemas.openxmlformats.org/officeDocument/2006/relationships/hyperlink" Target="https://www.linkedin.com/in/gust-d/" TargetMode="External"/><Relationship Id="rId597" Type="http://schemas.openxmlformats.org/officeDocument/2006/relationships/hyperlink" Target="https://universidade.pipelovers.net/m/lessons/channel-marketing-estrategias-de-aquisicao-engajamento-e-geracao-de-demanda-com-parceiros-1776197546039?classId=3955" TargetMode="External"/><Relationship Id="rId112" Type="http://schemas.openxmlformats.org/officeDocument/2006/relationships/hyperlink" Target="https://drive.google.com/file/d/1-TtAXBt-rRp6QWY3UQzxIuLT7i5Bz3Fl/view?usp=drive_link" TargetMode="External"/><Relationship Id="rId596" Type="http://schemas.openxmlformats.org/officeDocument/2006/relationships/hyperlink" Target="https://universidade.pipelovers.net/m/lessons/channel-marketing-estrategias-de-aquisicao-engajamento-e-geracao-de-demanda-com-parceiros-1776197546039?classId=3955" TargetMode="External"/><Relationship Id="rId111" Type="http://schemas.openxmlformats.org/officeDocument/2006/relationships/hyperlink" Target="https://universidade.pipelovers.net/m/lessons/como-criar-vantagem-competitiva-e-escalar-negocios-com-ecossistema-de-parceria1769552409306?classId=3354" TargetMode="External"/><Relationship Id="rId595" Type="http://schemas.openxmlformats.org/officeDocument/2006/relationships/hyperlink" Target="https://www.linkedin.com/in/deizeschetz/" TargetMode="External"/><Relationship Id="rId547" Type="http://schemas.openxmlformats.org/officeDocument/2006/relationships/hyperlink" Target="https://universidade.pipelovers.net/aulas/priorizacao-de-canais-com-base-em-roi-e-potencial-de-receita-1775075945715" TargetMode="External"/><Relationship Id="rId546" Type="http://schemas.openxmlformats.org/officeDocument/2006/relationships/hyperlink" Target="https://www.linkedin.com/in/jvpalhares/" TargetMode="External"/><Relationship Id="rId545" Type="http://schemas.openxmlformats.org/officeDocument/2006/relationships/hyperlink" Target="https://drive.google.com/file/d/1wQU73B5rt5BvPAhN3jvZO48iEr2N5P3k/view?usp=drive_link" TargetMode="External"/><Relationship Id="rId544" Type="http://schemas.openxmlformats.org/officeDocument/2006/relationships/hyperlink" Target="https://universidade.pipelovers.net/aulas/escuta-ativa-com-parceiros-como-gerar-alinhamento-e-oportunidades-1775813044717" TargetMode="External"/><Relationship Id="rId549" Type="http://schemas.openxmlformats.org/officeDocument/2006/relationships/hyperlink" Target="https://www.linkedin.com/in/juliocunha/" TargetMode="External"/><Relationship Id="rId548" Type="http://schemas.openxmlformats.org/officeDocument/2006/relationships/hyperlink" Target="https://universidade.pipelovers.net/aulas/priorizacao-de-canais-com-base-em-roi-e-potencial-de-receita-1775075945715" TargetMode="External"/><Relationship Id="rId543" Type="http://schemas.openxmlformats.org/officeDocument/2006/relationships/hyperlink" Target="https://universidade.pipelovers.net/aulas/escuta-ativa-com-parceiros-como-gerar-alinhamento-e-oportunidades-1775813044717" TargetMode="External"/><Relationship Id="rId542" Type="http://schemas.openxmlformats.org/officeDocument/2006/relationships/hyperlink" Target="https://www.linkedin.com/in/rachelparanhos/" TargetMode="External"/><Relationship Id="rId541" Type="http://schemas.openxmlformats.org/officeDocument/2006/relationships/hyperlink" Target="https://drive.google.com/file/d/1VDo-GaJRRUXCNfpssv7JFijS33_mfMMr/view?usp=drive_link" TargetMode="External"/><Relationship Id="rId540" Type="http://schemas.openxmlformats.org/officeDocument/2006/relationships/hyperlink" Target="https://universidade.pipelovers.net/m/lessons/posicionamento-conjunto-como-alinhar-proposta-de-valor-com-o-parceiro1769552465815?classId=3016" TargetMode="External"/><Relationship Id="rId536" Type="http://schemas.openxmlformats.org/officeDocument/2006/relationships/hyperlink" Target="https://universidade.pipelovers.net/m/lessons/como-engajar-canais-a-distancia-de-forma-eficaz1769552465935?classId=3432" TargetMode="External"/><Relationship Id="rId535" Type="http://schemas.openxmlformats.org/officeDocument/2006/relationships/hyperlink" Target="https://universidade.pipelovers.net/m/lessons/como-engajar-canais-a-distancia-de-forma-eficaz1769552465935?classId=3432" TargetMode="External"/><Relationship Id="rId534" Type="http://schemas.openxmlformats.org/officeDocument/2006/relationships/hyperlink" Target="https://www.linkedin.com/in/lucasbezerrapinto/" TargetMode="External"/><Relationship Id="rId533" Type="http://schemas.openxmlformats.org/officeDocument/2006/relationships/hyperlink" Target="https://drive.google.com/file/d/1JbRFMRMr_RW1P_rUoxIybHEJIRTgOwKL/view?usp=drive_link" TargetMode="External"/><Relationship Id="rId539" Type="http://schemas.openxmlformats.org/officeDocument/2006/relationships/hyperlink" Target="https://universidade.pipelovers.net/m/lessons/posicionamento-conjunto-como-alinhar-proposta-de-valor-com-o-parceiro1769552465815?classId=3016" TargetMode="External"/><Relationship Id="rId538" Type="http://schemas.openxmlformats.org/officeDocument/2006/relationships/hyperlink" Target="https://www.linkedin.com/in/vincent-parachini/" TargetMode="External"/><Relationship Id="rId537" Type="http://schemas.openxmlformats.org/officeDocument/2006/relationships/hyperlink" Target="https://drive.google.com/file/d/1rIAeV6z_tEvAaxt3txl82Si9KmjA3uTS/view?usp=drive_link" TargetMode="External"/><Relationship Id="rId532" Type="http://schemas.openxmlformats.org/officeDocument/2006/relationships/hyperlink" Target="https://universidade.pipelovers.net/m/lessons/aprendizado-em-rede-como-escalar-conhecimento-entre-representantes1769552465872?classId=3431" TargetMode="External"/><Relationship Id="rId531" Type="http://schemas.openxmlformats.org/officeDocument/2006/relationships/hyperlink" Target="https://universidade.pipelovers.net/m/lessons/aprendizado-em-rede-como-escalar-conhecimento-entre-representantes1769552465872?classId=3431" TargetMode="External"/><Relationship Id="rId530" Type="http://schemas.openxmlformats.org/officeDocument/2006/relationships/hyperlink" Target="https://www.linkedin.com/in/eduardo-lara-weigert-789a3a143/" TargetMode="External"/><Relationship Id="rId569" Type="http://schemas.openxmlformats.org/officeDocument/2006/relationships/hyperlink" Target="https://universidade.pipelovers.net/m/lessons/boas-praticas-de-relacionamento-para-parcerias-duradouras1772542642031?classId=3747" TargetMode="External"/><Relationship Id="rId568" Type="http://schemas.openxmlformats.org/officeDocument/2006/relationships/hyperlink" Target="https://universidade.pipelovers.net/m/lessons/boas-praticas-de-relacionamento-para-parcerias-duradouras1772542642031?classId=3747" TargetMode="External"/><Relationship Id="rId567" Type="http://schemas.openxmlformats.org/officeDocument/2006/relationships/hyperlink" Target="https://www.linkedin.com/in/senhorvinicius/" TargetMode="External"/><Relationship Id="rId566" Type="http://schemas.openxmlformats.org/officeDocument/2006/relationships/hyperlink" Target="https://universidade.pipelovers.net/m/lessons/campanhas-que-funcionam-no-inicio-do-ano1772542642119?classId=3749" TargetMode="External"/><Relationship Id="rId561" Type="http://schemas.openxmlformats.org/officeDocument/2006/relationships/hyperlink" Target="https://www.linkedin.com/in/filipebragaivo/" TargetMode="External"/><Relationship Id="rId560" Type="http://schemas.openxmlformats.org/officeDocument/2006/relationships/hyperlink" Target="https://universidade.pipelovers.net/m/lessons/estruturacao-de-um-plano-comercial-junto-ao-parceiro1772542642515?classId=3758" TargetMode="External"/><Relationship Id="rId565" Type="http://schemas.openxmlformats.org/officeDocument/2006/relationships/hyperlink" Target="https://universidade.pipelovers.net/m/lessons/campanhas-que-funcionam-no-inicio-do-ano1772542642119?classId=3749" TargetMode="External"/><Relationship Id="rId564" Type="http://schemas.openxmlformats.org/officeDocument/2006/relationships/hyperlink" Target="https://www.linkedin.com/in/liviazingallilima/" TargetMode="External"/><Relationship Id="rId563" Type="http://schemas.openxmlformats.org/officeDocument/2006/relationships/hyperlink" Target="https://universidade.pipelovers.net/m/lessons/networking-estrategico-em-canais-como-ativar-e-expandir-sua-rede-de-parceiros1772542642782?classId=3764" TargetMode="External"/><Relationship Id="rId562" Type="http://schemas.openxmlformats.org/officeDocument/2006/relationships/hyperlink" Target="https://universidade.pipelovers.net/m/lessons/networking-estrategico-em-canais-como-ativar-e-expandir-sua-rede-de-parceiros1772542642782?classId=3764" TargetMode="External"/><Relationship Id="rId558" Type="http://schemas.openxmlformats.org/officeDocument/2006/relationships/hyperlink" Target="https://www.linkedin.com/in/douglas-a-medeiros/" TargetMode="External"/><Relationship Id="rId557" Type="http://schemas.openxmlformats.org/officeDocument/2006/relationships/hyperlink" Target="https://universidade.pipelovers.net/m/lessons/como-fazer-upsell-na-base-de-parceiros1769552469419?classId=3020" TargetMode="External"/><Relationship Id="rId556" Type="http://schemas.openxmlformats.org/officeDocument/2006/relationships/hyperlink" Target="https://universidade.pipelovers.net/m/lessons/como-fazer-upsell-na-base-de-parceiros1769552469419?classId=3020" TargetMode="External"/><Relationship Id="rId555" Type="http://schemas.openxmlformats.org/officeDocument/2006/relationships/hyperlink" Target="https://www.linkedin.com/in/janinemotta/" TargetMode="External"/><Relationship Id="rId559" Type="http://schemas.openxmlformats.org/officeDocument/2006/relationships/hyperlink" Target="https://universidade.pipelovers.net/m/lessons/estruturacao-de-um-plano-comercial-junto-ao-parceiro1772542642515?classId=3758" TargetMode="External"/><Relationship Id="rId550" Type="http://schemas.openxmlformats.org/officeDocument/2006/relationships/hyperlink" Target="https://universidade.pipelovers.net/m/lessons/certificacoes-para-canais-e-parcerias1769552466443?classId=3737" TargetMode="External"/><Relationship Id="rId554" Type="http://schemas.openxmlformats.org/officeDocument/2006/relationships/hyperlink" Target="https://universidade.pipelovers.net/aulas/modelos-de-incentivo-e-recompensa-para-parceiros-1775813520218" TargetMode="External"/><Relationship Id="rId553" Type="http://schemas.openxmlformats.org/officeDocument/2006/relationships/hyperlink" Target="https://universidade.pipelovers.net/aulas/modelos-de-incentivo-e-recompensa-para-parceiros-1775813520218" TargetMode="External"/><Relationship Id="rId552" Type="http://schemas.openxmlformats.org/officeDocument/2006/relationships/hyperlink" Target="https://www.linkedin.com/in/eliomarlobogois/" TargetMode="External"/><Relationship Id="rId551" Type="http://schemas.openxmlformats.org/officeDocument/2006/relationships/hyperlink" Target="https://universidade.pipelovers.net/m/lessons/certificacoes-para-canais-e-parcerias1769552466443?classId=3737" TargetMode="External"/><Relationship Id="rId495" Type="http://schemas.openxmlformats.org/officeDocument/2006/relationships/hyperlink" Target="https://universidade.pipelovers.net/m/lessons/gestao-de-relacionamento-com-parceiros-estrategicos1769552461242?classId=3023" TargetMode="External"/><Relationship Id="rId494" Type="http://schemas.openxmlformats.org/officeDocument/2006/relationships/hyperlink" Target="https://www.linkedin.com/in/andreiavavassorigerentecomercial/" TargetMode="External"/><Relationship Id="rId493" Type="http://schemas.openxmlformats.org/officeDocument/2006/relationships/hyperlink" Target="https://drive.google.com/file/d/13szKRNgjDwdHAZAII9trZL1Ov4reV0rI/view?usp=drive_link" TargetMode="External"/><Relationship Id="rId492" Type="http://schemas.openxmlformats.org/officeDocument/2006/relationships/hyperlink" Target="https://universidade.pipelovers.net/m/lessons/estrategia-de-onboarding-e-rampagem-de-novos-canais-indiretos1769552461093?classId=3417" TargetMode="External"/><Relationship Id="rId499" Type="http://schemas.openxmlformats.org/officeDocument/2006/relationships/hyperlink" Target="https://universidade.pipelovers.net/m/lessons/tam-sam-som-para-canais1769552460341?classId=3418" TargetMode="External"/><Relationship Id="rId498" Type="http://schemas.openxmlformats.org/officeDocument/2006/relationships/hyperlink" Target="https://www.linkedin.com/in/marcusvcsaraiva/" TargetMode="External"/><Relationship Id="rId497" Type="http://schemas.openxmlformats.org/officeDocument/2006/relationships/hyperlink" Target="https://drive.google.com/file/d/1MqbTMk57dAhwzmzao-ebAUX7TVEx06KZ/view?usp=drive_link" TargetMode="External"/><Relationship Id="rId496" Type="http://schemas.openxmlformats.org/officeDocument/2006/relationships/hyperlink" Target="https://universidade.pipelovers.net/m/lessons/gestao-de-relacionamento-com-parceiros-estrategicos1769552461242?classId=3023" TargetMode="External"/><Relationship Id="rId409" Type="http://schemas.openxmlformats.org/officeDocument/2006/relationships/hyperlink" Target="https://universidade.pipelovers.net/m/lessons/gerenciando-revendas-em-mercados-regulados1769552449390?classId=3192" TargetMode="External"/><Relationship Id="rId404" Type="http://schemas.openxmlformats.org/officeDocument/2006/relationships/hyperlink" Target="https://www.linkedin.com/in/fabio-moreira-0141b121/" TargetMode="External"/><Relationship Id="rId403" Type="http://schemas.openxmlformats.org/officeDocument/2006/relationships/hyperlink" Target="https://drive.google.com/file/d/1pM4ZtYtv5NazezZqIUSEH2W57xH2bF__/view?usp=drive_link" TargetMode="External"/><Relationship Id="rId402" Type="http://schemas.openxmlformats.org/officeDocument/2006/relationships/hyperlink" Target="https://universidade.pipelovers.net/m/lessons/kpis-estrategicos-para-escalar-e-otimizar-canais-de-vendas1769552446472?classId=3190" TargetMode="External"/><Relationship Id="rId401" Type="http://schemas.openxmlformats.org/officeDocument/2006/relationships/hyperlink" Target="https://universidade.pipelovers.net/m/lessons/kpis-estrategicos-para-escalar-e-otimizar-canais-de-vendas1769552446472?classId=3190" TargetMode="External"/><Relationship Id="rId408" Type="http://schemas.openxmlformats.org/officeDocument/2006/relationships/hyperlink" Target="https://www.linkedin.com/in/hannahmattos/" TargetMode="External"/><Relationship Id="rId407" Type="http://schemas.openxmlformats.org/officeDocument/2006/relationships/hyperlink" Target="https://drive.google.com/file/d/1wTQOWYr8YSWAM9X4JJwu_3pkrNQ-BwHh/view?usp=drive_link" TargetMode="External"/><Relationship Id="rId406" Type="http://schemas.openxmlformats.org/officeDocument/2006/relationships/hyperlink" Target="https://universidade.pipelovers.net/m/lessons/aliancas-estrategicas-para-ampliacao-de-portfolio-de-ofertas1769552449341?classId=3191" TargetMode="External"/><Relationship Id="rId405" Type="http://schemas.openxmlformats.org/officeDocument/2006/relationships/hyperlink" Target="https://universidade.pipelovers.net/m/lessons/aliancas-estrategicas-para-ampliacao-de-portfolio-de-ofertas1769552449341?classId=3191" TargetMode="External"/><Relationship Id="rId400" Type="http://schemas.openxmlformats.org/officeDocument/2006/relationships/hyperlink" Target="https://www.linkedin.com/in/adrianogan/" TargetMode="External"/><Relationship Id="rId469" Type="http://schemas.openxmlformats.org/officeDocument/2006/relationships/hyperlink" Target="https://universidade.pipelovers.net/m/lessons/como-estabelecer-parcerias-estrategicas-para-impulsionar-sua-receita1769552460239?classId=3411" TargetMode="External"/><Relationship Id="rId468" Type="http://schemas.openxmlformats.org/officeDocument/2006/relationships/hyperlink" Target="https://universidade.pipelovers.net/m/lessons/como-estabelecer-parcerias-estrategicas-para-impulsionar-sua-receita1769552460239?classId=3411" TargetMode="External"/><Relationship Id="rId467" Type="http://schemas.openxmlformats.org/officeDocument/2006/relationships/hyperlink" Target="https://drive.google.com/file/d/1JikgCVfhVaBCXP0V2M67NGiSksb-T3qi/view?usp=drive_link" TargetMode="External"/><Relationship Id="rId462" Type="http://schemas.openxmlformats.org/officeDocument/2006/relationships/hyperlink" Target="https://universidade.pipelovers.net/m/lessons/gestao-do-tempo-tecnicas-de-organizacao-e-produtividade1769552460040?classId=3409" TargetMode="External"/><Relationship Id="rId461" Type="http://schemas.openxmlformats.org/officeDocument/2006/relationships/hyperlink" Target="https://universidade.pipelovers.net/m/lessons/gestao-do-tempo-tecnicas-de-organizacao-e-produtividade1769552460040?classId=3409" TargetMode="External"/><Relationship Id="rId460" Type="http://schemas.openxmlformats.org/officeDocument/2006/relationships/hyperlink" Target="https://www.linkedin.com/in/carol-deberaldini-21793442/" TargetMode="External"/><Relationship Id="rId466" Type="http://schemas.openxmlformats.org/officeDocument/2006/relationships/hyperlink" Target="https://universidade.pipelovers.net/m/lessons/revops-para-canais-como-desenhar-uma-operacao-que-ajuda-o-parceiro-a-vender-mais1769552460187?classId=3410" TargetMode="External"/><Relationship Id="rId465" Type="http://schemas.openxmlformats.org/officeDocument/2006/relationships/hyperlink" Target="https://universidade.pipelovers.net/m/lessons/revops-para-canais-como-desenhar-uma-operacao-que-ajuda-o-parceiro-a-vender-mais1769552460187?classId=3410" TargetMode="External"/><Relationship Id="rId464" Type="http://schemas.openxmlformats.org/officeDocument/2006/relationships/hyperlink" Target="https://www.linkedin.com/in/duda-salvy/" TargetMode="External"/><Relationship Id="rId463" Type="http://schemas.openxmlformats.org/officeDocument/2006/relationships/hyperlink" Target="https://drive.google.com/file/d/1rgDmA5fFA_diuTZZti9fGzPeVfKGuHRq/view?usp=drive_link" TargetMode="External"/><Relationship Id="rId459" Type="http://schemas.openxmlformats.org/officeDocument/2006/relationships/hyperlink" Target="https://drive.google.com/file/d/1Qih9JNqBK5vGx9meumA_Y2HIinamo_od/view?usp=drive_link" TargetMode="External"/><Relationship Id="rId458" Type="http://schemas.openxmlformats.org/officeDocument/2006/relationships/hyperlink" Target="https://universidade.pipelovers.net/m/lessons/como-liderar-projetos-e-pessoas-sem-ser-gestor-direto1769552459959?classId=3408" TargetMode="External"/><Relationship Id="rId457" Type="http://schemas.openxmlformats.org/officeDocument/2006/relationships/hyperlink" Target="https://universidade.pipelovers.net/m/lessons/como-liderar-projetos-e-pessoas-sem-ser-gestor-direto1769552459959?classId=3408" TargetMode="External"/><Relationship Id="rId456" Type="http://schemas.openxmlformats.org/officeDocument/2006/relationships/hyperlink" Target="https://www.linkedin.com/in/janainarost/" TargetMode="External"/><Relationship Id="rId451" Type="http://schemas.openxmlformats.org/officeDocument/2006/relationships/hyperlink" Target="https://drive.google.com/file/d/1duYmG7JyDvpm2S_NCTyzrxOXChuUJHlv/view?usp=drive_link" TargetMode="External"/><Relationship Id="rId450" Type="http://schemas.openxmlformats.org/officeDocument/2006/relationships/hyperlink" Target="https://universidade.pipelovers.net/m/lessons/estrategias-win-win-como-construir-sinergia-real-com-parceiros1769552459120?classId=3406" TargetMode="External"/><Relationship Id="rId455" Type="http://schemas.openxmlformats.org/officeDocument/2006/relationships/hyperlink" Target="https://drive.google.com/file/d/1yeRnABUw-R4j9J2yvM5qBde-WyskMoW-/view?usp=drive_link" TargetMode="External"/><Relationship Id="rId454" Type="http://schemas.openxmlformats.org/officeDocument/2006/relationships/hyperlink" Target="https://universidade.pipelovers.net/m/lessons/avaliacao-de-expansao-de-canais-na-america-latina-diferencas-e-tracos-culturais-a-observar1769552459320?classId=3407" TargetMode="External"/><Relationship Id="rId453" Type="http://schemas.openxmlformats.org/officeDocument/2006/relationships/hyperlink" Target="https://universidade.pipelovers.net/m/lessons/avaliacao-de-expansao-de-canais-na-america-latina-diferencas-e-tracos-culturais-a-observar1769552459320?classId=3407" TargetMode="External"/><Relationship Id="rId452" Type="http://schemas.openxmlformats.org/officeDocument/2006/relationships/hyperlink" Target="https://www.linkedin.com/in/jorge-fernando-baya/" TargetMode="External"/><Relationship Id="rId491" Type="http://schemas.openxmlformats.org/officeDocument/2006/relationships/hyperlink" Target="https://universidade.pipelovers.net/m/lessons/estrategia-de-onboarding-e-rampagem-de-novos-canais-indiretos1769552461093?classId=3417" TargetMode="External"/><Relationship Id="rId490" Type="http://schemas.openxmlformats.org/officeDocument/2006/relationships/hyperlink" Target="https://www.linkedin.com/in/l%C3%A9o-neves-030a1a33/" TargetMode="External"/><Relationship Id="rId489" Type="http://schemas.openxmlformats.org/officeDocument/2006/relationships/hyperlink" Target="https://drive.google.com/file/d/1a8xbwUUOj5N_wX2iQsywszLIDPtupZwg/view?usp=drive_link" TargetMode="External"/><Relationship Id="rId484" Type="http://schemas.openxmlformats.org/officeDocument/2006/relationships/hyperlink" Target="https://universidade.pipelovers.net/aulas/como-identificar-o-ipp-perfil-de-parceiro-ideal-1775812602394" TargetMode="External"/><Relationship Id="rId483" Type="http://schemas.openxmlformats.org/officeDocument/2006/relationships/hyperlink" Target="https://universidade.pipelovers.net/aulas/como-identificar-o-ipp-perfil-de-parceiro-ideal-1775812602394" TargetMode="External"/><Relationship Id="rId482" Type="http://schemas.openxmlformats.org/officeDocument/2006/relationships/hyperlink" Target="https://www.linkedin.com/in/david-souza-32064a50/" TargetMode="External"/><Relationship Id="rId481" Type="http://schemas.openxmlformats.org/officeDocument/2006/relationships/hyperlink" Target="https://drive.google.com/file/d/1upBl9rFASOUgnYVFCrCAY2dJq49-A83u/view?usp=drive_link" TargetMode="External"/><Relationship Id="rId488" Type="http://schemas.openxmlformats.org/officeDocument/2006/relationships/hyperlink" Target="https://universidade.pipelovers.net/m/lessons/como-criar-consistencia-no-canal-o-papel-da-disciplina-no-dia-a-dia-da-venda1769552460909?classId=3416" TargetMode="External"/><Relationship Id="rId487" Type="http://schemas.openxmlformats.org/officeDocument/2006/relationships/hyperlink" Target="https://universidade.pipelovers.net/m/lessons/como-criar-consistencia-no-canal-o-papel-da-disciplina-no-dia-a-dia-da-venda1769552460909?classId=3416" TargetMode="External"/><Relationship Id="rId486" Type="http://schemas.openxmlformats.org/officeDocument/2006/relationships/hyperlink" Target="https://www.linkedin.com/in/rzimermann/" TargetMode="External"/><Relationship Id="rId485" Type="http://schemas.openxmlformats.org/officeDocument/2006/relationships/hyperlink" Target="https://drive.google.com/file/d/1LdxOaMCQyF-IX7pEeJNqCmmomOvZ2JM6/view?usp=drive_link" TargetMode="External"/><Relationship Id="rId480" Type="http://schemas.openxmlformats.org/officeDocument/2006/relationships/hyperlink" Target="https://universidade.pipelovers.net/m/lessons/construcao-de-confianca-na-relacao-com-parceiros1769552460488?classId=3414" TargetMode="External"/><Relationship Id="rId479" Type="http://schemas.openxmlformats.org/officeDocument/2006/relationships/hyperlink" Target="https://universidade.pipelovers.net/m/lessons/construcao-de-confianca-na-relacao-com-parceiros1769552460488?classId=3414" TargetMode="External"/><Relationship Id="rId478" Type="http://schemas.openxmlformats.org/officeDocument/2006/relationships/hyperlink" Target="https://www.linkedin.com/in/mariomorais/" TargetMode="External"/><Relationship Id="rId473" Type="http://schemas.openxmlformats.org/officeDocument/2006/relationships/hyperlink" Target="https://universidade.pipelovers.net/m/lessons/como-fazer-seu-canal-refletir-sua-cultura-para-o-mercado1769552460290?classId=3412" TargetMode="External"/><Relationship Id="rId472" Type="http://schemas.openxmlformats.org/officeDocument/2006/relationships/hyperlink" Target="https://universidade.pipelovers.net/m/lessons/como-fazer-seu-canal-refletir-sua-cultura-para-o-mercado1769552460290?classId=3412" TargetMode="External"/><Relationship Id="rId471" Type="http://schemas.openxmlformats.org/officeDocument/2006/relationships/hyperlink" Target="https://www.linkedin.com/in/marceloandradeb/" TargetMode="External"/><Relationship Id="rId470" Type="http://schemas.openxmlformats.org/officeDocument/2006/relationships/hyperlink" Target="https://drive.google.com/file/d/1Qj67PR9ewi0uPMU6Sbz-FzQc36Neqgl3/view?usp=drive_link" TargetMode="External"/><Relationship Id="rId477" Type="http://schemas.openxmlformats.org/officeDocument/2006/relationships/hyperlink" Target="https://drive.google.com/file/d/1b4zdRSXQIAsSZ48mPKY-E_BSoYZ5YBvb/view?usp=drive_link" TargetMode="External"/><Relationship Id="rId476" Type="http://schemas.openxmlformats.org/officeDocument/2006/relationships/hyperlink" Target="https://universidade.pipelovers.net/m/lessons/afiliados-que-vendem-como-criar-um-programa-de-parcerias-com-escala1769552460435?classId=3413" TargetMode="External"/><Relationship Id="rId475" Type="http://schemas.openxmlformats.org/officeDocument/2006/relationships/hyperlink" Target="https://universidade.pipelovers.net/m/lessons/afiliados-que-vendem-como-criar-um-programa-de-parcerias-com-escala1769552460435?classId=3413" TargetMode="External"/><Relationship Id="rId474" Type="http://schemas.openxmlformats.org/officeDocument/2006/relationships/hyperlink" Target="https://drive.google.com/file/d/1F1KfLOJfiX0_4DAMN3jLTuilLQUm3vCc/view?usp=drive_link" TargetMode="External"/><Relationship Id="rId426" Type="http://schemas.openxmlformats.org/officeDocument/2006/relationships/hyperlink" Target="https://universidade.pipelovers.net/m/lessons/dar-e-receber-feedback-com-clareza1769552060864?classId=3028" TargetMode="External"/><Relationship Id="rId425" Type="http://schemas.openxmlformats.org/officeDocument/2006/relationships/hyperlink" Target="https://universidade.pipelovers.net/m/lessons/dar-e-receber-feedback-com-clareza1769552060864?classId=3028" TargetMode="External"/><Relationship Id="rId424" Type="http://schemas.openxmlformats.org/officeDocument/2006/relationships/hyperlink" Target="https://www.linkedin.com/in/carol-deberaldini-21793442/" TargetMode="External"/><Relationship Id="rId423" Type="http://schemas.openxmlformats.org/officeDocument/2006/relationships/hyperlink" Target="https://drive.google.com/file/d/1ThWsYlFESI0pgSORJmOxGTEFu9dbwMiF/view?usp=drive_link" TargetMode="External"/><Relationship Id="rId429" Type="http://schemas.openxmlformats.org/officeDocument/2006/relationships/hyperlink" Target="https://universidade.pipelovers.net/m/lessons/de-cpf-a-cnpj-o-essencial-para-seu-canal-virar-empresa1769552449628?classId=3398" TargetMode="External"/><Relationship Id="rId428" Type="http://schemas.openxmlformats.org/officeDocument/2006/relationships/hyperlink" Target="https://www.linkedin.com/in/jose-backes/" TargetMode="External"/><Relationship Id="rId427" Type="http://schemas.openxmlformats.org/officeDocument/2006/relationships/hyperlink" Target="https://drive.google.com/file/d/1kx3qd-vXwyVj-YX_GdfWRlWuzR2BlrOZ/view?usp=drive_link" TargetMode="External"/><Relationship Id="rId422" Type="http://schemas.openxmlformats.org/officeDocument/2006/relationships/hyperlink" Target="https://universidade.pipelovers.net/m/lessons/arquitetura-de-canais-como-construir-e-escalar-um-modelo-de-representacao-comercial1769552449538?classId=3394" TargetMode="External"/><Relationship Id="rId421" Type="http://schemas.openxmlformats.org/officeDocument/2006/relationships/hyperlink" Target="https://universidade.pipelovers.net/m/lessons/arquitetura-de-canais-como-construir-e-escalar-um-modelo-de-representacao-comercial1769552449538?classId=3394" TargetMode="External"/><Relationship Id="rId420" Type="http://schemas.openxmlformats.org/officeDocument/2006/relationships/hyperlink" Target="https://www.linkedin.com/in/managerprado/" TargetMode="External"/><Relationship Id="rId415" Type="http://schemas.openxmlformats.org/officeDocument/2006/relationships/hyperlink" Target="https://drive.google.com/file/d/1NDjIWVhI_N42XK4-hGL_fBPopRWEmKZe/view?usp=drive_link" TargetMode="External"/><Relationship Id="rId414" Type="http://schemas.openxmlformats.org/officeDocument/2006/relationships/hyperlink" Target="https://universidade.pipelovers.net/m/lessons/estrategia-de-governanca-para-diferentes-canais-de-vendas1769552449470?classId=3193" TargetMode="External"/><Relationship Id="rId413" Type="http://schemas.openxmlformats.org/officeDocument/2006/relationships/hyperlink" Target="https://universidade.pipelovers.net/m/lessons/estrategia-de-governanca-para-diferentes-canais-de-vendas1769552449470?classId=3193" TargetMode="External"/><Relationship Id="rId412" Type="http://schemas.openxmlformats.org/officeDocument/2006/relationships/hyperlink" Target="https://www.linkedin.com/in/joiceferreira2025/" TargetMode="External"/><Relationship Id="rId419" Type="http://schemas.openxmlformats.org/officeDocument/2006/relationships/hyperlink" Target="https://drive.google.com/file/d/1M1V_Rm2HjIJqRzrflkTSjLPXD2c_Bdxn/view?usp=drive_link" TargetMode="External"/><Relationship Id="rId418" Type="http://schemas.openxmlformats.org/officeDocument/2006/relationships/hyperlink" Target="https://universidade.pipelovers.net/m/lessons/exemplos-praticos-explorando-o-uso-de-ia-em-programas-de-parcerias1769552449505?classId=3194" TargetMode="External"/><Relationship Id="rId417" Type="http://schemas.openxmlformats.org/officeDocument/2006/relationships/hyperlink" Target="https://universidade.pipelovers.net/m/lessons/exemplos-praticos-explorando-o-uso-de-ia-em-programas-de-parcerias1769552449505?classId=3194" TargetMode="External"/><Relationship Id="rId416" Type="http://schemas.openxmlformats.org/officeDocument/2006/relationships/hyperlink" Target="https://www.linkedin.com/in/naravazguimaraes/" TargetMode="External"/><Relationship Id="rId411" Type="http://schemas.openxmlformats.org/officeDocument/2006/relationships/hyperlink" Target="https://drive.google.com/file/d/1PIpV-a3ApS4HTNaV_GOVxVdDSBpb38y7/view?usp=drive_link" TargetMode="External"/><Relationship Id="rId410" Type="http://schemas.openxmlformats.org/officeDocument/2006/relationships/hyperlink" Target="https://universidade.pipelovers.net/m/lessons/gerenciando-revendas-em-mercados-regulados1769552449390?classId=3192" TargetMode="External"/><Relationship Id="rId448" Type="http://schemas.openxmlformats.org/officeDocument/2006/relationships/hyperlink" Target="https://www.linkedin.com/in/gabriella-montini/" TargetMode="External"/><Relationship Id="rId447" Type="http://schemas.openxmlformats.org/officeDocument/2006/relationships/hyperlink" Target="https://drive.google.com/file/d/1v4mykldKpCgDJ-8GAz9dvBh6fKwglJre/view?usp=drive_link" TargetMode="External"/><Relationship Id="rId446" Type="http://schemas.openxmlformats.org/officeDocument/2006/relationships/hyperlink" Target="https://universidade.pipelovers.net/m/lessons/cs-canais-a-colaboracao-que-transforma-base-em-receita1769552459068?classId=3404" TargetMode="External"/><Relationship Id="rId445" Type="http://schemas.openxmlformats.org/officeDocument/2006/relationships/hyperlink" Target="https://universidade.pipelovers.net/m/lessons/cs-canais-a-colaboracao-que-transforma-base-em-receita1769552459068?classId=3404" TargetMode="External"/><Relationship Id="rId449" Type="http://schemas.openxmlformats.org/officeDocument/2006/relationships/hyperlink" Target="https://universidade.pipelovers.net/m/lessons/estrategias-win-win-como-construir-sinergia-real-com-parceiros1769552459120?classId=3406" TargetMode="External"/><Relationship Id="rId440" Type="http://schemas.openxmlformats.org/officeDocument/2006/relationships/hyperlink" Target="https://www.linkedin.com/in/luiz-gustavo-tozo/" TargetMode="External"/><Relationship Id="rId444" Type="http://schemas.openxmlformats.org/officeDocument/2006/relationships/hyperlink" Target="https://www.linkedin.com/in/daniela-dos-santos-cruz-neves/" TargetMode="External"/><Relationship Id="rId443" Type="http://schemas.openxmlformats.org/officeDocument/2006/relationships/hyperlink" Target="https://drive.google.com/file/d/1qpY0sFmqtihqXASX5qVCc7TNFas3duMp/view?usp=drive_link" TargetMode="External"/><Relationship Id="rId442" Type="http://schemas.openxmlformats.org/officeDocument/2006/relationships/hyperlink" Target="https://universidade.pipelovers.net/m/lessons/como-impulsionar-o-crescimento-de-receita-alavancando-canais-de-distribuicao1769552458868?classId=3403" TargetMode="External"/><Relationship Id="rId441" Type="http://schemas.openxmlformats.org/officeDocument/2006/relationships/hyperlink" Target="https://universidade.pipelovers.net/m/lessons/como-impulsionar-o-crescimento-de-receita-alavancando-canais-de-distribuicao1769552458868?classId=3403" TargetMode="External"/><Relationship Id="rId437" Type="http://schemas.openxmlformats.org/officeDocument/2006/relationships/hyperlink" Target="https://universidade.pipelovers.net/m/lessons/como-estruturar-um-prm-em-um-crm-comum1769552458621?classId=3402" TargetMode="External"/><Relationship Id="rId436" Type="http://schemas.openxmlformats.org/officeDocument/2006/relationships/hyperlink" Target="https://www.linkedin.com/in/gabriel-sbrasil/" TargetMode="External"/><Relationship Id="rId435" Type="http://schemas.openxmlformats.org/officeDocument/2006/relationships/hyperlink" Target="https://drive.google.com/file/d/1Rj4i9i7MgEA4MuiDkuJ904l9z7gPAWIL/view?usp=drive_link" TargetMode="External"/><Relationship Id="rId434" Type="http://schemas.openxmlformats.org/officeDocument/2006/relationships/hyperlink" Target="https://universidade.pipelovers.net/m/lessons/programa-de-canais-sob-a-otica-do-canal1769552458437?classId=3399" TargetMode="External"/><Relationship Id="rId439" Type="http://schemas.openxmlformats.org/officeDocument/2006/relationships/hyperlink" Target="https://drive.google.com/file/d/1Yc33YSE283m2rf76hrnsPm-4ftxdZ4x1/view?usp=drive_link" TargetMode="External"/><Relationship Id="rId438" Type="http://schemas.openxmlformats.org/officeDocument/2006/relationships/hyperlink" Target="https://universidade.pipelovers.net/m/lessons/como-estruturar-um-prm-em-um-crm-comum1769552458621?classId=3402" TargetMode="External"/><Relationship Id="rId433" Type="http://schemas.openxmlformats.org/officeDocument/2006/relationships/hyperlink" Target="https://universidade.pipelovers.net/m/lessons/programa-de-canais-sob-a-otica-do-canal1769552458437?classId=3399" TargetMode="External"/><Relationship Id="rId432" Type="http://schemas.openxmlformats.org/officeDocument/2006/relationships/hyperlink" Target="https://www.linkedin.com/in/marcos-biazi-10580a26/" TargetMode="External"/><Relationship Id="rId431" Type="http://schemas.openxmlformats.org/officeDocument/2006/relationships/hyperlink" Target="https://drive.google.com/file/d/1IUSkJRxFYNU61XGG-7YrM7LajCR8-kIk/view?usp=drive_link" TargetMode="External"/><Relationship Id="rId430" Type="http://schemas.openxmlformats.org/officeDocument/2006/relationships/hyperlink" Target="https://universidade.pipelovers.net/m/lessons/de-cpf-a-cnpj-o-essencial-para-seu-canal-virar-empresa1769552449628?classId=339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quare-help-401.notion.site/PipeLovers-Gest-o-de-Conte-dos-092a0245b45d4913bc546769f201f09c" TargetMode="External"/><Relationship Id="rId2" Type="http://schemas.openxmlformats.org/officeDocument/2006/relationships/hyperlink" Target="https://www.linkedin.com/in/marcelo-guimar%C3%A3es-037b70160/" TargetMode="External"/><Relationship Id="rId3" Type="http://schemas.openxmlformats.org/officeDocument/2006/relationships/hyperlink" Target="https://universidade.pipelovers.net/m/lessons/crm-como-aliado-e-nao-como-inimigo1769550039731?classId=3301" TargetMode="External"/><Relationship Id="rId4" Type="http://schemas.openxmlformats.org/officeDocument/2006/relationships/hyperlink" Target="https://universidade.pipelovers.net/m/lessons/crm-como-aliado-e-nao-como-inimigo1769550039731?classId=3301" TargetMode="External"/><Relationship Id="rId9" Type="http://schemas.openxmlformats.org/officeDocument/2006/relationships/hyperlink" Target="https://universidade.pipelovers.net/aulas/trafego-pago-com-vendas-sem-blah-blah-blah-1775814611965" TargetMode="External"/><Relationship Id="rId5" Type="http://schemas.openxmlformats.org/officeDocument/2006/relationships/hyperlink" Target="https://www.linkedin.com/in/igorbatista/" TargetMode="External"/><Relationship Id="rId6" Type="http://schemas.openxmlformats.org/officeDocument/2006/relationships/hyperlink" Target="https://universidade.pipelovers.net/m/lessons/como-vender-para-diferentes-perfis-comportamentais-disc1769550039702?classId=3723" TargetMode="External"/><Relationship Id="rId7" Type="http://schemas.openxmlformats.org/officeDocument/2006/relationships/hyperlink" Target="https://universidade.pipelovers.net/m/lessons/como-vender-para-diferentes-perfis-comportamentais-disc1769550039702?classId=3723" TargetMode="External"/><Relationship Id="rId8" Type="http://schemas.openxmlformats.org/officeDocument/2006/relationships/hyperlink" Target="https://www.linkedin.com/in/maucirnascimento/" TargetMode="External"/><Relationship Id="rId40" Type="http://schemas.openxmlformats.org/officeDocument/2006/relationships/hyperlink" Target="https://universidade.pipelovers.net/m/lessons/arquitetura-de-vendas-de-alta-performance1769550040047?classId=3734" TargetMode="External"/><Relationship Id="rId42" Type="http://schemas.openxmlformats.org/officeDocument/2006/relationships/hyperlink" Target="https://universidade.pipelovers.net/m/lessons/crm-na-venda-consultiva-dicas-praticas-para-gerenciar-processos-longos-e-complexos1769550040018?classId=3735" TargetMode="External"/><Relationship Id="rId41" Type="http://schemas.openxmlformats.org/officeDocument/2006/relationships/hyperlink" Target="https://www.linkedin.com/in/icaroiasbeck/" TargetMode="External"/><Relationship Id="rId44" Type="http://schemas.openxmlformats.org/officeDocument/2006/relationships/hyperlink" Target="https://www.linkedin.com/in/joao-eduardo-silva-neto-22202225/" TargetMode="External"/><Relationship Id="rId43" Type="http://schemas.openxmlformats.org/officeDocument/2006/relationships/hyperlink" Target="https://universidade.pipelovers.net/m/lessons/crm-na-venda-consultiva-dicas-praticas-para-gerenciar-processos-longos-e-complexos1769550040018?classId=3735" TargetMode="External"/><Relationship Id="rId46" Type="http://schemas.openxmlformats.org/officeDocument/2006/relationships/hyperlink" Target="https://universidade.pipelovers.net/m/lessons/talento-tecnico-sucesso-comercial-a-nova-era-de-vendas1769550040078?classId=3736" TargetMode="External"/><Relationship Id="rId45" Type="http://schemas.openxmlformats.org/officeDocument/2006/relationships/hyperlink" Target="https://universidade.pipelovers.net/m/lessons/talento-tecnico-sucesso-comercial-a-nova-era-de-vendas1769550040078?classId=3736" TargetMode="External"/><Relationship Id="rId48" Type="http://schemas.openxmlformats.org/officeDocument/2006/relationships/hyperlink" Target="https://universidade.pipelovers.net/m/lessons/lideres-que-se-conectam-rendem-mais1769550040105?classId=3092" TargetMode="External"/><Relationship Id="rId47" Type="http://schemas.openxmlformats.org/officeDocument/2006/relationships/hyperlink" Target="https://www.linkedin.com/in/adrianojeremias/" TargetMode="External"/><Relationship Id="rId49" Type="http://schemas.openxmlformats.org/officeDocument/2006/relationships/hyperlink" Target="https://universidade.pipelovers.net/m/lessons/lideres-que-se-conectam-rendem-mais1769550040105?classId=3092" TargetMode="External"/><Relationship Id="rId31" Type="http://schemas.openxmlformats.org/officeDocument/2006/relationships/hyperlink" Target="https://universidade.pipelovers.net/m/lessons/como-montar-um-ecossistema-de-canais-organicos-e-vender-mais-via-indicacao1769550039904?classId=3731" TargetMode="External"/><Relationship Id="rId30" Type="http://schemas.openxmlformats.org/officeDocument/2006/relationships/hyperlink" Target="https://universidade.pipelovers.net/m/lessons/como-montar-um-ecossistema-de-canais-organicos-e-vender-mais-via-indicacao1769550039904?classId=3731" TargetMode="External"/><Relationship Id="rId33" Type="http://schemas.openxmlformats.org/officeDocument/2006/relationships/hyperlink" Target="https://universidade.pipelovers.net/aulas/como-construir-percepcao-de-valor-a-partir-do-conhecimento-de-negocio-1775816812445" TargetMode="External"/><Relationship Id="rId32" Type="http://schemas.openxmlformats.org/officeDocument/2006/relationships/hyperlink" Target="https://www.linkedin.com/in/marcelopereira/" TargetMode="External"/><Relationship Id="rId35" Type="http://schemas.openxmlformats.org/officeDocument/2006/relationships/hyperlink" Target="https://www.linkedin.com/in/carolpitarelli/" TargetMode="External"/><Relationship Id="rId34" Type="http://schemas.openxmlformats.org/officeDocument/2006/relationships/hyperlink" Target="https://universidade.pipelovers.net/aulas/como-construir-percepcao-de-valor-a-partir-do-conhecimento-de-negocio-1775816812445" TargetMode="External"/><Relationship Id="rId37" Type="http://schemas.openxmlformats.org/officeDocument/2006/relationships/hyperlink" Target="https://universidade.pipelovers.net/m/lessons/fidelizacao-de-clientes-a-chave-para-alavancar-suas-vendas1769550039988?classId=3733" TargetMode="External"/><Relationship Id="rId36" Type="http://schemas.openxmlformats.org/officeDocument/2006/relationships/hyperlink" Target="https://universidade.pipelovers.net/m/lessons/fidelizacao-de-clientes-a-chave-para-alavancar-suas-vendas1769550039988?classId=3733" TargetMode="External"/><Relationship Id="rId39" Type="http://schemas.openxmlformats.org/officeDocument/2006/relationships/hyperlink" Target="https://universidade.pipelovers.net/m/lessons/arquitetura-de-vendas-de-alta-performance1769550040047?classId=3734" TargetMode="External"/><Relationship Id="rId38" Type="http://schemas.openxmlformats.org/officeDocument/2006/relationships/hyperlink" Target="https://www.linkedin.com/in/helioazevedo/" TargetMode="External"/><Relationship Id="rId20" Type="http://schemas.openxmlformats.org/officeDocument/2006/relationships/hyperlink" Target="https://www.linkedin.com/in/marcelobaratella/" TargetMode="External"/><Relationship Id="rId22" Type="http://schemas.openxmlformats.org/officeDocument/2006/relationships/hyperlink" Target="https://universidade.pipelovers.net/m/lessons/vendedorismo-como-potencializar-a-auto-performance-das-suas-vendas1769550039791?classId=3728" TargetMode="External"/><Relationship Id="rId21" Type="http://schemas.openxmlformats.org/officeDocument/2006/relationships/hyperlink" Target="https://universidade.pipelovers.net/m/lessons/vendedorismo-como-potencializar-a-auto-performance-das-suas-vendas1769550039791?classId=3728" TargetMode="External"/><Relationship Id="rId24" Type="http://schemas.openxmlformats.org/officeDocument/2006/relationships/hyperlink" Target="https://universidade.pipelovers.net/m/lessons/estrategias-diferenciadas-em-vendas-complexas1769550039875?classId=3729" TargetMode="External"/><Relationship Id="rId23" Type="http://schemas.openxmlformats.org/officeDocument/2006/relationships/hyperlink" Target="https://www.linkedin.com/in/giseletacchi/" TargetMode="External"/><Relationship Id="rId26" Type="http://schemas.openxmlformats.org/officeDocument/2006/relationships/hyperlink" Target="https://www.linkedin.com/in/ricardookino/" TargetMode="External"/><Relationship Id="rId25" Type="http://schemas.openxmlformats.org/officeDocument/2006/relationships/hyperlink" Target="https://universidade.pipelovers.net/m/lessons/estrategias-diferenciadas-em-vendas-complexas1769550039875?classId=3729" TargetMode="External"/><Relationship Id="rId28" Type="http://schemas.openxmlformats.org/officeDocument/2006/relationships/hyperlink" Target="https://universidade.pipelovers.net/m/lessons/rotinas-de-gestao-para-lideres-de-vendas1769550039834?classId=3730" TargetMode="External"/><Relationship Id="rId27" Type="http://schemas.openxmlformats.org/officeDocument/2006/relationships/hyperlink" Target="https://universidade.pipelovers.net/m/lessons/rotinas-de-gestao-para-lideres-de-vendas1769550039834?classId=3730" TargetMode="External"/><Relationship Id="rId29" Type="http://schemas.openxmlformats.org/officeDocument/2006/relationships/hyperlink" Target="https://www.linkedin.com/in/nollrodrigo/" TargetMode="External"/><Relationship Id="rId11" Type="http://schemas.openxmlformats.org/officeDocument/2006/relationships/hyperlink" Target="https://linkedin.com/in/RonaldoNunes" TargetMode="External"/><Relationship Id="rId10" Type="http://schemas.openxmlformats.org/officeDocument/2006/relationships/hyperlink" Target="https://universidade.pipelovers.net/aulas/trafego-pago-com-vendas-sem-blah-blah-blah-1775814611965" TargetMode="External"/><Relationship Id="rId13" Type="http://schemas.openxmlformats.org/officeDocument/2006/relationships/hyperlink" Target="https://universidade.pipelovers.net/m/lessons/negociacao-faixa-preta-tecnicas-e-habilidades-para-vender-mais-e-superar-os-desafios-atuais1769550039490?classId=3725" TargetMode="External"/><Relationship Id="rId12" Type="http://schemas.openxmlformats.org/officeDocument/2006/relationships/hyperlink" Target="https://universidade.pipelovers.net/m/lessons/negociacao-faixa-preta-tecnicas-e-habilidades-para-vender-mais-e-superar-os-desafios-atuais1769550039490?classId=3725" TargetMode="External"/><Relationship Id="rId15" Type="http://schemas.openxmlformats.org/officeDocument/2006/relationships/hyperlink" Target="https://universidade.pipelovers.net/m/lessons/a-triade-da-competencia-em-vendas-tcv-conhecimento-habilidade-e-atitude1769550039661?classId=3726" TargetMode="External"/><Relationship Id="rId14" Type="http://schemas.openxmlformats.org/officeDocument/2006/relationships/hyperlink" Target="https://www.linkedin.com/in/marcelomafra/" TargetMode="External"/><Relationship Id="rId17" Type="http://schemas.openxmlformats.org/officeDocument/2006/relationships/hyperlink" Target="https://www.linkedin.com/in/felipe-traina/" TargetMode="External"/><Relationship Id="rId16" Type="http://schemas.openxmlformats.org/officeDocument/2006/relationships/hyperlink" Target="https://universidade.pipelovers.net/m/lessons/a-triade-da-competencia-em-vendas-tcv-conhecimento-habilidade-e-atitude1769550039661?classId=3726" TargetMode="External"/><Relationship Id="rId19" Type="http://schemas.openxmlformats.org/officeDocument/2006/relationships/hyperlink" Target="https://universidade.pipelovers.net/aulas/como-gerar-mais-oportunidades-utilizando-um-fluxo-de-cadencias-na-prospeccao-1775815685794" TargetMode="External"/><Relationship Id="rId18" Type="http://schemas.openxmlformats.org/officeDocument/2006/relationships/hyperlink" Target="https://universidade.pipelovers.net/aulas/como-gerar-mais-oportunidades-utilizando-um-fluxo-de-cadencias-na-prospeccao-1775815685794" TargetMode="External"/><Relationship Id="rId84" Type="http://schemas.openxmlformats.org/officeDocument/2006/relationships/hyperlink" Target="https://universidade.pipelovers.net/m/lessons/do-lead-ao-fechamento-como-o-marketing-pode-acelerar-seu-pipeline-de-vendas1769550040477?classId=3172" TargetMode="External"/><Relationship Id="rId83" Type="http://schemas.openxmlformats.org/officeDocument/2006/relationships/hyperlink" Target="http://linkedin.com/in/wiliamcomissario/" TargetMode="External"/><Relationship Id="rId86" Type="http://schemas.openxmlformats.org/officeDocument/2006/relationships/hyperlink" Target="https://www.linkedin.com/in/leooguilherme/" TargetMode="External"/><Relationship Id="rId85" Type="http://schemas.openxmlformats.org/officeDocument/2006/relationships/hyperlink" Target="https://universidade.pipelovers.net/m/lessons/do-lead-ao-fechamento-como-o-marketing-pode-acelerar-seu-pipeline-de-vendas1769550040477?classId=3172" TargetMode="External"/><Relationship Id="rId88" Type="http://schemas.openxmlformats.org/officeDocument/2006/relationships/hyperlink" Target="https://universidade.pipelovers.net/m/lessons/antifragilidade-para-crescer-como-vender-em-2025-no-meio-do-caos1769550040537?classId=3173" TargetMode="External"/><Relationship Id="rId87" Type="http://schemas.openxmlformats.org/officeDocument/2006/relationships/hyperlink" Target="https://universidade.pipelovers.net/m/lessons/antifragilidade-para-crescer-como-vender-em-2025-no-meio-do-caos1769550040537?classId=3173" TargetMode="External"/><Relationship Id="rId89" Type="http://schemas.openxmlformats.org/officeDocument/2006/relationships/hyperlink" Target="https://www.linkedin.com/in/mgawriliuk/" TargetMode="External"/><Relationship Id="rId80" Type="http://schemas.openxmlformats.org/officeDocument/2006/relationships/hyperlink" Target="https://www.linkedin.com/in/ronaldonunes/" TargetMode="External"/><Relationship Id="rId82" Type="http://schemas.openxmlformats.org/officeDocument/2006/relationships/hyperlink" Target="https://universidade.pipelovers.net/m/lessons/spin-selling-como-voce-nunca-viu-o-poder-das-perguntas-para-fechar-mais-negocios1769550040506?classId=3171" TargetMode="External"/><Relationship Id="rId81" Type="http://schemas.openxmlformats.org/officeDocument/2006/relationships/hyperlink" Target="https://universidade.pipelovers.net/m/lessons/spin-selling-como-voce-nunca-viu-o-poder-das-perguntas-para-fechar-mais-negocios1769550040506?classId=3171" TargetMode="External"/><Relationship Id="rId73" Type="http://schemas.openxmlformats.org/officeDocument/2006/relationships/hyperlink" Target="https://universidade.pipelovers.net/m/lessons/voce-trabalha-bem-em-equipe1769550040377?classId=3131" TargetMode="External"/><Relationship Id="rId72" Type="http://schemas.openxmlformats.org/officeDocument/2006/relationships/hyperlink" Target="https://universidade.pipelovers.net/m/lessons/voce-trabalha-bem-em-equipe1769550040377?classId=3131" TargetMode="External"/><Relationship Id="rId75" Type="http://schemas.openxmlformats.org/officeDocument/2006/relationships/hyperlink" Target="https://universidade.pipelovers.net/m/lessons/produtividade-em-vendas1769550040416?classId=3133" TargetMode="External"/><Relationship Id="rId74" Type="http://schemas.openxmlformats.org/officeDocument/2006/relationships/hyperlink" Target="https://www.linkedin.com/in/matheusqcosta/" TargetMode="External"/><Relationship Id="rId77" Type="http://schemas.openxmlformats.org/officeDocument/2006/relationships/hyperlink" Target="https://www.linkedin.com/in/danilokonrad/" TargetMode="External"/><Relationship Id="rId76" Type="http://schemas.openxmlformats.org/officeDocument/2006/relationships/hyperlink" Target="https://universidade.pipelovers.net/m/lessons/produtividade-em-vendas1769550040416?classId=3133" TargetMode="External"/><Relationship Id="rId79" Type="http://schemas.openxmlformats.org/officeDocument/2006/relationships/hyperlink" Target="https://universidade.pipelovers.net/m/lessons/mao-na-massa-com-ia-aumente-suas-conversoes-e-escale-suas-vendas-outbound1769550040446?classId=3153" TargetMode="External"/><Relationship Id="rId78" Type="http://schemas.openxmlformats.org/officeDocument/2006/relationships/hyperlink" Target="https://universidade.pipelovers.net/m/lessons/mao-na-massa-com-ia-aumente-suas-conversoes-e-escale-suas-vendas-outbound1769550040446?classId=3153" TargetMode="External"/><Relationship Id="rId71" Type="http://schemas.openxmlformats.org/officeDocument/2006/relationships/hyperlink" Target="https://www.linkedin.com/in/bonaroti/" TargetMode="External"/><Relationship Id="rId70" Type="http://schemas.openxmlformats.org/officeDocument/2006/relationships/hyperlink" Target="https://universidade.pipelovers.net/m/lessons/como-o-marketing-conversacional-vai-impactar-seus-resultados-de-vendas-em-20251769550040347?classId=3129" TargetMode="External"/><Relationship Id="rId62" Type="http://schemas.openxmlformats.org/officeDocument/2006/relationships/hyperlink" Target="https://www.linkedin.com/in/williamcaldas/" TargetMode="External"/><Relationship Id="rId61" Type="http://schemas.openxmlformats.org/officeDocument/2006/relationships/hyperlink" Target="https://universidade.pipelovers.net/m/lessons/vender-mais-gastar-menos-planejamento-tributario-para-superar-objecoes1769550040204?classId=3114" TargetMode="External"/><Relationship Id="rId64" Type="http://schemas.openxmlformats.org/officeDocument/2006/relationships/hyperlink" Target="https://universidade.pipelovers.net/m/lessons/repertorio-como-ferramenta-em-vendas-externas1769550040289?classId=3126" TargetMode="External"/><Relationship Id="rId63" Type="http://schemas.openxmlformats.org/officeDocument/2006/relationships/hyperlink" Target="https://universidade.pipelovers.net/m/lessons/repertorio-como-ferramenta-em-vendas-externas1769550040289?classId=3126" TargetMode="External"/><Relationship Id="rId66" Type="http://schemas.openxmlformats.org/officeDocument/2006/relationships/hyperlink" Target="https://universidade.pipelovers.net/m/lessons/agentes-de-ia-para-aumentar-a-produtividade-do-comercial1769550040318?classId=3128" TargetMode="External"/><Relationship Id="rId65" Type="http://schemas.openxmlformats.org/officeDocument/2006/relationships/hyperlink" Target="https://www.linkedin.com/in/igorbatista/" TargetMode="External"/><Relationship Id="rId68" Type="http://schemas.openxmlformats.org/officeDocument/2006/relationships/hyperlink" Target="https://www.linkedin.com/in/maucirnascimento/" TargetMode="External"/><Relationship Id="rId67" Type="http://schemas.openxmlformats.org/officeDocument/2006/relationships/hyperlink" Target="https://universidade.pipelovers.net/m/lessons/agentes-de-ia-para-aumentar-a-produtividade-do-comercial1769550040318?classId=3128" TargetMode="External"/><Relationship Id="rId60" Type="http://schemas.openxmlformats.org/officeDocument/2006/relationships/hyperlink" Target="https://universidade.pipelovers.net/m/lessons/vender-mais-gastar-menos-planejamento-tributario-para-superar-objecoes1769550040204?classId=3114" TargetMode="External"/><Relationship Id="rId69" Type="http://schemas.openxmlformats.org/officeDocument/2006/relationships/hyperlink" Target="https://universidade.pipelovers.net/m/lessons/como-o-marketing-conversacional-vai-impactar-seus-resultados-de-vendas-em-20251769550040347?classId=3129" TargetMode="External"/><Relationship Id="rId51" Type="http://schemas.openxmlformats.org/officeDocument/2006/relationships/hyperlink" Target="https://universidade.pipelovers.net/m/lessons/ciberseguranca-como-diferencial-de-vendas1769550040145?classId=3096" TargetMode="External"/><Relationship Id="rId50" Type="http://schemas.openxmlformats.org/officeDocument/2006/relationships/hyperlink" Target="https://www.linkedin.com/in/mauriciogimenesoficial/" TargetMode="External"/><Relationship Id="rId53" Type="http://schemas.openxmlformats.org/officeDocument/2006/relationships/hyperlink" Target="https://www.linkedin.com/in/leonardocoelhooficial/" TargetMode="External"/><Relationship Id="rId52" Type="http://schemas.openxmlformats.org/officeDocument/2006/relationships/hyperlink" Target="https://universidade.pipelovers.net/m/lessons/ciberseguranca-como-diferencial-de-vendas1769550040145?classId=3096" TargetMode="External"/><Relationship Id="rId55" Type="http://schemas.openxmlformats.org/officeDocument/2006/relationships/hyperlink" Target="https://universidade.pipelovers.net/m/lessons/como-o-networking-gera-venda1769550040174?classId=3099" TargetMode="External"/><Relationship Id="rId54" Type="http://schemas.openxmlformats.org/officeDocument/2006/relationships/hyperlink" Target="https://universidade.pipelovers.net/m/lessons/como-o-networking-gera-venda1769550040174?classId=3099" TargetMode="External"/><Relationship Id="rId57" Type="http://schemas.openxmlformats.org/officeDocument/2006/relationships/hyperlink" Target="https://universidade.pipelovers.net/m/lessons/vendas-gamificadas-para-todos1769550040251?classId=3113" TargetMode="External"/><Relationship Id="rId56" Type="http://schemas.openxmlformats.org/officeDocument/2006/relationships/hyperlink" Target="https://www.linkedin.com/in/felipeplay2sell/" TargetMode="External"/><Relationship Id="rId59" Type="http://schemas.openxmlformats.org/officeDocument/2006/relationships/hyperlink" Target="https://www.linkedin.com/in/rafael-apolin%C3%A1rio-598318b9/" TargetMode="External"/><Relationship Id="rId58" Type="http://schemas.openxmlformats.org/officeDocument/2006/relationships/hyperlink" Target="https://universidade.pipelovers.net/m/lessons/vendas-gamificadas-para-todos1769550040251?classId=3113" TargetMode="External"/><Relationship Id="rId95" Type="http://schemas.openxmlformats.org/officeDocument/2006/relationships/hyperlink" Target="https://www.linkedin.com/in/euler-costa/" TargetMode="External"/><Relationship Id="rId94" Type="http://schemas.openxmlformats.org/officeDocument/2006/relationships/hyperlink" Target="https://universidade.pipelovers.net/m/lessons/como-ser-interessante-sem-ser-interesseiro1769550040597?classId=3183" TargetMode="External"/><Relationship Id="rId97" Type="http://schemas.openxmlformats.org/officeDocument/2006/relationships/hyperlink" Target="https://universidade.pipelovers.net/m/lessons/marca-forte-vende-mais-entenda-por-que1769550040636?classId=3184" TargetMode="External"/><Relationship Id="rId96" Type="http://schemas.openxmlformats.org/officeDocument/2006/relationships/hyperlink" Target="https://universidade.pipelovers.net/m/lessons/marca-forte-vende-mais-entenda-por-que1769550040636?classId=3184" TargetMode="External"/><Relationship Id="rId99" Type="http://schemas.openxmlformats.org/officeDocument/2006/relationships/hyperlink" Target="https://universidade.pipelovers.net/m/lessons/o-que-os-livros-nao-ensinam-sobre-oratoria1769550040736?classId=3185" TargetMode="External"/><Relationship Id="rId98" Type="http://schemas.openxmlformats.org/officeDocument/2006/relationships/hyperlink" Target="https://www.linkedin.com/in/biakobal/" TargetMode="External"/><Relationship Id="rId91" Type="http://schemas.openxmlformats.org/officeDocument/2006/relationships/hyperlink" Target="https://universidade.pipelovers.net/m/lessons/abs-account-based-selling-como-sair-da-abordagem-generica-e-criar-relacionamentos-estrategicos1769550040568?classId=3174" TargetMode="External"/><Relationship Id="rId90" Type="http://schemas.openxmlformats.org/officeDocument/2006/relationships/hyperlink" Target="https://universidade.pipelovers.net/m/lessons/abs-account-based-selling-como-sair-da-abordagem-generica-e-criar-relacionamentos-estrategicos1769550040568?classId=3174" TargetMode="External"/><Relationship Id="rId93" Type="http://schemas.openxmlformats.org/officeDocument/2006/relationships/hyperlink" Target="https://universidade.pipelovers.net/m/lessons/como-ser-interessante-sem-ser-interesseiro1769550040597?classId=3183" TargetMode="External"/><Relationship Id="rId92" Type="http://schemas.openxmlformats.org/officeDocument/2006/relationships/hyperlink" Target="https://www.linkedin.com/in/romucasp/" TargetMode="External"/><Relationship Id="rId301" Type="http://schemas.openxmlformats.org/officeDocument/2006/relationships/table" Target="../tables/table69.xml"/><Relationship Id="rId300" Type="http://schemas.openxmlformats.org/officeDocument/2006/relationships/table" Target="../tables/table68.xml"/><Relationship Id="rId297" Type="http://schemas.openxmlformats.org/officeDocument/2006/relationships/table" Target="../tables/table65.xml"/><Relationship Id="rId296" Type="http://schemas.openxmlformats.org/officeDocument/2006/relationships/table" Target="../tables/table64.xml"/><Relationship Id="rId295" Type="http://schemas.openxmlformats.org/officeDocument/2006/relationships/table" Target="../tables/table63.xml"/><Relationship Id="rId294" Type="http://schemas.openxmlformats.org/officeDocument/2006/relationships/table" Target="../tables/table62.xml"/><Relationship Id="rId299" Type="http://schemas.openxmlformats.org/officeDocument/2006/relationships/table" Target="../tables/table67.xml"/><Relationship Id="rId298" Type="http://schemas.openxmlformats.org/officeDocument/2006/relationships/table" Target="../tables/table66.xml"/><Relationship Id="rId271" Type="http://schemas.openxmlformats.org/officeDocument/2006/relationships/hyperlink" Target="https://www.linkedin.com/in/oyagobaia/" TargetMode="External"/><Relationship Id="rId270" Type="http://schemas.openxmlformats.org/officeDocument/2006/relationships/hyperlink" Target="https://universidade.pipelovers.net/m/lessons/do-sucesso-do-cliente-a-expansao-da-conta-1790368863964?moduleId=1705&amp;classId=4641" TargetMode="External"/><Relationship Id="rId269" Type="http://schemas.openxmlformats.org/officeDocument/2006/relationships/hyperlink" Target="https://www.instagram.com/professor.tarcisio/" TargetMode="External"/><Relationship Id="rId264" Type="http://schemas.openxmlformats.org/officeDocument/2006/relationships/hyperlink" Target="https://universidade.pipelovers.net/m/lessons/venda-mais-desbloqueie-sua-performance-em-vendas-1787258456767?moduleId=1602&amp;classId=4491" TargetMode="External"/><Relationship Id="rId263" Type="http://schemas.openxmlformats.org/officeDocument/2006/relationships/hyperlink" Target="https://www.linkedin.com/in/matheus-gomes-dasilva/" TargetMode="External"/><Relationship Id="rId262" Type="http://schemas.openxmlformats.org/officeDocument/2006/relationships/hyperlink" Target="https://universidade.pipelovers.net/m/lessons/por-que-sua-prospeccao-nao-e-falta-de-sorte-e-falta-de-processo-e-de-time-1785348689665?moduleId=1573&amp;classId=4448" TargetMode="External"/><Relationship Id="rId261" Type="http://schemas.openxmlformats.org/officeDocument/2006/relationships/hyperlink" Target="https://www.linkedin.com/in/guiteixeiraf/" TargetMode="External"/><Relationship Id="rId268" Type="http://schemas.openxmlformats.org/officeDocument/2006/relationships/hyperlink" Target="https://universidade.pipelovers.net/m/lessons/planejamento-go-to-market-para-2027-1786047266518?moduleId=1702&amp;classId=4639" TargetMode="External"/><Relationship Id="rId267" Type="http://schemas.openxmlformats.org/officeDocument/2006/relationships/hyperlink" Target="https://www.linkedin.com/in/ricardookino/" TargetMode="External"/><Relationship Id="rId266" Type="http://schemas.openxmlformats.org/officeDocument/2006/relationships/hyperlink" Target="https://universidade.pipelovers.net/m/lessons/o-que-a-filosofia-pode-ensinar-para-quem-vende-1788460956665?moduleId=1637&amp;classId=4544" TargetMode="External"/><Relationship Id="rId265" Type="http://schemas.openxmlformats.org/officeDocument/2006/relationships/hyperlink" Target="https://www.linkedin.com/in/guilhermo-caproni/" TargetMode="External"/><Relationship Id="rId260" Type="http://schemas.openxmlformats.org/officeDocument/2006/relationships/hyperlink" Target="https://pipelovers.curseduca.pro/m/lessons/inteligencia-artificial-no-crm-casos-reais-e-aplicacoes-praticas-1784832731227?moduleId=1565&amp;classId=4417" TargetMode="External"/><Relationship Id="rId259" Type="http://schemas.openxmlformats.org/officeDocument/2006/relationships/hyperlink" Target="https://pipelovers.curseduca.pro/m/lessons/estruturando-seu-processo-de-gtm-atraves-de-inteligencia-comercial-1784049558211?moduleId=1528&amp;classId=4229" TargetMode="External"/><Relationship Id="rId258" Type="http://schemas.openxmlformats.org/officeDocument/2006/relationships/hyperlink" Target="https://www.linkedin.com/in/edusmattos/" TargetMode="External"/><Relationship Id="rId253" Type="http://schemas.openxmlformats.org/officeDocument/2006/relationships/hyperlink" Target="https://pipelovers.curseduca.pro/m/lessons/como-demonstrar-uma-boa-solucao-com-as-informacoes-certas-1778530991994" TargetMode="External"/><Relationship Id="rId252" Type="http://schemas.openxmlformats.org/officeDocument/2006/relationships/hyperlink" Target="https://www.linkedin.com/in/gabriel-sbrasil/" TargetMode="External"/><Relationship Id="rId251" Type="http://schemas.openxmlformats.org/officeDocument/2006/relationships/hyperlink" Target="https://universidade.pipelovers.net/m/lessons/como-construir-um-time-de-vendas-que-escala-junto-1779220034956?moduleId=1423&amp;classId=4009" TargetMode="External"/><Relationship Id="rId250" Type="http://schemas.openxmlformats.org/officeDocument/2006/relationships/hyperlink" Target="https://universidade.pipelovers.net/m/lessons/como-construir-um-time-de-vendas-que-escala-junto-1779220034956?moduleId=1423&amp;classId=4009" TargetMode="External"/><Relationship Id="rId257" Type="http://schemas.openxmlformats.org/officeDocument/2006/relationships/hyperlink" Target="https://universidade.pipelovers.net/m/lessons/rampagem-de-vendedores-1782407840745?moduleId=1459&amp;classId=4043" TargetMode="External"/><Relationship Id="rId256" Type="http://schemas.openxmlformats.org/officeDocument/2006/relationships/hyperlink" Target="https://www.linkedin.com/in/jessicabosco/" TargetMode="External"/><Relationship Id="rId255" Type="http://schemas.openxmlformats.org/officeDocument/2006/relationships/hyperlink" Target="https://universidade.pipelovers.net/m/lessons/como-empresas-constroem-autoridade-e-reputacao-pela-midia-1778614487459?moduleId=1413&amp;classId=3998" TargetMode="External"/><Relationship Id="rId254" Type="http://schemas.openxmlformats.org/officeDocument/2006/relationships/hyperlink" Target="https://www.linkedin.com/in/lossio/" TargetMode="External"/><Relationship Id="rId293" Type="http://schemas.openxmlformats.org/officeDocument/2006/relationships/table" Target="../tables/table61.xml"/><Relationship Id="rId292" Type="http://schemas.openxmlformats.org/officeDocument/2006/relationships/table" Target="../tables/table60.xml"/><Relationship Id="rId291" Type="http://schemas.openxmlformats.org/officeDocument/2006/relationships/table" Target="../tables/table59.xml"/><Relationship Id="rId275" Type="http://schemas.openxmlformats.org/officeDocument/2006/relationships/hyperlink" Target="https://universidade.pipelovers.net/m/lessons/vendas-consultivas-da-execucao-a-gestao-1791293252716?moduleId=1723&amp;classId=4808" TargetMode="External"/><Relationship Id="rId274" Type="http://schemas.openxmlformats.org/officeDocument/2006/relationships/hyperlink" Target="https://universidade.pipelovers.net/m/lessons/vendas-consultivas-da-execucao-a-gestao-1791293252716?moduleId=1723&amp;classId=4808" TargetMode="External"/><Relationship Id="rId273" Type="http://schemas.openxmlformats.org/officeDocument/2006/relationships/hyperlink" Target="http://linkedin.com/in/john-wilian-9076bbb6" TargetMode="External"/><Relationship Id="rId272" Type="http://schemas.openxmlformats.org/officeDocument/2006/relationships/hyperlink" Target="https://universidade.pipelovers.net/m/lessons/criacao-de-claude-gems-de-para-construcao-de-templates-de-cadencia-1790688694800?moduleId=1708&amp;classId=4646" TargetMode="External"/><Relationship Id="rId279" Type="http://schemas.openxmlformats.org/officeDocument/2006/relationships/drawing" Target="../drawings/drawing7.xml"/><Relationship Id="rId278" Type="http://schemas.openxmlformats.org/officeDocument/2006/relationships/hyperlink" Target="https://universidade.pipelovers.net/m/lessons/gestao-estrategica-de-carteira-de-clientes-1792158790252?moduleId=1735&amp;classId=4820" TargetMode="External"/><Relationship Id="rId277" Type="http://schemas.openxmlformats.org/officeDocument/2006/relationships/hyperlink" Target="https://universidade.pipelovers.net/m/lessons/gestao-estrategica-de-carteira-de-clientes-1792158790252?moduleId=1735&amp;classId=4820" TargetMode="External"/><Relationship Id="rId276" Type="http://schemas.openxmlformats.org/officeDocument/2006/relationships/hyperlink" Target="https://www.linkedin.com/in/ricardookino/" TargetMode="External"/><Relationship Id="rId228" Type="http://schemas.openxmlformats.org/officeDocument/2006/relationships/hyperlink" Target="https://www.linkedin.com/in/daniela-dalmolin-feldens/" TargetMode="External"/><Relationship Id="rId227" Type="http://schemas.openxmlformats.org/officeDocument/2006/relationships/hyperlink" Target="https://universidade.pipelovers.net/m/lessons/guia-completo-de-papeis-em-vendas-4-cargos-que-voce-precisa-conhecer-1771880116451?classId=3842" TargetMode="External"/><Relationship Id="rId226" Type="http://schemas.openxmlformats.org/officeDocument/2006/relationships/hyperlink" Target="https://universidade.pipelovers.net/m/lessons/guia-completo-de-papeis-em-vendas-4-cargos-que-voce-precisa-conhecer-1771880116451?classId=3842" TargetMode="External"/><Relationship Id="rId225" Type="http://schemas.openxmlformats.org/officeDocument/2006/relationships/hyperlink" Target="https://www.linkedin.com/in/gabrielbat/?locale=pt_BR" TargetMode="External"/><Relationship Id="rId229" Type="http://schemas.openxmlformats.org/officeDocument/2006/relationships/hyperlink" Target="https://universidade.pipelovers.net/m/lessons/aprendizados-da-maior-feira-de-varejo-do-mundo-nrf-1774279496516?classId=3843" TargetMode="External"/><Relationship Id="rId220" Type="http://schemas.openxmlformats.org/officeDocument/2006/relationships/hyperlink" Target="https://universidade.pipelovers.net/m/lessons/rotinas-e-ferramentas-para-melhorar-o-pitch-do-seu-time1772542661925?classId=3769" TargetMode="External"/><Relationship Id="rId224" Type="http://schemas.openxmlformats.org/officeDocument/2006/relationships/hyperlink" Target="https://universidade.pipelovers.net/m/lessons/aprendizados-do-livro-prospeccao-fanatica-1773152052605?classId=3779" TargetMode="External"/><Relationship Id="rId223" Type="http://schemas.openxmlformats.org/officeDocument/2006/relationships/hyperlink" Target="https://universidade.pipelovers.net/m/lessons/aprendizados-do-livro-prospeccao-fanatica-1773152052605?classId=3779" TargetMode="External"/><Relationship Id="rId222" Type="http://schemas.openxmlformats.org/officeDocument/2006/relationships/hyperlink" Target="https://www.linkedin.com/in/fernanda3garcia/" TargetMode="External"/><Relationship Id="rId221" Type="http://schemas.openxmlformats.org/officeDocument/2006/relationships/hyperlink" Target="https://universidade.pipelovers.net/m/lessons/rotinas-e-ferramentas-para-melhorar-o-pitch-do-seu-time1772542661925?classId=3769" TargetMode="External"/><Relationship Id="rId217" Type="http://schemas.openxmlformats.org/officeDocument/2006/relationships/hyperlink" Target="https://universidade.pipelovers.net/m/lessons/metodologia-nepq-neurociencia-aplicada-a-vendas1772542642696?classId=3762" TargetMode="External"/><Relationship Id="rId216" Type="http://schemas.openxmlformats.org/officeDocument/2006/relationships/hyperlink" Target="https://www.linkedin.com/in/gabriel-civinski/" TargetMode="External"/><Relationship Id="rId215" Type="http://schemas.openxmlformats.org/officeDocument/2006/relationships/hyperlink" Target="https://universidade.pipelovers.net/m/lessons/10-verdades-que-aceleram-seu-desenvolvimento-profissional1772542641585?classId=3745" TargetMode="External"/><Relationship Id="rId214" Type="http://schemas.openxmlformats.org/officeDocument/2006/relationships/hyperlink" Target="https://universidade.pipelovers.net/m/lessons/10-verdades-que-aceleram-seu-desenvolvimento-profissional1772542641585?classId=3745" TargetMode="External"/><Relationship Id="rId219" Type="http://schemas.openxmlformats.org/officeDocument/2006/relationships/hyperlink" Target="https://www.linkedin.com/in/gabrielbonela/" TargetMode="External"/><Relationship Id="rId218" Type="http://schemas.openxmlformats.org/officeDocument/2006/relationships/hyperlink" Target="https://universidade.pipelovers.net/m/lessons/metodologia-nepq-neurociencia-aplicada-a-vendas1772542642696?classId=3762" TargetMode="External"/><Relationship Id="rId213" Type="http://schemas.openxmlformats.org/officeDocument/2006/relationships/hyperlink" Target="https://www.linkedin.com/in/thiagoangulski/" TargetMode="External"/><Relationship Id="rId212" Type="http://schemas.openxmlformats.org/officeDocument/2006/relationships/hyperlink" Target="https://universidade.pipelovers.net/m/lessons/por-que-operacoes-de-vendas-externas-fracassam-e-como-blindar-a-sua1769550061647?classId=3777" TargetMode="External"/><Relationship Id="rId211" Type="http://schemas.openxmlformats.org/officeDocument/2006/relationships/hyperlink" Target="https://universidade.pipelovers.net/m/lessons/por-que-operacoes-de-vendas-externas-fracassam-e-como-blindar-a-sua1769550061647?classId=3777" TargetMode="External"/><Relationship Id="rId210" Type="http://schemas.openxmlformats.org/officeDocument/2006/relationships/hyperlink" Target="https://www.linkedin.com/in/andrezacarias/" TargetMode="External"/><Relationship Id="rId249" Type="http://schemas.openxmlformats.org/officeDocument/2006/relationships/hyperlink" Target="https://www.linkedin.com/in/b%C3%A1rbara-hipolide-neves-958398b2/" TargetMode="External"/><Relationship Id="rId248" Type="http://schemas.openxmlformats.org/officeDocument/2006/relationships/hyperlink" Target="https://universidade.pipelovers.net/m/lessons/escuta-prioridade-e-empatia-o-triangulo-da-negociacao-1778505387426?moduleId=1407&amp;classId=3993" TargetMode="External"/><Relationship Id="rId247" Type="http://schemas.openxmlformats.org/officeDocument/2006/relationships/hyperlink" Target="https://universidade.pipelovers.net/m/lessons/escuta-prioridade-e-empatia-o-triangulo-da-negociacao-1778505387426?moduleId=1407&amp;classId=3993" TargetMode="External"/><Relationship Id="rId242" Type="http://schemas.openxmlformats.org/officeDocument/2006/relationships/hyperlink" Target="https://universidade.pipelovers.net/m/lessons/como-dobrar-a-receita-sem-dobrar-o-volume-de-leads-1773774431464?moduleId=1258&amp;classId=3833" TargetMode="External"/><Relationship Id="rId241" Type="http://schemas.openxmlformats.org/officeDocument/2006/relationships/hyperlink" Target="https://universidade.pipelovers.net/m/lessons/como-dobrar-a-receita-sem-dobrar-o-volume-de-leads-1773774431464?moduleId=1258&amp;classId=3833" TargetMode="External"/><Relationship Id="rId240" Type="http://schemas.openxmlformats.org/officeDocument/2006/relationships/hyperlink" Target="https://www.linkedin.com/in/urldopedro/" TargetMode="External"/><Relationship Id="rId246" Type="http://schemas.openxmlformats.org/officeDocument/2006/relationships/hyperlink" Target="https://www.linkedin.com/in/bonaroti/" TargetMode="External"/><Relationship Id="rId245" Type="http://schemas.openxmlformats.org/officeDocument/2006/relationships/hyperlink" Target="https://universidade.pipelovers.net/m/lessons/industria-40-como-vender-para-esse-mercado-1773774828884?moduleId=1259&amp;classId=3834" TargetMode="External"/><Relationship Id="rId244" Type="http://schemas.openxmlformats.org/officeDocument/2006/relationships/hyperlink" Target="https://universidade.pipelovers.net/m/lessons/industria-40-como-vender-para-esse-mercado-1773774828884?moduleId=1259&amp;classId=3834" TargetMode="External"/><Relationship Id="rId243" Type="http://schemas.openxmlformats.org/officeDocument/2006/relationships/hyperlink" Target="https://www.linkedin.com/in/rodrigoportes/" TargetMode="External"/><Relationship Id="rId239" Type="http://schemas.openxmlformats.org/officeDocument/2006/relationships/hyperlink" Target="https://universidade.pipelovers.net/m/lessons/licoes-do-esporte-aplicadas-a-alta-performance-1773773449865" TargetMode="External"/><Relationship Id="rId238" Type="http://schemas.openxmlformats.org/officeDocument/2006/relationships/hyperlink" Target="https://universidade.pipelovers.net/m/lessons/licoes-do-esporte-aplicadas-a-alta-performance-1773773449865" TargetMode="External"/><Relationship Id="rId237" Type="http://schemas.openxmlformats.org/officeDocument/2006/relationships/hyperlink" Target="https://www.linkedin.com/in/anaamorimoficial/" TargetMode="External"/><Relationship Id="rId236" Type="http://schemas.openxmlformats.org/officeDocument/2006/relationships/hyperlink" Target="https://universidade.pipelovers.net/m/lessons/pare-de-fazer-networking-e-comece-a-se-conectar-1774385257123?classId=3845" TargetMode="External"/><Relationship Id="rId231" Type="http://schemas.openxmlformats.org/officeDocument/2006/relationships/hyperlink" Target="https://www.linkedin.com/in/twverissimo/" TargetMode="External"/><Relationship Id="rId230" Type="http://schemas.openxmlformats.org/officeDocument/2006/relationships/hyperlink" Target="https://universidade.pipelovers.net/m/lessons/aprendizados-da-maior-feira-de-varejo-do-mundo-nrf-1774279496516?classId=3843" TargetMode="External"/><Relationship Id="rId235" Type="http://schemas.openxmlformats.org/officeDocument/2006/relationships/hyperlink" Target="https://universidade.pipelovers.net/m/lessons/pare-de-fazer-networking-e-comece-a-se-conectar-1774385257123?classId=3845" TargetMode="External"/><Relationship Id="rId234" Type="http://schemas.openxmlformats.org/officeDocument/2006/relationships/hyperlink" Target="https://www.linkedin.com/in/bonaroti/" TargetMode="External"/><Relationship Id="rId233" Type="http://schemas.openxmlformats.org/officeDocument/2006/relationships/hyperlink" Target="https://universidade.pipelovers.net/m/lessons/alta-performance-comeca-por-dentro-1774383463813?classId=3844" TargetMode="External"/><Relationship Id="rId232" Type="http://schemas.openxmlformats.org/officeDocument/2006/relationships/hyperlink" Target="https://universidade.pipelovers.net/m/lessons/alta-performance-comeca-por-dentro-1774383463813?classId=3844" TargetMode="External"/><Relationship Id="rId206" Type="http://schemas.openxmlformats.org/officeDocument/2006/relationships/hyperlink" Target="https://universidade.pipelovers.net/m/lessons/revops-crm-dados-integrados-entre-marketing-vendas-e-atendimento1769550061587?classId=3678" TargetMode="External"/><Relationship Id="rId205" Type="http://schemas.openxmlformats.org/officeDocument/2006/relationships/hyperlink" Target="https://www.linkedin.com/in/marcao8d/" TargetMode="External"/><Relationship Id="rId204" Type="http://schemas.openxmlformats.org/officeDocument/2006/relationships/hyperlink" Target="https://universidade.pipelovers.net/m/lessons/linkedin-2026-como-a-ia-e-novo-algoritmo-impacta-seu-social-selling1769550061530?classId=3677" TargetMode="External"/><Relationship Id="rId203" Type="http://schemas.openxmlformats.org/officeDocument/2006/relationships/hyperlink" Target="https://universidade.pipelovers.net/m/lessons/linkedin-2026-como-a-ia-e-novo-algoritmo-impacta-seu-social-selling1769550061530?classId=3677" TargetMode="External"/><Relationship Id="rId209" Type="http://schemas.openxmlformats.org/officeDocument/2006/relationships/hyperlink" Target="https://universidade.pipelovers.net/m/lessons/tendencias-2026-como-os-tomadores-de-decisao-estao-definindo-prioridades1769550061618?classId=3776" TargetMode="External"/><Relationship Id="rId208" Type="http://schemas.openxmlformats.org/officeDocument/2006/relationships/hyperlink" Target="https://universidade.pipelovers.net/m/lessons/tendencias-2026-como-os-tomadores-de-decisao-estao-definindo-prioridades1769550061618?classId=3776" TargetMode="External"/><Relationship Id="rId207" Type="http://schemas.openxmlformats.org/officeDocument/2006/relationships/hyperlink" Target="https://universidade.pipelovers.net/m/lessons/revops-crm-dados-integrados-entre-marketing-vendas-e-atendimento1769550061587?classId=3678" TargetMode="External"/><Relationship Id="rId202" Type="http://schemas.openxmlformats.org/officeDocument/2006/relationships/hyperlink" Target="https://www.linkedin.com/in/wevsoares/" TargetMode="External"/><Relationship Id="rId201" Type="http://schemas.openxmlformats.org/officeDocument/2006/relationships/hyperlink" Target="https://universidade.pipelovers.net/m/lessons/qual-o-papel-de-vendas-na-estrutura-de-revops1769550061492?classId=3676" TargetMode="External"/><Relationship Id="rId200" Type="http://schemas.openxmlformats.org/officeDocument/2006/relationships/hyperlink" Target="https://universidade.pipelovers.net/m/lessons/qual-o-papel-de-vendas-na-estrutura-de-revops1769550061492?classId=3676" TargetMode="External"/><Relationship Id="rId190" Type="http://schemas.openxmlformats.org/officeDocument/2006/relationships/hyperlink" Target="https://www.linkedin.com/in/rafaelalexandre/" TargetMode="External"/><Relationship Id="rId194" Type="http://schemas.openxmlformats.org/officeDocument/2006/relationships/hyperlink" Target="https://universidade.pipelovers.net/m/lessons/account-based-marketing-o-que-muda-na-estrategia-de-marketing-e-vendas1769550061406?classId=3674" TargetMode="External"/><Relationship Id="rId193" Type="http://schemas.openxmlformats.org/officeDocument/2006/relationships/hyperlink" Target="https://www.linkedin.com/in/bernardosouzamadeira/" TargetMode="External"/><Relationship Id="rId192" Type="http://schemas.openxmlformats.org/officeDocument/2006/relationships/hyperlink" Target="https://universidade.pipelovers.net/m/lessons/autogestao-para-liderar1769550061558?classId=3673" TargetMode="External"/><Relationship Id="rId191" Type="http://schemas.openxmlformats.org/officeDocument/2006/relationships/hyperlink" Target="https://universidade.pipelovers.net/m/lessons/autogestao-para-liderar1769550061558?classId=3673" TargetMode="External"/><Relationship Id="rId187" Type="http://schemas.openxmlformats.org/officeDocument/2006/relationships/hyperlink" Target="https://www.linkedin.com/in/julianodias/" TargetMode="External"/><Relationship Id="rId186" Type="http://schemas.openxmlformats.org/officeDocument/2006/relationships/hyperlink" Target="https://universidade.pipelovers.net/m/lessons/upsell-e-cross-sell-como-vender-apos-a-venda1769550061339?classId=3671" TargetMode="External"/><Relationship Id="rId185" Type="http://schemas.openxmlformats.org/officeDocument/2006/relationships/hyperlink" Target="https://universidade.pipelovers.net/m/lessons/upsell-e-cross-sell-como-vender-apos-a-venda1769550061339?classId=3671" TargetMode="External"/><Relationship Id="rId184" Type="http://schemas.openxmlformats.org/officeDocument/2006/relationships/hyperlink" Target="https://www.linkedin.com/in/gabrielbat/" TargetMode="External"/><Relationship Id="rId189" Type="http://schemas.openxmlformats.org/officeDocument/2006/relationships/hyperlink" Target="https://universidade.pipelovers.net/m/lessons/funil-de-outbound-na-pratica1769550061376?classId=3672" TargetMode="External"/><Relationship Id="rId188" Type="http://schemas.openxmlformats.org/officeDocument/2006/relationships/hyperlink" Target="https://universidade.pipelovers.net/m/lessons/funil-de-outbound-na-pratica1769550061376?classId=3672" TargetMode="External"/><Relationship Id="rId183" Type="http://schemas.openxmlformats.org/officeDocument/2006/relationships/hyperlink" Target="https://universidade.pipelovers.net/aulas/do-lead-frio-ao-cliente-quente-fluxos-de-nutricao-multicanal-1775817131791" TargetMode="External"/><Relationship Id="rId182" Type="http://schemas.openxmlformats.org/officeDocument/2006/relationships/hyperlink" Target="https://universidade.pipelovers.net/aulas/do-lead-frio-ao-cliente-quente-fluxos-de-nutricao-multicanal-1775817131791" TargetMode="External"/><Relationship Id="rId181" Type="http://schemas.openxmlformats.org/officeDocument/2006/relationships/hyperlink" Target="https://www.linkedin.com/in/igor-navarro-rabelo/" TargetMode="External"/><Relationship Id="rId180" Type="http://schemas.openxmlformats.org/officeDocument/2006/relationships/hyperlink" Target="https://universidade.pipelovers.net/m/lessons/passo-a-passo-para-construir-e-rodar-um-sdr-de-ia1769550061281?classId=3669" TargetMode="External"/><Relationship Id="rId176" Type="http://schemas.openxmlformats.org/officeDocument/2006/relationships/hyperlink" Target="https://universidade.pipelovers.net/m/lessons/liderar-com-proposito-a-jornada-ate-a-direcao-geral-da-zoho1769550061224?classId=3668" TargetMode="External"/><Relationship Id="rId175" Type="http://schemas.openxmlformats.org/officeDocument/2006/relationships/hyperlink" Target="https://www.linkedin.com/in/rodrigovaca/" TargetMode="External"/><Relationship Id="rId174" Type="http://schemas.openxmlformats.org/officeDocument/2006/relationships/hyperlink" Target="https://universidade.pipelovers.net/m/lessons/geracao-de-demanda-atraves-do-whatsapp1769550061159?classId=3667" TargetMode="External"/><Relationship Id="rId173" Type="http://schemas.openxmlformats.org/officeDocument/2006/relationships/hyperlink" Target="https://universidade.pipelovers.net/m/lessons/geracao-de-demanda-atraves-do-whatsapp1769550061159?classId=3667" TargetMode="External"/><Relationship Id="rId179" Type="http://schemas.openxmlformats.org/officeDocument/2006/relationships/hyperlink" Target="https://universidade.pipelovers.net/m/lessons/passo-a-passo-para-construir-e-rodar-um-sdr-de-ia1769550061281?classId=3669" TargetMode="External"/><Relationship Id="rId178" Type="http://schemas.openxmlformats.org/officeDocument/2006/relationships/hyperlink" Target="https://www.linkedin.com/in/frankyneto/" TargetMode="External"/><Relationship Id="rId177" Type="http://schemas.openxmlformats.org/officeDocument/2006/relationships/hyperlink" Target="https://universidade.pipelovers.net/m/lessons/liderar-com-proposito-a-jornada-ate-a-direcao-geral-da-zoho1769550061224?classId=3668" TargetMode="External"/><Relationship Id="rId198" Type="http://schemas.openxmlformats.org/officeDocument/2006/relationships/hyperlink" Target="https://universidade.pipelovers.net/m/lessons/vender-mais-com-menos-esforco-tecnologia-como-aliada-no-funil-de-vendas1769550061459?classId=3675" TargetMode="External"/><Relationship Id="rId197" Type="http://schemas.openxmlformats.org/officeDocument/2006/relationships/hyperlink" Target="https://universidade.pipelovers.net/m/lessons/vender-mais-com-menos-esforco-tecnologia-como-aliada-no-funil-de-vendas1769550061459?classId=3675" TargetMode="External"/><Relationship Id="rId196" Type="http://schemas.openxmlformats.org/officeDocument/2006/relationships/hyperlink" Target="https://www.linkedin.com/in/katherinesallum/" TargetMode="External"/><Relationship Id="rId195" Type="http://schemas.openxmlformats.org/officeDocument/2006/relationships/hyperlink" Target="https://universidade.pipelovers.net/m/lessons/account-based-marketing-o-que-muda-na-estrategia-de-marketing-e-vendas1769550061406?classId=3674" TargetMode="External"/><Relationship Id="rId199" Type="http://schemas.openxmlformats.org/officeDocument/2006/relationships/hyperlink" Target="https://www.linkedin.com/in/fabiomeloduran" TargetMode="External"/><Relationship Id="rId150" Type="http://schemas.openxmlformats.org/officeDocument/2006/relationships/hyperlink" Target="https://www.linkedin.com/in/wevsoares/" TargetMode="External"/><Relationship Id="rId149" Type="http://schemas.openxmlformats.org/officeDocument/2006/relationships/hyperlink" Target="https://universidade.pipelovers.net/m/lessons/o-que-o-livro-negocio-fechado-pode-te-ensinar-sobre-negociacao1769550060655?classId=3642" TargetMode="External"/><Relationship Id="rId148" Type="http://schemas.openxmlformats.org/officeDocument/2006/relationships/hyperlink" Target="https://universidade.pipelovers.net/m/lessons/o-que-o-livro-negocio-fechado-pode-te-ensinar-sobre-negociacao1769550060655?classId=3642" TargetMode="External"/><Relationship Id="rId143" Type="http://schemas.openxmlformats.org/officeDocument/2006/relationships/hyperlink" Target="https://universidade.pipelovers.net/m/lessons/arquitetura-de-uma-oferta-irrecusavel1769550060272?classId=3628" TargetMode="External"/><Relationship Id="rId142" Type="http://schemas.openxmlformats.org/officeDocument/2006/relationships/hyperlink" Target="https://universidade.pipelovers.net/m/lessons/arquitetura-de-uma-oferta-irrecusavel1769550060272?classId=3628" TargetMode="External"/><Relationship Id="rId141" Type="http://schemas.openxmlformats.org/officeDocument/2006/relationships/hyperlink" Target="https://www.linkedin.com/in/pedro-paulo-iglesias/" TargetMode="External"/><Relationship Id="rId140" Type="http://schemas.openxmlformats.org/officeDocument/2006/relationships/hyperlink" Target="https://universidade.pipelovers.net/m/lessons/conferencia-gartner-2025-as-principais-tendencias-na-area-de-vendas1769550060615?classId=3218" TargetMode="External"/><Relationship Id="rId147" Type="http://schemas.openxmlformats.org/officeDocument/2006/relationships/hyperlink" Target="https://www.linkedin.com/in/igorbatista/" TargetMode="External"/><Relationship Id="rId146" Type="http://schemas.openxmlformats.org/officeDocument/2006/relationships/hyperlink" Target="https://universidade.pipelovers.net/m/lessons/controle-de-ansiedade-em-meio-as-mudancas1769550060686?classId=3641" TargetMode="External"/><Relationship Id="rId145" Type="http://schemas.openxmlformats.org/officeDocument/2006/relationships/hyperlink" Target="https://universidade.pipelovers.net/m/lessons/controle-de-ansiedade-em-meio-as-mudancas1769550060686?classId=3641" TargetMode="External"/><Relationship Id="rId144" Type="http://schemas.openxmlformats.org/officeDocument/2006/relationships/hyperlink" Target="https://www.linkedin.com/in/romucasp/" TargetMode="External"/><Relationship Id="rId139" Type="http://schemas.openxmlformats.org/officeDocument/2006/relationships/hyperlink" Target="https://universidade.pipelovers.net/m/lessons/conferencia-gartner-2025-as-principais-tendencias-na-area-de-vendas1769550060615?classId=3218" TargetMode="External"/><Relationship Id="rId138" Type="http://schemas.openxmlformats.org/officeDocument/2006/relationships/hyperlink" Target="https://www.linkedin.com/in/mauricio-vergani-8b7765/" TargetMode="External"/><Relationship Id="rId137" Type="http://schemas.openxmlformats.org/officeDocument/2006/relationships/hyperlink" Target="https://universidade.pipelovers.net/m/lessons/follow-up-na-pratica-o-que-falar-quando-e-por-que1769550060222?classId=3217" TargetMode="External"/><Relationship Id="rId132" Type="http://schemas.openxmlformats.org/officeDocument/2006/relationships/hyperlink" Target="https://www.linkedin.com/in/tiagoribeiro1/" TargetMode="External"/><Relationship Id="rId131" Type="http://schemas.openxmlformats.org/officeDocument/2006/relationships/hyperlink" Target="https://universidade.pipelovers.net/m/lessons/geracao-de-demanda-de-leads-potencializada-com-ia1769550060086?classId=3215" TargetMode="External"/><Relationship Id="rId130" Type="http://schemas.openxmlformats.org/officeDocument/2006/relationships/hyperlink" Target="https://universidade.pipelovers.net/m/lessons/geracao-de-demanda-de-leads-potencializada-com-ia1769550060086?classId=3215" TargetMode="External"/><Relationship Id="rId136" Type="http://schemas.openxmlformats.org/officeDocument/2006/relationships/hyperlink" Target="https://universidade.pipelovers.net/m/lessons/follow-up-na-pratica-o-que-falar-quando-e-por-que1769550060222?classId=3217" TargetMode="External"/><Relationship Id="rId135" Type="http://schemas.openxmlformats.org/officeDocument/2006/relationships/hyperlink" Target="https://www.linkedin.com/in/carloshacampos/" TargetMode="External"/><Relationship Id="rId134" Type="http://schemas.openxmlformats.org/officeDocument/2006/relationships/hyperlink" Target="https://universidade.pipelovers.net/m/lessons/manual-de-persuasao-do-fbi-aplicado-a-venda-consultiva1769550060182?classId=3216" TargetMode="External"/><Relationship Id="rId133" Type="http://schemas.openxmlformats.org/officeDocument/2006/relationships/hyperlink" Target="https://universidade.pipelovers.net/m/lessons/manual-de-persuasao-do-fbi-aplicado-a-venda-consultiva1769550060182?classId=3216" TargetMode="External"/><Relationship Id="rId172" Type="http://schemas.openxmlformats.org/officeDocument/2006/relationships/hyperlink" Target="https://www.linkedin.com/in/junioreis22/" TargetMode="External"/><Relationship Id="rId171" Type="http://schemas.openxmlformats.org/officeDocument/2006/relationships/hyperlink" Target="http://treble.ai" TargetMode="External"/><Relationship Id="rId170" Type="http://schemas.openxmlformats.org/officeDocument/2006/relationships/hyperlink" Target="https://universidade.pipelovers.net/m/lessons/como-vender-mais-em-feiras-e-eventos1769550061091?classId=3666" TargetMode="External"/><Relationship Id="rId165" Type="http://schemas.openxmlformats.org/officeDocument/2006/relationships/hyperlink" Target="https://www.linkedin.com/in/liviaalves-/" TargetMode="External"/><Relationship Id="rId164" Type="http://schemas.openxmlformats.org/officeDocument/2006/relationships/hyperlink" Target="https://universidade.pipelovers.net/m/lessons/estrategias-de-venda-para-base1769550060793?classId=3664" TargetMode="External"/><Relationship Id="rId163" Type="http://schemas.openxmlformats.org/officeDocument/2006/relationships/hyperlink" Target="https://universidade.pipelovers.net/m/lessons/estrategias-de-venda-para-base1769550060793?classId=3664" TargetMode="External"/><Relationship Id="rId162" Type="http://schemas.openxmlformats.org/officeDocument/2006/relationships/hyperlink" Target="https://www.linkedin.com/in/ricardookino/" TargetMode="External"/><Relationship Id="rId169" Type="http://schemas.openxmlformats.org/officeDocument/2006/relationships/hyperlink" Target="https://universidade.pipelovers.net/m/lessons/como-vender-mais-em-feiras-e-eventos1769550061091?classId=3666" TargetMode="External"/><Relationship Id="rId168" Type="http://schemas.openxmlformats.org/officeDocument/2006/relationships/hyperlink" Target="https://www.linkedin.com/in/brunofolle/" TargetMode="External"/><Relationship Id="rId167" Type="http://schemas.openxmlformats.org/officeDocument/2006/relationships/hyperlink" Target="https://universidade.pipelovers.net/m/lessons/inteligencia-de-vendas-na-pratica-como-deixar-de-vender-para-todo-mundo-e-focar-nos-clientes-certo1769550060989?classId=3665" TargetMode="External"/><Relationship Id="rId166" Type="http://schemas.openxmlformats.org/officeDocument/2006/relationships/hyperlink" Target="https://universidade.pipelovers.net/m/lessons/inteligencia-de-vendas-na-pratica-como-deixar-de-vender-para-todo-mundo-e-focar-nos-clientes-certo1769550060989?classId=3665" TargetMode="External"/><Relationship Id="rId161" Type="http://schemas.openxmlformats.org/officeDocument/2006/relationships/hyperlink" Target="https://universidade.pipelovers.net/m/lessons/o-que-sao-battlecards-e-como-eles-ajudam-voce-a-vencer-a-concorrencia1769550060940?classId=3663" TargetMode="External"/><Relationship Id="rId160" Type="http://schemas.openxmlformats.org/officeDocument/2006/relationships/hyperlink" Target="https://universidade.pipelovers.net/m/lessons/o-que-sao-battlecards-e-como-eles-ajudam-voce-a-vencer-a-concorrencia1769550060940?classId=3663" TargetMode="External"/><Relationship Id="rId159" Type="http://schemas.openxmlformats.org/officeDocument/2006/relationships/hyperlink" Target="https://www.linkedin.com/in/gabriel-civinski/" TargetMode="External"/><Relationship Id="rId154" Type="http://schemas.openxmlformats.org/officeDocument/2006/relationships/hyperlink" Target="https://universidade.pipelovers.net/m/lessons/prospeccao-analitica-estrategias-para-aumentar-a-conversao1769550060910?classId=3646" TargetMode="External"/><Relationship Id="rId153" Type="http://schemas.openxmlformats.org/officeDocument/2006/relationships/hyperlink" Target="https://www.linkedin.com/in/flaviomaciel/" TargetMode="External"/><Relationship Id="rId152" Type="http://schemas.openxmlformats.org/officeDocument/2006/relationships/hyperlink" Target="https://universidade.pipelovers.net/m/lessons/leads-nao-pagam-boletos-o-que-falta-na-ponte-entre-marketing-e-vendas1769550060715?classId=3644" TargetMode="External"/><Relationship Id="rId151" Type="http://schemas.openxmlformats.org/officeDocument/2006/relationships/hyperlink" Target="https://universidade.pipelovers.net/m/lessons/leads-nao-pagam-boletos-o-que-falta-na-ponte-entre-marketing-e-vendas1769550060715?classId=3644" TargetMode="External"/><Relationship Id="rId158" Type="http://schemas.openxmlformats.org/officeDocument/2006/relationships/hyperlink" Target="https://universidade.pipelovers.net/m/lessons/como-construir-business-cases-em-vendas-complexas1769550060829?classId=3662" TargetMode="External"/><Relationship Id="rId157" Type="http://schemas.openxmlformats.org/officeDocument/2006/relationships/hyperlink" Target="https://universidade.pipelovers.net/m/lessons/como-construir-business-cases-em-vendas-complexas1769550060829?classId=3662" TargetMode="External"/><Relationship Id="rId156" Type="http://schemas.openxmlformats.org/officeDocument/2006/relationships/hyperlink" Target="https://www.linkedin.com/in/chriscornehl/" TargetMode="External"/><Relationship Id="rId155" Type="http://schemas.openxmlformats.org/officeDocument/2006/relationships/hyperlink" Target="https://universidade.pipelovers.net/m/lessons/prospeccao-analitica-estrategias-para-aumentar-a-conversao1769550060910?classId=3646" TargetMode="External"/><Relationship Id="rId107" Type="http://schemas.openxmlformats.org/officeDocument/2006/relationships/hyperlink" Target="http://treble.ai" TargetMode="External"/><Relationship Id="rId106" Type="http://schemas.openxmlformats.org/officeDocument/2006/relationships/hyperlink" Target="https://universidade.pipelovers.net/m/lessons/como-fazer-uma-apresentacao-comercial-matadora1769550042060?classId=3187" TargetMode="External"/><Relationship Id="rId105" Type="http://schemas.openxmlformats.org/officeDocument/2006/relationships/hyperlink" Target="https://universidade.pipelovers.net/m/lessons/como-fazer-uma-apresentacao-comercial-matadora1769550042060?classId=3187" TargetMode="External"/><Relationship Id="rId104" Type="http://schemas.openxmlformats.org/officeDocument/2006/relationships/hyperlink" Target="https://www.linkedin.com/in/brunnobezerra/" TargetMode="External"/><Relationship Id="rId109" Type="http://schemas.openxmlformats.org/officeDocument/2006/relationships/hyperlink" Target="https://universidade.pipelovers.net/m/lessons/o-seu-lead-esta-com-medo1769550042110?classId=3188" TargetMode="External"/><Relationship Id="rId108" Type="http://schemas.openxmlformats.org/officeDocument/2006/relationships/hyperlink" Target="https://www.linkedin.com/in/clarissarissi/" TargetMode="External"/><Relationship Id="rId103" Type="http://schemas.openxmlformats.org/officeDocument/2006/relationships/hyperlink" Target="https://universidade.pipelovers.net/m/lessons/engenharia-reversa-dos-funis-de-marketing-e-vendas-dos-concorrentes1769550040865?classId=3186" TargetMode="External"/><Relationship Id="rId102" Type="http://schemas.openxmlformats.org/officeDocument/2006/relationships/hyperlink" Target="https://universidade.pipelovers.net/m/lessons/engenharia-reversa-dos-funis-de-marketing-e-vendas-dos-concorrentes1769550040865?classId=3186" TargetMode="External"/><Relationship Id="rId101" Type="http://schemas.openxmlformats.org/officeDocument/2006/relationships/hyperlink" Target="https://www.linkedin.com/in/leandro--macedo/" TargetMode="External"/><Relationship Id="rId100" Type="http://schemas.openxmlformats.org/officeDocument/2006/relationships/hyperlink" Target="https://universidade.pipelovers.net/m/lessons/o-que-os-livros-nao-ensinam-sobre-oratoria1769550040736?classId=3185" TargetMode="External"/><Relationship Id="rId129" Type="http://schemas.openxmlformats.org/officeDocument/2006/relationships/hyperlink" Target="https://www.linkedin.com/in/jo%C3%A3o-filgueiras/" TargetMode="External"/><Relationship Id="rId128" Type="http://schemas.openxmlformats.org/officeDocument/2006/relationships/hyperlink" Target="https://universidade.pipelovers.net/m/lessons/saude-financeira-pra-quem-vive-de-meta1769550060585?classId=3213" TargetMode="External"/><Relationship Id="rId127" Type="http://schemas.openxmlformats.org/officeDocument/2006/relationships/hyperlink" Target="https://universidade.pipelovers.net/m/lessons/saude-financeira-pra-quem-vive-de-meta1769550060585?classId=3213" TargetMode="External"/><Relationship Id="rId126" Type="http://schemas.openxmlformats.org/officeDocument/2006/relationships/hyperlink" Target="https://www.linkedin.com/in/nicolas-frajhof/" TargetMode="External"/><Relationship Id="rId121" Type="http://schemas.openxmlformats.org/officeDocument/2006/relationships/hyperlink" Target="https://universidade.pipelovers.net/m/lessons/o-impacto-do-hipercrescimento-no-comercial-o-que-muda-na-pratica1769550059977?classId=3198" TargetMode="External"/><Relationship Id="rId120" Type="http://schemas.openxmlformats.org/officeDocument/2006/relationships/hyperlink" Target="https://www.linkedin.com/in/joao-eduardo-silva-neto-22202225/" TargetMode="External"/><Relationship Id="rId125" Type="http://schemas.openxmlformats.org/officeDocument/2006/relationships/hyperlink" Target="https://universidade.pipelovers.net/m/lessons/como-fazer-vendas-para-grandes-contas1769550060331?classId=3199" TargetMode="External"/><Relationship Id="rId124" Type="http://schemas.openxmlformats.org/officeDocument/2006/relationships/hyperlink" Target="https://universidade.pipelovers.net/m/lessons/como-fazer-vendas-para-grandes-contas1769550060331?classId=3199" TargetMode="External"/><Relationship Id="rId123" Type="http://schemas.openxmlformats.org/officeDocument/2006/relationships/hyperlink" Target="https://www.linkedin.com/in/fspina/" TargetMode="External"/><Relationship Id="rId122" Type="http://schemas.openxmlformats.org/officeDocument/2006/relationships/hyperlink" Target="https://universidade.pipelovers.net/m/lessons/o-impacto-do-hipercrescimento-no-comercial-o-que-muda-na-pratica1769550059977?classId=3198" TargetMode="External"/><Relationship Id="rId118" Type="http://schemas.openxmlformats.org/officeDocument/2006/relationships/hyperlink" Target="https://universidade.pipelovers.net/m/lessons/a-reta-final-da-venda-da-apresentacao-do-preco-ao-fechamento1769550060299?classId=3197" TargetMode="External"/><Relationship Id="rId117" Type="http://schemas.openxmlformats.org/officeDocument/2006/relationships/hyperlink" Target="https://www.linkedin.com/in/brunnobezerra/" TargetMode="External"/><Relationship Id="rId116" Type="http://schemas.openxmlformats.org/officeDocument/2006/relationships/hyperlink" Target="https://universidade.pipelovers.net/m/lessons/como-tomar-decisoes-mais-inteligentes-usando-dados1769550059834?classId=3196" TargetMode="External"/><Relationship Id="rId115" Type="http://schemas.openxmlformats.org/officeDocument/2006/relationships/hyperlink" Target="https://universidade.pipelovers.net/m/lessons/como-tomar-decisoes-mais-inteligentes-usando-dados1769550059834?classId=3196" TargetMode="External"/><Relationship Id="rId119" Type="http://schemas.openxmlformats.org/officeDocument/2006/relationships/hyperlink" Target="https://universidade.pipelovers.net/m/lessons/a-reta-final-da-venda-da-apresentacao-do-preco-ao-fechamento1769550060299?classId=3197" TargetMode="External"/><Relationship Id="rId110" Type="http://schemas.openxmlformats.org/officeDocument/2006/relationships/hyperlink" Target="https://universidade.pipelovers.net/m/lessons/o-seu-lead-esta-com-medo1769550042110?classId=3188" TargetMode="External"/><Relationship Id="rId114" Type="http://schemas.openxmlformats.org/officeDocument/2006/relationships/hyperlink" Target="https://www.linkedin.com/in/chriscornehl/" TargetMode="External"/><Relationship Id="rId113" Type="http://schemas.openxmlformats.org/officeDocument/2006/relationships/hyperlink" Target="https://universidade.pipelovers.net/m/lessons/cadencia-como-processo-como-estruturar-interacoes-comerciais-de-forma-eficiente1769550042140?classId=3195" TargetMode="External"/><Relationship Id="rId112" Type="http://schemas.openxmlformats.org/officeDocument/2006/relationships/hyperlink" Target="https://universidade.pipelovers.net/m/lessons/cadencia-como-processo-como-estruturar-interacoes-comerciais-de-forma-eficiente1769550042140?classId=3195" TargetMode="External"/><Relationship Id="rId111" Type="http://schemas.openxmlformats.org/officeDocument/2006/relationships/hyperlink" Target="https://www.linkedin.com/in/gabriel-civinski/"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square-help-401.notion.site/PipeLovers-Gest-o-de-Conte-dos-092a0245b45d4913bc546769f201f09c" TargetMode="External"/><Relationship Id="rId2" Type="http://schemas.openxmlformats.org/officeDocument/2006/relationships/hyperlink" Target="https://www.linkedin.com/in/gpagotto/" TargetMode="External"/><Relationship Id="rId3" Type="http://schemas.openxmlformats.org/officeDocument/2006/relationships/hyperlink" Target="https://universidade.pipelovers.net/m/lessons/programa-de-construcao-da-maquina-de-vendas-b2b-estrategias-de-crescimento-e-go-to-market-gtm-1789586957052?moduleId=1677&amp;classId=4612" TargetMode="External"/><Relationship Id="rId4" Type="http://schemas.openxmlformats.org/officeDocument/2006/relationships/hyperlink" Target="https://universidade.pipelovers.net/m/lessons/programa-de-construcao-da-maquina-de-vendas-b2b-estrategias-de-crescimento-e-go-to-market-gtm-1789586957052?moduleId=1677&amp;classId=4612" TargetMode="External"/><Relationship Id="rId9" Type="http://schemas.openxmlformats.org/officeDocument/2006/relationships/hyperlink" Target="https://drive.google.com/file/d/1bmSmA1_AYanN1Fpu4fmRy8aFBqIvT-6l/view?usp=drive_link" TargetMode="External"/><Relationship Id="rId5" Type="http://schemas.openxmlformats.org/officeDocument/2006/relationships/hyperlink" Target="https://drive.google.com/file/d/1H3y-bN7aES_fkBt1hzUdwOIJDE0C6QGU/view?usp=drive_link" TargetMode="External"/><Relationship Id="rId6" Type="http://schemas.openxmlformats.org/officeDocument/2006/relationships/hyperlink" Target="https://www.linkedin.com/in/maucirnascimento/" TargetMode="External"/><Relationship Id="rId7" Type="http://schemas.openxmlformats.org/officeDocument/2006/relationships/hyperlink" Target="https://universidade.pipelovers.net/m/lessons/programa-de-construcao-da-maquina-de-vendas-b2b-construcao-de-playbooks-de-vendas-com-ia-1790017719614" TargetMode="External"/><Relationship Id="rId8" Type="http://schemas.openxmlformats.org/officeDocument/2006/relationships/hyperlink" Target="https://universidade.pipelovers.net/m/lessons/programa-de-construcao-da-maquina-de-vendas-b2b-construcao-de-playbooks-de-vendas-com-ia-1790017719614" TargetMode="External"/><Relationship Id="rId10" Type="http://schemas.openxmlformats.org/officeDocument/2006/relationships/drawing" Target="../drawings/drawing8.xml"/><Relationship Id="rId12" Type="http://schemas.openxmlformats.org/officeDocument/2006/relationships/table" Target="../tables/table70.xml"/></Relationships>
</file>

<file path=xl/worksheets/_rels/sheet9.xml.rels><?xml version="1.0" encoding="UTF-8" standalone="yes"?><Relationships xmlns="http://schemas.openxmlformats.org/package/2006/relationships"><Relationship Id="rId1" Type="http://schemas.openxmlformats.org/officeDocument/2006/relationships/hyperlink" Target="https://square-help-401.notion.site/PipeLovers-Gest-o-de-Conte-dos-092a0245b45d4913bc546769f201f09c" TargetMode="External"/><Relationship Id="rId2" Type="http://schemas.openxmlformats.org/officeDocument/2006/relationships/hyperlink" Target="https://www.linkedin.com/in/yagomartins/" TargetMode="External"/><Relationship Id="rId3" Type="http://schemas.openxmlformats.org/officeDocument/2006/relationships/hyperlink" Target="https://pipelovers.curseduca.pro/m/lessons/modulo-1-certificacao-em-inteligencia-artificial-fundamentos-de-ia-em-vendas-1783114254816" TargetMode="External"/><Relationship Id="rId4" Type="http://schemas.openxmlformats.org/officeDocument/2006/relationships/hyperlink" Target="https://pipelovers.curseduca.pro/m/lessons/modulo-1-certificacao-em-inteligencia-artificial-fundamentos-de-ia-em-vendas-1783114254816" TargetMode="External"/><Relationship Id="rId9" Type="http://schemas.openxmlformats.org/officeDocument/2006/relationships/hyperlink" Target="https://universidade.pipelovers.net/m/lessons/ia-na-qualificacao-e-na-reuniao-de-descoberta-1784921425354" TargetMode="External"/><Relationship Id="rId5" Type="http://schemas.openxmlformats.org/officeDocument/2006/relationships/hyperlink" Target="https://www.linkedin.com/in/igorbatista/" TargetMode="External"/><Relationship Id="rId6" Type="http://schemas.openxmlformats.org/officeDocument/2006/relationships/hyperlink" Target="https://universidade.pipelovers.net/m/lessons/ia-na-prospeccao-pesquisa-personalizacao-e-ritmo-1784049963676" TargetMode="External"/><Relationship Id="rId7" Type="http://schemas.openxmlformats.org/officeDocument/2006/relationships/hyperlink" Target="https://universidade.pipelovers.net/m/lessons/ia-na-prospeccao-pesquisa-personalizacao-e-ritmo-1784049963676" TargetMode="External"/><Relationship Id="rId8" Type="http://schemas.openxmlformats.org/officeDocument/2006/relationships/hyperlink" Target="https://www.linkedin.com/in/robsondelfiol/" TargetMode="External"/><Relationship Id="rId20" Type="http://schemas.openxmlformats.org/officeDocument/2006/relationships/drawing" Target="../drawings/drawing9.xml"/><Relationship Id="rId22" Type="http://schemas.openxmlformats.org/officeDocument/2006/relationships/table" Target="../tables/table71.xml"/><Relationship Id="rId11" Type="http://schemas.openxmlformats.org/officeDocument/2006/relationships/hyperlink" Target="https://www.linkedin.com/in/chriscornehl/" TargetMode="External"/><Relationship Id="rId10" Type="http://schemas.openxmlformats.org/officeDocument/2006/relationships/hyperlink" Target="https://universidade.pipelovers.net/m/lessons/ia-na-qualificacao-e-na-reuniao-de-descoberta-1784921425354" TargetMode="External"/><Relationship Id="rId13" Type="http://schemas.openxmlformats.org/officeDocument/2006/relationships/hyperlink" Target="https://universidade.pipelovers.net/m/lessons/certificacao-em-inteligencia-artificial-em-vendas-b2b-1783114475289?moduleId=1474&amp;classId=4492" TargetMode="External"/><Relationship Id="rId12" Type="http://schemas.openxmlformats.org/officeDocument/2006/relationships/hyperlink" Target="https://universidade.pipelovers.net/m/lessons/certificacao-em-inteligencia-artificial-em-vendas-b2b-1783114475289?moduleId=1474&amp;classId=4492" TargetMode="External"/><Relationship Id="rId15" Type="http://schemas.openxmlformats.org/officeDocument/2006/relationships/hyperlink" Target="https://universidade.pipelovers.net/m/lessons/ia-na-gestao-de-objecoes-e-no-fechamento-1785177287741" TargetMode="External"/><Relationship Id="rId14" Type="http://schemas.openxmlformats.org/officeDocument/2006/relationships/hyperlink" Target="https://www.linkedin.com/in/thais-sterenberg-de-oliveira/" TargetMode="External"/><Relationship Id="rId17" Type="http://schemas.openxmlformats.org/officeDocument/2006/relationships/hyperlink" Target="https://www.linkedin.com/in/thiagogrissi/" TargetMode="External"/><Relationship Id="rId16" Type="http://schemas.openxmlformats.org/officeDocument/2006/relationships/hyperlink" Target="https://universidade.pipelovers.net/m/lessons/ia-na-gestao-de-objecoes-e-no-fechamento-1785177287741" TargetMode="External"/><Relationship Id="rId19" Type="http://schemas.openxmlformats.org/officeDocument/2006/relationships/hyperlink" Target="https://universidade.pipelovers.net/m/lessons/ia-na-gestao-do-time-e-na-lideranca-comercial-1785177476751?moduleId=1569&amp;classId=4421" TargetMode="External"/><Relationship Id="rId18" Type="http://schemas.openxmlformats.org/officeDocument/2006/relationships/hyperlink" Target="https://universidade.pipelovers.net/m/lessons/ia-na-gestao-do-time-e-na-lideranca-comercial-1785177476751?moduleId=1569&amp;classId=442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square-help-401.notion.site/PipeLovers-Gest-o-de-Conte-dos-092a0245b45d4913bc546769f201f09c" TargetMode="External"/><Relationship Id="rId2" Type="http://schemas.openxmlformats.org/officeDocument/2006/relationships/hyperlink" Target="https://www.linkedin.com/in/gpagotto/" TargetMode="External"/><Relationship Id="rId3" Type="http://schemas.openxmlformats.org/officeDocument/2006/relationships/hyperlink" Target="https://universidade.pipelovers.net/m/lessons/modulo-1-programa-de-gestao-de-vendas-b2b-estrategia-de-posicionamento-e-planejamento-comercial-1774882373795" TargetMode="External"/><Relationship Id="rId4" Type="http://schemas.openxmlformats.org/officeDocument/2006/relationships/hyperlink" Target="https://drive.google.com/file/d/1DLg9qj1JOCSizTyaGUh4RShFyUTHdL3_/view?usp=drive_link" TargetMode="External"/><Relationship Id="rId9" Type="http://schemas.openxmlformats.org/officeDocument/2006/relationships/hyperlink" Target="https://universidade.pipelovers.net/m/lessons/modulo-3-canais-de-aquisicao-e-geracao-de-demanda-b2b-1774884769462" TargetMode="External"/><Relationship Id="rId5" Type="http://schemas.openxmlformats.org/officeDocument/2006/relationships/hyperlink" Target="https://www.linkedin.com/in/gpagotto/" TargetMode="External"/><Relationship Id="rId6" Type="http://schemas.openxmlformats.org/officeDocument/2006/relationships/hyperlink" Target="https://universidade.pipelovers.net/m/lessons/modulo-2-recrutamento-remuneracao-e-desenvolvimento-de-equipes-1774884083442" TargetMode="External"/><Relationship Id="rId7" Type="http://schemas.openxmlformats.org/officeDocument/2006/relationships/hyperlink" Target="https://drive.google.com/file/d/1nYV5q9XAxwSXRDqWnJAGQCeyfMA8EZJ_/view?usp=drive_link" TargetMode="External"/><Relationship Id="rId8" Type="http://schemas.openxmlformats.org/officeDocument/2006/relationships/hyperlink" Target="https://www.linkedin.com/in/gpagotto/" TargetMode="External"/><Relationship Id="rId11" Type="http://schemas.openxmlformats.org/officeDocument/2006/relationships/hyperlink" Target="https://www.linkedin.com/in/gpagotto/" TargetMode="External"/><Relationship Id="rId10" Type="http://schemas.openxmlformats.org/officeDocument/2006/relationships/hyperlink" Target="https://drive.google.com/file/d/1hLUk23NaKjQu0Q5m9_cJ6zXyTanH7tec/view?usp=drive_link" TargetMode="External"/><Relationship Id="rId13" Type="http://schemas.openxmlformats.org/officeDocument/2006/relationships/hyperlink" Target="https://drive.google.com/file/d/1ZJqkZBRcNAAAzNS--Xh_VMRxJRRaN4Y9/view?usp=drive_link" TargetMode="External"/><Relationship Id="rId12" Type="http://schemas.openxmlformats.org/officeDocument/2006/relationships/hyperlink" Target="https://universidade.pipelovers.net/m/lessons/modulo-4-expansao-de-receita-na-base-de-clientes-retencao-upsell-1774888126474" TargetMode="External"/><Relationship Id="rId15" Type="http://schemas.openxmlformats.org/officeDocument/2006/relationships/hyperlink" Target="https://universidade.pipelovers.net/m/lessons/modulo-5-rotinas-de-gestao-comercial-rituais-processos-e-ferramentas-1774897016053" TargetMode="External"/><Relationship Id="rId14" Type="http://schemas.openxmlformats.org/officeDocument/2006/relationships/hyperlink" Target="https://www.linkedin.com/in/gpagotto/" TargetMode="External"/><Relationship Id="rId17" Type="http://schemas.openxmlformats.org/officeDocument/2006/relationships/drawing" Target="../drawings/drawing10.xml"/><Relationship Id="rId16" Type="http://schemas.openxmlformats.org/officeDocument/2006/relationships/hyperlink" Target="https://drive.google.com/file/d/14VhKrk0dmYAi-MzoIhhviFm7iYnN3ULc/view?usp=drive_link" TargetMode="External"/><Relationship Id="rId19" Type="http://schemas.openxmlformats.org/officeDocument/2006/relationships/table" Target="../tables/table72.xml"/></Relationships>
</file>

<file path=xl/worksheets/_rels/sheet11.xml.rels><?xml version="1.0" encoding="UTF-8" standalone="yes"?><Relationships xmlns="http://schemas.openxmlformats.org/package/2006/relationships"><Relationship Id="rId1" Type="http://schemas.openxmlformats.org/officeDocument/2006/relationships/hyperlink" Target="https://square-help-401.notion.site/PipeLovers-Gest-o-de-Conte-dos-092a0245b45d4913bc546769f201f09c" TargetMode="External"/><Relationship Id="rId2" Type="http://schemas.openxmlformats.org/officeDocument/2006/relationships/hyperlink" Target="https://www.linkedin.com/in/marcelobaratella/" TargetMode="External"/><Relationship Id="rId3" Type="http://schemas.openxmlformats.org/officeDocument/2006/relationships/hyperlink" Target="https://pipelovers.curseduca.pro/m/lessons/modulo-1-certificacao-de-vendedores-b2b-prospeccao-inteligente-e-geracao-de-demanda-1774620432269" TargetMode="External"/><Relationship Id="rId4" Type="http://schemas.openxmlformats.org/officeDocument/2006/relationships/hyperlink" Target="https://pipelovers.curseduca.pro/m/lessons/modulo-1-certificacao-de-vendedores-b2b-prospeccao-inteligente-e-geracao-de-demanda-1774620432269" TargetMode="External"/><Relationship Id="rId9" Type="http://schemas.openxmlformats.org/officeDocument/2006/relationships/hyperlink" Target="https://drive.google.com/file/d/1qEDM5M19eWLIJMxg7QF25eo4BaM7Vm7V/view?usp=drive_link" TargetMode="External"/><Relationship Id="rId5" Type="http://schemas.openxmlformats.org/officeDocument/2006/relationships/hyperlink" Target="https://drive.google.com/file/d/1u7KkwdoM-WihNl7gIl1TzCbdjfvZOOXK/view?usp=drive_link" TargetMode="External"/><Relationship Id="rId6" Type="http://schemas.openxmlformats.org/officeDocument/2006/relationships/hyperlink" Target="https://www.linkedin.com/in/helioazevedo/" TargetMode="External"/><Relationship Id="rId7" Type="http://schemas.openxmlformats.org/officeDocument/2006/relationships/hyperlink" Target="https://pipelovers.curseduca.pro/m/lessons/modulo-2-certificacao-de-vendedores-b2b-pitch-storytelling-e-oratoria-comercial-descript-1774622506811?classId=3850" TargetMode="External"/><Relationship Id="rId8" Type="http://schemas.openxmlformats.org/officeDocument/2006/relationships/hyperlink" Target="https://pipelovers.curseduca.pro/m/lessons/modulo-2-certificacao-de-vendedores-b2b-pitch-storytelling-e-oratoria-comercial-descript-1774622506811?classId=3850" TargetMode="External"/><Relationship Id="rId20" Type="http://schemas.openxmlformats.org/officeDocument/2006/relationships/hyperlink" Target="https://pipelovers.curseduca.pro/m/lessons/modulo-5-habilidades-essenciais-e-rotina-do-vendedor-1775063260546" TargetMode="External"/><Relationship Id="rId22" Type="http://schemas.openxmlformats.org/officeDocument/2006/relationships/drawing" Target="../drawings/drawing11.xml"/><Relationship Id="rId21" Type="http://schemas.openxmlformats.org/officeDocument/2006/relationships/hyperlink" Target="https://drive.google.com/file/d/1OY-N7tSifw62lsOFmGiVyyZfUA3RRQzF/view?usp=drive_link" TargetMode="External"/><Relationship Id="rId24" Type="http://schemas.openxmlformats.org/officeDocument/2006/relationships/table" Target="../tables/table73.xml"/><Relationship Id="rId11" Type="http://schemas.openxmlformats.org/officeDocument/2006/relationships/hyperlink" Target="https://pipelovers.curseduca.pro/m/lessons/modulo-3-certificacao-de-vendedores-b2b-negociacao-e-fechamento-descript-1774623205576?classId=3852" TargetMode="External"/><Relationship Id="rId10" Type="http://schemas.openxmlformats.org/officeDocument/2006/relationships/hyperlink" Target="https://www.linkedin.com/in/ronaldonunes/" TargetMode="External"/><Relationship Id="rId13" Type="http://schemas.openxmlformats.org/officeDocument/2006/relationships/hyperlink" Target="https://drive.google.com/file/d/1WNGpW-FnoCSoHP-_vWcpnF50xBEMRGpR/view?usp=drive_link" TargetMode="External"/><Relationship Id="rId12" Type="http://schemas.openxmlformats.org/officeDocument/2006/relationships/hyperlink" Target="https://pipelovers.curseduca.pro/m/lessons/modulo-3-certificacao-de-vendedores-b2b-negociacao-e-fechamento-descript-1774623205576?classId=3852" TargetMode="External"/><Relationship Id="rId15" Type="http://schemas.openxmlformats.org/officeDocument/2006/relationships/hyperlink" Target="https://pipelovers.curseduca.pro/m/lessons/modulo-4-certificacao-de-vendedores-b2b-gestao-de-carteira-e-expansao-de-receita-1774629783806?classId=3851" TargetMode="External"/><Relationship Id="rId14" Type="http://schemas.openxmlformats.org/officeDocument/2006/relationships/hyperlink" Target="https://www.linkedin.com/in/diegoazevedo1/" TargetMode="External"/><Relationship Id="rId17" Type="http://schemas.openxmlformats.org/officeDocument/2006/relationships/hyperlink" Target="https://drive.google.com/file/d/1ZvfRD-giF4Qc8wWvRx3unKDuzY126VPv/view?usp=drive_link" TargetMode="External"/><Relationship Id="rId16" Type="http://schemas.openxmlformats.org/officeDocument/2006/relationships/hyperlink" Target="https://pipelovers.curseduca.pro/m/lessons/modulo-4-certificacao-de-vendedores-b2b-gestao-de-carteira-e-expansao-de-receita-1774629783806?classId=3851" TargetMode="External"/><Relationship Id="rId19" Type="http://schemas.openxmlformats.org/officeDocument/2006/relationships/hyperlink" Target="https://pipelovers.curseduca.pro/m/lessons/modulo-5-habilidades-essenciais-e-rotina-do-vendedor-1775063260546" TargetMode="External"/><Relationship Id="rId18" Type="http://schemas.openxmlformats.org/officeDocument/2006/relationships/hyperlink" Target="https://www.linkedin.com/in/gpagotto/"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square-help-401.notion.site/PipeLovers-Gest-o-de-Conte-dos-092a0245b45d4913bc546769f201f09c" TargetMode="External"/><Relationship Id="rId2" Type="http://schemas.openxmlformats.org/officeDocument/2006/relationships/hyperlink" Target="https://www.linkedin.com/in/marcelobaratella/" TargetMode="External"/><Relationship Id="rId3" Type="http://schemas.openxmlformats.org/officeDocument/2006/relationships/hyperlink" Target="https://pipelovers.curseduca.pro/m/lessons/modulo-1-certificacao-de-vendedores-b2b-prospeccao-inteligente-e-geracao-de-demanda-1774620432269" TargetMode="External"/><Relationship Id="rId4" Type="http://schemas.openxmlformats.org/officeDocument/2006/relationships/hyperlink" Target="https://pipelovers.curseduca.pro/m/lessons/modulo-1-certificacao-de-vendedores-b2b-prospeccao-inteligente-e-geracao-de-demanda-1774620432269" TargetMode="External"/><Relationship Id="rId9" Type="http://schemas.openxmlformats.org/officeDocument/2006/relationships/hyperlink" Target="https://drive.google.com/file/d/1Ih_0ZMrMmaF_Rw5d5JwIpUtv_YeLiwO-/view?usp=drive_link" TargetMode="External"/><Relationship Id="rId5" Type="http://schemas.openxmlformats.org/officeDocument/2006/relationships/hyperlink" Target="https://drive.google.com/file/d/1u7KkwdoM-WihNl7gIl1TzCbdjfvZOOXK/view?usp=drive_link" TargetMode="External"/><Relationship Id="rId6" Type="http://schemas.openxmlformats.org/officeDocument/2006/relationships/hyperlink" Target="https://www.linkedin.com/in/rlcorrea/" TargetMode="External"/><Relationship Id="rId7" Type="http://schemas.openxmlformats.org/officeDocument/2006/relationships/hyperlink" Target="https://pipelovers.curseduca.pro/m/lessons/engenharia-da-atencao-por-que-o-prospect-responde-ou-ignora-voce-1774645021735?classId=3855" TargetMode="External"/><Relationship Id="rId8" Type="http://schemas.openxmlformats.org/officeDocument/2006/relationships/hyperlink" Target="https://pipelovers.curseduca.pro/m/lessons/engenharia-da-atencao-por-que-o-prospect-responde-ou-ignora-voce-1774645021735?classId=3855" TargetMode="External"/><Relationship Id="rId20" Type="http://schemas.openxmlformats.org/officeDocument/2006/relationships/hyperlink" Target="https://pipelovers.curseduca.pro/m/lessons/programa-especializacao-em-prospeccao-1775859580421" TargetMode="External"/><Relationship Id="rId22" Type="http://schemas.openxmlformats.org/officeDocument/2006/relationships/hyperlink" Target="https://www.linkedin.com/in/gpagotto/" TargetMode="External"/><Relationship Id="rId21" Type="http://schemas.openxmlformats.org/officeDocument/2006/relationships/hyperlink" Target="https://drive.google.com/file/d/1ecl0mrz7A8FZXtvkqlW6Gt0EqzvfltvG/view?usp=drive_link" TargetMode="External"/><Relationship Id="rId24" Type="http://schemas.openxmlformats.org/officeDocument/2006/relationships/hyperlink" Target="https://pipelovers.curseduca.pro/m/lessons/mapa-de-poder-multi-threading-1774647109566" TargetMode="External"/><Relationship Id="rId23" Type="http://schemas.openxmlformats.org/officeDocument/2006/relationships/hyperlink" Target="https://pipelovers.curseduca.pro/m/lessons/mapa-de-poder-multi-threading-1774647109566" TargetMode="External"/><Relationship Id="rId25" Type="http://schemas.openxmlformats.org/officeDocument/2006/relationships/drawing" Target="../drawings/drawing12.xml"/><Relationship Id="rId27" Type="http://schemas.openxmlformats.org/officeDocument/2006/relationships/table" Target="../tables/table74.xml"/><Relationship Id="rId11" Type="http://schemas.openxmlformats.org/officeDocument/2006/relationships/hyperlink" Target="https://pipelovers.curseduca.pro/m/lessons/programa-especializacao-em-prospeccao-1775859580421" TargetMode="External"/><Relationship Id="rId10" Type="http://schemas.openxmlformats.org/officeDocument/2006/relationships/hyperlink" Target="https://www.linkedin.com/in/diegocordovez/" TargetMode="External"/><Relationship Id="rId13" Type="http://schemas.openxmlformats.org/officeDocument/2006/relationships/hyperlink" Target="https://drive.google.com/file/d/1jUs-dxEM_z8xuK3rM2oYzLZXgpmynptz/view?usp=drive_link" TargetMode="External"/><Relationship Id="rId12" Type="http://schemas.openxmlformats.org/officeDocument/2006/relationships/hyperlink" Target="https://pipelovers.curseduca.pro/m/lessons/programa-especializacao-em-prospeccao-1775859580421" TargetMode="External"/><Relationship Id="rId15" Type="http://schemas.openxmlformats.org/officeDocument/2006/relationships/hyperlink" Target="https://pipelovers.curseduca.pro/m/lessons/programa-especializacao-em-prospeccao-1775859580421" TargetMode="External"/><Relationship Id="rId14" Type="http://schemas.openxmlformats.org/officeDocument/2006/relationships/hyperlink" Target="https://www.linkedin.com/in/jessicabosco/" TargetMode="External"/><Relationship Id="rId17" Type="http://schemas.openxmlformats.org/officeDocument/2006/relationships/hyperlink" Target="https://drive.google.com/file/d/1CA8B15ZhQ_EWchEWt9x5QtIAG0g0CtJx/view?usp=drive_link" TargetMode="External"/><Relationship Id="rId16" Type="http://schemas.openxmlformats.org/officeDocument/2006/relationships/hyperlink" Target="https://pipelovers.curseduca.pro/m/lessons/programa-especializacao-em-prospeccao-1775859580421" TargetMode="External"/><Relationship Id="rId19" Type="http://schemas.openxmlformats.org/officeDocument/2006/relationships/hyperlink" Target="https://pipelovers.curseduca.pro/m/lessons/programa-especializacao-em-prospeccao-1775859580421" TargetMode="External"/><Relationship Id="rId18" Type="http://schemas.openxmlformats.org/officeDocument/2006/relationships/hyperlink" Target="https://www.linkedin.com/in/samantalopesvieira/"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bbSvYN9hBrsZAgLY41lNtDe83p3oAIvx/view?usp=share_link" TargetMode="External"/><Relationship Id="rId2" Type="http://schemas.openxmlformats.org/officeDocument/2006/relationships/hyperlink" Target="https://drive.google.com/file/d/1xUL5q95cIgGoUr-ld3r154oq86rpAfVv/view?usp=share_link" TargetMode="External"/><Relationship Id="rId3" Type="http://schemas.openxmlformats.org/officeDocument/2006/relationships/hyperlink" Target="https://drive.google.com/file/d/1q4yq695kbeoRfiPDOn2G1PPBSvi0TSIZ/view?usp=share_link" TargetMode="External"/><Relationship Id="rId4" Type="http://schemas.openxmlformats.org/officeDocument/2006/relationships/hyperlink" Target="https://drive.google.com/file/d/1ndsOXeTSfZ_BYgd9Bc20A1RX5Id4yGHf/view?usp=share_link" TargetMode="External"/><Relationship Id="rId9" Type="http://schemas.openxmlformats.org/officeDocument/2006/relationships/hyperlink" Target="https://drive.google.com/file/d/1CYzPnLzIbNB5U4kWGPuW4W4iIf7gCh1q/view?usp=share_link" TargetMode="External"/><Relationship Id="rId5" Type="http://schemas.openxmlformats.org/officeDocument/2006/relationships/hyperlink" Target="https://drive.google.com/file/d/1z1FCoVtoH0NiR4WPvlSEULagmnmdnFfC/view?usp=share_link" TargetMode="External"/><Relationship Id="rId6" Type="http://schemas.openxmlformats.org/officeDocument/2006/relationships/hyperlink" Target="https://drive.google.com/file/d/14u2IhcF4oEJDdvzJOMQE2foUV7BTL358/view?usp=share_link" TargetMode="External"/><Relationship Id="rId7" Type="http://schemas.openxmlformats.org/officeDocument/2006/relationships/hyperlink" Target="https://drive.google.com/file/d/107w264uWO1zJe6N5bYQdJuMaRCX7B5cx/view?usp=share_link" TargetMode="External"/><Relationship Id="rId8" Type="http://schemas.openxmlformats.org/officeDocument/2006/relationships/hyperlink" Target="https://drive.google.com/file/d/1v1OACtbZ9VzG71Lg9EQx7oqACHufrv2w/view?usp=share_link" TargetMode="External"/><Relationship Id="rId40" Type="http://schemas.openxmlformats.org/officeDocument/2006/relationships/hyperlink" Target="https://drive.google.com/file/d/1WbMeJjiJ57cM69wfVibJ3lYZD8UJe9i8/view?usp=share_link" TargetMode="External"/><Relationship Id="rId42" Type="http://schemas.openxmlformats.org/officeDocument/2006/relationships/hyperlink" Target="https://drive.google.com/file/d/1bjxihw2gYl16y5jpok4-GqWLgWMXop6H/view?usp=share_link" TargetMode="External"/><Relationship Id="rId41" Type="http://schemas.openxmlformats.org/officeDocument/2006/relationships/hyperlink" Target="https://drive.google.com/file/d/1G7Uh950XIJl0XGj5Xysv-Re0CbV9NPFJ/view?usp=share_link" TargetMode="External"/><Relationship Id="rId44" Type="http://schemas.openxmlformats.org/officeDocument/2006/relationships/hyperlink" Target="https://drive.google.com/file/d/1UF925raqVKTCBpAHyAwg06hWTgdj5IlN/view?usp=share_link" TargetMode="External"/><Relationship Id="rId43" Type="http://schemas.openxmlformats.org/officeDocument/2006/relationships/hyperlink" Target="https://drive.google.com/file/d/11ec03TS119ypzlSGC8fakLl5DHfFsePN/view?usp=share_link" TargetMode="External"/><Relationship Id="rId46" Type="http://schemas.openxmlformats.org/officeDocument/2006/relationships/hyperlink" Target="https://drive.google.com/file/d/1qTTDF3YLAJ87dBz5WTHGKHhztJMOP3kx/view?usp=share_link" TargetMode="External"/><Relationship Id="rId45" Type="http://schemas.openxmlformats.org/officeDocument/2006/relationships/hyperlink" Target="https://drive.google.com/file/d/1bZtLV4YGHkG6o3xulfjFg6kBT3aAoaSY/view?usp=share_link" TargetMode="External"/><Relationship Id="rId48" Type="http://schemas.openxmlformats.org/officeDocument/2006/relationships/hyperlink" Target="https://drive.google.com/file/d/1iJxxiaeEMADpQXkY8mUpgX4tq3sVooeR/view?usp=share_link" TargetMode="External"/><Relationship Id="rId47" Type="http://schemas.openxmlformats.org/officeDocument/2006/relationships/hyperlink" Target="https://drive.google.com/file/d/1CqaH6pc1g6Tgx5477IUy2RscEOnJkWvH/view?usp=share_link" TargetMode="External"/><Relationship Id="rId49" Type="http://schemas.openxmlformats.org/officeDocument/2006/relationships/hyperlink" Target="https://drive.google.com/file/d/1k2rI7YGpeie-98O5Jp4WO8gh_rpWlOj0/view?usp=share_link" TargetMode="External"/><Relationship Id="rId31" Type="http://schemas.openxmlformats.org/officeDocument/2006/relationships/hyperlink" Target="https://drive.google.com/file/d/1_wmdAjptFyoHX0g9Bgs-Sm5s--m_d_kq/view?usp=share_link" TargetMode="External"/><Relationship Id="rId30" Type="http://schemas.openxmlformats.org/officeDocument/2006/relationships/hyperlink" Target="https://drive.google.com/file/d/1cRUnxF5ikeAMn4ulB1qlIVRAwWMOcOJm/view?usp=share_link" TargetMode="External"/><Relationship Id="rId33" Type="http://schemas.openxmlformats.org/officeDocument/2006/relationships/hyperlink" Target="https://drive.google.com/file/d/16-HrohnH9842U73zJyjmSZn0DN0GrXcJ/view?usp=share_link" TargetMode="External"/><Relationship Id="rId32" Type="http://schemas.openxmlformats.org/officeDocument/2006/relationships/hyperlink" Target="https://drive.google.com/file/d/1XKxP9xOLo9XNrpKJk-D6QOg6qTSgzmf6/view?usp=share_link" TargetMode="External"/><Relationship Id="rId35" Type="http://schemas.openxmlformats.org/officeDocument/2006/relationships/hyperlink" Target="https://drive.google.com/file/d/1lVSQArjZcYdMMY0iRI5FXRL14wGAtcxU/view?usp=share_link" TargetMode="External"/><Relationship Id="rId34" Type="http://schemas.openxmlformats.org/officeDocument/2006/relationships/hyperlink" Target="https://drive.google.com/file/d/1cY-gN8Yx4O2dXtrcZxo6_Do7HoP916kO/view?usp=share_link" TargetMode="External"/><Relationship Id="rId37" Type="http://schemas.openxmlformats.org/officeDocument/2006/relationships/hyperlink" Target="https://drive.google.com/file/d/1q7R4w8bomPOEXcfkfC_uSLmpk4kn2xq4/view?usp=share_link" TargetMode="External"/><Relationship Id="rId36" Type="http://schemas.openxmlformats.org/officeDocument/2006/relationships/hyperlink" Target="https://drive.google.com/file/d/1pWghwfaqBDzXXETJ9J4O-vTfjb5T8bmJ/view?usp=share_link" TargetMode="External"/><Relationship Id="rId39" Type="http://schemas.openxmlformats.org/officeDocument/2006/relationships/hyperlink" Target="https://drive.google.com/file/d/1iYCXzG0u18yzN-TESp_ERiGbdpDISfYN/view?usp=share_link" TargetMode="External"/><Relationship Id="rId38" Type="http://schemas.openxmlformats.org/officeDocument/2006/relationships/hyperlink" Target="https://drive.google.com/file/d/1UpDdZGWeKhUWjwX6nyCGCCZNyjJAyMuj/view?usp=share_link" TargetMode="External"/><Relationship Id="rId20" Type="http://schemas.openxmlformats.org/officeDocument/2006/relationships/hyperlink" Target="https://drive.google.com/file/d/14SBEpn69Rk_pJ5AsxkW9VCdNndDDi2cl/view?usp=share_link" TargetMode="External"/><Relationship Id="rId22" Type="http://schemas.openxmlformats.org/officeDocument/2006/relationships/hyperlink" Target="https://drive.google.com/file/d/1V9oaJj9KNhry8j863wJyIh-Pxg1cHxqU/view?usp=share_link" TargetMode="External"/><Relationship Id="rId21" Type="http://schemas.openxmlformats.org/officeDocument/2006/relationships/hyperlink" Target="https://drive.google.com/file/d/1uRZuUrz3Bu6TMC3NObM_N0yidrJS_taT/view?usp=share_link" TargetMode="External"/><Relationship Id="rId24" Type="http://schemas.openxmlformats.org/officeDocument/2006/relationships/hyperlink" Target="https://drive.google.com/file/d/1V1N7AoxoWgJHwsrAFGHCcxAYR4da4YPb/view?usp=share_link" TargetMode="External"/><Relationship Id="rId23" Type="http://schemas.openxmlformats.org/officeDocument/2006/relationships/hyperlink" Target="https://drive.google.com/file/d/1KTBb6dHFQMxFydaj9W2Bq3q5CC2MWiQG/view?usp=share_link" TargetMode="External"/><Relationship Id="rId26" Type="http://schemas.openxmlformats.org/officeDocument/2006/relationships/hyperlink" Target="https://drive.google.com/file/d/1K-3Bizh5390c3nj_0IuH47wduEKzEyjD/view?usp=share_link" TargetMode="External"/><Relationship Id="rId25" Type="http://schemas.openxmlformats.org/officeDocument/2006/relationships/hyperlink" Target="https://drive.google.com/file/d/1M6qMOS5m-1kHY6nnLMn8fO5oTnF-4NoE/view?usp=share_link" TargetMode="External"/><Relationship Id="rId28" Type="http://schemas.openxmlformats.org/officeDocument/2006/relationships/hyperlink" Target="https://drive.google.com/file/d/1oM0lz1PwJUZru0vRyn2sxSkJjFfcmM0R/view?usp=share_link" TargetMode="External"/><Relationship Id="rId27" Type="http://schemas.openxmlformats.org/officeDocument/2006/relationships/hyperlink" Target="https://drive.google.com/file/d/1Hui9fnVgSpbG9yRaAkeuiwTVCM_Ijg_E/view?usp=share_link" TargetMode="External"/><Relationship Id="rId29" Type="http://schemas.openxmlformats.org/officeDocument/2006/relationships/hyperlink" Target="https://drive.google.com/file/d/14G31WI0pI30PCLO9MFbbq3ggNcaz9e-k/view?usp=share_link" TargetMode="External"/><Relationship Id="rId11" Type="http://schemas.openxmlformats.org/officeDocument/2006/relationships/hyperlink" Target="https://drive.google.com/file/d/1fRW9TI_rPLQfpPxE7oUAYaguDizYA5ci/view?usp=share_link" TargetMode="External"/><Relationship Id="rId10" Type="http://schemas.openxmlformats.org/officeDocument/2006/relationships/hyperlink" Target="https://drive.google.com/file/d/1vqr1hLh2X1evmlPLIZhGyHCHfOu0Ztkv/view?usp=share_link" TargetMode="External"/><Relationship Id="rId13" Type="http://schemas.openxmlformats.org/officeDocument/2006/relationships/hyperlink" Target="https://drive.google.com/file/d/11zsZWHI1w1yAse_xhvXOlWpirvPQPUxn/view?usp=share_link" TargetMode="External"/><Relationship Id="rId12" Type="http://schemas.openxmlformats.org/officeDocument/2006/relationships/hyperlink" Target="https://drive.google.com/file/d/1-Jw5EI8bFwwkQr2yeVxNu76ZEcyJw7Vr/view?usp=share_link" TargetMode="External"/><Relationship Id="rId15" Type="http://schemas.openxmlformats.org/officeDocument/2006/relationships/hyperlink" Target="https://drive.google.com/file/d/1j6omca2UzhfzY5MKvdUtqCQmKqbdsrC3/view?usp=share_link" TargetMode="External"/><Relationship Id="rId14" Type="http://schemas.openxmlformats.org/officeDocument/2006/relationships/hyperlink" Target="https://drive.google.com/file/d/1dsoetx4-M27_PmI7fhGdeJt1jC-wYs3a/view?usp=share_link" TargetMode="External"/><Relationship Id="rId17" Type="http://schemas.openxmlformats.org/officeDocument/2006/relationships/hyperlink" Target="https://drive.google.com/file/d/1eTMxDKPkgHJMiwpt2naHik708Js7-ARb/view?usp=share_link" TargetMode="External"/><Relationship Id="rId16" Type="http://schemas.openxmlformats.org/officeDocument/2006/relationships/hyperlink" Target="https://drive.google.com/file/d/1gs1LtqccHb3g2_fe9udpB89L2jaw7YAr/view?usp=share_link" TargetMode="External"/><Relationship Id="rId19" Type="http://schemas.openxmlformats.org/officeDocument/2006/relationships/hyperlink" Target="https://drive.google.com/file/d/1_bvuOJhdEbKHo7b6OnTEFQWvYXlaYYYu/view?usp=share_link" TargetMode="External"/><Relationship Id="rId18" Type="http://schemas.openxmlformats.org/officeDocument/2006/relationships/hyperlink" Target="https://drive.google.com/file/d/1qeiNcps1N9OxN7jFW9BBEUd5wHa3J_SD/view?usp=share_link" TargetMode="External"/><Relationship Id="rId84" Type="http://schemas.openxmlformats.org/officeDocument/2006/relationships/hyperlink" Target="https://drive.google.com/file/d/1NmWUsYqaoTHZ7c32jVM6uxaATX_WPpbe/view?usp=share_link" TargetMode="External"/><Relationship Id="rId83" Type="http://schemas.openxmlformats.org/officeDocument/2006/relationships/hyperlink" Target="https://drive.google.com/file/d/1bjWRd--AjxRZHe0FVxhMaIYr_RjjDem1/view?usp=share_link" TargetMode="External"/><Relationship Id="rId86" Type="http://schemas.openxmlformats.org/officeDocument/2006/relationships/hyperlink" Target="https://drive.google.com/file/d/1vWRuPkLQe1qvAVXAcHqc8htCESuwOtOf/view?usp=share_link" TargetMode="External"/><Relationship Id="rId85" Type="http://schemas.openxmlformats.org/officeDocument/2006/relationships/hyperlink" Target="https://drive.google.com/file/d/1mO4mceQBxgxMPbC5EXyd0I12UuwLkaqj/view?usp=share_link" TargetMode="External"/><Relationship Id="rId88" Type="http://schemas.openxmlformats.org/officeDocument/2006/relationships/hyperlink" Target="https://drive.google.com/file/d/1TbqULkTDX8AajyBrYH_iAQKf4Km6Im3r/view?usp=share_link" TargetMode="External"/><Relationship Id="rId87" Type="http://schemas.openxmlformats.org/officeDocument/2006/relationships/hyperlink" Target="https://drive.google.com/file/d/1Wq_aKxEe_uq8twVwmdsc-ph5a0NrALwi/view?usp=share_link" TargetMode="External"/><Relationship Id="rId89" Type="http://schemas.openxmlformats.org/officeDocument/2006/relationships/hyperlink" Target="https://drive.google.com/file/d/1Wq_aKxEe_uq8twVwmdsc-ph5a0NrALwi/view?usp=share_link" TargetMode="External"/><Relationship Id="rId80" Type="http://schemas.openxmlformats.org/officeDocument/2006/relationships/hyperlink" Target="https://drive.google.com/file/d/1S2IEhy1QtJcxkArzxFhwah4lzt87labY/view?usp=share_link" TargetMode="External"/><Relationship Id="rId82" Type="http://schemas.openxmlformats.org/officeDocument/2006/relationships/hyperlink" Target="https://drive.google.com/file/d/1GrA9Y_hhfAYDLPLX4VRBuYaTxXxlLIcX/view?usp=share_link" TargetMode="External"/><Relationship Id="rId81" Type="http://schemas.openxmlformats.org/officeDocument/2006/relationships/hyperlink" Target="https://drive.google.com/file/d/18mY2DVaZS8BmxUdnzvGic8t8lT6grqMn/view?usp=share_link" TargetMode="External"/><Relationship Id="rId73" Type="http://schemas.openxmlformats.org/officeDocument/2006/relationships/hyperlink" Target="https://drive.google.com/file/d/16D3rE6t9iq8NoecmCv41lFT2B5i5NRYS/view?usp=share_link" TargetMode="External"/><Relationship Id="rId72" Type="http://schemas.openxmlformats.org/officeDocument/2006/relationships/hyperlink" Target="https://drive.google.com/file/d/1fikUBNVgiqFR7hrWYDfAHo5mrbcyqwae/view?usp=share_link" TargetMode="External"/><Relationship Id="rId75" Type="http://schemas.openxmlformats.org/officeDocument/2006/relationships/hyperlink" Target="https://drive.google.com/file/d/1Eibp01u9H821nlITQ5_k-8IC5exU8R_L/view?usp=share_link" TargetMode="External"/><Relationship Id="rId74" Type="http://schemas.openxmlformats.org/officeDocument/2006/relationships/hyperlink" Target="https://drive.google.com/file/d/12Y5O_Ftq6oIuEc3_qvYttp_Akk1fEU-C/view?usp=share_link" TargetMode="External"/><Relationship Id="rId77" Type="http://schemas.openxmlformats.org/officeDocument/2006/relationships/hyperlink" Target="https://drive.google.com/file/d/1_0CHmpBBLQUtIJ7M-EQgSShD9xDFqN45/view?usp=share_link" TargetMode="External"/><Relationship Id="rId76" Type="http://schemas.openxmlformats.org/officeDocument/2006/relationships/hyperlink" Target="https://drive.google.com/file/d/1JfvHRXBQS7U22V_EGXXOkiUVLAUmoCHP/view?usp=share_link" TargetMode="External"/><Relationship Id="rId79" Type="http://schemas.openxmlformats.org/officeDocument/2006/relationships/hyperlink" Target="https://drive.google.com/file/d/1Kvt-izf3fux38zyRvC5SgON5u1UMXAGH/view?usp=share_link" TargetMode="External"/><Relationship Id="rId78" Type="http://schemas.openxmlformats.org/officeDocument/2006/relationships/hyperlink" Target="https://drive.google.com/file/d/1vxL2EIzyyKvNbUjDh03N8VBDg7a037Rl/view?usp=share_link" TargetMode="External"/><Relationship Id="rId71" Type="http://schemas.openxmlformats.org/officeDocument/2006/relationships/hyperlink" Target="https://drive.google.com/file/d/1Pnk0xfTcoWLeMVMkKhuJclW-eykjYbQH/view?usp=share_link" TargetMode="External"/><Relationship Id="rId70" Type="http://schemas.openxmlformats.org/officeDocument/2006/relationships/hyperlink" Target="https://drive.google.com/file/d/1sDkLzrL2YJgXJWy6SSB_wrbBkpcuowct/view?usp=share_link" TargetMode="External"/><Relationship Id="rId62" Type="http://schemas.openxmlformats.org/officeDocument/2006/relationships/hyperlink" Target="https://drive.google.com/file/d/1gIUtkraPrRNlqsFcCanOp8k8KsBPAQ-U/view?usp=share_link" TargetMode="External"/><Relationship Id="rId61" Type="http://schemas.openxmlformats.org/officeDocument/2006/relationships/hyperlink" Target="https://drive.google.com/file/d/1EQHrcKMx3tnbPVJEtABRce5JM0q8nTvM/view?usp=share_link" TargetMode="External"/><Relationship Id="rId64" Type="http://schemas.openxmlformats.org/officeDocument/2006/relationships/hyperlink" Target="https://drive.google.com/file/d/1TziVGz12KNC38dfUTTCZ6DwWwEhvH4fM/view?usp=share_link" TargetMode="External"/><Relationship Id="rId63" Type="http://schemas.openxmlformats.org/officeDocument/2006/relationships/hyperlink" Target="https://drive.google.com/file/d/1W6poCWvyGt3Jdv7VEyJ8c0vHS0eGNZZU/view?usp=share_link" TargetMode="External"/><Relationship Id="rId66" Type="http://schemas.openxmlformats.org/officeDocument/2006/relationships/hyperlink" Target="https://drive.google.com/file/d/1HEGp4h8eQqkgU3CsfX4NFkV_GhGwsshD/view?usp=share_link" TargetMode="External"/><Relationship Id="rId65" Type="http://schemas.openxmlformats.org/officeDocument/2006/relationships/hyperlink" Target="https://drive.google.com/file/d/1338oONCzREOWu-TP6rLFkAlmx3b64dPd/view?usp=share_link" TargetMode="External"/><Relationship Id="rId68" Type="http://schemas.openxmlformats.org/officeDocument/2006/relationships/hyperlink" Target="https://drive.google.com/file/d/1ytFu1JyCEFdhSvOn_PrVAQMTJfbM_Ozl/view?usp=share_link" TargetMode="External"/><Relationship Id="rId67" Type="http://schemas.openxmlformats.org/officeDocument/2006/relationships/hyperlink" Target="https://drive.google.com/file/d/1kfabPJEjfOcCAy_fcmTtnSNDTYQkWQaR/view?usp=share_link" TargetMode="External"/><Relationship Id="rId60" Type="http://schemas.openxmlformats.org/officeDocument/2006/relationships/hyperlink" Target="https://drive.google.com/file/d/1t8ByJkJt1-KKDmV5D8Vkrug1EM7vuMJI/view?usp=share_link" TargetMode="External"/><Relationship Id="rId69" Type="http://schemas.openxmlformats.org/officeDocument/2006/relationships/hyperlink" Target="https://drive.google.com/file/d/12smIgGeaa6V4HLy3GzlPlfUOQcCFEhT7/view?usp=share_link" TargetMode="External"/><Relationship Id="rId51" Type="http://schemas.openxmlformats.org/officeDocument/2006/relationships/hyperlink" Target="https://drive.google.com/file/d/1KXzRSUdbmpCd3NhpT8rT2KcyTGOFBe_W/view?usp=share_link" TargetMode="External"/><Relationship Id="rId50" Type="http://schemas.openxmlformats.org/officeDocument/2006/relationships/hyperlink" Target="https://drive.google.com/file/d/1vHZK_2oQVfHnqLdMLah3dIu0nrMnUaZS/view?usp=share_link" TargetMode="External"/><Relationship Id="rId53" Type="http://schemas.openxmlformats.org/officeDocument/2006/relationships/hyperlink" Target="https://drive.google.com/file/d/1c6A0y1xPWWi2_veSSnVl5XHN4wud_GMz/view?usp=share_link" TargetMode="External"/><Relationship Id="rId52" Type="http://schemas.openxmlformats.org/officeDocument/2006/relationships/hyperlink" Target="https://drive.google.com/file/d/19bI3QNBeg6LlFiDYzZnwCyQAsu2oYISn/view?usp=share_link" TargetMode="External"/><Relationship Id="rId55" Type="http://schemas.openxmlformats.org/officeDocument/2006/relationships/hyperlink" Target="https://drive.google.com/file/d/1YRRz0xlqLCUt8GCIF40tJDsgDTi-ZDzB/view?usp=share_link" TargetMode="External"/><Relationship Id="rId54" Type="http://schemas.openxmlformats.org/officeDocument/2006/relationships/hyperlink" Target="https://drive.google.com/file/d/1ULNdsZRWSI3Gp-KNVQKrqWdZHzbi3HG5/view?usp=share_link" TargetMode="External"/><Relationship Id="rId57" Type="http://schemas.openxmlformats.org/officeDocument/2006/relationships/hyperlink" Target="https://drive.google.com/file/d/1xFm6LdB07544BVDls8DIbNaEe7JLmlVM/view?usp=share_link" TargetMode="External"/><Relationship Id="rId56" Type="http://schemas.openxmlformats.org/officeDocument/2006/relationships/hyperlink" Target="https://drive.google.com/file/d/1jmMMBOhDYkTCzVjEZdXRi2TlcG9x1_iB/view?usp=share_link" TargetMode="External"/><Relationship Id="rId59" Type="http://schemas.openxmlformats.org/officeDocument/2006/relationships/hyperlink" Target="https://drive.google.com/file/d/1rS06Ga8ZT13z0S4mqfCecyqmSxKUVagc/view?usp=share_link" TargetMode="External"/><Relationship Id="rId58" Type="http://schemas.openxmlformats.org/officeDocument/2006/relationships/hyperlink" Target="https://drive.google.com/file/d/1n9Pn89tojz8xCibVlLqlWvMyPUIHTBZj/view?usp=share_link" TargetMode="External"/><Relationship Id="rId95" Type="http://schemas.openxmlformats.org/officeDocument/2006/relationships/hyperlink" Target="https://drive.google.com/file/d/12t977BQbedhvfb9dx26zbgKY-gnbLfgf/view?usp=share_link" TargetMode="External"/><Relationship Id="rId94" Type="http://schemas.openxmlformats.org/officeDocument/2006/relationships/hyperlink" Target="https://drive.google.com/file/d/1856pTGhWhqSVuwyLljlgmUXbyNeUs2FY/view?usp=share_link" TargetMode="External"/><Relationship Id="rId97" Type="http://schemas.openxmlformats.org/officeDocument/2006/relationships/hyperlink" Target="https://drive.google.com/file/d/1luNleeAOAFZMoxXjfQMoDjsIml_zq0_r/view?usp=share_link" TargetMode="External"/><Relationship Id="rId96" Type="http://schemas.openxmlformats.org/officeDocument/2006/relationships/hyperlink" Target="https://drive.google.com/file/d/1fe0H5o-abassL9AxFxoxLwTgQZfRX7mN/view?usp=share_link" TargetMode="External"/><Relationship Id="rId99" Type="http://schemas.openxmlformats.org/officeDocument/2006/relationships/hyperlink" Target="https://drive.google.com/file/d/1e9juyox0zvXsHiLvimrGxirgwHx0k_IA/view?usp=share_link" TargetMode="External"/><Relationship Id="rId98" Type="http://schemas.openxmlformats.org/officeDocument/2006/relationships/hyperlink" Target="https://drive.google.com/file/d/1eXKOHNvuABvHqz0aYbjLQ__43RYbgaEm/view?usp=share_link" TargetMode="External"/><Relationship Id="rId91" Type="http://schemas.openxmlformats.org/officeDocument/2006/relationships/hyperlink" Target="https://drive.google.com/file/d/1HSJVOlsTPMmHtPHQC8ayqc2fCqeg24Nw/view?usp=share_link" TargetMode="External"/><Relationship Id="rId90" Type="http://schemas.openxmlformats.org/officeDocument/2006/relationships/hyperlink" Target="https://drive.google.com/file/d/1TbqULkTDX8AajyBrYH_iAQKf4Km6Im3r/view?usp=share_link" TargetMode="External"/><Relationship Id="rId93" Type="http://schemas.openxmlformats.org/officeDocument/2006/relationships/hyperlink" Target="https://drive.google.com/file/d/1QNEliCJJa_DOhFzmx1XMD2c04SJFjeUf/view?usp=share_link" TargetMode="External"/><Relationship Id="rId92" Type="http://schemas.openxmlformats.org/officeDocument/2006/relationships/hyperlink" Target="https://drive.google.com/file/d/1U-KOj3pGt4qpqZoFG4cNzf69EXqfzQoQ/view?usp=share_link" TargetMode="External"/><Relationship Id="rId107" Type="http://schemas.openxmlformats.org/officeDocument/2006/relationships/hyperlink" Target="https://drive.google.com/file/d/1__dMOsGXCWQCye61ZnyPty_21fiqn5QF/view?usp=share_link" TargetMode="External"/><Relationship Id="rId106" Type="http://schemas.openxmlformats.org/officeDocument/2006/relationships/hyperlink" Target="https://drive.google.com/file/d/1MvZW86oxDcTnSQ5Y9wzN7o1CvFeGz7FS/view?usp=share_link" TargetMode="External"/><Relationship Id="rId105" Type="http://schemas.openxmlformats.org/officeDocument/2006/relationships/hyperlink" Target="https://drive.google.com/file/d/159LbFNoZjfJTmZBW03Dw9T3PCIWY21gF/view?usp=share_link" TargetMode="External"/><Relationship Id="rId104" Type="http://schemas.openxmlformats.org/officeDocument/2006/relationships/hyperlink" Target="https://drive.google.com/file/d/1U-UGQeboY2SWM7-pFAabNUZ4u94XAUq7/view?usp=share_link" TargetMode="External"/><Relationship Id="rId109" Type="http://schemas.openxmlformats.org/officeDocument/2006/relationships/hyperlink" Target="https://drive.google.com/file/d/1WnFt4XadS0dxfKoI38pqD1-gsI-6kEAP/view?usp=share_link" TargetMode="External"/><Relationship Id="rId108" Type="http://schemas.openxmlformats.org/officeDocument/2006/relationships/hyperlink" Target="https://drive.google.com/file/d/1QKGqOeUOzJRP3cSAOZuq1glHwDX_VJ7x/view?usp=share_link" TargetMode="External"/><Relationship Id="rId103" Type="http://schemas.openxmlformats.org/officeDocument/2006/relationships/hyperlink" Target="https://drive.google.com/file/d/1nPEfmZ4ajbwCKX75x0sFDZY5PzNjP9Vp/view?usp=share_link" TargetMode="External"/><Relationship Id="rId102" Type="http://schemas.openxmlformats.org/officeDocument/2006/relationships/hyperlink" Target="https://drive.google.com/file/d/1EEhHF1sOgF1VRwOpK13sXBxfL-XXvWQY/view?usp=share_link" TargetMode="External"/><Relationship Id="rId101" Type="http://schemas.openxmlformats.org/officeDocument/2006/relationships/hyperlink" Target="https://drive.google.com/file/d/1PDqxOXyZViteyV1GZk58RcpCv6slgoy2/view?usp=share_link" TargetMode="External"/><Relationship Id="rId100" Type="http://schemas.openxmlformats.org/officeDocument/2006/relationships/hyperlink" Target="https://drive.google.com/file/d/1hlJUA1ppZ5j-6e5iF7lNhNQjZE2s-rLz/view?usp=share_link" TargetMode="External"/><Relationship Id="rId126" Type="http://schemas.openxmlformats.org/officeDocument/2006/relationships/table" Target="../tables/table75.xml"/><Relationship Id="rId121" Type="http://schemas.openxmlformats.org/officeDocument/2006/relationships/hyperlink" Target="https://drive.google.com/file/d/1qC8Q1YAg74k3VPzZGSYcFvpZxE3snq3s/view?usp=share_link" TargetMode="External"/><Relationship Id="rId120" Type="http://schemas.openxmlformats.org/officeDocument/2006/relationships/hyperlink" Target="https://drive.google.com/file/d/1zUmbHi3HwDDOD44w2cERYTn-0d5ZqNqw/view?usp=share_link" TargetMode="External"/><Relationship Id="rId124" Type="http://schemas.openxmlformats.org/officeDocument/2006/relationships/drawing" Target="../drawings/drawing13.xml"/><Relationship Id="rId123" Type="http://schemas.openxmlformats.org/officeDocument/2006/relationships/hyperlink" Target="https://drive.google.com/file/d/1J7tiFcR7C8HKmhcWhCPTLuOPNID-F2DV/view?usp=share_link" TargetMode="External"/><Relationship Id="rId122" Type="http://schemas.openxmlformats.org/officeDocument/2006/relationships/hyperlink" Target="https://drive.google.com/file/d/1JqsZhE4o2vxM9lHbsTSwURRuCyyIIYMX/view?usp=share_link" TargetMode="External"/><Relationship Id="rId118" Type="http://schemas.openxmlformats.org/officeDocument/2006/relationships/hyperlink" Target="https://drive.google.com/file/d/19Stzjgl4EfKqgf4HnmKZ--1ta6bJz4pZ/view?usp=share_link" TargetMode="External"/><Relationship Id="rId117" Type="http://schemas.openxmlformats.org/officeDocument/2006/relationships/hyperlink" Target="https://drive.google.com/file/d/1TBneX0K74ZSFWqq9zJ4LLyA55chiMCYO/view?usp=share_link" TargetMode="External"/><Relationship Id="rId116" Type="http://schemas.openxmlformats.org/officeDocument/2006/relationships/hyperlink" Target="https://drive.google.com/file/d/14pRNTXDOutIVGZpv9WrWEoJyrnwCH2Br/view?usp=share_link" TargetMode="External"/><Relationship Id="rId115" Type="http://schemas.openxmlformats.org/officeDocument/2006/relationships/hyperlink" Target="https://drive.google.com/file/d/1nbWGOl-jTzDNx3UqQ-sUh59uj83wWpB1/view?usp=share_link" TargetMode="External"/><Relationship Id="rId119" Type="http://schemas.openxmlformats.org/officeDocument/2006/relationships/hyperlink" Target="https://drive.google.com/file/d/1R58Ell0Z6ajIelgFFV9tx0KOCs_JCcjw/view?usp=share_link" TargetMode="External"/><Relationship Id="rId110" Type="http://schemas.openxmlformats.org/officeDocument/2006/relationships/hyperlink" Target="http://runrun.it/" TargetMode="External"/><Relationship Id="rId114" Type="http://schemas.openxmlformats.org/officeDocument/2006/relationships/hyperlink" Target="https://drive.google.com/file/d/1H0BS4UifkVr3bILm5pDXxttA7CDltNDv/view?usp=share_link" TargetMode="External"/><Relationship Id="rId113" Type="http://schemas.openxmlformats.org/officeDocument/2006/relationships/hyperlink" Target="https://drive.google.com/file/d/1hwsATbn4KRuuHmiTp3NkQDgV-ka6Mm5s/view?usp=share_link" TargetMode="External"/><Relationship Id="rId112" Type="http://schemas.openxmlformats.org/officeDocument/2006/relationships/hyperlink" Target="https://drive.google.com/file/d/1R0-EBHb-HnC-4232U4h0FLcvjf9iVSQD/view?usp=share_link" TargetMode="External"/><Relationship Id="rId111" Type="http://schemas.openxmlformats.org/officeDocument/2006/relationships/hyperlink" Target="https://drive.google.com/file/d/1SQrnhXtxMuGsCeRJlG5OVRXcEX0b8vFp/view?usp=share_link"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UCxsSsujoTeCIOmpaocSbVbe9aXrO1iJ/view?usp=share_link" TargetMode="External"/><Relationship Id="rId2" Type="http://schemas.openxmlformats.org/officeDocument/2006/relationships/hyperlink" Target="https://drive.google.com/file/d/1OQv_AdSQd3V7Ngcq3WKbbUk6hzrvPMQR/view?usp=share_link" TargetMode="External"/><Relationship Id="rId3" Type="http://schemas.openxmlformats.org/officeDocument/2006/relationships/hyperlink" Target="https://drive.google.com/file/d/1tRYQ8OFs340XElXampnZWWPPkgXMQIHC/view?usp=share_link" TargetMode="External"/><Relationship Id="rId4" Type="http://schemas.openxmlformats.org/officeDocument/2006/relationships/hyperlink" Target="https://drive.google.com/file/d/1CFCaIz3PxsUM_8OhJf5NAzS67wLYxWko/view?usp=share_link" TargetMode="External"/><Relationship Id="rId5"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qEHTmZJgJpf8k4__sxn0OFdqT4Ggy36r/view?usp=sharing" TargetMode="External"/><Relationship Id="rId2" Type="http://schemas.openxmlformats.org/officeDocument/2006/relationships/hyperlink" Target="https://drive.google.com/file/d/1MT8C-oOM-MsAMqOJPr5VO2J0aKSyWGnO/view?usp=share_link" TargetMode="External"/><Relationship Id="rId3" Type="http://schemas.openxmlformats.org/officeDocument/2006/relationships/hyperlink" Target="https://drive.google.com/file/d/1R1BiIfqhCucHKEsg-BDq9ufQPo9QBcK2/view?usp=share_link" TargetMode="External"/><Relationship Id="rId4" Type="http://schemas.openxmlformats.org/officeDocument/2006/relationships/hyperlink" Target="https://drive.google.com/file/d/12Fv_gcsjTACsMvhYUa7ZuL71SMr7bCIR/view?usp=share_link" TargetMode="External"/><Relationship Id="rId5" Type="http://schemas.openxmlformats.org/officeDocument/2006/relationships/drawing" Target="../drawings/drawing15.xml"/><Relationship Id="rId7" Type="http://schemas.openxmlformats.org/officeDocument/2006/relationships/table" Target="../tables/table7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outlineLevelCol="1"/>
  <cols>
    <col customWidth="1" min="1" max="1" width="59.29"/>
    <col customWidth="1" min="2" max="2" width="72.14"/>
    <col customWidth="1" min="3" max="3" width="35.29"/>
    <col customWidth="1" min="4" max="4" width="40.71"/>
    <col customWidth="1" min="5" max="27" width="8.71"/>
  </cols>
  <sheetData>
    <row r="1">
      <c r="A1" s="1"/>
      <c r="B1" s="2"/>
      <c r="C1" s="2" t="s">
        <v>0</v>
      </c>
      <c r="D1" s="2"/>
    </row>
    <row r="2">
      <c r="A2" s="3" t="s">
        <v>1</v>
      </c>
      <c r="B2" s="4"/>
      <c r="C2" s="4" t="s">
        <v>2</v>
      </c>
      <c r="D2" s="4"/>
    </row>
    <row r="3">
      <c r="A3" s="3" t="s">
        <v>3</v>
      </c>
      <c r="B3" s="4"/>
      <c r="C3" s="4" t="s">
        <v>2</v>
      </c>
      <c r="D3" s="4"/>
    </row>
    <row r="4">
      <c r="A4" s="3" t="s">
        <v>4</v>
      </c>
      <c r="B4" s="4"/>
      <c r="C4" s="4" t="s">
        <v>2</v>
      </c>
      <c r="D4" s="4"/>
    </row>
    <row r="5">
      <c r="A5" s="3" t="s">
        <v>5</v>
      </c>
      <c r="B5" s="4"/>
      <c r="C5" s="4" t="s">
        <v>2</v>
      </c>
      <c r="D5" s="4"/>
    </row>
    <row r="6">
      <c r="A6" s="3" t="s">
        <v>6</v>
      </c>
      <c r="B6" s="4"/>
      <c r="C6" s="4" t="s">
        <v>2</v>
      </c>
      <c r="D6" s="4"/>
    </row>
    <row r="7">
      <c r="A7" s="3" t="s">
        <v>7</v>
      </c>
      <c r="B7" s="4"/>
      <c r="C7" s="4"/>
      <c r="D7" s="4"/>
    </row>
    <row r="8">
      <c r="A8" s="5" t="s">
        <v>8</v>
      </c>
      <c r="B8" s="4"/>
      <c r="C8" s="4"/>
      <c r="D8" s="4"/>
    </row>
    <row r="9">
      <c r="A9" s="3" t="s">
        <v>9</v>
      </c>
      <c r="B9" s="4"/>
      <c r="C9" s="4" t="s">
        <v>2</v>
      </c>
      <c r="D9" s="4"/>
    </row>
    <row r="10">
      <c r="A10" s="3" t="s">
        <v>10</v>
      </c>
      <c r="B10" s="4"/>
      <c r="C10" s="4" t="s">
        <v>2</v>
      </c>
      <c r="D10" s="4"/>
    </row>
    <row r="11">
      <c r="A11" s="3" t="s">
        <v>11</v>
      </c>
      <c r="B11" s="4"/>
      <c r="C11" s="4" t="s">
        <v>2</v>
      </c>
      <c r="D11" s="4"/>
    </row>
    <row r="12">
      <c r="A12" s="3" t="s">
        <v>12</v>
      </c>
      <c r="B12" s="4"/>
      <c r="C12" s="4" t="s">
        <v>2</v>
      </c>
      <c r="D12" s="4"/>
    </row>
    <row r="13">
      <c r="A13" s="6" t="s">
        <v>13</v>
      </c>
      <c r="B13" s="4"/>
      <c r="C13" s="4" t="s">
        <v>2</v>
      </c>
      <c r="D13" s="4"/>
    </row>
    <row r="14">
      <c r="A14" s="7" t="s">
        <v>14</v>
      </c>
      <c r="B14" s="4"/>
      <c r="C14" s="4" t="s">
        <v>2</v>
      </c>
      <c r="D14" s="4"/>
    </row>
    <row r="15">
      <c r="A15" s="3" t="s">
        <v>16</v>
      </c>
      <c r="B15" s="4"/>
      <c r="C15" s="4" t="s">
        <v>2</v>
      </c>
      <c r="D15" s="4"/>
    </row>
    <row r="16">
      <c r="A16" s="3" t="s">
        <v>17</v>
      </c>
      <c r="B16" s="4"/>
      <c r="C16" s="4" t="s">
        <v>2</v>
      </c>
      <c r="D16" s="4"/>
    </row>
    <row r="17">
      <c r="A17" s="3" t="s">
        <v>18</v>
      </c>
      <c r="B17" s="4"/>
      <c r="C17" s="4" t="s">
        <v>2</v>
      </c>
      <c r="D17" s="4"/>
    </row>
    <row r="18">
      <c r="A18" s="3" t="s">
        <v>19</v>
      </c>
      <c r="B18" s="4"/>
      <c r="C18" s="4" t="s">
        <v>2</v>
      </c>
      <c r="D18" s="4"/>
    </row>
    <row r="19">
      <c r="A19" s="3" t="s">
        <v>20</v>
      </c>
      <c r="B19" s="4"/>
      <c r="C19" s="4" t="s">
        <v>2</v>
      </c>
      <c r="D19" s="4"/>
    </row>
    <row r="20">
      <c r="A20" s="3" t="s">
        <v>22</v>
      </c>
      <c r="B20" s="4"/>
      <c r="C20" s="4" t="s">
        <v>2</v>
      </c>
      <c r="D20" s="4"/>
    </row>
    <row r="21">
      <c r="A21" s="3" t="s">
        <v>23</v>
      </c>
      <c r="B21" s="4"/>
      <c r="C21" s="4" t="s">
        <v>2</v>
      </c>
      <c r="D21" s="4"/>
    </row>
    <row r="22">
      <c r="A22" s="3" t="s">
        <v>24</v>
      </c>
      <c r="B22" s="4"/>
      <c r="C22" s="4" t="s">
        <v>2</v>
      </c>
      <c r="D22" s="4"/>
    </row>
    <row r="23">
      <c r="A23" s="5" t="s">
        <v>25</v>
      </c>
      <c r="B23" s="4"/>
      <c r="C23" s="4" t="s">
        <v>2</v>
      </c>
      <c r="D23" s="4"/>
    </row>
    <row r="24">
      <c r="A24" s="14" t="s">
        <v>26</v>
      </c>
      <c r="B24" s="4"/>
      <c r="C24" s="4" t="s">
        <v>2</v>
      </c>
      <c r="D24" s="4"/>
    </row>
    <row r="25">
      <c r="A25" s="14" t="s">
        <v>27</v>
      </c>
      <c r="B25" s="4"/>
      <c r="C25" s="4" t="s">
        <v>2</v>
      </c>
      <c r="D25" s="4"/>
    </row>
    <row r="26">
      <c r="A26" s="14" t="s">
        <v>28</v>
      </c>
      <c r="B26" s="4"/>
      <c r="C26" s="4" t="s">
        <v>2</v>
      </c>
      <c r="D26" s="4"/>
    </row>
    <row r="27">
      <c r="A27" s="14" t="s">
        <v>29</v>
      </c>
      <c r="B27" s="4"/>
      <c r="C27" s="4" t="s">
        <v>2</v>
      </c>
      <c r="D27" s="4"/>
    </row>
    <row r="28">
      <c r="A28" s="14" t="s">
        <v>30</v>
      </c>
      <c r="B28" s="4"/>
      <c r="C28" s="4" t="s">
        <v>2</v>
      </c>
      <c r="D28" s="4"/>
    </row>
    <row r="29">
      <c r="A29" s="14" t="s">
        <v>31</v>
      </c>
      <c r="B29" s="4"/>
      <c r="C29" s="4" t="s">
        <v>2</v>
      </c>
      <c r="D29" s="4"/>
    </row>
    <row r="30">
      <c r="A30" s="14" t="s">
        <v>32</v>
      </c>
      <c r="B30" s="4"/>
      <c r="C30" s="4" t="s">
        <v>2</v>
      </c>
      <c r="D30" s="4"/>
    </row>
    <row r="31">
      <c r="A31" s="14" t="s">
        <v>33</v>
      </c>
      <c r="B31" s="4"/>
      <c r="C31" s="4" t="s">
        <v>2</v>
      </c>
      <c r="D31" s="4"/>
    </row>
    <row r="32">
      <c r="A32" s="14" t="s">
        <v>34</v>
      </c>
      <c r="B32" s="4"/>
      <c r="C32" s="4" t="s">
        <v>2</v>
      </c>
      <c r="D32" s="4"/>
    </row>
    <row r="33">
      <c r="A33" s="14" t="s">
        <v>35</v>
      </c>
      <c r="B33" s="4"/>
      <c r="C33" s="4" t="s">
        <v>2</v>
      </c>
      <c r="D33" s="4"/>
    </row>
    <row r="34">
      <c r="A34" s="14" t="s">
        <v>36</v>
      </c>
      <c r="B34" s="4"/>
      <c r="C34" s="4" t="s">
        <v>2</v>
      </c>
      <c r="D34" s="4"/>
    </row>
    <row r="35">
      <c r="A35" s="14" t="s">
        <v>37</v>
      </c>
      <c r="B35" s="4"/>
      <c r="C35" s="4" t="s">
        <v>2</v>
      </c>
      <c r="D35" s="4"/>
    </row>
    <row r="36">
      <c r="A36" s="14" t="s">
        <v>38</v>
      </c>
      <c r="B36" s="4"/>
      <c r="C36" s="4" t="s">
        <v>2</v>
      </c>
      <c r="D36" s="4"/>
    </row>
    <row r="37">
      <c r="A37" s="14" t="s">
        <v>40</v>
      </c>
      <c r="B37" s="4"/>
      <c r="C37" s="4" t="s">
        <v>2</v>
      </c>
      <c r="D37" s="4"/>
    </row>
    <row r="38">
      <c r="A38" s="14" t="s">
        <v>41</v>
      </c>
      <c r="B38" s="4"/>
      <c r="C38" s="4" t="s">
        <v>2</v>
      </c>
      <c r="D38" s="4"/>
    </row>
    <row r="39">
      <c r="A39" s="14" t="s">
        <v>42</v>
      </c>
      <c r="B39" s="4"/>
      <c r="C39" s="4" t="s">
        <v>2</v>
      </c>
      <c r="D39" s="4"/>
    </row>
    <row r="40">
      <c r="A40" s="14" t="s">
        <v>44</v>
      </c>
      <c r="B40" s="4"/>
      <c r="C40" s="4" t="s">
        <v>2</v>
      </c>
      <c r="D40" s="4"/>
    </row>
    <row r="41">
      <c r="A41" s="5" t="s">
        <v>45</v>
      </c>
      <c r="B41" s="4"/>
      <c r="C41" s="4" t="s">
        <v>2</v>
      </c>
      <c r="D41" s="4"/>
    </row>
    <row r="42">
      <c r="A42" s="32" t="s">
        <v>46</v>
      </c>
      <c r="B42" s="4"/>
      <c r="C42" s="4" t="s">
        <v>2</v>
      </c>
      <c r="D42" s="4"/>
    </row>
    <row r="43">
      <c r="A43" s="35" t="s">
        <v>47</v>
      </c>
      <c r="B43" s="4"/>
      <c r="C43" s="4" t="s">
        <v>2</v>
      </c>
      <c r="D43" s="4"/>
    </row>
    <row r="44">
      <c r="A44" s="35" t="s">
        <v>48</v>
      </c>
      <c r="B44" s="4"/>
      <c r="C44" s="4" t="s">
        <v>2</v>
      </c>
      <c r="D44" s="4"/>
    </row>
    <row r="45">
      <c r="A45" s="38" t="s">
        <v>49</v>
      </c>
      <c r="B45" s="4"/>
      <c r="C45" s="4" t="s">
        <v>2</v>
      </c>
      <c r="D45" s="4"/>
    </row>
    <row r="46">
      <c r="A46" s="38" t="s">
        <v>50</v>
      </c>
      <c r="B46" s="4"/>
      <c r="C46" s="4" t="s">
        <v>2</v>
      </c>
      <c r="D46" s="4"/>
    </row>
    <row r="47">
      <c r="A47" s="38" t="s">
        <v>51</v>
      </c>
      <c r="B47" s="4"/>
      <c r="C47" s="4" t="s">
        <v>2</v>
      </c>
      <c r="D47" s="4"/>
    </row>
    <row r="48">
      <c r="A48" s="39" t="s">
        <v>52</v>
      </c>
      <c r="B48" s="4"/>
      <c r="C48" s="4" t="s">
        <v>2</v>
      </c>
      <c r="D48" s="4"/>
    </row>
    <row r="49">
      <c r="A49" s="39" t="s">
        <v>53</v>
      </c>
      <c r="B49" s="4"/>
      <c r="C49" s="4" t="s">
        <v>2</v>
      </c>
      <c r="D49" s="4"/>
    </row>
    <row r="50">
      <c r="A50" s="39" t="s">
        <v>54</v>
      </c>
      <c r="B50" s="4"/>
      <c r="C50" s="4" t="s">
        <v>2</v>
      </c>
      <c r="D50" s="4"/>
    </row>
    <row r="51">
      <c r="A51" s="39" t="s">
        <v>55</v>
      </c>
      <c r="B51" s="4"/>
      <c r="C51" s="4" t="s">
        <v>2</v>
      </c>
      <c r="D51" s="4"/>
    </row>
    <row r="52">
      <c r="A52" s="39" t="s">
        <v>56</v>
      </c>
      <c r="B52" s="4"/>
      <c r="C52" s="4" t="s">
        <v>2</v>
      </c>
      <c r="D52" s="4"/>
    </row>
    <row r="53">
      <c r="A53" s="39" t="s">
        <v>57</v>
      </c>
      <c r="B53" s="4"/>
      <c r="C53" s="4" t="s">
        <v>2</v>
      </c>
      <c r="D53" s="4"/>
    </row>
    <row r="54">
      <c r="A54" s="39" t="s">
        <v>58</v>
      </c>
      <c r="B54" s="4"/>
      <c r="C54" s="4" t="s">
        <v>2</v>
      </c>
      <c r="D54" s="4"/>
    </row>
    <row r="55">
      <c r="A55" s="40" t="s">
        <v>59</v>
      </c>
      <c r="B55" s="4"/>
      <c r="C55" s="4" t="s">
        <v>2</v>
      </c>
      <c r="D55" s="4"/>
    </row>
    <row r="56">
      <c r="A56" s="41" t="s">
        <v>60</v>
      </c>
      <c r="B56" s="4"/>
      <c r="C56" s="4" t="s">
        <v>2</v>
      </c>
      <c r="D56" s="4"/>
    </row>
    <row r="57">
      <c r="A57" s="40" t="s">
        <v>61</v>
      </c>
      <c r="B57" s="4"/>
      <c r="C57" s="4" t="s">
        <v>2</v>
      </c>
      <c r="D57" s="4"/>
    </row>
    <row r="58">
      <c r="A58" s="41" t="s">
        <v>62</v>
      </c>
      <c r="B58" s="4"/>
      <c r="C58" s="4" t="s">
        <v>2</v>
      </c>
      <c r="D58" s="4"/>
    </row>
    <row r="59">
      <c r="A59" s="40" t="s">
        <v>63</v>
      </c>
      <c r="B59" s="4"/>
      <c r="C59" s="4" t="s">
        <v>2</v>
      </c>
      <c r="D59" s="4"/>
    </row>
    <row r="60">
      <c r="A60" s="41" t="s">
        <v>64</v>
      </c>
      <c r="B60" s="4"/>
      <c r="C60" s="4" t="s">
        <v>2</v>
      </c>
      <c r="D60" s="4"/>
    </row>
    <row r="61">
      <c r="A61" s="40" t="s">
        <v>65</v>
      </c>
      <c r="B61" s="4"/>
      <c r="C61" s="4" t="s">
        <v>2</v>
      </c>
      <c r="D61" s="4"/>
    </row>
    <row r="62">
      <c r="A62" s="41" t="s">
        <v>66</v>
      </c>
      <c r="B62" s="4"/>
      <c r="C62" s="4" t="s">
        <v>2</v>
      </c>
      <c r="D62" s="4"/>
    </row>
    <row r="63">
      <c r="A63" s="40" t="s">
        <v>67</v>
      </c>
      <c r="B63" s="4"/>
      <c r="C63" s="4" t="s">
        <v>2</v>
      </c>
      <c r="D63" s="4"/>
    </row>
    <row r="64">
      <c r="A64" s="41" t="s">
        <v>68</v>
      </c>
      <c r="B64" s="4"/>
      <c r="C64" s="4" t="s">
        <v>2</v>
      </c>
      <c r="D64" s="4"/>
    </row>
    <row r="65">
      <c r="A65" s="40" t="s">
        <v>69</v>
      </c>
      <c r="B65" s="4"/>
      <c r="C65" s="4" t="s">
        <v>2</v>
      </c>
      <c r="D65" s="4"/>
    </row>
    <row r="66">
      <c r="A66" s="41" t="s">
        <v>70</v>
      </c>
      <c r="B66" s="4"/>
      <c r="C66" s="4" t="s">
        <v>2</v>
      </c>
      <c r="D66" s="4"/>
    </row>
    <row r="67">
      <c r="A67" s="40" t="s">
        <v>71</v>
      </c>
      <c r="B67" s="4"/>
      <c r="C67" s="4" t="s">
        <v>2</v>
      </c>
      <c r="D67" s="4"/>
    </row>
    <row r="68">
      <c r="A68" s="41" t="s">
        <v>72</v>
      </c>
      <c r="B68" s="4"/>
      <c r="C68" s="4" t="s">
        <v>2</v>
      </c>
      <c r="D68" s="4"/>
    </row>
    <row r="69">
      <c r="A69" s="42" t="s">
        <v>73</v>
      </c>
      <c r="B69" s="4"/>
      <c r="C69" s="4" t="s">
        <v>2</v>
      </c>
      <c r="D69" s="4"/>
    </row>
    <row r="70">
      <c r="A70" s="41" t="s">
        <v>74</v>
      </c>
      <c r="B70" s="4"/>
      <c r="C70" s="4" t="s">
        <v>2</v>
      </c>
      <c r="D70" s="4"/>
    </row>
    <row r="71">
      <c r="A71" s="40" t="s">
        <v>75</v>
      </c>
      <c r="B71" s="4"/>
      <c r="C71" s="4" t="s">
        <v>2</v>
      </c>
      <c r="D71" s="4"/>
    </row>
    <row r="72">
      <c r="A72" s="41" t="s">
        <v>76</v>
      </c>
      <c r="B72" s="4"/>
      <c r="C72" s="4" t="s">
        <v>2</v>
      </c>
      <c r="D72" s="4"/>
    </row>
    <row r="73">
      <c r="A73" s="40" t="s">
        <v>77</v>
      </c>
      <c r="B73" s="4"/>
      <c r="C73" s="4" t="s">
        <v>2</v>
      </c>
      <c r="D73" s="4"/>
    </row>
    <row r="74">
      <c r="A74" s="41" t="s">
        <v>78</v>
      </c>
      <c r="B74" s="4"/>
      <c r="C74" s="4" t="s">
        <v>2</v>
      </c>
      <c r="D74" s="4"/>
    </row>
    <row r="75">
      <c r="A75" s="40" t="s">
        <v>79</v>
      </c>
      <c r="B75" s="4"/>
      <c r="C75" s="4" t="s">
        <v>2</v>
      </c>
      <c r="D75" s="4"/>
    </row>
    <row r="76">
      <c r="A76" s="41" t="s">
        <v>80</v>
      </c>
      <c r="B76" s="4"/>
      <c r="C76" s="4" t="s">
        <v>2</v>
      </c>
      <c r="D76" s="4"/>
    </row>
    <row r="77">
      <c r="A77" s="40" t="s">
        <v>81</v>
      </c>
      <c r="B77" s="4"/>
      <c r="C77" s="4" t="s">
        <v>2</v>
      </c>
      <c r="D77" s="4"/>
    </row>
    <row r="78">
      <c r="A78" s="41" t="s">
        <v>82</v>
      </c>
      <c r="B78" s="4"/>
      <c r="C78" s="4" t="s">
        <v>2</v>
      </c>
      <c r="D78" s="4"/>
    </row>
    <row r="79">
      <c r="A79" s="40" t="s">
        <v>83</v>
      </c>
      <c r="B79" s="4"/>
      <c r="C79" s="4" t="s">
        <v>2</v>
      </c>
      <c r="D79" s="4"/>
    </row>
    <row r="80">
      <c r="A80" s="41" t="s">
        <v>84</v>
      </c>
      <c r="B80" s="4"/>
      <c r="C80" s="4" t="s">
        <v>2</v>
      </c>
      <c r="D80" s="4"/>
    </row>
    <row r="81">
      <c r="A81" s="40" t="s">
        <v>85</v>
      </c>
      <c r="B81" s="4"/>
      <c r="C81" s="4" t="s">
        <v>2</v>
      </c>
      <c r="D81" s="4"/>
    </row>
    <row r="82">
      <c r="A82" s="41" t="s">
        <v>86</v>
      </c>
      <c r="B82" s="4"/>
      <c r="C82" s="4" t="s">
        <v>2</v>
      </c>
      <c r="D82" s="4"/>
    </row>
    <row r="83">
      <c r="A83" s="40" t="s">
        <v>87</v>
      </c>
      <c r="B83" s="4"/>
      <c r="C83" s="4" t="s">
        <v>2</v>
      </c>
      <c r="D83" s="4"/>
    </row>
    <row r="84">
      <c r="A84" s="41" t="s">
        <v>88</v>
      </c>
      <c r="B84" s="4"/>
      <c r="C84" s="4" t="s">
        <v>2</v>
      </c>
      <c r="D84" s="4"/>
    </row>
    <row r="85">
      <c r="A85" s="40" t="s">
        <v>89</v>
      </c>
      <c r="B85" s="4"/>
      <c r="C85" s="4" t="s">
        <v>2</v>
      </c>
      <c r="D85" s="4"/>
    </row>
    <row r="86">
      <c r="A86" s="41" t="s">
        <v>90</v>
      </c>
      <c r="B86" s="4"/>
      <c r="C86" s="4" t="s">
        <v>2</v>
      </c>
      <c r="D86" s="4"/>
    </row>
    <row r="87">
      <c r="A87" s="40" t="s">
        <v>91</v>
      </c>
      <c r="B87" s="4"/>
      <c r="C87" s="4" t="s">
        <v>2</v>
      </c>
      <c r="D87" s="4"/>
    </row>
    <row r="88">
      <c r="A88" s="41" t="s">
        <v>92</v>
      </c>
      <c r="B88" s="4"/>
      <c r="C88" s="4" t="s">
        <v>2</v>
      </c>
      <c r="D88" s="4"/>
    </row>
    <row r="89">
      <c r="A89" s="40" t="s">
        <v>93</v>
      </c>
      <c r="B89" s="4"/>
      <c r="C89" s="4" t="s">
        <v>2</v>
      </c>
      <c r="D89" s="4"/>
    </row>
    <row r="90">
      <c r="A90" s="41" t="s">
        <v>94</v>
      </c>
      <c r="B90" s="4"/>
      <c r="C90" s="4" t="s">
        <v>2</v>
      </c>
      <c r="D90" s="4"/>
    </row>
    <row r="91">
      <c r="A91" s="40" t="s">
        <v>95</v>
      </c>
      <c r="B91" s="4"/>
      <c r="C91" s="4" t="s">
        <v>2</v>
      </c>
      <c r="D91" s="4"/>
    </row>
    <row r="92">
      <c r="A92" s="41" t="s">
        <v>96</v>
      </c>
      <c r="B92" s="4"/>
      <c r="C92" s="4" t="s">
        <v>2</v>
      </c>
      <c r="D92" s="4"/>
    </row>
    <row r="93">
      <c r="A93" s="40" t="s">
        <v>97</v>
      </c>
      <c r="B93" s="4"/>
      <c r="C93" s="4" t="s">
        <v>2</v>
      </c>
      <c r="D93" s="4"/>
    </row>
    <row r="94">
      <c r="A94" s="41" t="s">
        <v>98</v>
      </c>
      <c r="B94" s="4"/>
      <c r="C94" s="4" t="s">
        <v>2</v>
      </c>
      <c r="D94" s="4"/>
    </row>
    <row r="95">
      <c r="A95" s="40" t="s">
        <v>99</v>
      </c>
      <c r="B95" s="4"/>
      <c r="C95" s="4" t="s">
        <v>2</v>
      </c>
      <c r="D95" s="4"/>
    </row>
    <row r="96">
      <c r="A96" s="7" t="s">
        <v>100</v>
      </c>
      <c r="B96" s="4"/>
      <c r="C96" s="4" t="s">
        <v>2</v>
      </c>
      <c r="D96" s="4"/>
    </row>
    <row r="97">
      <c r="A97" s="7" t="s">
        <v>101</v>
      </c>
      <c r="B97" s="4"/>
      <c r="C97" s="4" t="s">
        <v>2</v>
      </c>
      <c r="D97" s="4"/>
    </row>
    <row r="98">
      <c r="A98" s="7" t="s">
        <v>102</v>
      </c>
      <c r="B98" s="4"/>
      <c r="C98" s="4" t="s">
        <v>2</v>
      </c>
      <c r="D98" s="4"/>
    </row>
    <row r="99">
      <c r="A99" s="7" t="s">
        <v>103</v>
      </c>
      <c r="B99" s="43"/>
      <c r="C99" s="43"/>
      <c r="D99" s="43"/>
    </row>
    <row r="100">
      <c r="A100" s="44" t="s">
        <v>104</v>
      </c>
      <c r="B100" s="4"/>
      <c r="C100" s="4" t="s">
        <v>2</v>
      </c>
      <c r="D100" s="4"/>
    </row>
    <row r="101">
      <c r="A101" s="7" t="s">
        <v>105</v>
      </c>
      <c r="B101" s="4"/>
      <c r="C101" s="4" t="s">
        <v>2</v>
      </c>
      <c r="D101" s="4"/>
    </row>
    <row r="102">
      <c r="A102" s="44" t="s">
        <v>106</v>
      </c>
      <c r="B102" s="4"/>
      <c r="C102" s="4" t="s">
        <v>2</v>
      </c>
      <c r="D102" s="4"/>
    </row>
    <row r="103">
      <c r="A103" s="44" t="s">
        <v>107</v>
      </c>
      <c r="B103" s="45"/>
      <c r="C103" s="4" t="s">
        <v>2</v>
      </c>
      <c r="D103" s="4"/>
      <c r="E103" s="45"/>
      <c r="F103" s="45"/>
      <c r="G103" s="45"/>
      <c r="H103" s="45"/>
      <c r="I103" s="45"/>
      <c r="J103" s="45"/>
      <c r="K103" s="45"/>
      <c r="L103" s="45"/>
      <c r="M103" s="45"/>
      <c r="N103" s="45"/>
      <c r="O103" s="45"/>
      <c r="P103" s="45"/>
      <c r="Q103" s="45"/>
      <c r="R103" s="45"/>
      <c r="S103" s="45"/>
      <c r="T103" s="45"/>
      <c r="U103" s="45"/>
      <c r="V103" s="45"/>
      <c r="W103" s="45"/>
      <c r="X103" s="45"/>
      <c r="Y103" s="45"/>
      <c r="Z103" s="45"/>
      <c r="AA103" s="45"/>
    </row>
    <row r="104">
      <c r="A104" s="44" t="s">
        <v>108</v>
      </c>
      <c r="B104" s="4"/>
      <c r="C104" s="4"/>
      <c r="D104" s="46"/>
    </row>
    <row r="105">
      <c r="A105" s="44" t="s">
        <v>109</v>
      </c>
      <c r="B105" s="4"/>
      <c r="C105" s="4"/>
      <c r="D105" s="4"/>
    </row>
    <row r="106">
      <c r="A106" s="44" t="s">
        <v>110</v>
      </c>
      <c r="B106" s="4"/>
      <c r="C106" s="4" t="s">
        <v>2</v>
      </c>
      <c r="D106" s="4"/>
    </row>
    <row r="107">
      <c r="A107" s="44" t="s">
        <v>111</v>
      </c>
      <c r="B107" s="4"/>
      <c r="C107" s="4" t="s">
        <v>2</v>
      </c>
      <c r="D107" s="4"/>
    </row>
    <row r="108">
      <c r="A108" s="44" t="s">
        <v>112</v>
      </c>
      <c r="B108" s="4"/>
      <c r="C108" s="4" t="s">
        <v>2</v>
      </c>
      <c r="D108" s="4"/>
    </row>
    <row r="109">
      <c r="A109" s="44" t="s">
        <v>113</v>
      </c>
      <c r="B109" s="4"/>
      <c r="C109" s="4" t="s">
        <v>2</v>
      </c>
      <c r="D109" s="4"/>
    </row>
    <row r="110">
      <c r="A110" s="44" t="s">
        <v>114</v>
      </c>
      <c r="B110" s="4"/>
      <c r="C110" s="4" t="s">
        <v>2</v>
      </c>
      <c r="D110" s="4"/>
    </row>
    <row r="111">
      <c r="A111" s="44" t="s">
        <v>115</v>
      </c>
      <c r="B111" s="4"/>
      <c r="C111" s="4" t="s">
        <v>2</v>
      </c>
      <c r="D111" s="4"/>
    </row>
    <row r="112">
      <c r="A112" s="44" t="s">
        <v>116</v>
      </c>
      <c r="B112" s="4"/>
      <c r="C112" s="4" t="s">
        <v>2</v>
      </c>
      <c r="D112" s="4"/>
    </row>
    <row r="113">
      <c r="A113" s="44" t="s">
        <v>117</v>
      </c>
      <c r="B113" s="4"/>
      <c r="C113" s="4" t="s">
        <v>2</v>
      </c>
      <c r="D113" s="4"/>
    </row>
    <row r="114">
      <c r="A114" s="44" t="s">
        <v>118</v>
      </c>
      <c r="B114" s="4"/>
      <c r="C114" s="4" t="s">
        <v>2</v>
      </c>
      <c r="D114" s="4"/>
    </row>
    <row r="115">
      <c r="A115" s="44" t="s">
        <v>119</v>
      </c>
      <c r="B115" s="4"/>
      <c r="C115" s="4" t="s">
        <v>2</v>
      </c>
      <c r="D115" s="4"/>
    </row>
    <row r="116">
      <c r="A116" s="44" t="s">
        <v>120</v>
      </c>
      <c r="B116" s="4"/>
      <c r="C116" s="4" t="s">
        <v>2</v>
      </c>
      <c r="D116" s="4"/>
    </row>
    <row r="117">
      <c r="A117" s="44" t="s">
        <v>121</v>
      </c>
      <c r="B117" s="4"/>
      <c r="C117" s="4" t="s">
        <v>2</v>
      </c>
      <c r="D117" s="4"/>
    </row>
    <row r="118">
      <c r="A118" s="44" t="s">
        <v>122</v>
      </c>
      <c r="B118" s="4"/>
      <c r="C118" s="4" t="s">
        <v>2</v>
      </c>
      <c r="D118" s="4"/>
    </row>
    <row r="119">
      <c r="A119" s="44" t="s">
        <v>123</v>
      </c>
      <c r="B119" s="4"/>
      <c r="C119" s="4" t="s">
        <v>2</v>
      </c>
      <c r="D119" s="4"/>
    </row>
    <row r="120">
      <c r="A120" s="44" t="s">
        <v>124</v>
      </c>
      <c r="B120" s="4"/>
      <c r="C120" s="4" t="s">
        <v>2</v>
      </c>
      <c r="D120" s="4"/>
    </row>
    <row r="121">
      <c r="A121" s="44" t="s">
        <v>125</v>
      </c>
      <c r="B121" s="4"/>
      <c r="C121" s="4" t="s">
        <v>2</v>
      </c>
      <c r="D121" s="4"/>
    </row>
    <row r="122">
      <c r="A122" s="44" t="s">
        <v>126</v>
      </c>
      <c r="B122" s="4"/>
      <c r="C122" s="4" t="s">
        <v>2</v>
      </c>
      <c r="D122" s="4"/>
    </row>
    <row r="123">
      <c r="A123" s="44" t="s">
        <v>127</v>
      </c>
      <c r="B123" s="4"/>
      <c r="C123" s="4" t="s">
        <v>2</v>
      </c>
      <c r="D123" s="4"/>
    </row>
    <row r="124">
      <c r="A124" s="44" t="s">
        <v>128</v>
      </c>
      <c r="B124" s="4"/>
      <c r="C124" s="4" t="s">
        <v>2</v>
      </c>
      <c r="D124" s="4"/>
    </row>
    <row r="125">
      <c r="A125" s="44" t="s">
        <v>129</v>
      </c>
      <c r="B125" s="4"/>
      <c r="C125" s="4" t="s">
        <v>2</v>
      </c>
      <c r="D125" s="4"/>
    </row>
    <row r="126">
      <c r="A126" s="44" t="s">
        <v>130</v>
      </c>
      <c r="B126" s="4"/>
      <c r="C126" s="4" t="s">
        <v>2</v>
      </c>
      <c r="D126" s="4"/>
    </row>
    <row r="127">
      <c r="A127" s="44" t="s">
        <v>131</v>
      </c>
      <c r="B127" s="4"/>
      <c r="C127" s="4" t="s">
        <v>2</v>
      </c>
      <c r="D127" s="4"/>
    </row>
    <row r="128">
      <c r="A128" s="44" t="s">
        <v>132</v>
      </c>
      <c r="B128" s="4"/>
      <c r="C128" s="4" t="s">
        <v>2</v>
      </c>
      <c r="D128" s="4"/>
    </row>
    <row r="129">
      <c r="A129" s="44" t="s">
        <v>133</v>
      </c>
      <c r="B129" s="4"/>
      <c r="C129" s="4" t="s">
        <v>2</v>
      </c>
      <c r="D129" s="4"/>
    </row>
    <row r="130">
      <c r="A130" s="44" t="s">
        <v>134</v>
      </c>
      <c r="B130" s="4"/>
      <c r="C130" s="4" t="s">
        <v>2</v>
      </c>
      <c r="D130" s="4"/>
    </row>
    <row r="131">
      <c r="A131" s="44" t="s">
        <v>135</v>
      </c>
      <c r="B131" s="4"/>
      <c r="C131" s="4" t="s">
        <v>2</v>
      </c>
      <c r="D131" s="4"/>
    </row>
    <row r="132">
      <c r="A132" s="44" t="s">
        <v>136</v>
      </c>
      <c r="B132" s="4"/>
      <c r="C132" s="4" t="s">
        <v>2</v>
      </c>
      <c r="D132" s="4"/>
    </row>
    <row r="133">
      <c r="A133" s="44" t="s">
        <v>137</v>
      </c>
      <c r="B133" s="4"/>
      <c r="C133" s="4" t="s">
        <v>2</v>
      </c>
      <c r="D133" s="4"/>
    </row>
    <row r="134">
      <c r="A134" s="44" t="s">
        <v>138</v>
      </c>
      <c r="B134" s="4"/>
      <c r="C134" s="4" t="s">
        <v>2</v>
      </c>
      <c r="D134" s="4"/>
    </row>
    <row r="135">
      <c r="A135" s="44" t="s">
        <v>139</v>
      </c>
      <c r="B135" s="4"/>
      <c r="C135" s="4" t="s">
        <v>2</v>
      </c>
      <c r="D135" s="4"/>
    </row>
    <row r="136">
      <c r="A136" s="44" t="s">
        <v>140</v>
      </c>
      <c r="B136" s="4"/>
      <c r="C136" s="4" t="s">
        <v>2</v>
      </c>
      <c r="D136" s="4"/>
    </row>
    <row r="137">
      <c r="A137" s="40" t="s">
        <v>141</v>
      </c>
      <c r="B137" s="4"/>
      <c r="C137" s="4" t="s">
        <v>2</v>
      </c>
      <c r="D137" s="4"/>
    </row>
    <row r="138">
      <c r="A138" s="47" t="s">
        <v>142</v>
      </c>
      <c r="B138" s="4"/>
      <c r="C138" s="4" t="s">
        <v>2</v>
      </c>
      <c r="D138" s="4"/>
    </row>
    <row r="139">
      <c r="A139" s="48" t="s">
        <v>143</v>
      </c>
      <c r="B139" s="4"/>
      <c r="C139" s="4" t="s">
        <v>2</v>
      </c>
      <c r="D139" s="4"/>
    </row>
    <row r="140">
      <c r="A140" s="55" t="s">
        <v>144</v>
      </c>
      <c r="B140" s="4"/>
      <c r="C140" s="4" t="s">
        <v>2</v>
      </c>
      <c r="D140" s="4"/>
    </row>
    <row r="141">
      <c r="A141" s="59" t="s">
        <v>145</v>
      </c>
      <c r="B141" s="4"/>
      <c r="C141" s="4" t="s">
        <v>2</v>
      </c>
      <c r="D141" s="4"/>
    </row>
    <row r="142">
      <c r="A142" s="40" t="s">
        <v>146</v>
      </c>
      <c r="B142" s="4"/>
      <c r="C142" s="4" t="s">
        <v>2</v>
      </c>
      <c r="D142" s="4"/>
    </row>
    <row r="143">
      <c r="A143" s="40" t="s">
        <v>147</v>
      </c>
      <c r="B143" s="4"/>
      <c r="C143" s="4" t="s">
        <v>2</v>
      </c>
      <c r="D143" s="4"/>
    </row>
    <row r="144">
      <c r="A144" s="66" t="s">
        <v>148</v>
      </c>
      <c r="B144" s="4"/>
      <c r="C144" s="4" t="s">
        <v>2</v>
      </c>
      <c r="D144" s="4"/>
    </row>
    <row r="145">
      <c r="A145" s="66" t="s">
        <v>149</v>
      </c>
      <c r="B145" s="4"/>
      <c r="C145" s="4" t="s">
        <v>2</v>
      </c>
      <c r="D145" s="4"/>
    </row>
    <row r="146">
      <c r="A146" s="40" t="s">
        <v>151</v>
      </c>
      <c r="B146" s="4"/>
      <c r="C146" s="4" t="s">
        <v>2</v>
      </c>
      <c r="D146" s="4"/>
    </row>
    <row r="147">
      <c r="A147" s="40" t="s">
        <v>155</v>
      </c>
      <c r="B147" s="4"/>
      <c r="C147" s="4" t="s">
        <v>2</v>
      </c>
      <c r="D147" s="4"/>
    </row>
    <row r="148">
      <c r="A148" s="40" t="s">
        <v>157</v>
      </c>
      <c r="B148" s="4"/>
      <c r="C148" s="4" t="s">
        <v>2</v>
      </c>
      <c r="D148" s="4"/>
    </row>
    <row r="149">
      <c r="A149" s="40" t="s">
        <v>161</v>
      </c>
      <c r="B149" s="4"/>
      <c r="C149" s="4" t="s">
        <v>2</v>
      </c>
      <c r="D149" s="4"/>
    </row>
    <row r="150">
      <c r="A150" s="77" t="s">
        <v>167</v>
      </c>
      <c r="B150" s="4"/>
      <c r="C150" s="4" t="s">
        <v>2</v>
      </c>
      <c r="D150" s="4"/>
    </row>
    <row r="151">
      <c r="A151" s="77" t="s">
        <v>168</v>
      </c>
      <c r="B151" s="4"/>
      <c r="C151" s="4" t="s">
        <v>2</v>
      </c>
      <c r="D151" s="4"/>
    </row>
    <row r="152">
      <c r="A152" s="77" t="s">
        <v>169</v>
      </c>
      <c r="B152" s="4"/>
      <c r="C152" s="4" t="s">
        <v>2</v>
      </c>
      <c r="D152" s="4"/>
    </row>
    <row r="153">
      <c r="A153" s="5" t="s">
        <v>170</v>
      </c>
      <c r="B153" s="4"/>
      <c r="C153" s="4" t="s">
        <v>2</v>
      </c>
      <c r="D153" s="4"/>
    </row>
    <row r="154">
      <c r="A154" s="77" t="s">
        <v>171</v>
      </c>
      <c r="B154" s="83"/>
      <c r="C154" s="83" t="s">
        <v>172</v>
      </c>
      <c r="D154" s="83"/>
    </row>
    <row r="155">
      <c r="A155" s="77" t="s">
        <v>173</v>
      </c>
      <c r="B155" s="83"/>
      <c r="C155" s="83" t="s">
        <v>172</v>
      </c>
      <c r="D155" s="83"/>
    </row>
    <row r="156">
      <c r="A156" s="77" t="s">
        <v>174</v>
      </c>
      <c r="B156" s="83"/>
      <c r="C156" s="83" t="s">
        <v>172</v>
      </c>
      <c r="D156" s="83"/>
    </row>
    <row r="157">
      <c r="A157" s="87" t="s">
        <v>175</v>
      </c>
      <c r="B157" s="83"/>
      <c r="C157" s="83" t="s">
        <v>172</v>
      </c>
      <c r="D157" s="83"/>
    </row>
    <row r="158">
      <c r="A158" s="87" t="s">
        <v>177</v>
      </c>
      <c r="B158" s="83"/>
      <c r="C158" s="83" t="s">
        <v>172</v>
      </c>
      <c r="D158" s="83"/>
    </row>
    <row r="159">
      <c r="A159" s="87" t="s">
        <v>178</v>
      </c>
      <c r="B159" s="83"/>
      <c r="C159" s="83" t="s">
        <v>172</v>
      </c>
      <c r="D159" s="83"/>
    </row>
    <row r="160">
      <c r="A160" s="87" t="s">
        <v>180</v>
      </c>
      <c r="B160" s="83"/>
      <c r="C160" s="83" t="s">
        <v>172</v>
      </c>
      <c r="D160" s="83"/>
    </row>
    <row r="161">
      <c r="A161" s="87" t="s">
        <v>182</v>
      </c>
      <c r="B161" s="83"/>
      <c r="C161" s="83" t="s">
        <v>172</v>
      </c>
      <c r="D161" s="83"/>
    </row>
    <row r="162">
      <c r="A162" s="87" t="s">
        <v>184</v>
      </c>
      <c r="B162" s="83"/>
      <c r="C162" s="83" t="s">
        <v>172</v>
      </c>
      <c r="D162" s="83"/>
    </row>
    <row r="163">
      <c r="A163" s="87" t="s">
        <v>186</v>
      </c>
      <c r="B163" s="83"/>
      <c r="C163" s="83" t="s">
        <v>172</v>
      </c>
      <c r="D163" s="83"/>
    </row>
    <row r="164">
      <c r="A164" s="94" t="s">
        <v>188</v>
      </c>
      <c r="B164" s="83"/>
      <c r="C164" s="83" t="s">
        <v>172</v>
      </c>
      <c r="D164" s="83"/>
    </row>
    <row r="165">
      <c r="A165" s="87" t="s">
        <v>189</v>
      </c>
      <c r="B165" s="83"/>
      <c r="C165" s="83" t="s">
        <v>172</v>
      </c>
      <c r="D165" s="83"/>
    </row>
    <row r="166">
      <c r="A166" s="87" t="s">
        <v>190</v>
      </c>
      <c r="B166" s="83"/>
      <c r="C166" s="83" t="s">
        <v>172</v>
      </c>
      <c r="D166" s="83"/>
    </row>
    <row r="167">
      <c r="A167" s="87" t="s">
        <v>191</v>
      </c>
      <c r="B167" s="83"/>
      <c r="C167" s="83" t="s">
        <v>172</v>
      </c>
      <c r="D167" s="83"/>
    </row>
    <row r="168">
      <c r="A168" s="87" t="s">
        <v>193</v>
      </c>
      <c r="B168" s="83"/>
      <c r="C168" s="83" t="s">
        <v>172</v>
      </c>
      <c r="D168" s="83"/>
    </row>
    <row r="169">
      <c r="A169" s="87" t="s">
        <v>194</v>
      </c>
      <c r="B169" s="83"/>
      <c r="C169" s="83" t="s">
        <v>172</v>
      </c>
      <c r="D169" s="83"/>
    </row>
    <row r="170">
      <c r="A170" s="87" t="s">
        <v>197</v>
      </c>
      <c r="B170" s="83"/>
      <c r="C170" s="83" t="s">
        <v>172</v>
      </c>
      <c r="D170" s="83"/>
    </row>
    <row r="171">
      <c r="A171" s="87" t="s">
        <v>198</v>
      </c>
      <c r="B171" s="83"/>
      <c r="C171" s="83" t="s">
        <v>172</v>
      </c>
      <c r="D171" s="83"/>
    </row>
    <row r="172">
      <c r="A172" s="94" t="s">
        <v>199</v>
      </c>
      <c r="B172" s="83"/>
      <c r="C172" s="83" t="s">
        <v>172</v>
      </c>
      <c r="D172" s="83"/>
    </row>
    <row r="173">
      <c r="A173" s="97" t="s">
        <v>200</v>
      </c>
      <c r="B173" s="83"/>
      <c r="C173" s="83" t="s">
        <v>172</v>
      </c>
      <c r="D173" s="83"/>
    </row>
    <row r="174">
      <c r="A174" s="97" t="s">
        <v>201</v>
      </c>
      <c r="B174" s="83"/>
      <c r="C174" s="83" t="s">
        <v>172</v>
      </c>
      <c r="D174" s="83"/>
    </row>
    <row r="175">
      <c r="A175" s="97" t="s">
        <v>202</v>
      </c>
      <c r="B175" s="83"/>
      <c r="C175" s="83" t="s">
        <v>172</v>
      </c>
      <c r="D175" s="83"/>
    </row>
    <row r="176">
      <c r="A176" s="97" t="s">
        <v>203</v>
      </c>
      <c r="B176" s="83"/>
      <c r="C176" s="83" t="s">
        <v>172</v>
      </c>
      <c r="D176" s="83"/>
    </row>
    <row r="177">
      <c r="A177" s="97" t="s">
        <v>204</v>
      </c>
      <c r="B177" s="83"/>
      <c r="C177" s="83" t="s">
        <v>172</v>
      </c>
      <c r="D177" s="83"/>
    </row>
    <row r="178">
      <c r="A178" s="97" t="s">
        <v>205</v>
      </c>
      <c r="B178" s="83"/>
      <c r="C178" s="83" t="s">
        <v>172</v>
      </c>
      <c r="D178" s="83"/>
    </row>
    <row r="179">
      <c r="A179" s="97" t="s">
        <v>206</v>
      </c>
      <c r="B179" s="83"/>
      <c r="C179" s="83" t="s">
        <v>172</v>
      </c>
      <c r="D179" s="83"/>
    </row>
    <row r="180">
      <c r="A180" s="97" t="s">
        <v>207</v>
      </c>
      <c r="B180" s="83"/>
      <c r="C180" s="83" t="s">
        <v>172</v>
      </c>
      <c r="D180" s="83"/>
    </row>
    <row r="181">
      <c r="A181" s="97" t="s">
        <v>210</v>
      </c>
      <c r="B181" s="83"/>
      <c r="C181" s="83" t="s">
        <v>172</v>
      </c>
      <c r="D181" s="83"/>
    </row>
    <row r="182">
      <c r="A182" s="97" t="s">
        <v>211</v>
      </c>
      <c r="B182" s="83"/>
      <c r="C182" s="83" t="s">
        <v>172</v>
      </c>
      <c r="D182" s="83"/>
    </row>
    <row r="183">
      <c r="A183" s="97" t="s">
        <v>214</v>
      </c>
      <c r="B183" s="83"/>
      <c r="C183" s="83" t="s">
        <v>172</v>
      </c>
      <c r="D183" s="83"/>
    </row>
    <row r="184">
      <c r="A184" s="94" t="s">
        <v>217</v>
      </c>
      <c r="B184" s="83"/>
      <c r="C184" s="83" t="s">
        <v>172</v>
      </c>
      <c r="D184" s="83"/>
    </row>
    <row r="185">
      <c r="A185" s="97" t="s">
        <v>218</v>
      </c>
      <c r="B185" s="83"/>
      <c r="C185" s="83" t="s">
        <v>172</v>
      </c>
      <c r="D185" s="83"/>
    </row>
    <row r="186">
      <c r="A186" s="97" t="s">
        <v>219</v>
      </c>
      <c r="B186" s="83"/>
      <c r="C186" s="83" t="s">
        <v>172</v>
      </c>
      <c r="D186" s="83"/>
    </row>
    <row r="187">
      <c r="A187" s="97" t="s">
        <v>220</v>
      </c>
      <c r="B187" s="83"/>
      <c r="C187" s="83" t="s">
        <v>172</v>
      </c>
      <c r="D187" s="83"/>
    </row>
    <row r="188">
      <c r="A188" s="97" t="s">
        <v>221</v>
      </c>
      <c r="B188" s="83"/>
      <c r="C188" s="83" t="s">
        <v>172</v>
      </c>
      <c r="D188" s="83"/>
    </row>
    <row r="189">
      <c r="A189" s="97" t="s">
        <v>222</v>
      </c>
      <c r="B189" s="83"/>
      <c r="C189" s="83" t="s">
        <v>172</v>
      </c>
      <c r="D189" s="83"/>
    </row>
    <row r="190">
      <c r="A190" s="94" t="s">
        <v>223</v>
      </c>
      <c r="B190" s="83"/>
      <c r="C190" s="83" t="s">
        <v>172</v>
      </c>
      <c r="D190" s="83"/>
    </row>
    <row r="191">
      <c r="A191" s="94" t="s">
        <v>225</v>
      </c>
      <c r="B191" s="83"/>
      <c r="C191" s="83" t="s">
        <v>172</v>
      </c>
      <c r="D191" s="83"/>
    </row>
    <row r="192">
      <c r="A192" s="94" t="s">
        <v>228</v>
      </c>
      <c r="B192" s="83"/>
      <c r="C192" s="83" t="s">
        <v>172</v>
      </c>
      <c r="D192" s="83"/>
    </row>
    <row r="193">
      <c r="A193" s="94" t="s">
        <v>229</v>
      </c>
      <c r="B193" s="83"/>
      <c r="C193" s="83" t="s">
        <v>172</v>
      </c>
      <c r="D193" s="83"/>
    </row>
    <row r="194">
      <c r="A194" s="94" t="s">
        <v>230</v>
      </c>
      <c r="B194" s="83"/>
      <c r="C194" s="83" t="s">
        <v>172</v>
      </c>
      <c r="D194" s="83"/>
    </row>
    <row r="195">
      <c r="A195" s="94" t="s">
        <v>231</v>
      </c>
      <c r="B195" s="83"/>
      <c r="C195" s="83" t="s">
        <v>172</v>
      </c>
      <c r="D195" s="83"/>
    </row>
    <row r="196">
      <c r="A196" s="94" t="s">
        <v>232</v>
      </c>
      <c r="B196" s="83"/>
      <c r="C196" s="83" t="s">
        <v>172</v>
      </c>
      <c r="D196" s="83"/>
    </row>
    <row r="197">
      <c r="A197" s="94" t="s">
        <v>233</v>
      </c>
      <c r="B197" s="83"/>
      <c r="C197" s="83" t="s">
        <v>172</v>
      </c>
      <c r="D197" s="83"/>
    </row>
    <row r="198">
      <c r="A198" s="94" t="s">
        <v>234</v>
      </c>
      <c r="B198" s="83"/>
      <c r="C198" s="83" t="s">
        <v>172</v>
      </c>
      <c r="D198" s="83"/>
    </row>
    <row r="199">
      <c r="A199" s="94" t="s">
        <v>235</v>
      </c>
      <c r="B199" s="83"/>
      <c r="C199" s="83" t="s">
        <v>172</v>
      </c>
      <c r="D199" s="83"/>
    </row>
    <row r="200">
      <c r="A200" s="94" t="s">
        <v>236</v>
      </c>
      <c r="B200" s="83"/>
      <c r="C200" s="83" t="s">
        <v>172</v>
      </c>
      <c r="D200" s="83"/>
    </row>
    <row r="201">
      <c r="A201" s="94" t="s">
        <v>237</v>
      </c>
      <c r="B201" s="83"/>
      <c r="C201" s="83" t="s">
        <v>172</v>
      </c>
      <c r="D201" s="83"/>
    </row>
    <row r="202">
      <c r="A202" s="94" t="s">
        <v>240</v>
      </c>
      <c r="B202" s="83"/>
      <c r="C202" s="83" t="s">
        <v>172</v>
      </c>
      <c r="D202" s="83"/>
    </row>
    <row r="203">
      <c r="A203" s="94" t="s">
        <v>242</v>
      </c>
      <c r="B203" s="83"/>
      <c r="C203" s="83" t="s">
        <v>172</v>
      </c>
      <c r="D203" s="83"/>
    </row>
    <row r="204">
      <c r="A204" s="94" t="s">
        <v>246</v>
      </c>
      <c r="B204" s="83"/>
      <c r="C204" s="83" t="s">
        <v>172</v>
      </c>
      <c r="D204" s="83"/>
    </row>
    <row r="205">
      <c r="A205" s="94" t="s">
        <v>247</v>
      </c>
      <c r="B205" s="83"/>
      <c r="C205" s="83" t="s">
        <v>172</v>
      </c>
      <c r="D205" s="83"/>
    </row>
    <row r="206">
      <c r="A206" s="94" t="s">
        <v>248</v>
      </c>
      <c r="B206" s="83"/>
      <c r="C206" s="83" t="s">
        <v>172</v>
      </c>
      <c r="D206" s="83"/>
    </row>
    <row r="207">
      <c r="A207" s="94" t="s">
        <v>249</v>
      </c>
      <c r="B207" s="83"/>
      <c r="C207" s="83" t="s">
        <v>172</v>
      </c>
      <c r="D207" s="83"/>
    </row>
    <row r="208">
      <c r="A208" s="94" t="s">
        <v>250</v>
      </c>
      <c r="B208" s="83"/>
      <c r="C208" s="83" t="s">
        <v>172</v>
      </c>
      <c r="D208" s="83"/>
    </row>
    <row r="209">
      <c r="A209" s="94" t="s">
        <v>251</v>
      </c>
      <c r="B209" s="83"/>
      <c r="C209" s="83" t="s">
        <v>172</v>
      </c>
      <c r="D209" s="83"/>
    </row>
    <row r="210">
      <c r="A210" s="94" t="s">
        <v>253</v>
      </c>
      <c r="B210" s="83"/>
      <c r="C210" s="83" t="s">
        <v>172</v>
      </c>
      <c r="D210" s="83"/>
    </row>
    <row r="211">
      <c r="A211" s="94" t="s">
        <v>254</v>
      </c>
      <c r="B211" s="83"/>
      <c r="C211" s="83" t="s">
        <v>172</v>
      </c>
      <c r="D211" s="83"/>
    </row>
    <row r="212">
      <c r="A212" s="94" t="s">
        <v>255</v>
      </c>
      <c r="B212" s="83"/>
      <c r="C212" s="83" t="s">
        <v>172</v>
      </c>
      <c r="D212" s="83"/>
    </row>
    <row r="213">
      <c r="A213" s="94" t="s">
        <v>256</v>
      </c>
      <c r="B213" s="83"/>
      <c r="C213" s="83" t="s">
        <v>172</v>
      </c>
      <c r="D213" s="83"/>
    </row>
    <row r="214">
      <c r="A214" s="94" t="s">
        <v>71</v>
      </c>
      <c r="B214" s="83"/>
      <c r="C214" s="83" t="s">
        <v>172</v>
      </c>
      <c r="D214" s="83"/>
    </row>
    <row r="215">
      <c r="A215" s="94" t="s">
        <v>258</v>
      </c>
      <c r="B215" s="83"/>
      <c r="C215" s="83" t="s">
        <v>172</v>
      </c>
      <c r="D215" s="83"/>
    </row>
    <row r="216">
      <c r="A216" s="94" t="s">
        <v>261</v>
      </c>
      <c r="B216" s="83"/>
      <c r="C216" s="83" t="s">
        <v>172</v>
      </c>
      <c r="D216" s="83"/>
    </row>
    <row r="217">
      <c r="A217" s="94" t="s">
        <v>264</v>
      </c>
      <c r="B217" s="83"/>
      <c r="C217" s="83" t="s">
        <v>172</v>
      </c>
      <c r="D217" s="83"/>
    </row>
    <row r="218">
      <c r="A218" s="94" t="s">
        <v>269</v>
      </c>
      <c r="B218" s="83"/>
      <c r="C218" s="83" t="s">
        <v>172</v>
      </c>
      <c r="D218" s="83"/>
    </row>
    <row r="219">
      <c r="A219" s="94" t="s">
        <v>272</v>
      </c>
      <c r="B219" s="83"/>
      <c r="C219" s="83" t="s">
        <v>172</v>
      </c>
      <c r="D219" s="83"/>
    </row>
    <row r="220">
      <c r="A220" s="94" t="s">
        <v>273</v>
      </c>
      <c r="B220" s="83"/>
      <c r="C220" s="83" t="s">
        <v>172</v>
      </c>
      <c r="D220" s="83"/>
    </row>
    <row r="221">
      <c r="A221" s="94" t="s">
        <v>274</v>
      </c>
      <c r="B221" s="83"/>
      <c r="C221" s="83" t="s">
        <v>172</v>
      </c>
      <c r="D221" s="83"/>
    </row>
    <row r="222">
      <c r="A222" s="94" t="s">
        <v>275</v>
      </c>
      <c r="B222" s="83"/>
      <c r="C222" s="83" t="s">
        <v>172</v>
      </c>
      <c r="D222" s="83"/>
    </row>
    <row r="223">
      <c r="A223" s="94" t="s">
        <v>278</v>
      </c>
      <c r="B223" s="83"/>
      <c r="C223" s="83" t="s">
        <v>172</v>
      </c>
      <c r="D223" s="83"/>
    </row>
    <row r="224">
      <c r="A224" s="94" t="s">
        <v>279</v>
      </c>
      <c r="B224" s="83"/>
      <c r="C224" s="83" t="s">
        <v>172</v>
      </c>
      <c r="D224" s="83"/>
    </row>
    <row r="225">
      <c r="A225" s="94" t="s">
        <v>280</v>
      </c>
      <c r="B225" s="83"/>
      <c r="C225" s="83" t="s">
        <v>172</v>
      </c>
      <c r="D225" s="83"/>
    </row>
    <row r="226">
      <c r="A226" s="94" t="s">
        <v>281</v>
      </c>
      <c r="B226" s="83"/>
      <c r="C226" s="83" t="s">
        <v>172</v>
      </c>
      <c r="D226" s="83"/>
    </row>
    <row r="227">
      <c r="A227" s="94" t="s">
        <v>282</v>
      </c>
      <c r="B227" s="83"/>
      <c r="C227" s="83" t="s">
        <v>172</v>
      </c>
      <c r="D227" s="83"/>
    </row>
    <row r="228">
      <c r="A228" s="94" t="s">
        <v>283</v>
      </c>
      <c r="B228" s="83"/>
      <c r="C228" s="83" t="s">
        <v>172</v>
      </c>
      <c r="D228" s="83"/>
    </row>
    <row r="229">
      <c r="A229" s="94" t="s">
        <v>286</v>
      </c>
      <c r="B229" s="83"/>
      <c r="C229" s="83" t="s">
        <v>172</v>
      </c>
      <c r="D229" s="83"/>
    </row>
    <row r="230">
      <c r="A230" s="94" t="s">
        <v>291</v>
      </c>
      <c r="B230" s="83"/>
      <c r="C230" s="83" t="s">
        <v>172</v>
      </c>
      <c r="D230" s="83"/>
    </row>
    <row r="231">
      <c r="A231" s="94" t="s">
        <v>297</v>
      </c>
      <c r="B231" s="83"/>
      <c r="C231" s="83" t="s">
        <v>172</v>
      </c>
      <c r="D231" s="83"/>
    </row>
    <row r="232">
      <c r="A232" s="94" t="s">
        <v>298</v>
      </c>
      <c r="B232" s="83"/>
      <c r="C232" s="83" t="s">
        <v>172</v>
      </c>
      <c r="D232" s="83"/>
    </row>
    <row r="233">
      <c r="A233" s="94" t="s">
        <v>299</v>
      </c>
      <c r="B233" s="83"/>
      <c r="C233" s="83" t="s">
        <v>172</v>
      </c>
      <c r="D233" s="83"/>
    </row>
    <row r="234">
      <c r="A234" s="94" t="s">
        <v>300</v>
      </c>
      <c r="B234" s="83"/>
      <c r="C234" s="83" t="s">
        <v>172</v>
      </c>
      <c r="D234" s="83"/>
    </row>
    <row r="235">
      <c r="A235" s="94" t="s">
        <v>302</v>
      </c>
      <c r="B235" s="83"/>
      <c r="C235" s="83" t="s">
        <v>172</v>
      </c>
      <c r="D235" s="83"/>
    </row>
    <row r="236">
      <c r="A236" s="94" t="s">
        <v>303</v>
      </c>
      <c r="B236" s="83"/>
      <c r="C236" s="83" t="s">
        <v>172</v>
      </c>
      <c r="D236" s="83"/>
    </row>
    <row r="237">
      <c r="A237" s="94" t="s">
        <v>304</v>
      </c>
      <c r="B237" s="83"/>
      <c r="C237" s="83" t="s">
        <v>172</v>
      </c>
      <c r="D237" s="83"/>
    </row>
    <row r="238">
      <c r="A238" s="94" t="s">
        <v>305</v>
      </c>
      <c r="B238" s="83"/>
      <c r="C238" s="83" t="s">
        <v>172</v>
      </c>
      <c r="D238" s="83"/>
    </row>
    <row r="239">
      <c r="A239" s="94" t="s">
        <v>306</v>
      </c>
      <c r="B239" s="83"/>
      <c r="C239" s="83" t="s">
        <v>172</v>
      </c>
      <c r="D239" s="83"/>
    </row>
    <row r="240">
      <c r="A240" s="94" t="s">
        <v>307</v>
      </c>
      <c r="B240" s="83"/>
      <c r="C240" s="83" t="s">
        <v>172</v>
      </c>
      <c r="D240" s="83"/>
    </row>
    <row r="241">
      <c r="A241" s="94" t="s">
        <v>309</v>
      </c>
      <c r="B241" s="83"/>
      <c r="C241" s="83" t="s">
        <v>172</v>
      </c>
      <c r="D241" s="83"/>
    </row>
    <row r="242">
      <c r="A242" s="94" t="s">
        <v>311</v>
      </c>
      <c r="B242" s="83"/>
      <c r="C242" s="83" t="s">
        <v>172</v>
      </c>
      <c r="D242" s="83"/>
    </row>
    <row r="243">
      <c r="A243" s="94" t="s">
        <v>316</v>
      </c>
      <c r="B243" s="83"/>
      <c r="C243" s="83" t="s">
        <v>172</v>
      </c>
      <c r="D243" s="83"/>
    </row>
    <row r="244">
      <c r="A244" s="94" t="s">
        <v>101</v>
      </c>
      <c r="B244" s="83"/>
      <c r="C244" s="83"/>
      <c r="D244" s="83"/>
    </row>
    <row r="245">
      <c r="A245" s="94" t="s">
        <v>322</v>
      </c>
      <c r="B245" s="83"/>
      <c r="C245" s="83" t="s">
        <v>172</v>
      </c>
      <c r="D245" s="83"/>
    </row>
    <row r="246">
      <c r="A246" s="94" t="s">
        <v>323</v>
      </c>
      <c r="B246" s="83"/>
      <c r="C246" s="83" t="s">
        <v>172</v>
      </c>
      <c r="D246" s="83"/>
    </row>
    <row r="247">
      <c r="A247" s="94" t="s">
        <v>325</v>
      </c>
      <c r="B247" s="83"/>
      <c r="C247" s="83" t="s">
        <v>172</v>
      </c>
      <c r="D247" s="83"/>
    </row>
    <row r="248">
      <c r="A248" s="94" t="s">
        <v>327</v>
      </c>
      <c r="B248" s="83"/>
      <c r="C248" s="83" t="s">
        <v>172</v>
      </c>
      <c r="D248" s="83"/>
    </row>
    <row r="249">
      <c r="A249" s="94" t="s">
        <v>328</v>
      </c>
      <c r="B249" s="83"/>
      <c r="C249" s="83" t="s">
        <v>172</v>
      </c>
      <c r="D249" s="83"/>
    </row>
    <row r="250">
      <c r="A250" s="94" t="s">
        <v>329</v>
      </c>
      <c r="B250" s="83"/>
      <c r="C250" s="83" t="s">
        <v>172</v>
      </c>
      <c r="D250" s="83"/>
    </row>
    <row r="251">
      <c r="A251" s="139"/>
      <c r="B251" s="83"/>
      <c r="C251" s="83"/>
      <c r="D251" s="83"/>
    </row>
    <row r="252">
      <c r="A252" s="45" t="s">
        <v>287</v>
      </c>
      <c r="B252" s="83"/>
      <c r="C252" s="83" t="s">
        <v>172</v>
      </c>
      <c r="D252" s="83"/>
    </row>
    <row r="253">
      <c r="A253" s="97" t="s">
        <v>310</v>
      </c>
      <c r="B253" s="83"/>
      <c r="C253" s="83" t="s">
        <v>172</v>
      </c>
      <c r="D253" s="83"/>
    </row>
    <row r="254">
      <c r="A254" s="97" t="s">
        <v>331</v>
      </c>
      <c r="B254" s="83"/>
      <c r="C254" s="83" t="s">
        <v>172</v>
      </c>
      <c r="D254" s="83"/>
    </row>
    <row r="255">
      <c r="A255" s="97" t="s">
        <v>334</v>
      </c>
      <c r="B255" s="83"/>
      <c r="C255" s="83" t="s">
        <v>172</v>
      </c>
      <c r="D255" s="83"/>
    </row>
    <row r="256">
      <c r="A256" s="97" t="s">
        <v>341</v>
      </c>
      <c r="B256" s="83"/>
      <c r="C256" s="83" t="s">
        <v>172</v>
      </c>
      <c r="D256" s="83"/>
    </row>
    <row r="257">
      <c r="A257" s="97" t="s">
        <v>343</v>
      </c>
      <c r="B257" s="83"/>
      <c r="C257" s="83" t="s">
        <v>172</v>
      </c>
      <c r="D257" s="83"/>
    </row>
    <row r="258">
      <c r="A258" s="97" t="s">
        <v>344</v>
      </c>
      <c r="B258" s="83"/>
      <c r="C258" s="83" t="s">
        <v>172</v>
      </c>
      <c r="D258" s="83"/>
    </row>
    <row r="259">
      <c r="A259" s="97" t="s">
        <v>345</v>
      </c>
      <c r="B259" s="83"/>
      <c r="C259" s="83" t="s">
        <v>172</v>
      </c>
      <c r="D259" s="83"/>
    </row>
    <row r="260">
      <c r="A260" s="97" t="s">
        <v>346</v>
      </c>
      <c r="B260" s="83"/>
      <c r="C260" s="83"/>
      <c r="D260" s="83"/>
    </row>
    <row r="261">
      <c r="A261" s="97"/>
      <c r="B261" s="83"/>
      <c r="C261" s="83"/>
      <c r="D261" s="83"/>
    </row>
    <row r="262">
      <c r="B262" s="83"/>
      <c r="C262" s="83" t="s">
        <v>172</v>
      </c>
      <c r="D262" s="83"/>
    </row>
    <row r="263">
      <c r="A263" s="97" t="s">
        <v>348</v>
      </c>
      <c r="B263" s="83"/>
      <c r="C263" s="83" t="s">
        <v>172</v>
      </c>
      <c r="D263" s="83"/>
    </row>
    <row r="264">
      <c r="A264" s="97" t="s">
        <v>349</v>
      </c>
      <c r="B264" s="83"/>
      <c r="C264" s="83" t="s">
        <v>172</v>
      </c>
      <c r="D264" s="83"/>
    </row>
    <row r="265">
      <c r="A265" s="97" t="s">
        <v>351</v>
      </c>
      <c r="B265" s="83"/>
      <c r="C265" s="83" t="s">
        <v>172</v>
      </c>
      <c r="D265" s="83"/>
    </row>
    <row r="266">
      <c r="A266" s="97" t="s">
        <v>353</v>
      </c>
      <c r="B266" s="83"/>
      <c r="C266" s="83" t="s">
        <v>172</v>
      </c>
      <c r="D266" s="83"/>
    </row>
    <row r="267">
      <c r="A267" s="97" t="s">
        <v>355</v>
      </c>
      <c r="B267" s="83"/>
      <c r="C267" s="83" t="s">
        <v>172</v>
      </c>
      <c r="D267" s="83"/>
    </row>
    <row r="268">
      <c r="A268" s="97" t="s">
        <v>356</v>
      </c>
      <c r="B268" s="83"/>
      <c r="C268" s="83" t="s">
        <v>172</v>
      </c>
      <c r="D268" s="83"/>
    </row>
    <row r="269">
      <c r="A269" s="97" t="s">
        <v>361</v>
      </c>
      <c r="B269" s="83"/>
      <c r="C269" s="83" t="s">
        <v>172</v>
      </c>
      <c r="D269" s="83"/>
    </row>
    <row r="270">
      <c r="A270" s="97" t="s">
        <v>364</v>
      </c>
      <c r="B270" s="83"/>
      <c r="C270" s="83" t="s">
        <v>172</v>
      </c>
      <c r="D270" s="83"/>
    </row>
    <row r="271">
      <c r="A271" s="97" t="s">
        <v>366</v>
      </c>
      <c r="B271" s="83"/>
      <c r="C271" s="83" t="s">
        <v>172</v>
      </c>
      <c r="D271" s="83"/>
    </row>
    <row r="272">
      <c r="A272" s="94" t="s">
        <v>369</v>
      </c>
      <c r="B272" s="83"/>
      <c r="C272" s="83" t="s">
        <v>172</v>
      </c>
      <c r="D272" s="83"/>
    </row>
    <row r="273">
      <c r="A273" s="94" t="s">
        <v>370</v>
      </c>
      <c r="B273" s="83"/>
      <c r="C273" s="83" t="s">
        <v>172</v>
      </c>
      <c r="D273" s="83"/>
    </row>
    <row r="274">
      <c r="A274" s="94" t="s">
        <v>371</v>
      </c>
      <c r="B274" s="83"/>
      <c r="C274" s="83" t="s">
        <v>172</v>
      </c>
      <c r="D274" s="83"/>
    </row>
    <row r="275">
      <c r="A275" s="94" t="s">
        <v>374</v>
      </c>
      <c r="B275" s="83"/>
      <c r="C275" s="83" t="s">
        <v>172</v>
      </c>
      <c r="D275" s="83"/>
    </row>
    <row r="276">
      <c r="A276" s="94" t="s">
        <v>379</v>
      </c>
      <c r="B276" s="83"/>
      <c r="C276" s="83" t="s">
        <v>172</v>
      </c>
      <c r="D276" s="83"/>
    </row>
    <row r="277">
      <c r="A277" s="94" t="s">
        <v>380</v>
      </c>
      <c r="B277" s="83"/>
      <c r="C277" s="83" t="s">
        <v>172</v>
      </c>
      <c r="D277" s="83"/>
    </row>
    <row r="278">
      <c r="A278" s="94" t="s">
        <v>381</v>
      </c>
      <c r="B278" s="83"/>
      <c r="C278" s="83" t="s">
        <v>172</v>
      </c>
      <c r="D278" s="83"/>
    </row>
    <row r="279">
      <c r="A279" s="94" t="s">
        <v>382</v>
      </c>
      <c r="B279" s="83"/>
      <c r="C279" s="83" t="s">
        <v>172</v>
      </c>
      <c r="D279" s="83"/>
    </row>
    <row r="280">
      <c r="A280" s="94" t="s">
        <v>384</v>
      </c>
      <c r="B280" s="83"/>
      <c r="C280" s="83" t="s">
        <v>172</v>
      </c>
      <c r="D280" s="83"/>
    </row>
    <row r="281">
      <c r="A281" s="94" t="s">
        <v>392</v>
      </c>
      <c r="B281" s="83"/>
      <c r="C281" s="83" t="s">
        <v>172</v>
      </c>
      <c r="D281" s="83"/>
    </row>
    <row r="282">
      <c r="A282" s="94" t="s">
        <v>396</v>
      </c>
      <c r="B282" s="83"/>
      <c r="C282" s="83" t="s">
        <v>172</v>
      </c>
      <c r="D282" s="83"/>
    </row>
    <row r="283">
      <c r="A283" s="94" t="s">
        <v>397</v>
      </c>
      <c r="B283" s="83"/>
      <c r="C283" s="83" t="s">
        <v>172</v>
      </c>
      <c r="D283" s="83"/>
    </row>
    <row r="284">
      <c r="A284" s="94" t="s">
        <v>398</v>
      </c>
      <c r="B284" s="83"/>
      <c r="C284" s="83" t="s">
        <v>172</v>
      </c>
      <c r="D284" s="83"/>
    </row>
    <row r="285">
      <c r="A285" s="94" t="s">
        <v>400</v>
      </c>
      <c r="B285" s="83"/>
      <c r="C285" s="83" t="s">
        <v>172</v>
      </c>
      <c r="D285" s="83"/>
    </row>
    <row r="286">
      <c r="A286" s="94" t="s">
        <v>401</v>
      </c>
      <c r="B286" s="83"/>
      <c r="C286" s="83" t="s">
        <v>172</v>
      </c>
      <c r="D286" s="83"/>
    </row>
    <row r="287">
      <c r="A287" s="94" t="s">
        <v>403</v>
      </c>
      <c r="B287" s="83"/>
      <c r="C287" s="83" t="s">
        <v>172</v>
      </c>
      <c r="D287" s="83"/>
    </row>
    <row r="288">
      <c r="A288" s="94" t="s">
        <v>404</v>
      </c>
      <c r="B288" s="83"/>
      <c r="C288" s="83" t="s">
        <v>172</v>
      </c>
      <c r="D288" s="83"/>
    </row>
    <row r="289">
      <c r="A289" s="94" t="s">
        <v>71</v>
      </c>
      <c r="B289" s="83"/>
      <c r="C289" s="83" t="s">
        <v>172</v>
      </c>
      <c r="D289" s="83"/>
    </row>
    <row r="290">
      <c r="A290" s="94" t="s">
        <v>405</v>
      </c>
      <c r="B290" s="83"/>
      <c r="C290" s="83" t="s">
        <v>172</v>
      </c>
      <c r="D290" s="83"/>
    </row>
    <row r="291">
      <c r="A291" s="94" t="s">
        <v>408</v>
      </c>
      <c r="B291" s="83"/>
      <c r="C291" s="83" t="s">
        <v>172</v>
      </c>
      <c r="D291" s="83"/>
    </row>
    <row r="292">
      <c r="A292" s="94" t="s">
        <v>413</v>
      </c>
      <c r="B292" s="83"/>
      <c r="C292" s="83" t="s">
        <v>172</v>
      </c>
      <c r="D292" s="83"/>
    </row>
    <row r="293">
      <c r="A293" s="94" t="s">
        <v>417</v>
      </c>
      <c r="B293" s="83"/>
      <c r="C293" s="83" t="s">
        <v>172</v>
      </c>
      <c r="D293" s="83"/>
    </row>
    <row r="294">
      <c r="A294" s="94" t="s">
        <v>418</v>
      </c>
      <c r="B294" s="83"/>
      <c r="C294" s="83" t="s">
        <v>172</v>
      </c>
      <c r="D294" s="83"/>
    </row>
    <row r="295">
      <c r="A295" s="94" t="s">
        <v>420</v>
      </c>
      <c r="B295" s="83"/>
      <c r="C295" s="83" t="s">
        <v>172</v>
      </c>
      <c r="D295" s="83"/>
    </row>
    <row r="296">
      <c r="A296" s="94" t="s">
        <v>421</v>
      </c>
      <c r="B296" s="83"/>
      <c r="C296" s="83" t="s">
        <v>172</v>
      </c>
      <c r="D296" s="83"/>
    </row>
    <row r="297">
      <c r="A297" s="94" t="s">
        <v>422</v>
      </c>
      <c r="B297" s="83"/>
      <c r="C297" s="83" t="s">
        <v>172</v>
      </c>
      <c r="D297" s="83"/>
    </row>
    <row r="298">
      <c r="A298" s="94" t="s">
        <v>423</v>
      </c>
      <c r="B298" s="83"/>
      <c r="C298" s="83" t="s">
        <v>172</v>
      </c>
      <c r="D298" s="83"/>
    </row>
    <row r="299">
      <c r="A299" s="94" t="s">
        <v>425</v>
      </c>
      <c r="B299" s="83"/>
      <c r="C299" s="83" t="s">
        <v>172</v>
      </c>
      <c r="D299" s="83"/>
    </row>
    <row r="300">
      <c r="A300" s="94" t="s">
        <v>427</v>
      </c>
      <c r="B300" s="83"/>
      <c r="C300" s="83" t="s">
        <v>172</v>
      </c>
      <c r="D300" s="83"/>
    </row>
    <row r="301">
      <c r="A301" s="94" t="s">
        <v>429</v>
      </c>
      <c r="B301" s="83"/>
      <c r="C301" s="83" t="s">
        <v>172</v>
      </c>
      <c r="D301" s="83"/>
    </row>
    <row r="302">
      <c r="A302" s="94" t="s">
        <v>430</v>
      </c>
      <c r="B302" s="83"/>
      <c r="C302" s="83" t="s">
        <v>172</v>
      </c>
      <c r="D302" s="83"/>
    </row>
    <row r="303">
      <c r="A303" s="94" t="s">
        <v>431</v>
      </c>
      <c r="B303" s="83"/>
      <c r="C303" s="83" t="s">
        <v>172</v>
      </c>
      <c r="D303" s="83"/>
    </row>
    <row r="304">
      <c r="A304" s="94" t="s">
        <v>433</v>
      </c>
      <c r="B304" s="83"/>
      <c r="C304" s="83" t="s">
        <v>172</v>
      </c>
      <c r="D304" s="83"/>
    </row>
    <row r="305">
      <c r="A305" s="94" t="s">
        <v>435</v>
      </c>
      <c r="B305" s="83"/>
      <c r="C305" s="83" t="s">
        <v>172</v>
      </c>
      <c r="D305" s="83"/>
    </row>
    <row r="306">
      <c r="A306" s="94" t="s">
        <v>438</v>
      </c>
      <c r="B306" s="83"/>
      <c r="C306" s="83" t="s">
        <v>172</v>
      </c>
      <c r="D306" s="83"/>
    </row>
    <row r="307">
      <c r="B307" s="83"/>
      <c r="C307" s="83" t="s">
        <v>172</v>
      </c>
      <c r="D307" s="83"/>
    </row>
    <row r="308">
      <c r="A308" s="97"/>
      <c r="B308" s="83"/>
      <c r="C308" s="83" t="s">
        <v>172</v>
      </c>
      <c r="D308" s="83"/>
    </row>
    <row r="309">
      <c r="A309" s="97"/>
      <c r="B309" s="83"/>
      <c r="C309" s="83" t="s">
        <v>172</v>
      </c>
      <c r="D309" s="83"/>
    </row>
    <row r="310">
      <c r="A310" s="97"/>
      <c r="B310" s="83"/>
      <c r="C310" s="83" t="s">
        <v>172</v>
      </c>
      <c r="D310" s="83"/>
    </row>
    <row r="311">
      <c r="A311" s="97"/>
      <c r="B311" s="83"/>
      <c r="C311" s="83" t="s">
        <v>172</v>
      </c>
      <c r="D311" s="83"/>
    </row>
    <row r="312">
      <c r="A312" s="97"/>
      <c r="B312" s="83"/>
      <c r="C312" s="83" t="s">
        <v>172</v>
      </c>
      <c r="D312" s="83"/>
    </row>
    <row r="313">
      <c r="A313" s="97"/>
      <c r="B313" s="83"/>
      <c r="C313" s="83" t="s">
        <v>172</v>
      </c>
      <c r="D313" s="83"/>
    </row>
    <row r="314">
      <c r="A314" s="97"/>
      <c r="B314" s="83"/>
      <c r="C314" s="83" t="s">
        <v>172</v>
      </c>
      <c r="D314" s="83"/>
    </row>
    <row r="315">
      <c r="A315" s="97"/>
      <c r="B315" s="83"/>
      <c r="C315" s="83" t="s">
        <v>172</v>
      </c>
      <c r="D315" s="83"/>
    </row>
    <row r="316">
      <c r="A316" s="97"/>
      <c r="B316" s="83"/>
      <c r="C316" s="83" t="s">
        <v>172</v>
      </c>
      <c r="D316" s="83"/>
    </row>
    <row r="317">
      <c r="A317" s="97"/>
      <c r="B317" s="83"/>
      <c r="C317" s="83" t="s">
        <v>172</v>
      </c>
      <c r="D317" s="83"/>
    </row>
    <row r="318">
      <c r="A318" s="97"/>
      <c r="B318" s="83"/>
      <c r="C318" s="83" t="s">
        <v>172</v>
      </c>
      <c r="D318" s="83"/>
    </row>
    <row r="319">
      <c r="A319" s="97"/>
      <c r="B319" s="83"/>
      <c r="C319" s="83" t="s">
        <v>172</v>
      </c>
      <c r="D319" s="83"/>
    </row>
    <row r="320">
      <c r="A320" s="97"/>
      <c r="B320" s="83"/>
      <c r="C320" s="83" t="s">
        <v>172</v>
      </c>
      <c r="D320" s="83"/>
    </row>
    <row r="321">
      <c r="A321" s="97"/>
      <c r="B321" s="83"/>
      <c r="C321" s="83" t="s">
        <v>172</v>
      </c>
      <c r="D321" s="83"/>
    </row>
    <row r="322">
      <c r="A322" s="97"/>
      <c r="B322" s="83"/>
      <c r="C322" s="83" t="s">
        <v>172</v>
      </c>
      <c r="D322" s="83"/>
    </row>
    <row r="323">
      <c r="A323" s="97"/>
      <c r="B323" s="83"/>
      <c r="C323" s="83" t="s">
        <v>172</v>
      </c>
      <c r="D323" s="83"/>
    </row>
    <row r="324">
      <c r="A324" s="97"/>
      <c r="B324" s="83"/>
      <c r="C324" s="83" t="s">
        <v>172</v>
      </c>
      <c r="D324" s="83"/>
    </row>
    <row r="325">
      <c r="A325" s="97"/>
      <c r="B325" s="83"/>
      <c r="C325" s="83" t="s">
        <v>172</v>
      </c>
      <c r="D325" s="83"/>
    </row>
    <row r="326">
      <c r="A326" s="97"/>
      <c r="B326" s="83"/>
      <c r="C326" s="83" t="s">
        <v>172</v>
      </c>
      <c r="D326" s="83"/>
    </row>
    <row r="327">
      <c r="A327" s="97"/>
      <c r="B327" s="83"/>
      <c r="C327" s="83" t="s">
        <v>172</v>
      </c>
      <c r="D327" s="83"/>
    </row>
    <row r="328">
      <c r="A328" s="97"/>
      <c r="B328" s="83"/>
      <c r="C328" s="83" t="s">
        <v>172</v>
      </c>
      <c r="D328" s="83"/>
    </row>
    <row r="329">
      <c r="A329" s="97"/>
      <c r="B329" s="83"/>
      <c r="C329" s="83" t="s">
        <v>172</v>
      </c>
      <c r="D329" s="83"/>
    </row>
    <row r="330">
      <c r="A330" s="97"/>
      <c r="B330" s="83"/>
      <c r="C330" s="83" t="s">
        <v>172</v>
      </c>
      <c r="D330" s="83"/>
    </row>
    <row r="331">
      <c r="A331" s="97"/>
      <c r="B331" s="83"/>
      <c r="C331" s="83" t="s">
        <v>172</v>
      </c>
      <c r="D331" s="83"/>
    </row>
    <row r="332">
      <c r="A332" s="97"/>
      <c r="B332" s="83"/>
      <c r="C332" s="83" t="s">
        <v>172</v>
      </c>
      <c r="D332" s="83"/>
    </row>
    <row r="333">
      <c r="A333" s="97"/>
      <c r="B333" s="83"/>
      <c r="C333" s="83" t="s">
        <v>172</v>
      </c>
      <c r="D333" s="83"/>
    </row>
    <row r="334">
      <c r="A334" s="97"/>
      <c r="B334" s="83"/>
      <c r="C334" s="83" t="s">
        <v>172</v>
      </c>
      <c r="D334" s="83"/>
    </row>
    <row r="335">
      <c r="A335" s="97"/>
      <c r="B335" s="83"/>
      <c r="C335" s="83" t="s">
        <v>172</v>
      </c>
      <c r="D335" s="83"/>
    </row>
    <row r="336">
      <c r="A336" s="97"/>
      <c r="B336" s="83"/>
      <c r="C336" s="83" t="s">
        <v>172</v>
      </c>
      <c r="D336" s="83"/>
    </row>
    <row r="337">
      <c r="A337" s="97"/>
      <c r="B337" s="83"/>
      <c r="C337" s="83" t="s">
        <v>172</v>
      </c>
      <c r="D337" s="83"/>
    </row>
    <row r="338">
      <c r="A338" s="97"/>
      <c r="B338" s="83"/>
      <c r="C338" s="83" t="s">
        <v>172</v>
      </c>
      <c r="D338" s="83"/>
    </row>
    <row r="339">
      <c r="A339" s="97"/>
      <c r="B339" s="83"/>
      <c r="C339" s="83" t="s">
        <v>172</v>
      </c>
      <c r="D339" s="83"/>
    </row>
    <row r="340">
      <c r="A340" s="97"/>
      <c r="B340" s="83"/>
      <c r="C340" s="83" t="s">
        <v>172</v>
      </c>
      <c r="D340" s="83"/>
    </row>
    <row r="341">
      <c r="A341" s="97"/>
      <c r="B341" s="83"/>
      <c r="C341" s="83" t="s">
        <v>172</v>
      </c>
      <c r="D341" s="83"/>
    </row>
    <row r="342">
      <c r="A342" s="97"/>
      <c r="B342" s="83"/>
      <c r="C342" s="83" t="s">
        <v>172</v>
      </c>
      <c r="D342" s="83"/>
    </row>
    <row r="343">
      <c r="A343" s="97"/>
      <c r="B343" s="83"/>
      <c r="C343" s="83" t="s">
        <v>172</v>
      </c>
      <c r="D343" s="83"/>
    </row>
    <row r="344">
      <c r="A344" s="97"/>
      <c r="B344" s="83"/>
      <c r="C344" s="83" t="s">
        <v>172</v>
      </c>
      <c r="D344" s="83"/>
    </row>
    <row r="345">
      <c r="A345" s="97"/>
      <c r="B345" s="83"/>
      <c r="C345" s="83" t="s">
        <v>172</v>
      </c>
      <c r="D345" s="83"/>
    </row>
    <row r="346">
      <c r="A346" s="97"/>
      <c r="B346" s="83"/>
      <c r="C346" s="83" t="s">
        <v>172</v>
      </c>
      <c r="D346" s="83"/>
    </row>
    <row r="347">
      <c r="A347" s="97"/>
      <c r="B347" s="83"/>
      <c r="C347" s="83" t="s">
        <v>172</v>
      </c>
      <c r="D347" s="83"/>
    </row>
    <row r="348">
      <c r="A348" s="97"/>
      <c r="B348" s="83"/>
      <c r="C348" s="83" t="s">
        <v>172</v>
      </c>
      <c r="D348" s="83"/>
    </row>
    <row r="349">
      <c r="A349" s="153"/>
      <c r="B349" s="155"/>
      <c r="C349" s="155" t="s">
        <v>484</v>
      </c>
      <c r="D349" s="155"/>
    </row>
    <row r="350">
      <c r="A350" s="153"/>
      <c r="B350" s="155"/>
      <c r="C350" s="155" t="s">
        <v>484</v>
      </c>
      <c r="D350" s="155"/>
    </row>
    <row r="351">
      <c r="A351" s="153"/>
      <c r="B351" s="155"/>
      <c r="C351" s="155" t="s">
        <v>484</v>
      </c>
      <c r="D351" s="155"/>
    </row>
    <row r="352">
      <c r="A352" s="153"/>
      <c r="B352" s="155"/>
      <c r="C352" s="155" t="s">
        <v>484</v>
      </c>
      <c r="D352" s="155"/>
    </row>
    <row r="353">
      <c r="A353" s="153"/>
      <c r="B353" s="155"/>
      <c r="C353" s="155" t="s">
        <v>484</v>
      </c>
      <c r="D353" s="155"/>
    </row>
    <row r="354">
      <c r="A354" s="153"/>
      <c r="B354" s="155"/>
      <c r="C354" s="155" t="s">
        <v>484</v>
      </c>
      <c r="D354" s="155"/>
    </row>
    <row r="355">
      <c r="A355" s="153"/>
      <c r="B355" s="155"/>
      <c r="C355" s="155" t="s">
        <v>484</v>
      </c>
      <c r="D355" s="155"/>
    </row>
    <row r="356">
      <c r="A356" s="153"/>
      <c r="B356" s="155"/>
      <c r="C356" s="155" t="s">
        <v>484</v>
      </c>
      <c r="D356" s="155"/>
    </row>
    <row r="357">
      <c r="A357" s="153"/>
      <c r="B357" s="155"/>
      <c r="C357" s="155" t="s">
        <v>484</v>
      </c>
      <c r="D357" s="155"/>
    </row>
    <row r="358">
      <c r="A358" s="153"/>
      <c r="B358" s="155"/>
      <c r="C358" s="155" t="s">
        <v>484</v>
      </c>
      <c r="D358" s="155"/>
    </row>
    <row r="359">
      <c r="A359" s="153"/>
      <c r="B359" s="155"/>
      <c r="C359" s="155" t="s">
        <v>484</v>
      </c>
      <c r="D359" s="155"/>
    </row>
    <row r="360">
      <c r="A360" s="153"/>
      <c r="B360" s="155"/>
      <c r="C360" s="155" t="s">
        <v>484</v>
      </c>
      <c r="D360" s="155"/>
    </row>
    <row r="361">
      <c r="A361" s="153"/>
      <c r="B361" s="155"/>
      <c r="C361" s="155" t="s">
        <v>484</v>
      </c>
      <c r="D361" s="155"/>
    </row>
    <row r="362">
      <c r="A362" s="153"/>
      <c r="B362" s="155"/>
      <c r="C362" s="155" t="s">
        <v>484</v>
      </c>
      <c r="D362" s="155"/>
    </row>
    <row r="363">
      <c r="A363" s="153"/>
      <c r="B363" s="155"/>
      <c r="C363" s="155" t="s">
        <v>484</v>
      </c>
      <c r="D363" s="155"/>
    </row>
    <row r="364">
      <c r="A364" s="153"/>
      <c r="B364" s="155"/>
      <c r="C364" s="155" t="s">
        <v>484</v>
      </c>
      <c r="D364" s="155"/>
    </row>
    <row r="365">
      <c r="A365" s="153"/>
      <c r="B365" s="155"/>
      <c r="C365" s="155" t="s">
        <v>484</v>
      </c>
      <c r="D365" s="155"/>
    </row>
    <row r="366">
      <c r="A366" s="153"/>
      <c r="B366" s="155"/>
      <c r="C366" s="155" t="s">
        <v>484</v>
      </c>
      <c r="D366" s="155"/>
    </row>
    <row r="367">
      <c r="A367" s="153"/>
      <c r="B367" s="155"/>
      <c r="C367" s="155" t="s">
        <v>484</v>
      </c>
      <c r="D367" s="155"/>
    </row>
    <row r="368">
      <c r="A368" s="153"/>
      <c r="B368" s="155"/>
      <c r="C368" s="155" t="s">
        <v>484</v>
      </c>
      <c r="D368" s="155"/>
    </row>
    <row r="369">
      <c r="A369" s="153"/>
      <c r="B369" s="155"/>
      <c r="C369" s="155" t="s">
        <v>484</v>
      </c>
      <c r="D369" s="155"/>
    </row>
    <row r="370">
      <c r="A370" s="153"/>
      <c r="B370" s="155"/>
      <c r="C370" s="155" t="s">
        <v>484</v>
      </c>
      <c r="D370" s="155"/>
    </row>
    <row r="371">
      <c r="A371" s="153"/>
      <c r="B371" s="155"/>
      <c r="C371" s="155" t="s">
        <v>484</v>
      </c>
      <c r="D371" s="155"/>
    </row>
    <row r="372">
      <c r="A372" s="153"/>
      <c r="B372" s="155"/>
      <c r="C372" s="155" t="s">
        <v>484</v>
      </c>
      <c r="D372" s="155"/>
    </row>
    <row r="373">
      <c r="A373" s="153"/>
      <c r="B373" s="155"/>
      <c r="C373" s="155" t="s">
        <v>484</v>
      </c>
      <c r="D373" s="155"/>
    </row>
    <row r="374">
      <c r="A374" s="153"/>
      <c r="B374" s="155"/>
      <c r="C374" s="155" t="s">
        <v>484</v>
      </c>
      <c r="D374" s="155"/>
    </row>
    <row r="375">
      <c r="A375" s="153"/>
      <c r="B375" s="155"/>
      <c r="C375" s="155" t="s">
        <v>484</v>
      </c>
      <c r="D375" s="155"/>
    </row>
    <row r="376">
      <c r="A376" s="153"/>
      <c r="B376" s="155"/>
      <c r="C376" s="155" t="s">
        <v>484</v>
      </c>
      <c r="D376" s="155"/>
    </row>
    <row r="377">
      <c r="A377" s="153"/>
      <c r="B377" s="155"/>
      <c r="C377" s="155" t="s">
        <v>484</v>
      </c>
      <c r="D377" s="155"/>
    </row>
    <row r="378">
      <c r="A378" s="153"/>
      <c r="B378" s="155"/>
      <c r="C378" s="155" t="s">
        <v>484</v>
      </c>
      <c r="D378" s="155"/>
    </row>
    <row r="379">
      <c r="A379" s="153"/>
      <c r="B379" s="155"/>
      <c r="C379" s="155" t="s">
        <v>484</v>
      </c>
      <c r="D379" s="155"/>
    </row>
    <row r="380">
      <c r="A380" s="153"/>
      <c r="B380" s="155"/>
      <c r="C380" s="155" t="s">
        <v>484</v>
      </c>
      <c r="D380" s="155"/>
    </row>
    <row r="381">
      <c r="A381" s="153"/>
      <c r="B381" s="155"/>
      <c r="C381" s="155" t="s">
        <v>484</v>
      </c>
      <c r="D381" s="155"/>
    </row>
    <row r="382">
      <c r="A382" s="153"/>
      <c r="B382" s="155"/>
      <c r="C382" s="155" t="s">
        <v>484</v>
      </c>
      <c r="D382" s="155"/>
    </row>
    <row r="383">
      <c r="A383" s="153"/>
      <c r="B383" s="155"/>
      <c r="C383" s="155" t="s">
        <v>484</v>
      </c>
      <c r="D383" s="155"/>
    </row>
    <row r="384">
      <c r="A384" s="153"/>
      <c r="B384" s="155"/>
      <c r="C384" s="155" t="s">
        <v>484</v>
      </c>
      <c r="D384" s="155"/>
    </row>
    <row r="385">
      <c r="A385" s="153"/>
      <c r="B385" s="155"/>
      <c r="C385" s="155" t="s">
        <v>484</v>
      </c>
      <c r="D385" s="155"/>
    </row>
    <row r="386">
      <c r="A386" s="153"/>
      <c r="B386" s="155"/>
      <c r="C386" s="155" t="s">
        <v>484</v>
      </c>
      <c r="D386" s="155"/>
    </row>
    <row r="387">
      <c r="A387" s="153"/>
      <c r="B387" s="155"/>
      <c r="C387" s="155" t="s">
        <v>484</v>
      </c>
      <c r="D387" s="155"/>
    </row>
    <row r="388">
      <c r="A388" s="153"/>
      <c r="B388" s="155"/>
      <c r="C388" s="155" t="s">
        <v>484</v>
      </c>
      <c r="D388" s="155"/>
    </row>
    <row r="389">
      <c r="A389" s="153"/>
      <c r="B389" s="155"/>
      <c r="C389" s="155" t="s">
        <v>484</v>
      </c>
      <c r="D389" s="155"/>
    </row>
    <row r="390">
      <c r="A390" s="153"/>
      <c r="B390" s="155"/>
      <c r="C390" s="155" t="s">
        <v>484</v>
      </c>
      <c r="D390" s="155"/>
    </row>
    <row r="391">
      <c r="A391" s="153"/>
      <c r="B391" s="155"/>
      <c r="C391" s="155" t="s">
        <v>484</v>
      </c>
      <c r="D391" s="155"/>
    </row>
    <row r="392">
      <c r="A392" s="153"/>
      <c r="B392" s="155"/>
      <c r="C392" s="155" t="s">
        <v>484</v>
      </c>
      <c r="D392" s="155"/>
    </row>
    <row r="393">
      <c r="A393" s="153"/>
      <c r="B393" s="155"/>
      <c r="C393" s="155" t="s">
        <v>484</v>
      </c>
      <c r="D393" s="155"/>
    </row>
    <row r="394">
      <c r="A394" s="153"/>
      <c r="B394" s="155"/>
      <c r="C394" s="155" t="s">
        <v>484</v>
      </c>
      <c r="D394" s="155"/>
    </row>
    <row r="395">
      <c r="A395" s="153"/>
      <c r="B395" s="155"/>
      <c r="C395" s="155" t="s">
        <v>484</v>
      </c>
      <c r="D395" s="155"/>
    </row>
    <row r="396">
      <c r="A396" s="153"/>
      <c r="B396" s="155"/>
      <c r="C396" s="155" t="s">
        <v>484</v>
      </c>
      <c r="D396" s="155"/>
    </row>
    <row r="397">
      <c r="A397" s="153"/>
      <c r="B397" s="155"/>
      <c r="C397" s="155" t="s">
        <v>484</v>
      </c>
      <c r="D397" s="155"/>
    </row>
    <row r="398">
      <c r="A398" s="153"/>
      <c r="B398" s="155"/>
      <c r="C398" s="155" t="s">
        <v>484</v>
      </c>
      <c r="D398" s="155"/>
    </row>
    <row r="399">
      <c r="A399" s="153"/>
      <c r="B399" s="155"/>
      <c r="C399" s="155" t="s">
        <v>484</v>
      </c>
      <c r="D399" s="155"/>
    </row>
    <row r="400">
      <c r="A400" s="153"/>
      <c r="B400" s="155"/>
      <c r="C400" s="155" t="s">
        <v>484</v>
      </c>
      <c r="D400" s="155"/>
    </row>
    <row r="401">
      <c r="A401" s="153"/>
      <c r="B401" s="155"/>
      <c r="C401" s="155" t="s">
        <v>484</v>
      </c>
      <c r="D401" s="155"/>
    </row>
    <row r="402">
      <c r="A402" s="153"/>
      <c r="B402" s="155"/>
      <c r="C402" s="155" t="s">
        <v>484</v>
      </c>
      <c r="D402" s="155"/>
    </row>
    <row r="403">
      <c r="A403" s="153"/>
      <c r="B403" s="155"/>
      <c r="C403" s="155" t="s">
        <v>484</v>
      </c>
      <c r="D403" s="155"/>
    </row>
    <row r="404">
      <c r="A404" s="153"/>
      <c r="B404" s="155"/>
      <c r="C404" s="155" t="s">
        <v>484</v>
      </c>
      <c r="D404" s="155"/>
    </row>
    <row r="405">
      <c r="A405" s="153"/>
      <c r="B405" s="155"/>
      <c r="C405" s="155" t="s">
        <v>484</v>
      </c>
      <c r="D405" s="155"/>
    </row>
    <row r="406">
      <c r="A406" s="153"/>
      <c r="B406" s="155"/>
      <c r="C406" s="155" t="s">
        <v>484</v>
      </c>
      <c r="D406" s="155"/>
    </row>
    <row r="407">
      <c r="A407" s="153"/>
      <c r="B407" s="155"/>
      <c r="C407" s="155" t="s">
        <v>484</v>
      </c>
      <c r="D407" s="155"/>
    </row>
    <row r="408">
      <c r="A408" s="153"/>
      <c r="B408" s="155"/>
      <c r="C408" s="155" t="s">
        <v>484</v>
      </c>
      <c r="D408" s="155"/>
    </row>
    <row r="409">
      <c r="A409" s="153"/>
      <c r="B409" s="155"/>
      <c r="C409" s="155" t="s">
        <v>484</v>
      </c>
      <c r="D409" s="155"/>
    </row>
    <row r="410">
      <c r="A410" s="153"/>
      <c r="B410" s="155"/>
      <c r="C410" s="155" t="s">
        <v>484</v>
      </c>
      <c r="D410" s="155"/>
    </row>
    <row r="411">
      <c r="A411" s="153"/>
      <c r="B411" s="155"/>
      <c r="C411" s="155" t="s">
        <v>484</v>
      </c>
      <c r="D411" s="155"/>
    </row>
    <row r="412">
      <c r="A412" s="153"/>
      <c r="B412" s="155"/>
      <c r="C412" s="155" t="s">
        <v>484</v>
      </c>
      <c r="D412" s="155"/>
    </row>
    <row r="413">
      <c r="A413" s="153"/>
      <c r="B413" s="155"/>
      <c r="C413" s="155" t="s">
        <v>484</v>
      </c>
      <c r="D413" s="155"/>
    </row>
    <row r="414">
      <c r="A414" s="153"/>
      <c r="B414" s="155"/>
      <c r="C414" s="155" t="s">
        <v>484</v>
      </c>
      <c r="D414" s="155"/>
    </row>
    <row r="415">
      <c r="A415" s="153"/>
      <c r="B415" s="155"/>
      <c r="C415" s="155" t="s">
        <v>484</v>
      </c>
      <c r="D415" s="155"/>
    </row>
    <row r="416">
      <c r="A416" s="153"/>
      <c r="B416" s="155"/>
      <c r="C416" s="155" t="s">
        <v>484</v>
      </c>
      <c r="D416" s="155"/>
    </row>
    <row r="417">
      <c r="A417" s="153"/>
      <c r="B417" s="155"/>
      <c r="C417" s="155" t="s">
        <v>484</v>
      </c>
      <c r="D417" s="155"/>
    </row>
    <row r="418">
      <c r="A418" s="153"/>
      <c r="B418" s="155"/>
      <c r="C418" s="155" t="s">
        <v>484</v>
      </c>
      <c r="D418" s="155"/>
    </row>
    <row r="419">
      <c r="A419" s="153"/>
      <c r="B419" s="155"/>
      <c r="C419" s="155" t="s">
        <v>484</v>
      </c>
      <c r="D419" s="155"/>
    </row>
    <row r="420">
      <c r="A420" s="153"/>
      <c r="B420" s="155"/>
      <c r="C420" s="155" t="s">
        <v>484</v>
      </c>
      <c r="D420" s="155"/>
    </row>
    <row r="421">
      <c r="A421" s="153"/>
      <c r="B421" s="155"/>
      <c r="C421" s="155" t="s">
        <v>484</v>
      </c>
      <c r="D421" s="155"/>
    </row>
    <row r="422">
      <c r="A422" s="153"/>
      <c r="B422" s="155"/>
      <c r="C422" s="155" t="s">
        <v>484</v>
      </c>
      <c r="D422" s="155"/>
    </row>
    <row r="423">
      <c r="A423" s="153"/>
      <c r="B423" s="155"/>
      <c r="C423" s="155" t="s">
        <v>484</v>
      </c>
      <c r="D423" s="155"/>
    </row>
    <row r="424">
      <c r="A424" s="153"/>
      <c r="B424" s="155"/>
      <c r="C424" s="155" t="s">
        <v>484</v>
      </c>
      <c r="D424" s="155"/>
    </row>
    <row r="425">
      <c r="A425" s="153"/>
      <c r="B425" s="155"/>
      <c r="C425" s="155" t="s">
        <v>484</v>
      </c>
      <c r="D425" s="155"/>
    </row>
    <row r="426">
      <c r="A426" s="153"/>
      <c r="B426" s="155"/>
      <c r="C426" s="155" t="s">
        <v>484</v>
      </c>
      <c r="D426" s="155"/>
    </row>
    <row r="427">
      <c r="A427" s="153"/>
      <c r="B427" s="155"/>
      <c r="C427" s="155" t="s">
        <v>484</v>
      </c>
      <c r="D427" s="155"/>
    </row>
    <row r="428">
      <c r="A428" s="153"/>
      <c r="B428" s="155"/>
      <c r="C428" s="155" t="s">
        <v>484</v>
      </c>
      <c r="D428" s="155"/>
    </row>
    <row r="429">
      <c r="A429" s="153"/>
      <c r="B429" s="155"/>
      <c r="C429" s="155" t="s">
        <v>484</v>
      </c>
      <c r="D429" s="155"/>
    </row>
    <row r="430">
      <c r="A430" s="153"/>
      <c r="B430" s="155"/>
      <c r="C430" s="155" t="s">
        <v>484</v>
      </c>
      <c r="D430" s="155"/>
    </row>
    <row r="431">
      <c r="A431" s="153"/>
      <c r="B431" s="155"/>
      <c r="C431" s="155" t="s">
        <v>484</v>
      </c>
      <c r="D431" s="155"/>
    </row>
    <row r="432">
      <c r="A432" s="153"/>
      <c r="B432" s="155"/>
      <c r="C432" s="155" t="s">
        <v>484</v>
      </c>
      <c r="D432" s="155"/>
    </row>
    <row r="433">
      <c r="A433" s="153"/>
      <c r="B433" s="155"/>
      <c r="C433" s="155" t="s">
        <v>484</v>
      </c>
      <c r="D433" s="155"/>
    </row>
    <row r="434">
      <c r="A434" s="153"/>
      <c r="B434" s="155"/>
      <c r="C434" s="155" t="s">
        <v>484</v>
      </c>
      <c r="D434" s="155"/>
    </row>
    <row r="435">
      <c r="A435" s="153"/>
      <c r="B435" s="155"/>
      <c r="C435" s="155" t="s">
        <v>484</v>
      </c>
      <c r="D435" s="155"/>
    </row>
    <row r="436">
      <c r="A436" s="153"/>
      <c r="B436" s="155"/>
      <c r="C436" s="155" t="s">
        <v>484</v>
      </c>
      <c r="D436" s="155"/>
    </row>
    <row r="437">
      <c r="A437" s="153"/>
      <c r="B437" s="155"/>
      <c r="C437" s="155" t="s">
        <v>484</v>
      </c>
      <c r="D437" s="155"/>
    </row>
    <row r="438">
      <c r="A438" s="153"/>
      <c r="B438" s="155"/>
      <c r="C438" s="155" t="s">
        <v>484</v>
      </c>
      <c r="D438" s="155"/>
    </row>
    <row r="439">
      <c r="A439" s="153"/>
      <c r="B439" s="155"/>
      <c r="C439" s="155" t="s">
        <v>484</v>
      </c>
      <c r="D439" s="155"/>
    </row>
    <row r="440">
      <c r="A440" s="153"/>
      <c r="B440" s="155"/>
      <c r="C440" s="155" t="s">
        <v>484</v>
      </c>
      <c r="D440" s="155"/>
    </row>
    <row r="441">
      <c r="A441" s="153"/>
      <c r="B441" s="155"/>
      <c r="C441" s="155" t="s">
        <v>484</v>
      </c>
      <c r="D441" s="155"/>
    </row>
    <row r="442">
      <c r="A442" s="153"/>
      <c r="B442" s="155"/>
      <c r="C442" s="155" t="s">
        <v>484</v>
      </c>
      <c r="D442" s="155"/>
    </row>
    <row r="443">
      <c r="A443" s="153"/>
      <c r="B443" s="155"/>
      <c r="C443" s="155" t="s">
        <v>484</v>
      </c>
      <c r="D443" s="155"/>
    </row>
    <row r="444">
      <c r="A444" s="153"/>
      <c r="B444" s="155"/>
      <c r="C444" s="155" t="s">
        <v>484</v>
      </c>
      <c r="D444" s="155"/>
    </row>
    <row r="445">
      <c r="A445" s="153"/>
      <c r="B445" s="155"/>
      <c r="C445" s="155" t="s">
        <v>484</v>
      </c>
      <c r="D445" s="155"/>
    </row>
    <row r="446">
      <c r="A446" s="153"/>
      <c r="B446" s="155"/>
      <c r="C446" s="155" t="s">
        <v>484</v>
      </c>
      <c r="D446" s="155"/>
    </row>
    <row r="447">
      <c r="A447" s="153"/>
      <c r="B447" s="155"/>
      <c r="C447" s="155" t="s">
        <v>484</v>
      </c>
      <c r="D447" s="155"/>
    </row>
    <row r="448">
      <c r="A448" s="153"/>
      <c r="B448" s="155"/>
      <c r="C448" s="155" t="s">
        <v>484</v>
      </c>
      <c r="D448" s="155"/>
    </row>
    <row r="449">
      <c r="A449" s="153"/>
      <c r="B449" s="155"/>
      <c r="C449" s="155" t="s">
        <v>484</v>
      </c>
      <c r="D449" s="155"/>
    </row>
    <row r="450">
      <c r="A450" s="153"/>
      <c r="B450" s="155"/>
      <c r="C450" s="155" t="s">
        <v>484</v>
      </c>
      <c r="D450" s="155"/>
    </row>
    <row r="451">
      <c r="A451" s="153"/>
      <c r="B451" s="155"/>
      <c r="C451" s="155" t="s">
        <v>484</v>
      </c>
      <c r="D451" s="155"/>
    </row>
    <row r="452">
      <c r="A452" s="153"/>
      <c r="B452" s="155"/>
      <c r="C452" s="155" t="s">
        <v>484</v>
      </c>
      <c r="D452" s="155"/>
    </row>
    <row r="453">
      <c r="A453" s="153"/>
      <c r="B453" s="155"/>
      <c r="C453" s="155" t="s">
        <v>484</v>
      </c>
      <c r="D453" s="155"/>
    </row>
    <row r="454">
      <c r="A454" s="153"/>
      <c r="B454" s="155"/>
      <c r="C454" s="155" t="s">
        <v>484</v>
      </c>
      <c r="D454" s="155"/>
    </row>
    <row r="455">
      <c r="A455" s="153"/>
      <c r="B455" s="155"/>
      <c r="C455" s="155" t="s">
        <v>484</v>
      </c>
      <c r="D455" s="155"/>
    </row>
    <row r="456">
      <c r="A456" s="153"/>
      <c r="B456" s="155"/>
      <c r="C456" s="155" t="s">
        <v>484</v>
      </c>
      <c r="D456" s="155"/>
    </row>
    <row r="457">
      <c r="A457" s="153"/>
      <c r="B457" s="155"/>
      <c r="C457" s="155" t="s">
        <v>484</v>
      </c>
      <c r="D457" s="155"/>
    </row>
    <row r="458">
      <c r="A458" s="153"/>
      <c r="B458" s="155"/>
      <c r="C458" s="155" t="s">
        <v>484</v>
      </c>
      <c r="D458" s="155"/>
    </row>
    <row r="459">
      <c r="A459" s="153"/>
      <c r="B459" s="155"/>
      <c r="C459" s="155" t="s">
        <v>484</v>
      </c>
      <c r="D459" s="155"/>
    </row>
    <row r="460">
      <c r="A460" s="153"/>
      <c r="B460" s="155"/>
      <c r="C460" s="155" t="s">
        <v>484</v>
      </c>
      <c r="D460" s="155"/>
    </row>
    <row r="461">
      <c r="A461" s="153"/>
      <c r="B461" s="155"/>
      <c r="C461" s="155" t="s">
        <v>484</v>
      </c>
      <c r="D461" s="155"/>
    </row>
    <row r="462">
      <c r="A462" s="153"/>
      <c r="B462" s="155"/>
      <c r="C462" s="155" t="s">
        <v>484</v>
      </c>
      <c r="D462" s="155"/>
    </row>
    <row r="463">
      <c r="A463" s="153"/>
      <c r="B463" s="155"/>
      <c r="C463" s="155" t="s">
        <v>484</v>
      </c>
      <c r="D463" s="155"/>
    </row>
    <row r="464">
      <c r="A464" s="153"/>
      <c r="B464" s="155"/>
      <c r="C464" s="155" t="s">
        <v>484</v>
      </c>
      <c r="D464" s="155"/>
    </row>
    <row r="465">
      <c r="A465" s="153"/>
      <c r="B465" s="155"/>
      <c r="C465" s="155" t="s">
        <v>484</v>
      </c>
      <c r="D465" s="155"/>
    </row>
    <row r="466">
      <c r="A466" s="153"/>
      <c r="B466" s="155"/>
      <c r="C466" s="155" t="s">
        <v>484</v>
      </c>
      <c r="D466" s="155"/>
    </row>
    <row r="467">
      <c r="A467" s="153"/>
      <c r="B467" s="155"/>
      <c r="C467" s="155" t="s">
        <v>484</v>
      </c>
      <c r="D467" s="155"/>
    </row>
    <row r="468">
      <c r="A468" s="153"/>
      <c r="B468" s="155"/>
      <c r="C468" s="155" t="s">
        <v>484</v>
      </c>
      <c r="D468" s="155"/>
    </row>
    <row r="469">
      <c r="A469" s="153"/>
      <c r="B469" s="155"/>
      <c r="C469" s="155" t="s">
        <v>484</v>
      </c>
      <c r="D469" s="155"/>
    </row>
    <row r="470">
      <c r="A470" s="153"/>
      <c r="B470" s="155"/>
      <c r="C470" s="155" t="s">
        <v>484</v>
      </c>
      <c r="D470" s="155"/>
    </row>
    <row r="471">
      <c r="A471" s="153"/>
      <c r="B471" s="155"/>
      <c r="C471" s="155" t="s">
        <v>484</v>
      </c>
      <c r="D471" s="155"/>
    </row>
    <row r="472">
      <c r="A472" s="153"/>
      <c r="B472" s="155"/>
      <c r="C472" s="155" t="s">
        <v>484</v>
      </c>
      <c r="D472" s="155"/>
    </row>
    <row r="473">
      <c r="A473" s="153"/>
      <c r="B473" s="155"/>
      <c r="C473" s="155" t="s">
        <v>484</v>
      </c>
      <c r="D473" s="155"/>
    </row>
    <row r="474">
      <c r="A474" s="153"/>
      <c r="B474" s="155"/>
      <c r="C474" s="155" t="s">
        <v>484</v>
      </c>
      <c r="D474" s="155"/>
    </row>
    <row r="475">
      <c r="A475" s="153"/>
      <c r="B475" s="155"/>
      <c r="C475" s="155" t="s">
        <v>484</v>
      </c>
      <c r="D475" s="155"/>
    </row>
    <row r="476">
      <c r="A476" s="153"/>
      <c r="B476" s="155"/>
      <c r="C476" s="155" t="s">
        <v>484</v>
      </c>
      <c r="D476" s="155"/>
    </row>
    <row r="477">
      <c r="A477" s="153"/>
      <c r="B477" s="155"/>
      <c r="C477" s="155" t="s">
        <v>484</v>
      </c>
      <c r="D477" s="155"/>
    </row>
    <row r="478">
      <c r="A478" s="153"/>
      <c r="B478" s="155"/>
      <c r="C478" s="155" t="s">
        <v>484</v>
      </c>
      <c r="D478" s="155"/>
    </row>
    <row r="479">
      <c r="A479" s="153"/>
      <c r="B479" s="155"/>
      <c r="C479" s="155" t="s">
        <v>484</v>
      </c>
      <c r="D479" s="155"/>
    </row>
    <row r="480">
      <c r="A480" s="153"/>
      <c r="B480" s="155"/>
      <c r="C480" s="155" t="s">
        <v>484</v>
      </c>
      <c r="D480" s="155"/>
    </row>
    <row r="481">
      <c r="A481" s="153"/>
      <c r="B481" s="155"/>
      <c r="C481" s="155" t="s">
        <v>484</v>
      </c>
      <c r="D481" s="155"/>
    </row>
    <row r="482">
      <c r="A482" s="153"/>
      <c r="B482" s="155"/>
      <c r="C482" s="155" t="s">
        <v>484</v>
      </c>
      <c r="D482" s="155"/>
    </row>
    <row r="483">
      <c r="A483" s="168"/>
      <c r="B483" s="169"/>
      <c r="C483" s="169" t="s">
        <v>595</v>
      </c>
      <c r="D483" s="169"/>
    </row>
    <row r="484">
      <c r="A484" s="170" t="s">
        <v>597</v>
      </c>
      <c r="B484" s="169"/>
      <c r="C484" s="169" t="s">
        <v>595</v>
      </c>
      <c r="D484" s="169"/>
    </row>
    <row r="485">
      <c r="A485" s="170" t="s">
        <v>603</v>
      </c>
      <c r="B485" s="169"/>
      <c r="C485" s="169" t="s">
        <v>595</v>
      </c>
      <c r="D485" s="169"/>
    </row>
    <row r="486">
      <c r="A486" s="170" t="s">
        <v>604</v>
      </c>
      <c r="B486" s="169"/>
      <c r="C486" s="169" t="s">
        <v>595</v>
      </c>
      <c r="D486" s="169"/>
    </row>
    <row r="487">
      <c r="A487" s="170" t="s">
        <v>609</v>
      </c>
      <c r="B487" s="169"/>
      <c r="C487" s="169" t="s">
        <v>595</v>
      </c>
      <c r="D487" s="169"/>
    </row>
    <row r="488">
      <c r="A488" s="170" t="s">
        <v>611</v>
      </c>
      <c r="B488" s="169"/>
      <c r="C488" s="169" t="s">
        <v>595</v>
      </c>
      <c r="D488" s="169"/>
    </row>
    <row r="489">
      <c r="A489" s="170" t="s">
        <v>612</v>
      </c>
      <c r="B489" s="169"/>
      <c r="C489" s="169" t="s">
        <v>595</v>
      </c>
      <c r="D489" s="169"/>
    </row>
    <row r="490">
      <c r="A490" s="170" t="s">
        <v>613</v>
      </c>
      <c r="B490" s="169"/>
      <c r="C490" s="169" t="s">
        <v>595</v>
      </c>
      <c r="D490" s="169"/>
    </row>
    <row r="491">
      <c r="A491" s="170" t="s">
        <v>614</v>
      </c>
      <c r="B491" s="169"/>
      <c r="C491" s="169" t="s">
        <v>595</v>
      </c>
      <c r="D491" s="169"/>
    </row>
    <row r="492">
      <c r="A492" s="170" t="s">
        <v>615</v>
      </c>
      <c r="B492" s="169"/>
      <c r="C492" s="169" t="s">
        <v>595</v>
      </c>
      <c r="D492" s="169"/>
    </row>
    <row r="493">
      <c r="A493" s="170" t="s">
        <v>617</v>
      </c>
      <c r="B493" s="169"/>
      <c r="C493" s="169" t="s">
        <v>595</v>
      </c>
      <c r="D493" s="169"/>
    </row>
    <row r="494">
      <c r="A494" s="170" t="s">
        <v>619</v>
      </c>
      <c r="B494" s="169"/>
      <c r="C494" s="169" t="s">
        <v>595</v>
      </c>
      <c r="D494" s="169"/>
    </row>
    <row r="495">
      <c r="A495" s="170" t="s">
        <v>625</v>
      </c>
      <c r="B495" s="169"/>
      <c r="C495" s="169" t="s">
        <v>595</v>
      </c>
      <c r="D495" s="169"/>
    </row>
    <row r="496">
      <c r="A496" s="170" t="s">
        <v>627</v>
      </c>
      <c r="B496" s="169"/>
      <c r="C496" s="169" t="s">
        <v>595</v>
      </c>
      <c r="D496" s="169"/>
    </row>
    <row r="497">
      <c r="A497" s="170" t="s">
        <v>631</v>
      </c>
      <c r="B497" s="169"/>
      <c r="C497" s="169" t="s">
        <v>595</v>
      </c>
      <c r="D497" s="169"/>
    </row>
    <row r="498">
      <c r="A498" s="170" t="s">
        <v>633</v>
      </c>
      <c r="B498" s="169"/>
      <c r="C498" s="169" t="s">
        <v>595</v>
      </c>
      <c r="D498" s="169"/>
    </row>
    <row r="499">
      <c r="A499" s="170" t="s">
        <v>634</v>
      </c>
      <c r="B499" s="169"/>
      <c r="C499" s="169" t="s">
        <v>595</v>
      </c>
      <c r="D499" s="169"/>
    </row>
    <row r="500">
      <c r="A500" s="170" t="s">
        <v>635</v>
      </c>
      <c r="B500" s="169"/>
      <c r="C500" s="169" t="s">
        <v>595</v>
      </c>
      <c r="D500" s="169"/>
    </row>
    <row r="501">
      <c r="A501" s="170" t="s">
        <v>636</v>
      </c>
      <c r="B501" s="169"/>
      <c r="C501" s="169" t="s">
        <v>595</v>
      </c>
      <c r="D501" s="169"/>
    </row>
    <row r="502">
      <c r="A502" s="170" t="s">
        <v>637</v>
      </c>
      <c r="B502" s="169"/>
      <c r="C502" s="169" t="s">
        <v>595</v>
      </c>
      <c r="D502" s="169"/>
    </row>
    <row r="503">
      <c r="A503" s="170" t="s">
        <v>638</v>
      </c>
      <c r="B503" s="169"/>
      <c r="C503" s="169" t="s">
        <v>595</v>
      </c>
      <c r="D503" s="169"/>
    </row>
    <row r="504">
      <c r="A504" s="170" t="s">
        <v>640</v>
      </c>
      <c r="B504" s="169"/>
      <c r="C504" s="169" t="s">
        <v>595</v>
      </c>
      <c r="D504" s="169"/>
    </row>
    <row r="505">
      <c r="A505" s="170" t="s">
        <v>646</v>
      </c>
      <c r="B505" s="169"/>
      <c r="C505" s="169" t="s">
        <v>595</v>
      </c>
      <c r="D505" s="169"/>
    </row>
    <row r="506">
      <c r="A506" s="170" t="s">
        <v>649</v>
      </c>
      <c r="B506" s="169"/>
      <c r="C506" s="169" t="s">
        <v>595</v>
      </c>
      <c r="D506" s="169"/>
    </row>
    <row r="507">
      <c r="A507" s="170" t="s">
        <v>652</v>
      </c>
      <c r="B507" s="169"/>
      <c r="C507" s="169" t="s">
        <v>595</v>
      </c>
      <c r="D507" s="169"/>
    </row>
    <row r="508">
      <c r="A508" s="170" t="s">
        <v>654</v>
      </c>
      <c r="B508" s="169"/>
      <c r="C508" s="169" t="s">
        <v>595</v>
      </c>
      <c r="D508" s="169"/>
    </row>
    <row r="509">
      <c r="A509" s="170" t="s">
        <v>655</v>
      </c>
      <c r="B509" s="169"/>
      <c r="C509" s="169" t="s">
        <v>595</v>
      </c>
      <c r="D509" s="169"/>
    </row>
    <row r="510">
      <c r="A510" s="170" t="s">
        <v>656</v>
      </c>
      <c r="B510" s="169"/>
      <c r="C510" s="169" t="s">
        <v>595</v>
      </c>
      <c r="D510" s="169"/>
    </row>
    <row r="511">
      <c r="A511" s="170" t="s">
        <v>657</v>
      </c>
      <c r="B511" s="169"/>
      <c r="C511" s="169" t="s">
        <v>595</v>
      </c>
      <c r="D511" s="169"/>
    </row>
    <row r="512">
      <c r="A512" s="170" t="s">
        <v>658</v>
      </c>
      <c r="B512" s="169"/>
      <c r="C512" s="169" t="s">
        <v>595</v>
      </c>
      <c r="D512" s="169"/>
    </row>
    <row r="513">
      <c r="A513" s="170" t="s">
        <v>659</v>
      </c>
      <c r="B513" s="169"/>
      <c r="C513" s="169" t="s">
        <v>595</v>
      </c>
      <c r="D513" s="169"/>
    </row>
    <row r="514">
      <c r="A514" s="170" t="s">
        <v>663</v>
      </c>
      <c r="B514" s="169"/>
      <c r="C514" s="169" t="s">
        <v>595</v>
      </c>
      <c r="D514" s="169"/>
    </row>
    <row r="515">
      <c r="A515" s="170" t="s">
        <v>670</v>
      </c>
      <c r="B515" s="169"/>
      <c r="C515" s="169" t="s">
        <v>595</v>
      </c>
      <c r="D515" s="169"/>
    </row>
    <row r="516">
      <c r="A516" s="170" t="s">
        <v>672</v>
      </c>
      <c r="B516" s="169"/>
      <c r="C516" s="169" t="s">
        <v>595</v>
      </c>
      <c r="D516" s="169"/>
    </row>
    <row r="517">
      <c r="A517" s="170" t="s">
        <v>673</v>
      </c>
      <c r="B517" s="169"/>
      <c r="C517" s="169" t="s">
        <v>595</v>
      </c>
      <c r="D517" s="169"/>
    </row>
    <row r="518">
      <c r="A518" s="170" t="s">
        <v>674</v>
      </c>
      <c r="B518" s="169"/>
      <c r="C518" s="169" t="s">
        <v>595</v>
      </c>
      <c r="D518" s="169"/>
    </row>
    <row r="519">
      <c r="A519" s="170" t="s">
        <v>675</v>
      </c>
      <c r="B519" s="169"/>
      <c r="C519" s="169" t="s">
        <v>595</v>
      </c>
      <c r="D519" s="169"/>
    </row>
    <row r="520">
      <c r="A520" s="170" t="s">
        <v>676</v>
      </c>
      <c r="B520" s="169"/>
      <c r="C520" s="169" t="s">
        <v>595</v>
      </c>
      <c r="D520" s="169"/>
    </row>
    <row r="521">
      <c r="A521" s="170" t="s">
        <v>677</v>
      </c>
      <c r="B521" s="169"/>
      <c r="C521" s="169" t="s">
        <v>595</v>
      </c>
      <c r="D521" s="169"/>
    </row>
    <row r="522">
      <c r="A522" s="170" t="s">
        <v>678</v>
      </c>
      <c r="B522" s="169"/>
      <c r="C522" s="169" t="s">
        <v>595</v>
      </c>
      <c r="D522" s="169"/>
    </row>
    <row r="523">
      <c r="A523" s="170" t="s">
        <v>680</v>
      </c>
      <c r="B523" s="169"/>
      <c r="C523" s="169" t="s">
        <v>595</v>
      </c>
      <c r="D523" s="169"/>
    </row>
    <row r="524">
      <c r="A524" s="170" t="s">
        <v>681</v>
      </c>
      <c r="B524" s="169"/>
      <c r="C524" s="169" t="s">
        <v>595</v>
      </c>
      <c r="D524" s="169"/>
    </row>
    <row r="525">
      <c r="A525" s="170" t="s">
        <v>685</v>
      </c>
      <c r="B525" s="169"/>
      <c r="C525" s="169" t="s">
        <v>595</v>
      </c>
      <c r="D525" s="169"/>
    </row>
    <row r="526">
      <c r="A526" s="170" t="s">
        <v>688</v>
      </c>
      <c r="B526" s="169"/>
      <c r="C526" s="169" t="s">
        <v>595</v>
      </c>
      <c r="D526" s="169"/>
    </row>
    <row r="527">
      <c r="A527" s="170" t="s">
        <v>691</v>
      </c>
      <c r="B527" s="169"/>
      <c r="C527" s="169" t="s">
        <v>595</v>
      </c>
      <c r="D527" s="169"/>
    </row>
    <row r="528">
      <c r="A528" s="170" t="s">
        <v>694</v>
      </c>
      <c r="B528" s="169"/>
      <c r="C528" s="169" t="s">
        <v>595</v>
      </c>
      <c r="D528" s="169"/>
    </row>
    <row r="529">
      <c r="A529" s="170" t="s">
        <v>695</v>
      </c>
      <c r="B529" s="169"/>
      <c r="C529" s="169" t="s">
        <v>595</v>
      </c>
      <c r="D529" s="169"/>
    </row>
    <row r="530">
      <c r="A530" s="170" t="s">
        <v>696</v>
      </c>
      <c r="B530" s="169"/>
      <c r="C530" s="169" t="s">
        <v>595</v>
      </c>
      <c r="D530" s="169"/>
    </row>
    <row r="531">
      <c r="A531" s="170" t="s">
        <v>697</v>
      </c>
      <c r="B531" s="169"/>
      <c r="C531" s="169" t="s">
        <v>595</v>
      </c>
      <c r="D531" s="169"/>
    </row>
    <row r="532">
      <c r="A532" s="170" t="s">
        <v>698</v>
      </c>
      <c r="B532" s="169"/>
      <c r="C532" s="169" t="s">
        <v>595</v>
      </c>
      <c r="D532" s="169"/>
    </row>
    <row r="533">
      <c r="A533" s="170" t="s">
        <v>703</v>
      </c>
      <c r="B533" s="169"/>
      <c r="C533" s="169" t="s">
        <v>595</v>
      </c>
      <c r="D533" s="169"/>
    </row>
    <row r="534">
      <c r="A534" s="170" t="s">
        <v>706</v>
      </c>
      <c r="B534" s="169"/>
      <c r="C534" s="169" t="s">
        <v>595</v>
      </c>
      <c r="D534" s="169"/>
    </row>
    <row r="535">
      <c r="A535" s="170" t="s">
        <v>707</v>
      </c>
      <c r="B535" s="169"/>
      <c r="C535" s="169" t="s">
        <v>595</v>
      </c>
      <c r="D535" s="169"/>
    </row>
    <row r="536">
      <c r="A536" s="170" t="s">
        <v>708</v>
      </c>
      <c r="B536" s="169"/>
      <c r="C536" s="169" t="s">
        <v>595</v>
      </c>
      <c r="D536" s="169"/>
    </row>
    <row r="537">
      <c r="A537" s="170" t="s">
        <v>710</v>
      </c>
      <c r="B537" s="169"/>
      <c r="C537" s="169" t="s">
        <v>595</v>
      </c>
      <c r="D537" s="169"/>
    </row>
    <row r="538">
      <c r="A538" s="170" t="s">
        <v>713</v>
      </c>
      <c r="B538" s="169"/>
      <c r="C538" s="169" t="s">
        <v>595</v>
      </c>
      <c r="D538" s="169"/>
    </row>
    <row r="539">
      <c r="A539" s="170" t="s">
        <v>716</v>
      </c>
      <c r="B539" s="169"/>
      <c r="C539" s="169" t="s">
        <v>595</v>
      </c>
      <c r="D539" s="169"/>
    </row>
    <row r="540">
      <c r="A540" s="170" t="s">
        <v>717</v>
      </c>
      <c r="B540" s="169"/>
      <c r="C540" s="169" t="s">
        <v>595</v>
      </c>
      <c r="D540" s="169"/>
    </row>
    <row r="541">
      <c r="A541" s="170" t="s">
        <v>718</v>
      </c>
      <c r="B541" s="169"/>
      <c r="C541" s="169" t="s">
        <v>595</v>
      </c>
      <c r="D541" s="169"/>
    </row>
    <row r="542">
      <c r="A542" s="170" t="s">
        <v>719</v>
      </c>
      <c r="B542" s="169"/>
      <c r="C542" s="169" t="s">
        <v>595</v>
      </c>
      <c r="D542" s="169"/>
    </row>
    <row r="543">
      <c r="A543" s="170" t="s">
        <v>720</v>
      </c>
      <c r="B543" s="169"/>
      <c r="C543" s="169" t="s">
        <v>595</v>
      </c>
      <c r="D543" s="169"/>
    </row>
    <row r="544">
      <c r="A544" s="170" t="s">
        <v>723</v>
      </c>
      <c r="B544" s="169"/>
      <c r="C544" s="169" t="s">
        <v>595</v>
      </c>
      <c r="D544" s="169"/>
    </row>
    <row r="545">
      <c r="A545" s="170" t="s">
        <v>726</v>
      </c>
      <c r="B545" s="169"/>
      <c r="C545" s="169" t="s">
        <v>595</v>
      </c>
      <c r="D545" s="169"/>
    </row>
    <row r="546">
      <c r="A546" s="170" t="s">
        <v>729</v>
      </c>
      <c r="B546" s="169"/>
      <c r="C546" s="169" t="s">
        <v>595</v>
      </c>
      <c r="D546" s="169"/>
    </row>
    <row r="547">
      <c r="A547" s="170" t="s">
        <v>731</v>
      </c>
      <c r="B547" s="169"/>
      <c r="C547" s="169" t="s">
        <v>595</v>
      </c>
      <c r="D547" s="169"/>
    </row>
    <row r="548">
      <c r="A548" s="170" t="s">
        <v>734</v>
      </c>
      <c r="B548" s="169"/>
      <c r="C548" s="169" t="s">
        <v>595</v>
      </c>
      <c r="D548" s="169"/>
    </row>
    <row r="549">
      <c r="A549" s="170" t="s">
        <v>738</v>
      </c>
      <c r="B549" s="169"/>
      <c r="C549" s="169" t="s">
        <v>595</v>
      </c>
      <c r="D549" s="169"/>
    </row>
    <row r="550">
      <c r="A550" s="170" t="s">
        <v>739</v>
      </c>
      <c r="B550" s="169"/>
      <c r="C550" s="169" t="s">
        <v>595</v>
      </c>
      <c r="D550" s="169"/>
    </row>
    <row r="551">
      <c r="A551" s="170" t="s">
        <v>740</v>
      </c>
      <c r="B551" s="169"/>
      <c r="C551" s="169" t="s">
        <v>595</v>
      </c>
      <c r="D551" s="169"/>
    </row>
    <row r="552">
      <c r="A552" s="170" t="s">
        <v>741</v>
      </c>
      <c r="B552" s="169"/>
      <c r="C552" s="169" t="s">
        <v>595</v>
      </c>
      <c r="D552" s="169"/>
    </row>
    <row r="553">
      <c r="A553" s="170" t="s">
        <v>743</v>
      </c>
      <c r="B553" s="169"/>
      <c r="C553" s="169" t="s">
        <v>595</v>
      </c>
      <c r="D553" s="169"/>
    </row>
    <row r="554">
      <c r="A554" s="170" t="s">
        <v>747</v>
      </c>
      <c r="B554" s="169"/>
      <c r="C554" s="169" t="s">
        <v>595</v>
      </c>
      <c r="D554" s="169"/>
    </row>
    <row r="555">
      <c r="A555" s="170" t="s">
        <v>750</v>
      </c>
      <c r="B555" s="169"/>
      <c r="C555" s="169" t="s">
        <v>595</v>
      </c>
      <c r="D555" s="169"/>
    </row>
    <row r="556">
      <c r="A556" s="170" t="s">
        <v>753</v>
      </c>
      <c r="B556" s="169"/>
      <c r="C556" s="169" t="s">
        <v>595</v>
      </c>
      <c r="D556" s="169"/>
    </row>
    <row r="557">
      <c r="A557" s="170" t="s">
        <v>757</v>
      </c>
      <c r="B557" s="169"/>
      <c r="C557" s="169" t="s">
        <v>595</v>
      </c>
      <c r="D557" s="169"/>
    </row>
    <row r="558">
      <c r="A558" s="170" t="s">
        <v>759</v>
      </c>
      <c r="B558" s="169"/>
      <c r="C558" s="169" t="s">
        <v>595</v>
      </c>
      <c r="D558" s="169"/>
    </row>
    <row r="559">
      <c r="A559" s="170" t="s">
        <v>760</v>
      </c>
      <c r="B559" s="169"/>
      <c r="C559" s="169" t="s">
        <v>595</v>
      </c>
      <c r="D559" s="169"/>
    </row>
    <row r="560">
      <c r="A560" s="170" t="s">
        <v>761</v>
      </c>
      <c r="B560" s="169"/>
      <c r="C560" s="169" t="s">
        <v>595</v>
      </c>
      <c r="D560" s="169"/>
    </row>
    <row r="561">
      <c r="A561" s="170" t="s">
        <v>762</v>
      </c>
      <c r="B561" s="169"/>
      <c r="C561" s="169" t="s">
        <v>595</v>
      </c>
      <c r="D561" s="169"/>
    </row>
    <row r="562">
      <c r="A562" s="170" t="s">
        <v>763</v>
      </c>
      <c r="B562" s="169"/>
      <c r="C562" s="169" t="s">
        <v>595</v>
      </c>
      <c r="D562" s="169"/>
    </row>
    <row r="563">
      <c r="A563" s="170" t="s">
        <v>765</v>
      </c>
      <c r="B563" s="169"/>
      <c r="C563" s="169" t="s">
        <v>595</v>
      </c>
      <c r="D563" s="169"/>
    </row>
    <row r="564">
      <c r="A564" s="170" t="s">
        <v>769</v>
      </c>
      <c r="B564" s="169"/>
      <c r="C564" s="169" t="s">
        <v>595</v>
      </c>
      <c r="D564" s="169"/>
    </row>
    <row r="565">
      <c r="A565" s="170" t="s">
        <v>772</v>
      </c>
      <c r="B565" s="169"/>
      <c r="C565" s="169" t="s">
        <v>595</v>
      </c>
      <c r="D565" s="169"/>
    </row>
    <row r="566">
      <c r="A566" s="170" t="s">
        <v>773</v>
      </c>
      <c r="B566" s="169"/>
      <c r="C566" s="169" t="s">
        <v>595</v>
      </c>
      <c r="D566" s="169"/>
    </row>
    <row r="567">
      <c r="A567" s="170" t="s">
        <v>774</v>
      </c>
      <c r="B567" s="169"/>
      <c r="C567" s="169" t="s">
        <v>595</v>
      </c>
      <c r="D567" s="169"/>
    </row>
    <row r="568">
      <c r="A568" s="170" t="s">
        <v>775</v>
      </c>
      <c r="B568" s="169"/>
      <c r="C568" s="169" t="s">
        <v>595</v>
      </c>
      <c r="D568" s="169"/>
    </row>
    <row r="569">
      <c r="A569" s="170" t="s">
        <v>776</v>
      </c>
      <c r="B569" s="169"/>
      <c r="C569" s="169" t="s">
        <v>595</v>
      </c>
      <c r="D569" s="169"/>
    </row>
    <row r="570">
      <c r="A570" s="170" t="s">
        <v>777</v>
      </c>
      <c r="B570" s="169"/>
      <c r="C570" s="169" t="s">
        <v>595</v>
      </c>
      <c r="D570" s="169"/>
    </row>
    <row r="571">
      <c r="A571" s="170" t="s">
        <v>780</v>
      </c>
      <c r="B571" s="169"/>
      <c r="C571" s="169" t="s">
        <v>595</v>
      </c>
      <c r="D571" s="169"/>
    </row>
    <row r="572">
      <c r="A572" s="170" t="s">
        <v>783</v>
      </c>
      <c r="B572" s="169"/>
      <c r="C572" s="169" t="s">
        <v>595</v>
      </c>
      <c r="D572" s="169"/>
    </row>
    <row r="573">
      <c r="A573" s="170" t="s">
        <v>786</v>
      </c>
      <c r="B573" s="169"/>
      <c r="C573" s="169" t="s">
        <v>595</v>
      </c>
      <c r="D573" s="169"/>
    </row>
    <row r="574">
      <c r="A574" s="170" t="s">
        <v>787</v>
      </c>
      <c r="B574" s="169"/>
      <c r="C574" s="169" t="s">
        <v>595</v>
      </c>
      <c r="D574" s="169"/>
    </row>
    <row r="575">
      <c r="A575" s="170" t="s">
        <v>788</v>
      </c>
      <c r="B575" s="169"/>
      <c r="C575" s="169" t="s">
        <v>595</v>
      </c>
      <c r="D575" s="169"/>
    </row>
    <row r="576">
      <c r="A576" s="170" t="s">
        <v>789</v>
      </c>
      <c r="B576" s="169"/>
      <c r="C576" s="169" t="s">
        <v>595</v>
      </c>
      <c r="D576" s="169"/>
    </row>
    <row r="577">
      <c r="A577" s="170" t="s">
        <v>790</v>
      </c>
      <c r="B577" s="169"/>
      <c r="C577" s="169" t="s">
        <v>595</v>
      </c>
      <c r="D577" s="169"/>
    </row>
    <row r="578">
      <c r="A578" s="170" t="s">
        <v>792</v>
      </c>
      <c r="B578" s="169"/>
      <c r="C578" s="169" t="s">
        <v>595</v>
      </c>
      <c r="D578" s="169"/>
    </row>
    <row r="579">
      <c r="A579" s="170" t="s">
        <v>797</v>
      </c>
      <c r="B579" s="169"/>
      <c r="C579" s="169" t="s">
        <v>595</v>
      </c>
      <c r="D579" s="169"/>
    </row>
    <row r="580">
      <c r="A580" s="170" t="s">
        <v>802</v>
      </c>
      <c r="B580" s="169"/>
      <c r="C580" s="169" t="s">
        <v>595</v>
      </c>
      <c r="D580" s="169"/>
    </row>
    <row r="581">
      <c r="A581" s="170" t="s">
        <v>804</v>
      </c>
      <c r="B581" s="169"/>
      <c r="C581" s="169" t="s">
        <v>595</v>
      </c>
      <c r="D581" s="169"/>
    </row>
    <row r="582">
      <c r="A582" s="170" t="s">
        <v>805</v>
      </c>
      <c r="B582" s="169"/>
      <c r="C582" s="169" t="s">
        <v>595</v>
      </c>
      <c r="D582" s="169"/>
    </row>
    <row r="583">
      <c r="A583" s="170" t="s">
        <v>806</v>
      </c>
      <c r="B583" s="169"/>
      <c r="C583" s="169" t="s">
        <v>595</v>
      </c>
      <c r="D583" s="169"/>
    </row>
    <row r="584">
      <c r="A584" s="170" t="s">
        <v>807</v>
      </c>
      <c r="B584" s="169"/>
      <c r="C584" s="169" t="s">
        <v>595</v>
      </c>
      <c r="D584" s="169"/>
    </row>
    <row r="585">
      <c r="A585" s="170" t="s">
        <v>809</v>
      </c>
      <c r="B585" s="169"/>
      <c r="C585" s="169" t="s">
        <v>595</v>
      </c>
      <c r="D585" s="169"/>
    </row>
    <row r="586">
      <c r="A586" s="170" t="s">
        <v>811</v>
      </c>
      <c r="B586" s="169"/>
      <c r="C586" s="169" t="s">
        <v>595</v>
      </c>
      <c r="D586" s="169"/>
    </row>
    <row r="587">
      <c r="A587" s="170" t="s">
        <v>817</v>
      </c>
      <c r="B587" s="169"/>
      <c r="C587" s="169" t="s">
        <v>595</v>
      </c>
      <c r="D587" s="169"/>
    </row>
    <row r="588">
      <c r="A588" s="170" t="s">
        <v>818</v>
      </c>
      <c r="B588" s="169"/>
      <c r="C588" s="169" t="s">
        <v>595</v>
      </c>
      <c r="D588" s="169"/>
    </row>
    <row r="589">
      <c r="A589" s="170" t="s">
        <v>819</v>
      </c>
      <c r="B589" s="169"/>
      <c r="C589" s="169" t="s">
        <v>595</v>
      </c>
      <c r="D589" s="169"/>
    </row>
    <row r="590">
      <c r="A590" s="170" t="s">
        <v>820</v>
      </c>
      <c r="B590" s="169"/>
      <c r="C590" s="169" t="s">
        <v>595</v>
      </c>
      <c r="D590" s="169"/>
    </row>
    <row r="591">
      <c r="A591" s="170" t="s">
        <v>821</v>
      </c>
      <c r="B591" s="169"/>
      <c r="C591" s="169" t="s">
        <v>595</v>
      </c>
      <c r="D591" s="169"/>
    </row>
    <row r="592">
      <c r="A592" s="170" t="s">
        <v>822</v>
      </c>
      <c r="B592" s="169"/>
      <c r="C592" s="169" t="s">
        <v>595</v>
      </c>
      <c r="D592" s="169"/>
    </row>
    <row r="593">
      <c r="A593" s="170" t="s">
        <v>823</v>
      </c>
      <c r="B593" s="169"/>
      <c r="C593" s="169" t="s">
        <v>595</v>
      </c>
      <c r="D593" s="169"/>
    </row>
    <row r="594">
      <c r="A594" s="170" t="s">
        <v>825</v>
      </c>
      <c r="B594" s="169"/>
      <c r="C594" s="169" t="s">
        <v>595</v>
      </c>
      <c r="D594" s="169"/>
    </row>
    <row r="595">
      <c r="A595" s="170" t="s">
        <v>829</v>
      </c>
      <c r="B595" s="169"/>
      <c r="C595" s="169" t="s">
        <v>595</v>
      </c>
      <c r="D595" s="169"/>
    </row>
    <row r="596">
      <c r="A596" s="170" t="s">
        <v>831</v>
      </c>
      <c r="B596" s="169"/>
      <c r="C596" s="169" t="s">
        <v>595</v>
      </c>
      <c r="D596" s="169"/>
    </row>
    <row r="597">
      <c r="A597" s="170" t="s">
        <v>833</v>
      </c>
      <c r="B597" s="169"/>
      <c r="C597" s="169" t="s">
        <v>595</v>
      </c>
      <c r="D597" s="169"/>
    </row>
    <row r="598">
      <c r="A598" s="170" t="s">
        <v>835</v>
      </c>
      <c r="B598" s="169"/>
      <c r="C598" s="169" t="s">
        <v>595</v>
      </c>
      <c r="D598" s="169"/>
    </row>
    <row r="599">
      <c r="A599" s="170" t="s">
        <v>838</v>
      </c>
      <c r="B599" s="169"/>
      <c r="C599" s="169" t="s">
        <v>595</v>
      </c>
      <c r="D599" s="169"/>
    </row>
    <row r="600">
      <c r="A600" s="170" t="s">
        <v>840</v>
      </c>
      <c r="B600" s="169"/>
      <c r="C600" s="169" t="s">
        <v>595</v>
      </c>
      <c r="D600" s="169"/>
    </row>
    <row r="601">
      <c r="A601" s="170" t="s">
        <v>841</v>
      </c>
      <c r="B601" s="169"/>
      <c r="C601" s="169" t="s">
        <v>595</v>
      </c>
      <c r="D601" s="169"/>
    </row>
    <row r="602">
      <c r="A602" s="170" t="s">
        <v>842</v>
      </c>
      <c r="B602" s="169"/>
      <c r="C602" s="169" t="s">
        <v>595</v>
      </c>
      <c r="D602" s="169"/>
    </row>
    <row r="603">
      <c r="A603" s="170" t="s">
        <v>844</v>
      </c>
      <c r="B603" s="169"/>
      <c r="C603" s="169" t="s">
        <v>595</v>
      </c>
      <c r="D603" s="169"/>
    </row>
    <row r="604">
      <c r="A604" s="170" t="s">
        <v>846</v>
      </c>
      <c r="B604" s="169"/>
      <c r="C604" s="169" t="s">
        <v>595</v>
      </c>
      <c r="D604" s="169"/>
    </row>
    <row r="605">
      <c r="A605" s="170" t="s">
        <v>848</v>
      </c>
      <c r="B605" s="169"/>
      <c r="C605" s="169" t="s">
        <v>595</v>
      </c>
      <c r="D605" s="169"/>
    </row>
    <row r="606">
      <c r="A606" s="170" t="s">
        <v>849</v>
      </c>
      <c r="B606" s="169"/>
      <c r="C606" s="169" t="s">
        <v>595</v>
      </c>
      <c r="D606" s="169"/>
    </row>
    <row r="607">
      <c r="A607" s="170" t="s">
        <v>850</v>
      </c>
      <c r="B607" s="169"/>
      <c r="C607" s="169" t="s">
        <v>595</v>
      </c>
      <c r="D607" s="169"/>
    </row>
    <row r="608">
      <c r="A608" s="170" t="s">
        <v>851</v>
      </c>
      <c r="B608" s="169"/>
      <c r="C608" s="169" t="s">
        <v>595</v>
      </c>
      <c r="D608" s="169"/>
    </row>
    <row r="609">
      <c r="A609" s="170" t="s">
        <v>853</v>
      </c>
      <c r="B609" s="169"/>
      <c r="C609" s="169" t="s">
        <v>595</v>
      </c>
      <c r="D609" s="169"/>
    </row>
    <row r="610">
      <c r="A610" s="170" t="s">
        <v>854</v>
      </c>
      <c r="B610" s="169"/>
      <c r="C610" s="169" t="s">
        <v>595</v>
      </c>
      <c r="D610" s="169"/>
    </row>
    <row r="611">
      <c r="A611" s="170" t="s">
        <v>858</v>
      </c>
      <c r="B611" s="169"/>
      <c r="C611" s="169" t="s">
        <v>595</v>
      </c>
      <c r="D611" s="169"/>
    </row>
    <row r="612">
      <c r="A612" s="170" t="s">
        <v>860</v>
      </c>
      <c r="B612" s="169"/>
      <c r="C612" s="169" t="s">
        <v>595</v>
      </c>
      <c r="D612" s="169"/>
    </row>
    <row r="613">
      <c r="A613" s="179"/>
      <c r="B613" s="180"/>
      <c r="C613" s="180" t="s">
        <v>861</v>
      </c>
      <c r="D613" s="180"/>
    </row>
    <row r="614">
      <c r="A614" s="179"/>
      <c r="B614" s="180"/>
      <c r="C614" s="180" t="s">
        <v>861</v>
      </c>
      <c r="D614" s="180"/>
    </row>
    <row r="615">
      <c r="A615" s="179"/>
      <c r="B615" s="180"/>
      <c r="C615" s="180" t="s">
        <v>861</v>
      </c>
      <c r="D615" s="180"/>
    </row>
    <row r="616">
      <c r="A616" s="179"/>
      <c r="B616" s="180"/>
      <c r="C616" s="180" t="s">
        <v>861</v>
      </c>
      <c r="D616" s="180"/>
    </row>
    <row r="617">
      <c r="A617" s="179"/>
      <c r="B617" s="180"/>
      <c r="C617" s="180" t="s">
        <v>861</v>
      </c>
      <c r="D617" s="180"/>
    </row>
    <row r="618">
      <c r="A618" s="179"/>
      <c r="B618" s="180"/>
      <c r="C618" s="180" t="s">
        <v>861</v>
      </c>
      <c r="D618" s="180"/>
    </row>
    <row r="619">
      <c r="A619" s="179"/>
      <c r="B619" s="180"/>
      <c r="C619" s="180" t="s">
        <v>861</v>
      </c>
      <c r="D619" s="180"/>
    </row>
    <row r="620">
      <c r="A620" s="179"/>
      <c r="B620" s="180"/>
      <c r="C620" s="180" t="s">
        <v>861</v>
      </c>
      <c r="D620" s="180"/>
    </row>
    <row r="621">
      <c r="A621" s="179"/>
      <c r="B621" s="180"/>
      <c r="C621" s="180" t="s">
        <v>861</v>
      </c>
      <c r="D621" s="180"/>
    </row>
    <row r="622">
      <c r="A622" s="179"/>
      <c r="B622" s="180"/>
      <c r="C622" s="180" t="s">
        <v>861</v>
      </c>
      <c r="D622" s="180"/>
    </row>
    <row r="623">
      <c r="A623" s="179"/>
      <c r="B623" s="180"/>
      <c r="C623" s="180" t="s">
        <v>861</v>
      </c>
      <c r="D623" s="180"/>
    </row>
    <row r="624">
      <c r="A624" s="179"/>
      <c r="B624" s="180"/>
      <c r="C624" s="180" t="s">
        <v>861</v>
      </c>
      <c r="D624" s="180"/>
    </row>
    <row r="625">
      <c r="A625" s="179"/>
      <c r="B625" s="180"/>
      <c r="C625" s="180" t="s">
        <v>861</v>
      </c>
      <c r="D625" s="180"/>
    </row>
    <row r="626">
      <c r="A626" s="179"/>
      <c r="B626" s="180"/>
      <c r="C626" s="180" t="s">
        <v>861</v>
      </c>
      <c r="D626" s="180"/>
    </row>
    <row r="627">
      <c r="A627" s="179"/>
      <c r="B627" s="180"/>
      <c r="C627" s="180" t="s">
        <v>861</v>
      </c>
      <c r="D627" s="180"/>
    </row>
    <row r="628">
      <c r="A628" s="179"/>
      <c r="B628" s="180"/>
      <c r="C628" s="180" t="s">
        <v>861</v>
      </c>
      <c r="D628" s="180"/>
    </row>
    <row r="629">
      <c r="A629" s="179"/>
      <c r="B629" s="180"/>
      <c r="C629" s="180" t="s">
        <v>861</v>
      </c>
      <c r="D629" s="180"/>
    </row>
    <row r="630">
      <c r="A630" s="179"/>
      <c r="B630" s="180"/>
      <c r="C630" s="180" t="s">
        <v>861</v>
      </c>
      <c r="D630" s="180"/>
    </row>
    <row r="631">
      <c r="A631" s="179"/>
      <c r="B631" s="180"/>
      <c r="C631" s="180" t="s">
        <v>861</v>
      </c>
      <c r="D631" s="180"/>
    </row>
    <row r="632">
      <c r="A632" s="179"/>
      <c r="B632" s="180"/>
      <c r="C632" s="180" t="s">
        <v>861</v>
      </c>
      <c r="D632" s="180"/>
    </row>
    <row r="633">
      <c r="A633" s="179"/>
      <c r="B633" s="180"/>
      <c r="C633" s="180" t="s">
        <v>861</v>
      </c>
      <c r="D633" s="180"/>
    </row>
    <row r="634">
      <c r="A634" s="179"/>
      <c r="B634" s="180"/>
      <c r="C634" s="180" t="s">
        <v>861</v>
      </c>
      <c r="D634" s="180"/>
    </row>
    <row r="635">
      <c r="A635" s="179"/>
      <c r="B635" s="180"/>
      <c r="C635" s="180" t="s">
        <v>861</v>
      </c>
      <c r="D635" s="180"/>
    </row>
    <row r="636">
      <c r="A636" s="179"/>
      <c r="B636" s="180"/>
      <c r="C636" s="180" t="s">
        <v>861</v>
      </c>
      <c r="D636" s="180"/>
    </row>
    <row r="637">
      <c r="A637" s="179"/>
      <c r="B637" s="180"/>
      <c r="C637" s="180" t="s">
        <v>861</v>
      </c>
      <c r="D637" s="180"/>
    </row>
    <row r="638">
      <c r="A638" s="179"/>
      <c r="B638" s="180"/>
      <c r="C638" s="180" t="s">
        <v>861</v>
      </c>
      <c r="D638" s="180"/>
    </row>
    <row r="639">
      <c r="A639" s="179"/>
      <c r="B639" s="180"/>
      <c r="C639" s="180" t="s">
        <v>861</v>
      </c>
      <c r="D639" s="180"/>
    </row>
    <row r="640">
      <c r="A640" s="179"/>
      <c r="B640" s="180"/>
      <c r="C640" s="180" t="s">
        <v>861</v>
      </c>
      <c r="D640" s="180"/>
    </row>
    <row r="641">
      <c r="A641" s="179"/>
      <c r="B641" s="180"/>
      <c r="C641" s="180" t="s">
        <v>861</v>
      </c>
      <c r="D641" s="180"/>
    </row>
    <row r="642">
      <c r="A642" s="179"/>
      <c r="B642" s="180"/>
      <c r="C642" s="180" t="s">
        <v>861</v>
      </c>
      <c r="D642" s="180"/>
    </row>
    <row r="643">
      <c r="A643" s="179"/>
      <c r="B643" s="180"/>
      <c r="C643" s="180" t="s">
        <v>861</v>
      </c>
      <c r="D643" s="180"/>
    </row>
    <row r="644">
      <c r="A644" s="179"/>
      <c r="B644" s="180"/>
      <c r="C644" s="180" t="s">
        <v>861</v>
      </c>
      <c r="D644" s="180"/>
    </row>
    <row r="645">
      <c r="A645" s="179"/>
      <c r="B645" s="180"/>
      <c r="C645" s="180" t="s">
        <v>861</v>
      </c>
      <c r="D645" s="180"/>
    </row>
    <row r="646">
      <c r="A646" s="179"/>
      <c r="B646" s="180"/>
      <c r="C646" s="180" t="s">
        <v>861</v>
      </c>
      <c r="D646" s="180"/>
    </row>
    <row r="647">
      <c r="A647" s="179"/>
      <c r="B647" s="180"/>
      <c r="C647" s="180" t="s">
        <v>861</v>
      </c>
      <c r="D647" s="180"/>
    </row>
    <row r="648">
      <c r="A648" s="179"/>
      <c r="B648" s="180"/>
      <c r="C648" s="180" t="s">
        <v>861</v>
      </c>
      <c r="D648" s="180"/>
    </row>
    <row r="649">
      <c r="A649" s="179"/>
      <c r="B649" s="180"/>
      <c r="C649" s="180" t="s">
        <v>861</v>
      </c>
      <c r="D649" s="180"/>
    </row>
    <row r="650">
      <c r="A650" s="179"/>
      <c r="B650" s="180"/>
      <c r="C650" s="180" t="s">
        <v>861</v>
      </c>
      <c r="D650" s="180"/>
    </row>
    <row r="651">
      <c r="A651" s="179"/>
      <c r="B651" s="180"/>
      <c r="C651" s="180" t="s">
        <v>861</v>
      </c>
      <c r="D651" s="180"/>
    </row>
    <row r="652">
      <c r="A652" s="179"/>
      <c r="B652" s="180"/>
      <c r="C652" s="180" t="s">
        <v>861</v>
      </c>
      <c r="D652" s="180"/>
    </row>
    <row r="653">
      <c r="A653" s="179"/>
      <c r="B653" s="180"/>
      <c r="C653" s="180" t="s">
        <v>861</v>
      </c>
      <c r="D653" s="180"/>
    </row>
    <row r="654">
      <c r="A654" s="179"/>
      <c r="B654" s="180"/>
      <c r="C654" s="180" t="s">
        <v>861</v>
      </c>
      <c r="D654" s="180"/>
    </row>
    <row r="655">
      <c r="A655" s="179"/>
      <c r="B655" s="180"/>
      <c r="C655" s="180" t="s">
        <v>861</v>
      </c>
      <c r="D655" s="180"/>
    </row>
    <row r="656">
      <c r="A656" s="179"/>
      <c r="B656" s="180"/>
      <c r="C656" s="180" t="s">
        <v>861</v>
      </c>
      <c r="D656" s="180"/>
    </row>
    <row r="657">
      <c r="A657" s="179"/>
      <c r="B657" s="180"/>
      <c r="C657" s="180" t="s">
        <v>861</v>
      </c>
      <c r="D657" s="180"/>
    </row>
    <row r="658">
      <c r="A658" s="179"/>
      <c r="B658" s="180"/>
      <c r="C658" s="180" t="s">
        <v>861</v>
      </c>
      <c r="D658" s="180"/>
    </row>
    <row r="659">
      <c r="A659" s="179"/>
      <c r="B659" s="180"/>
      <c r="C659" s="180" t="s">
        <v>861</v>
      </c>
      <c r="D659" s="180"/>
    </row>
    <row r="660">
      <c r="A660" s="179"/>
      <c r="B660" s="180"/>
      <c r="C660" s="180" t="s">
        <v>861</v>
      </c>
      <c r="D660" s="180"/>
    </row>
    <row r="661">
      <c r="A661" s="179"/>
      <c r="B661" s="180"/>
      <c r="C661" s="180" t="s">
        <v>861</v>
      </c>
      <c r="D661" s="180"/>
    </row>
    <row r="662">
      <c r="A662" s="179"/>
      <c r="B662" s="180"/>
      <c r="C662" s="180" t="s">
        <v>861</v>
      </c>
      <c r="D662" s="180"/>
    </row>
    <row r="663">
      <c r="A663" s="179"/>
      <c r="B663" s="180"/>
      <c r="C663" s="180" t="s">
        <v>861</v>
      </c>
      <c r="D663" s="180"/>
    </row>
    <row r="664">
      <c r="A664" s="179"/>
      <c r="B664" s="180"/>
      <c r="C664" s="180" t="s">
        <v>861</v>
      </c>
      <c r="D664" s="180"/>
    </row>
    <row r="665">
      <c r="A665" s="179"/>
      <c r="B665" s="180"/>
      <c r="C665" s="180" t="s">
        <v>861</v>
      </c>
      <c r="D665" s="180"/>
    </row>
    <row r="666">
      <c r="A666" s="179"/>
      <c r="B666" s="180"/>
      <c r="C666" s="180" t="s">
        <v>861</v>
      </c>
      <c r="D666" s="180"/>
    </row>
    <row r="667">
      <c r="A667" s="179"/>
      <c r="B667" s="180"/>
      <c r="C667" s="180" t="s">
        <v>861</v>
      </c>
      <c r="D667" s="180"/>
    </row>
    <row r="668">
      <c r="A668" s="179"/>
      <c r="B668" s="180"/>
      <c r="C668" s="180" t="s">
        <v>861</v>
      </c>
      <c r="D668" s="180"/>
    </row>
    <row r="669">
      <c r="A669" s="179"/>
      <c r="B669" s="180"/>
      <c r="C669" s="180" t="s">
        <v>861</v>
      </c>
      <c r="D669" s="180"/>
    </row>
    <row r="670">
      <c r="A670" s="97"/>
      <c r="B670" s="83"/>
      <c r="C670" s="186" t="s">
        <v>172</v>
      </c>
      <c r="D670" s="83"/>
    </row>
    <row r="671">
      <c r="A671" s="187"/>
      <c r="B671" s="4"/>
      <c r="C671" s="4" t="s">
        <v>917</v>
      </c>
      <c r="D671" s="4"/>
    </row>
    <row r="672">
      <c r="A672" s="187"/>
      <c r="B672" s="4"/>
      <c r="C672" s="4" t="s">
        <v>917</v>
      </c>
      <c r="D672" s="4"/>
    </row>
    <row r="673">
      <c r="A673" s="187"/>
      <c r="B673" s="4"/>
      <c r="C673" s="4" t="s">
        <v>917</v>
      </c>
      <c r="D673" s="4"/>
    </row>
    <row r="674">
      <c r="A674" s="187"/>
      <c r="B674" s="4"/>
      <c r="C674" s="4" t="s">
        <v>917</v>
      </c>
      <c r="D674" s="4"/>
    </row>
    <row r="675">
      <c r="A675" s="187"/>
      <c r="B675" s="4"/>
      <c r="C675" s="4" t="s">
        <v>917</v>
      </c>
      <c r="D675" s="46"/>
    </row>
    <row r="676">
      <c r="B676" s="188"/>
      <c r="C676" s="188"/>
      <c r="D676" s="188"/>
    </row>
    <row r="677">
      <c r="B677" s="188"/>
      <c r="C677" s="188"/>
      <c r="D677" s="188"/>
    </row>
    <row r="678">
      <c r="B678" s="188"/>
      <c r="C678" s="188"/>
      <c r="D678" s="188"/>
    </row>
    <row r="679">
      <c r="B679" s="188"/>
      <c r="C679" s="188"/>
      <c r="D679" s="188"/>
    </row>
    <row r="680">
      <c r="B680" s="188"/>
      <c r="C680" s="188"/>
      <c r="D680" s="188"/>
    </row>
    <row r="681">
      <c r="B681" s="188"/>
      <c r="C681" s="188"/>
      <c r="D681" s="188"/>
    </row>
    <row r="682">
      <c r="B682" s="188"/>
      <c r="C682" s="188"/>
      <c r="D682" s="188"/>
    </row>
    <row r="683">
      <c r="B683" s="188"/>
      <c r="C683" s="188"/>
      <c r="D683" s="188"/>
    </row>
    <row r="684">
      <c r="B684" s="188"/>
      <c r="C684" s="188"/>
      <c r="D684" s="188"/>
    </row>
    <row r="685">
      <c r="B685" s="188"/>
      <c r="C685" s="188"/>
      <c r="D685" s="188"/>
    </row>
    <row r="686">
      <c r="B686" s="188"/>
      <c r="C686" s="188"/>
      <c r="D686" s="188"/>
    </row>
    <row r="687">
      <c r="B687" s="188"/>
      <c r="C687" s="188"/>
      <c r="D687" s="188"/>
    </row>
    <row r="688">
      <c r="B688" s="188"/>
      <c r="C688" s="188"/>
      <c r="D688" s="188"/>
    </row>
    <row r="689">
      <c r="B689" s="188"/>
      <c r="C689" s="188"/>
      <c r="D689" s="188"/>
    </row>
    <row r="690">
      <c r="B690" s="188"/>
      <c r="C690" s="188"/>
      <c r="D690" s="188"/>
    </row>
    <row r="691">
      <c r="B691" s="188"/>
      <c r="C691" s="188"/>
      <c r="D691" s="188"/>
    </row>
    <row r="692">
      <c r="B692" s="188"/>
      <c r="C692" s="188"/>
      <c r="D692" s="188"/>
    </row>
    <row r="693">
      <c r="B693" s="188"/>
      <c r="C693" s="188"/>
      <c r="D693" s="188"/>
    </row>
    <row r="694">
      <c r="B694" s="188"/>
      <c r="C694" s="188"/>
      <c r="D694" s="188"/>
    </row>
    <row r="695">
      <c r="B695" s="188"/>
      <c r="C695" s="188"/>
      <c r="D695" s="188"/>
    </row>
    <row r="696">
      <c r="B696" s="188"/>
      <c r="C696" s="188"/>
      <c r="D696" s="188"/>
    </row>
    <row r="697">
      <c r="B697" s="188"/>
      <c r="C697" s="188"/>
      <c r="D697" s="188"/>
    </row>
    <row r="698">
      <c r="B698" s="188"/>
      <c r="C698" s="188"/>
      <c r="D698" s="188"/>
    </row>
    <row r="699">
      <c r="B699" s="188"/>
      <c r="C699" s="188"/>
      <c r="D699" s="188"/>
    </row>
    <row r="700">
      <c r="B700" s="188"/>
      <c r="C700" s="188"/>
      <c r="D700" s="188"/>
    </row>
    <row r="701">
      <c r="B701" s="188"/>
      <c r="C701" s="188"/>
      <c r="D701" s="188"/>
    </row>
    <row r="702">
      <c r="B702" s="188"/>
      <c r="C702" s="188"/>
      <c r="D702" s="188"/>
    </row>
    <row r="703">
      <c r="B703" s="188"/>
      <c r="C703" s="188"/>
      <c r="D703" s="188"/>
    </row>
    <row r="704">
      <c r="B704" s="188"/>
      <c r="C704" s="188"/>
      <c r="D704" s="188"/>
    </row>
    <row r="705">
      <c r="B705" s="188"/>
      <c r="C705" s="188"/>
      <c r="D705" s="188"/>
    </row>
    <row r="706">
      <c r="B706" s="188"/>
      <c r="C706" s="188"/>
      <c r="D706" s="188"/>
    </row>
    <row r="707">
      <c r="B707" s="188"/>
      <c r="C707" s="188"/>
      <c r="D707" s="188"/>
    </row>
    <row r="708">
      <c r="B708" s="188"/>
      <c r="C708" s="188"/>
      <c r="D708" s="188"/>
    </row>
    <row r="709">
      <c r="B709" s="188"/>
      <c r="C709" s="188"/>
      <c r="D709" s="188"/>
    </row>
    <row r="710">
      <c r="B710" s="188"/>
      <c r="C710" s="188"/>
      <c r="D710" s="188"/>
    </row>
    <row r="711">
      <c r="B711" s="188"/>
      <c r="C711" s="188"/>
      <c r="D711" s="188"/>
    </row>
    <row r="712">
      <c r="B712" s="188"/>
      <c r="C712" s="188"/>
      <c r="D712" s="188"/>
    </row>
    <row r="713">
      <c r="B713" s="188"/>
      <c r="C713" s="188"/>
      <c r="D713" s="188"/>
    </row>
    <row r="714">
      <c r="B714" s="188"/>
      <c r="C714" s="188"/>
      <c r="D714" s="188"/>
    </row>
    <row r="715">
      <c r="B715" s="188"/>
      <c r="C715" s="188"/>
      <c r="D715" s="188"/>
    </row>
    <row r="716">
      <c r="B716" s="188"/>
      <c r="C716" s="188"/>
      <c r="D716" s="188"/>
    </row>
    <row r="717">
      <c r="B717" s="188"/>
      <c r="C717" s="188"/>
      <c r="D717" s="188"/>
    </row>
    <row r="718">
      <c r="B718" s="188"/>
      <c r="C718" s="188"/>
      <c r="D718" s="188"/>
    </row>
    <row r="719">
      <c r="B719" s="188"/>
      <c r="C719" s="188"/>
      <c r="D719" s="188"/>
    </row>
    <row r="720">
      <c r="B720" s="188"/>
      <c r="C720" s="188"/>
      <c r="D720" s="188"/>
    </row>
    <row r="721">
      <c r="B721" s="188"/>
      <c r="C721" s="188"/>
      <c r="D721" s="188"/>
    </row>
    <row r="722">
      <c r="B722" s="188"/>
      <c r="C722" s="188"/>
      <c r="D722" s="188"/>
    </row>
    <row r="723">
      <c r="B723" s="188"/>
      <c r="C723" s="188"/>
      <c r="D723" s="188"/>
    </row>
    <row r="724">
      <c r="B724" s="188"/>
      <c r="C724" s="188"/>
      <c r="D724" s="188"/>
    </row>
    <row r="725">
      <c r="B725" s="188"/>
      <c r="C725" s="188"/>
      <c r="D725" s="188"/>
    </row>
    <row r="726">
      <c r="B726" s="188"/>
      <c r="C726" s="188"/>
      <c r="D726" s="188"/>
    </row>
    <row r="727">
      <c r="B727" s="188"/>
      <c r="C727" s="188"/>
      <c r="D727" s="188"/>
    </row>
    <row r="728">
      <c r="B728" s="188"/>
      <c r="C728" s="188"/>
      <c r="D728" s="188"/>
    </row>
    <row r="729">
      <c r="B729" s="188"/>
      <c r="C729" s="188"/>
      <c r="D729" s="188"/>
    </row>
    <row r="730">
      <c r="B730" s="188"/>
      <c r="C730" s="188"/>
      <c r="D730" s="188"/>
    </row>
    <row r="731">
      <c r="B731" s="188"/>
      <c r="C731" s="188"/>
      <c r="D731" s="188"/>
    </row>
    <row r="732">
      <c r="B732" s="188"/>
      <c r="C732" s="188"/>
      <c r="D732" s="188"/>
    </row>
    <row r="733">
      <c r="B733" s="188"/>
      <c r="C733" s="188"/>
      <c r="D733" s="188"/>
    </row>
    <row r="734">
      <c r="B734" s="188"/>
      <c r="C734" s="188"/>
      <c r="D734" s="188"/>
    </row>
    <row r="735">
      <c r="B735" s="188"/>
      <c r="C735" s="188"/>
      <c r="D735" s="188"/>
    </row>
    <row r="736">
      <c r="B736" s="188"/>
      <c r="C736" s="188"/>
      <c r="D736" s="188"/>
    </row>
    <row r="737">
      <c r="B737" s="188"/>
      <c r="C737" s="188"/>
      <c r="D737" s="188"/>
    </row>
    <row r="738">
      <c r="B738" s="188"/>
      <c r="C738" s="188"/>
      <c r="D738" s="188"/>
    </row>
    <row r="739">
      <c r="B739" s="188"/>
      <c r="C739" s="188"/>
      <c r="D739" s="188"/>
    </row>
    <row r="740">
      <c r="B740" s="188"/>
      <c r="C740" s="188"/>
      <c r="D740" s="188"/>
    </row>
    <row r="741">
      <c r="B741" s="188"/>
      <c r="C741" s="188"/>
      <c r="D741" s="188"/>
    </row>
    <row r="742">
      <c r="B742" s="188"/>
      <c r="C742" s="188"/>
      <c r="D742" s="188"/>
    </row>
    <row r="743">
      <c r="B743" s="188"/>
      <c r="C743" s="188"/>
      <c r="D743" s="188"/>
    </row>
    <row r="744">
      <c r="B744" s="188"/>
      <c r="C744" s="188"/>
      <c r="D744" s="188"/>
    </row>
    <row r="745">
      <c r="B745" s="188"/>
      <c r="C745" s="188"/>
      <c r="D745" s="188"/>
    </row>
    <row r="746">
      <c r="B746" s="188"/>
      <c r="C746" s="188"/>
      <c r="D746" s="188"/>
    </row>
    <row r="747">
      <c r="B747" s="188"/>
      <c r="C747" s="188"/>
      <c r="D747" s="188"/>
    </row>
    <row r="748">
      <c r="B748" s="188"/>
      <c r="C748" s="188"/>
      <c r="D748" s="188"/>
    </row>
    <row r="749">
      <c r="B749" s="188"/>
      <c r="C749" s="188"/>
      <c r="D749" s="188"/>
    </row>
    <row r="750">
      <c r="B750" s="188"/>
      <c r="C750" s="188"/>
      <c r="D750" s="188"/>
    </row>
    <row r="751">
      <c r="B751" s="188"/>
      <c r="C751" s="188"/>
      <c r="D751" s="188"/>
    </row>
    <row r="752">
      <c r="B752" s="188"/>
      <c r="C752" s="188"/>
      <c r="D752" s="188"/>
    </row>
    <row r="753">
      <c r="B753" s="188"/>
      <c r="C753" s="188"/>
      <c r="D753" s="188"/>
    </row>
    <row r="754">
      <c r="B754" s="188"/>
      <c r="C754" s="188"/>
      <c r="D754" s="188"/>
    </row>
    <row r="755">
      <c r="B755" s="188"/>
      <c r="C755" s="188"/>
      <c r="D755" s="188"/>
    </row>
    <row r="756">
      <c r="B756" s="188"/>
      <c r="C756" s="188"/>
      <c r="D756" s="188"/>
    </row>
    <row r="757">
      <c r="B757" s="188"/>
      <c r="C757" s="188"/>
      <c r="D757" s="188"/>
    </row>
    <row r="758">
      <c r="B758" s="188"/>
      <c r="C758" s="188"/>
      <c r="D758" s="188"/>
    </row>
    <row r="759">
      <c r="B759" s="188"/>
      <c r="C759" s="188"/>
      <c r="D759" s="188"/>
    </row>
    <row r="760">
      <c r="B760" s="188"/>
      <c r="C760" s="188"/>
      <c r="D760" s="188"/>
    </row>
    <row r="761">
      <c r="B761" s="188"/>
      <c r="C761" s="188"/>
      <c r="D761" s="188"/>
    </row>
    <row r="762">
      <c r="B762" s="188"/>
      <c r="C762" s="188"/>
      <c r="D762" s="188"/>
    </row>
    <row r="763">
      <c r="B763" s="188"/>
      <c r="C763" s="188"/>
      <c r="D763" s="188"/>
    </row>
    <row r="764">
      <c r="B764" s="188"/>
      <c r="C764" s="188"/>
      <c r="D764" s="188"/>
    </row>
    <row r="765">
      <c r="B765" s="188"/>
      <c r="C765" s="188"/>
      <c r="D765" s="188"/>
    </row>
    <row r="766">
      <c r="B766" s="188"/>
      <c r="C766" s="188"/>
      <c r="D766" s="188"/>
    </row>
    <row r="767">
      <c r="B767" s="188"/>
      <c r="C767" s="188"/>
      <c r="D767" s="188"/>
    </row>
    <row r="768">
      <c r="B768" s="188"/>
      <c r="C768" s="188"/>
      <c r="D768" s="188"/>
    </row>
    <row r="769">
      <c r="B769" s="188"/>
      <c r="C769" s="188"/>
      <c r="D769" s="188"/>
    </row>
    <row r="770">
      <c r="B770" s="188"/>
      <c r="C770" s="188"/>
      <c r="D770" s="188"/>
    </row>
    <row r="771">
      <c r="B771" s="188"/>
      <c r="C771" s="188"/>
      <c r="D771" s="188"/>
    </row>
    <row r="772">
      <c r="B772" s="188"/>
      <c r="C772" s="188"/>
      <c r="D772" s="188"/>
    </row>
    <row r="773">
      <c r="B773" s="188"/>
      <c r="C773" s="188"/>
      <c r="D773" s="188"/>
    </row>
    <row r="774">
      <c r="B774" s="188"/>
      <c r="C774" s="188"/>
      <c r="D774" s="188"/>
    </row>
    <row r="775">
      <c r="B775" s="188"/>
      <c r="C775" s="188"/>
      <c r="D775" s="188"/>
    </row>
    <row r="776">
      <c r="B776" s="188"/>
      <c r="C776" s="188"/>
      <c r="D776" s="188"/>
    </row>
    <row r="777">
      <c r="B777" s="188"/>
      <c r="C777" s="188"/>
      <c r="D777" s="188"/>
    </row>
    <row r="778">
      <c r="B778" s="188"/>
      <c r="C778" s="188"/>
      <c r="D778" s="188"/>
    </row>
    <row r="779">
      <c r="B779" s="188"/>
      <c r="C779" s="188"/>
      <c r="D779" s="188"/>
    </row>
    <row r="780">
      <c r="B780" s="188"/>
      <c r="C780" s="188"/>
      <c r="D780" s="188"/>
    </row>
    <row r="781">
      <c r="B781" s="188"/>
      <c r="C781" s="188"/>
      <c r="D781" s="188"/>
    </row>
    <row r="782">
      <c r="B782" s="188"/>
      <c r="C782" s="188"/>
      <c r="D782" s="188"/>
    </row>
    <row r="783">
      <c r="B783" s="188"/>
      <c r="C783" s="188"/>
      <c r="D783" s="188"/>
    </row>
    <row r="784">
      <c r="B784" s="188"/>
      <c r="C784" s="188"/>
      <c r="D784" s="188"/>
    </row>
    <row r="785">
      <c r="B785" s="188"/>
      <c r="C785" s="188"/>
      <c r="D785" s="188"/>
    </row>
    <row r="786">
      <c r="B786" s="188"/>
      <c r="C786" s="188"/>
      <c r="D786" s="188"/>
    </row>
    <row r="787">
      <c r="B787" s="188"/>
      <c r="C787" s="188"/>
      <c r="D787" s="188"/>
    </row>
    <row r="788">
      <c r="B788" s="188"/>
      <c r="C788" s="188"/>
      <c r="D788" s="188"/>
    </row>
    <row r="789">
      <c r="B789" s="188"/>
      <c r="C789" s="188"/>
      <c r="D789" s="188"/>
    </row>
    <row r="790">
      <c r="B790" s="188"/>
      <c r="C790" s="188"/>
      <c r="D790" s="188"/>
    </row>
    <row r="791">
      <c r="B791" s="188"/>
      <c r="C791" s="188"/>
      <c r="D791" s="188"/>
    </row>
    <row r="792">
      <c r="B792" s="188"/>
      <c r="C792" s="188"/>
      <c r="D792" s="188"/>
    </row>
    <row r="793">
      <c r="B793" s="188"/>
      <c r="C793" s="188"/>
      <c r="D793" s="188"/>
    </row>
    <row r="794">
      <c r="B794" s="188"/>
      <c r="C794" s="188"/>
      <c r="D794" s="188"/>
    </row>
    <row r="795">
      <c r="B795" s="188"/>
      <c r="C795" s="188"/>
      <c r="D795" s="188"/>
    </row>
    <row r="796">
      <c r="B796" s="188"/>
      <c r="C796" s="188"/>
      <c r="D796" s="188"/>
    </row>
    <row r="797">
      <c r="B797" s="188"/>
      <c r="C797" s="188"/>
      <c r="D797" s="188"/>
    </row>
    <row r="798">
      <c r="B798" s="188"/>
      <c r="C798" s="188"/>
      <c r="D798" s="188"/>
    </row>
    <row r="799">
      <c r="B799" s="188"/>
      <c r="C799" s="188"/>
      <c r="D799" s="188"/>
    </row>
    <row r="800">
      <c r="B800" s="188"/>
      <c r="C800" s="188"/>
      <c r="D800" s="188"/>
    </row>
    <row r="801">
      <c r="B801" s="188"/>
      <c r="C801" s="188"/>
      <c r="D801" s="188"/>
    </row>
    <row r="802">
      <c r="B802" s="188"/>
      <c r="C802" s="188"/>
      <c r="D802" s="188"/>
    </row>
    <row r="803">
      <c r="B803" s="188"/>
      <c r="C803" s="188"/>
      <c r="D803" s="188"/>
    </row>
    <row r="804">
      <c r="B804" s="188"/>
      <c r="C804" s="188"/>
      <c r="D804" s="188"/>
    </row>
    <row r="805">
      <c r="B805" s="188"/>
      <c r="C805" s="188"/>
      <c r="D805" s="188"/>
    </row>
    <row r="806">
      <c r="B806" s="188"/>
      <c r="C806" s="188"/>
      <c r="D806" s="188"/>
    </row>
    <row r="807">
      <c r="B807" s="188"/>
      <c r="C807" s="188"/>
      <c r="D807" s="188"/>
    </row>
    <row r="808">
      <c r="B808" s="188"/>
      <c r="C808" s="188"/>
      <c r="D808" s="188"/>
    </row>
    <row r="809">
      <c r="B809" s="188"/>
      <c r="C809" s="188"/>
      <c r="D809" s="188"/>
    </row>
    <row r="810">
      <c r="B810" s="188"/>
      <c r="C810" s="188"/>
      <c r="D810" s="188"/>
    </row>
    <row r="811">
      <c r="B811" s="188"/>
      <c r="C811" s="188"/>
      <c r="D811" s="188"/>
    </row>
    <row r="812">
      <c r="B812" s="188"/>
      <c r="C812" s="188"/>
      <c r="D812" s="188"/>
    </row>
    <row r="813">
      <c r="B813" s="188"/>
      <c r="C813" s="188"/>
      <c r="D813" s="188"/>
    </row>
    <row r="814">
      <c r="B814" s="188"/>
      <c r="C814" s="188"/>
      <c r="D814" s="188"/>
    </row>
    <row r="815">
      <c r="B815" s="188"/>
      <c r="C815" s="188"/>
      <c r="D815" s="188"/>
    </row>
    <row r="816">
      <c r="B816" s="188"/>
      <c r="C816" s="188"/>
      <c r="D816" s="188"/>
    </row>
    <row r="817">
      <c r="B817" s="188"/>
      <c r="C817" s="188"/>
      <c r="D817" s="188"/>
    </row>
    <row r="818">
      <c r="B818" s="188"/>
      <c r="C818" s="188"/>
      <c r="D818" s="188"/>
    </row>
    <row r="819">
      <c r="B819" s="188"/>
      <c r="C819" s="188"/>
      <c r="D819" s="188"/>
    </row>
    <row r="820">
      <c r="B820" s="188"/>
      <c r="C820" s="188"/>
      <c r="D820" s="188"/>
    </row>
    <row r="821">
      <c r="B821" s="188"/>
      <c r="C821" s="188"/>
      <c r="D821" s="188"/>
    </row>
    <row r="822">
      <c r="B822" s="188"/>
      <c r="C822" s="188"/>
      <c r="D822" s="188"/>
    </row>
    <row r="823">
      <c r="B823" s="188"/>
      <c r="C823" s="188"/>
      <c r="D823" s="188"/>
    </row>
    <row r="824">
      <c r="B824" s="188"/>
      <c r="C824" s="188"/>
      <c r="D824" s="188"/>
    </row>
    <row r="825">
      <c r="B825" s="188"/>
      <c r="C825" s="188"/>
      <c r="D825" s="188"/>
    </row>
    <row r="826">
      <c r="B826" s="188"/>
      <c r="C826" s="188"/>
      <c r="D826" s="188"/>
    </row>
    <row r="827">
      <c r="B827" s="188"/>
      <c r="C827" s="188"/>
      <c r="D827" s="188"/>
    </row>
    <row r="828">
      <c r="B828" s="188"/>
      <c r="C828" s="188"/>
      <c r="D828" s="188"/>
    </row>
    <row r="829">
      <c r="B829" s="188"/>
      <c r="C829" s="188"/>
      <c r="D829" s="188"/>
    </row>
    <row r="830">
      <c r="B830" s="188"/>
      <c r="C830" s="188"/>
      <c r="D830" s="188"/>
    </row>
    <row r="831">
      <c r="B831" s="188"/>
      <c r="C831" s="188"/>
      <c r="D831" s="188"/>
    </row>
    <row r="832">
      <c r="B832" s="188"/>
      <c r="C832" s="188"/>
      <c r="D832" s="188"/>
    </row>
    <row r="833">
      <c r="B833" s="188"/>
      <c r="C833" s="188"/>
      <c r="D833" s="188"/>
    </row>
    <row r="834">
      <c r="B834" s="188"/>
      <c r="C834" s="188"/>
      <c r="D834" s="188"/>
    </row>
    <row r="835">
      <c r="B835" s="188"/>
      <c r="C835" s="188"/>
      <c r="D835" s="188"/>
    </row>
    <row r="836">
      <c r="B836" s="188"/>
      <c r="C836" s="188"/>
      <c r="D836" s="188"/>
    </row>
    <row r="837">
      <c r="B837" s="188"/>
      <c r="C837" s="188"/>
      <c r="D837" s="188"/>
    </row>
    <row r="838">
      <c r="B838" s="188"/>
      <c r="C838" s="188"/>
      <c r="D838" s="188"/>
    </row>
    <row r="839">
      <c r="B839" s="188"/>
      <c r="C839" s="188"/>
      <c r="D839" s="188"/>
    </row>
    <row r="840">
      <c r="B840" s="188"/>
      <c r="C840" s="188"/>
      <c r="D840" s="188"/>
    </row>
    <row r="841">
      <c r="B841" s="188"/>
      <c r="C841" s="188"/>
      <c r="D841" s="188"/>
    </row>
    <row r="842">
      <c r="B842" s="188"/>
      <c r="C842" s="188"/>
      <c r="D842" s="188"/>
    </row>
    <row r="843">
      <c r="B843" s="188"/>
      <c r="C843" s="188"/>
      <c r="D843" s="188"/>
    </row>
    <row r="844">
      <c r="B844" s="188"/>
      <c r="C844" s="188"/>
      <c r="D844" s="188"/>
    </row>
    <row r="845">
      <c r="B845" s="188"/>
      <c r="C845" s="188"/>
      <c r="D845" s="188"/>
    </row>
    <row r="846">
      <c r="B846" s="188"/>
      <c r="C846" s="188"/>
      <c r="D846" s="188"/>
    </row>
    <row r="847">
      <c r="B847" s="188"/>
      <c r="C847" s="188"/>
      <c r="D847" s="188"/>
    </row>
    <row r="848">
      <c r="B848" s="188"/>
      <c r="C848" s="188"/>
      <c r="D848" s="188"/>
    </row>
    <row r="849">
      <c r="B849" s="188"/>
      <c r="C849" s="188"/>
      <c r="D849" s="188"/>
    </row>
    <row r="850">
      <c r="B850" s="188"/>
      <c r="C850" s="188"/>
      <c r="D850" s="188"/>
    </row>
    <row r="851">
      <c r="B851" s="188"/>
      <c r="C851" s="188"/>
      <c r="D851" s="188"/>
    </row>
    <row r="852">
      <c r="B852" s="188"/>
      <c r="C852" s="188"/>
      <c r="D852" s="188"/>
    </row>
    <row r="853">
      <c r="B853" s="188"/>
      <c r="C853" s="188"/>
      <c r="D853" s="188"/>
    </row>
    <row r="854">
      <c r="B854" s="188"/>
      <c r="C854" s="188"/>
      <c r="D854" s="188"/>
    </row>
    <row r="855">
      <c r="B855" s="188"/>
      <c r="C855" s="188"/>
      <c r="D855" s="188"/>
    </row>
    <row r="856">
      <c r="B856" s="188"/>
      <c r="C856" s="188"/>
      <c r="D856" s="188"/>
    </row>
    <row r="857">
      <c r="B857" s="188"/>
      <c r="C857" s="188"/>
      <c r="D857" s="188"/>
    </row>
    <row r="858">
      <c r="B858" s="188"/>
      <c r="C858" s="188"/>
      <c r="D858" s="188"/>
    </row>
    <row r="859">
      <c r="B859" s="188"/>
      <c r="C859" s="188"/>
      <c r="D859" s="188"/>
    </row>
    <row r="860">
      <c r="B860" s="188"/>
      <c r="C860" s="188"/>
      <c r="D860" s="188"/>
    </row>
    <row r="861">
      <c r="B861" s="188"/>
      <c r="C861" s="188"/>
      <c r="D861" s="188"/>
    </row>
    <row r="862">
      <c r="B862" s="188"/>
      <c r="C862" s="188"/>
      <c r="D862" s="188"/>
    </row>
    <row r="863">
      <c r="B863" s="188"/>
      <c r="C863" s="188"/>
      <c r="D863" s="188"/>
    </row>
    <row r="864">
      <c r="B864" s="188"/>
      <c r="C864" s="188"/>
      <c r="D864" s="188"/>
    </row>
    <row r="865">
      <c r="B865" s="188"/>
      <c r="C865" s="188"/>
      <c r="D865" s="188"/>
    </row>
    <row r="866">
      <c r="B866" s="188"/>
      <c r="C866" s="188"/>
      <c r="D866" s="188"/>
    </row>
    <row r="867">
      <c r="B867" s="188"/>
      <c r="C867" s="188"/>
      <c r="D867" s="188"/>
    </row>
    <row r="868">
      <c r="B868" s="188"/>
      <c r="C868" s="188"/>
      <c r="D868" s="188"/>
    </row>
    <row r="869">
      <c r="B869" s="188"/>
      <c r="C869" s="188"/>
      <c r="D869" s="188"/>
    </row>
    <row r="870">
      <c r="B870" s="188"/>
      <c r="C870" s="188"/>
      <c r="D870" s="188"/>
    </row>
    <row r="871">
      <c r="B871" s="188"/>
      <c r="C871" s="188"/>
      <c r="D871" s="188"/>
    </row>
    <row r="872">
      <c r="B872" s="188"/>
      <c r="C872" s="188"/>
      <c r="D872" s="188"/>
    </row>
    <row r="873">
      <c r="B873" s="188"/>
      <c r="C873" s="188"/>
      <c r="D873" s="188"/>
    </row>
    <row r="874">
      <c r="B874" s="188"/>
      <c r="C874" s="188"/>
      <c r="D874" s="188"/>
    </row>
    <row r="875">
      <c r="B875" s="188"/>
      <c r="C875" s="188"/>
      <c r="D875" s="188"/>
    </row>
    <row r="876">
      <c r="B876" s="188"/>
      <c r="C876" s="188"/>
      <c r="D876" s="188"/>
    </row>
    <row r="877">
      <c r="B877" s="188"/>
      <c r="C877" s="188"/>
      <c r="D877" s="188"/>
    </row>
    <row r="878">
      <c r="B878" s="188"/>
      <c r="C878" s="188"/>
      <c r="D878" s="188"/>
    </row>
    <row r="879">
      <c r="B879" s="188"/>
      <c r="C879" s="188"/>
      <c r="D879" s="188"/>
    </row>
    <row r="880">
      <c r="B880" s="188"/>
      <c r="C880" s="188"/>
      <c r="D880" s="188"/>
    </row>
    <row r="881">
      <c r="B881" s="188"/>
      <c r="C881" s="188"/>
      <c r="D881" s="188"/>
    </row>
    <row r="882">
      <c r="B882" s="188"/>
      <c r="C882" s="188"/>
      <c r="D882" s="188"/>
    </row>
    <row r="883">
      <c r="B883" s="188"/>
      <c r="C883" s="188"/>
      <c r="D883" s="188"/>
    </row>
    <row r="884">
      <c r="B884" s="188"/>
      <c r="C884" s="188"/>
      <c r="D884" s="188"/>
    </row>
    <row r="885">
      <c r="B885" s="188"/>
      <c r="C885" s="188"/>
      <c r="D885" s="188"/>
    </row>
    <row r="886">
      <c r="B886" s="188"/>
      <c r="C886" s="188"/>
      <c r="D886" s="188"/>
    </row>
    <row r="887">
      <c r="B887" s="188"/>
      <c r="C887" s="188"/>
      <c r="D887" s="188"/>
    </row>
    <row r="888">
      <c r="B888" s="188"/>
      <c r="C888" s="188"/>
      <c r="D888" s="188"/>
    </row>
    <row r="889">
      <c r="B889" s="188"/>
      <c r="C889" s="188"/>
      <c r="D889" s="188"/>
    </row>
    <row r="890">
      <c r="B890" s="188"/>
      <c r="C890" s="188"/>
      <c r="D890" s="188"/>
    </row>
    <row r="891">
      <c r="B891" s="188"/>
      <c r="C891" s="188"/>
      <c r="D891" s="188"/>
    </row>
    <row r="892">
      <c r="B892" s="188"/>
      <c r="C892" s="188"/>
      <c r="D892" s="188"/>
    </row>
    <row r="893">
      <c r="B893" s="188"/>
      <c r="C893" s="188"/>
      <c r="D893" s="188"/>
    </row>
    <row r="894">
      <c r="B894" s="188"/>
      <c r="C894" s="188"/>
      <c r="D894" s="188"/>
    </row>
    <row r="895">
      <c r="B895" s="188"/>
      <c r="C895" s="188"/>
      <c r="D895" s="188"/>
    </row>
    <row r="896">
      <c r="B896" s="188"/>
      <c r="C896" s="188"/>
      <c r="D896" s="188"/>
    </row>
    <row r="897">
      <c r="B897" s="188"/>
      <c r="C897" s="188"/>
      <c r="D897" s="188"/>
    </row>
    <row r="898">
      <c r="B898" s="188"/>
      <c r="C898" s="188"/>
      <c r="D898" s="188"/>
    </row>
    <row r="899">
      <c r="B899" s="188"/>
      <c r="C899" s="188"/>
      <c r="D899" s="188"/>
    </row>
    <row r="900">
      <c r="B900" s="188"/>
      <c r="C900" s="188"/>
      <c r="D900" s="188"/>
    </row>
    <row r="901">
      <c r="B901" s="188"/>
      <c r="C901" s="188"/>
      <c r="D901" s="188"/>
    </row>
    <row r="902">
      <c r="B902" s="188"/>
      <c r="C902" s="188"/>
      <c r="D902" s="188"/>
    </row>
    <row r="903">
      <c r="B903" s="188"/>
      <c r="C903" s="188"/>
      <c r="D903" s="188"/>
    </row>
    <row r="904">
      <c r="B904" s="188"/>
      <c r="C904" s="188"/>
      <c r="D904" s="188"/>
    </row>
    <row r="905">
      <c r="B905" s="188"/>
      <c r="C905" s="188"/>
      <c r="D905" s="188"/>
    </row>
    <row r="906">
      <c r="B906" s="188"/>
      <c r="C906" s="188"/>
      <c r="D906" s="188"/>
    </row>
    <row r="907">
      <c r="B907" s="188"/>
      <c r="C907" s="188"/>
      <c r="D907" s="188"/>
    </row>
    <row r="908">
      <c r="B908" s="188"/>
      <c r="C908" s="188"/>
      <c r="D908" s="188"/>
    </row>
    <row r="909">
      <c r="B909" s="188"/>
      <c r="C909" s="188"/>
      <c r="D909" s="188"/>
    </row>
    <row r="910">
      <c r="B910" s="188"/>
      <c r="C910" s="188"/>
      <c r="D910" s="188"/>
    </row>
    <row r="911">
      <c r="B911" s="188"/>
      <c r="C911" s="188"/>
      <c r="D911" s="188"/>
    </row>
    <row r="912">
      <c r="B912" s="188"/>
      <c r="C912" s="188"/>
      <c r="D912" s="188"/>
    </row>
    <row r="913">
      <c r="B913" s="188"/>
      <c r="C913" s="188"/>
      <c r="D913" s="188"/>
    </row>
    <row r="914">
      <c r="B914" s="188"/>
      <c r="C914" s="188"/>
      <c r="D914" s="188"/>
    </row>
    <row r="915">
      <c r="B915" s="188"/>
      <c r="C915" s="188"/>
      <c r="D915" s="188"/>
    </row>
    <row r="916">
      <c r="B916" s="188"/>
      <c r="C916" s="188"/>
      <c r="D916" s="188"/>
    </row>
    <row r="917">
      <c r="B917" s="188"/>
      <c r="C917" s="188"/>
      <c r="D917" s="188"/>
    </row>
    <row r="918">
      <c r="B918" s="188"/>
      <c r="C918" s="188"/>
      <c r="D918" s="188"/>
    </row>
    <row r="919">
      <c r="B919" s="188"/>
      <c r="C919" s="188"/>
      <c r="D919" s="188"/>
    </row>
    <row r="920">
      <c r="B920" s="188"/>
      <c r="C920" s="188"/>
      <c r="D920" s="188"/>
    </row>
    <row r="921">
      <c r="B921" s="188"/>
      <c r="C921" s="188"/>
      <c r="D921" s="188"/>
    </row>
    <row r="922">
      <c r="B922" s="188"/>
      <c r="C922" s="188"/>
      <c r="D922" s="188"/>
    </row>
    <row r="923">
      <c r="B923" s="188"/>
      <c r="C923" s="188"/>
      <c r="D923" s="188"/>
    </row>
    <row r="924">
      <c r="B924" s="188"/>
      <c r="C924" s="188"/>
      <c r="D924" s="188"/>
    </row>
    <row r="925">
      <c r="B925" s="188"/>
      <c r="C925" s="188"/>
      <c r="D925" s="188"/>
    </row>
    <row r="926">
      <c r="B926" s="188"/>
      <c r="C926" s="188"/>
      <c r="D926" s="188"/>
    </row>
    <row r="927">
      <c r="B927" s="188"/>
      <c r="C927" s="188"/>
      <c r="D927" s="188"/>
    </row>
    <row r="928">
      <c r="B928" s="188"/>
      <c r="C928" s="188"/>
      <c r="D928" s="188"/>
    </row>
    <row r="929">
      <c r="B929" s="188"/>
      <c r="C929" s="188"/>
      <c r="D929" s="188"/>
    </row>
    <row r="930">
      <c r="B930" s="188"/>
      <c r="C930" s="188"/>
      <c r="D930" s="188"/>
    </row>
    <row r="931">
      <c r="B931" s="188"/>
      <c r="C931" s="188"/>
      <c r="D931" s="188"/>
    </row>
    <row r="932">
      <c r="B932" s="188"/>
      <c r="C932" s="188"/>
      <c r="D932" s="188"/>
    </row>
    <row r="933">
      <c r="B933" s="188"/>
      <c r="C933" s="188"/>
      <c r="D933" s="188"/>
    </row>
    <row r="934">
      <c r="B934" s="188"/>
      <c r="C934" s="188"/>
      <c r="D934" s="188"/>
    </row>
    <row r="935">
      <c r="B935" s="188"/>
      <c r="C935" s="188"/>
      <c r="D935" s="188"/>
    </row>
    <row r="936">
      <c r="B936" s="188"/>
      <c r="C936" s="188"/>
      <c r="D936" s="188"/>
    </row>
    <row r="937">
      <c r="B937" s="188"/>
      <c r="C937" s="188"/>
      <c r="D937" s="188"/>
    </row>
    <row r="938">
      <c r="B938" s="188"/>
      <c r="C938" s="188"/>
      <c r="D938" s="188"/>
    </row>
    <row r="939">
      <c r="B939" s="188"/>
      <c r="C939" s="188"/>
      <c r="D939" s="188"/>
    </row>
    <row r="940">
      <c r="B940" s="188"/>
      <c r="C940" s="188"/>
      <c r="D940" s="188"/>
    </row>
    <row r="941">
      <c r="B941" s="188"/>
      <c r="C941" s="188"/>
      <c r="D941" s="188"/>
    </row>
    <row r="942">
      <c r="B942" s="188"/>
      <c r="C942" s="188"/>
      <c r="D942" s="188"/>
    </row>
    <row r="943">
      <c r="B943" s="188"/>
      <c r="C943" s="188"/>
      <c r="D943" s="188"/>
    </row>
    <row r="944">
      <c r="B944" s="188"/>
      <c r="C944" s="188"/>
      <c r="D944" s="188"/>
    </row>
    <row r="945">
      <c r="B945" s="188"/>
      <c r="C945" s="188"/>
      <c r="D945" s="188"/>
    </row>
    <row r="946">
      <c r="B946" s="188"/>
      <c r="C946" s="188"/>
      <c r="D946" s="188"/>
    </row>
    <row r="947">
      <c r="B947" s="188"/>
      <c r="C947" s="188"/>
      <c r="D947" s="188"/>
    </row>
    <row r="948">
      <c r="B948" s="188"/>
      <c r="C948" s="188"/>
      <c r="D948" s="188"/>
    </row>
    <row r="949">
      <c r="B949" s="188"/>
      <c r="C949" s="188"/>
      <c r="D949" s="188"/>
    </row>
    <row r="950">
      <c r="B950" s="188"/>
      <c r="C950" s="188"/>
      <c r="D950" s="188"/>
    </row>
    <row r="951">
      <c r="B951" s="188"/>
      <c r="C951" s="188"/>
      <c r="D951" s="188"/>
    </row>
    <row r="952">
      <c r="B952" s="188"/>
      <c r="C952" s="188"/>
      <c r="D952" s="188"/>
    </row>
    <row r="953">
      <c r="B953" s="188"/>
      <c r="C953" s="188"/>
      <c r="D953" s="188"/>
    </row>
    <row r="954">
      <c r="B954" s="188"/>
      <c r="C954" s="188"/>
      <c r="D954" s="188"/>
    </row>
    <row r="955">
      <c r="B955" s="188"/>
      <c r="C955" s="188"/>
      <c r="D955" s="188"/>
    </row>
    <row r="956">
      <c r="B956" s="188"/>
      <c r="C956" s="188"/>
      <c r="D956" s="188"/>
    </row>
    <row r="957">
      <c r="B957" s="188"/>
      <c r="C957" s="188"/>
      <c r="D957" s="188"/>
    </row>
    <row r="958">
      <c r="B958" s="188"/>
      <c r="C958" s="188"/>
      <c r="D958" s="188"/>
    </row>
    <row r="959">
      <c r="B959" s="188"/>
      <c r="C959" s="188"/>
      <c r="D959" s="188"/>
    </row>
    <row r="960">
      <c r="B960" s="188"/>
      <c r="C960" s="188"/>
      <c r="D960" s="188"/>
    </row>
    <row r="961">
      <c r="B961" s="188"/>
      <c r="C961" s="188"/>
      <c r="D961" s="188"/>
    </row>
    <row r="962">
      <c r="B962" s="188"/>
      <c r="C962" s="188"/>
      <c r="D962" s="188"/>
    </row>
    <row r="963">
      <c r="B963" s="188"/>
      <c r="C963" s="188"/>
      <c r="D963" s="188"/>
    </row>
    <row r="964">
      <c r="B964" s="188"/>
      <c r="C964" s="188"/>
      <c r="D964" s="188"/>
    </row>
    <row r="965">
      <c r="B965" s="188"/>
      <c r="C965" s="188"/>
      <c r="D965" s="188"/>
    </row>
    <row r="966">
      <c r="B966" s="188"/>
      <c r="C966" s="188"/>
      <c r="D966" s="188"/>
    </row>
    <row r="967">
      <c r="B967" s="188"/>
      <c r="C967" s="188"/>
      <c r="D967" s="188"/>
    </row>
    <row r="968">
      <c r="B968" s="188"/>
      <c r="C968" s="188"/>
      <c r="D968" s="188"/>
    </row>
    <row r="969">
      <c r="B969" s="188"/>
      <c r="C969" s="188"/>
      <c r="D969" s="188"/>
    </row>
    <row r="970">
      <c r="B970" s="188"/>
      <c r="C970" s="188"/>
      <c r="D970" s="188"/>
    </row>
    <row r="971">
      <c r="B971" s="188"/>
      <c r="C971" s="188"/>
      <c r="D971" s="188"/>
    </row>
    <row r="972">
      <c r="B972" s="188"/>
      <c r="C972" s="188"/>
      <c r="D972" s="188"/>
    </row>
    <row r="973">
      <c r="B973" s="188"/>
      <c r="C973" s="188"/>
      <c r="D973" s="188"/>
    </row>
    <row r="974">
      <c r="B974" s="188"/>
      <c r="C974" s="188"/>
      <c r="D974" s="188"/>
    </row>
    <row r="975">
      <c r="B975" s="188"/>
      <c r="C975" s="188"/>
      <c r="D975" s="188"/>
    </row>
    <row r="976">
      <c r="B976" s="188"/>
      <c r="C976" s="188"/>
      <c r="D976" s="188"/>
    </row>
    <row r="977">
      <c r="B977" s="188"/>
      <c r="C977" s="188"/>
      <c r="D977" s="188"/>
    </row>
    <row r="978">
      <c r="B978" s="188"/>
      <c r="C978" s="188"/>
      <c r="D978" s="188"/>
    </row>
    <row r="979">
      <c r="B979" s="188"/>
      <c r="C979" s="188"/>
      <c r="D979" s="188"/>
    </row>
    <row r="980">
      <c r="B980" s="188"/>
      <c r="C980" s="188"/>
      <c r="D980" s="188"/>
    </row>
    <row r="981">
      <c r="B981" s="188"/>
      <c r="C981" s="188"/>
      <c r="D981" s="188"/>
    </row>
    <row r="982">
      <c r="B982" s="188"/>
      <c r="C982" s="188"/>
      <c r="D982" s="188"/>
    </row>
    <row r="983">
      <c r="B983" s="188"/>
      <c r="C983" s="188"/>
      <c r="D983" s="188"/>
    </row>
    <row r="984">
      <c r="B984" s="188"/>
      <c r="C984" s="188"/>
      <c r="D984" s="188"/>
    </row>
    <row r="985">
      <c r="B985" s="188"/>
      <c r="C985" s="188"/>
      <c r="D985" s="188"/>
    </row>
    <row r="986">
      <c r="B986" s="188"/>
      <c r="C986" s="188"/>
      <c r="D986" s="188"/>
    </row>
    <row r="987">
      <c r="B987" s="188"/>
      <c r="C987" s="188"/>
      <c r="D987" s="188"/>
    </row>
    <row r="988">
      <c r="B988" s="188"/>
      <c r="C988" s="188"/>
      <c r="D988" s="188"/>
    </row>
    <row r="989">
      <c r="B989" s="188"/>
      <c r="C989" s="188"/>
      <c r="D989" s="188"/>
    </row>
    <row r="990">
      <c r="B990" s="188"/>
      <c r="C990" s="188"/>
      <c r="D990" s="188"/>
    </row>
    <row r="991">
      <c r="B991" s="188"/>
      <c r="C991" s="188"/>
      <c r="D991" s="188"/>
    </row>
    <row r="992">
      <c r="B992" s="188"/>
      <c r="C992" s="188"/>
      <c r="D992" s="188"/>
    </row>
    <row r="993">
      <c r="B993" s="188"/>
      <c r="C993" s="188"/>
      <c r="D993" s="188"/>
    </row>
    <row r="994">
      <c r="B994" s="188"/>
      <c r="C994" s="188"/>
      <c r="D994" s="188"/>
    </row>
    <row r="995">
      <c r="B995" s="188"/>
      <c r="C995" s="188"/>
      <c r="D995" s="188"/>
    </row>
    <row r="996">
      <c r="B996" s="188"/>
      <c r="C996" s="188"/>
      <c r="D996" s="188"/>
    </row>
    <row r="997">
      <c r="B997" s="188"/>
      <c r="C997" s="188"/>
      <c r="D997" s="188"/>
    </row>
    <row r="998">
      <c r="B998" s="188"/>
      <c r="C998" s="188"/>
      <c r="D998" s="188"/>
    </row>
    <row r="999">
      <c r="B999" s="188"/>
      <c r="C999" s="188"/>
      <c r="D999" s="188"/>
    </row>
    <row r="1000">
      <c r="B1000" s="188"/>
      <c r="C1000" s="188"/>
      <c r="D1000" s="188"/>
    </row>
    <row r="1001">
      <c r="B1001" s="188"/>
      <c r="C1001" s="188"/>
      <c r="D1001" s="188"/>
    </row>
    <row r="1002">
      <c r="B1002" s="188"/>
      <c r="C1002" s="188"/>
      <c r="D1002" s="188"/>
    </row>
    <row r="1003">
      <c r="B1003" s="188"/>
      <c r="C1003" s="188"/>
      <c r="D1003" s="188"/>
    </row>
    <row r="1004">
      <c r="B1004" s="188"/>
      <c r="C1004" s="188"/>
      <c r="D1004" s="188"/>
    </row>
    <row r="1005">
      <c r="B1005" s="188"/>
      <c r="C1005" s="188"/>
      <c r="D1005" s="188"/>
    </row>
    <row r="1006">
      <c r="B1006" s="188"/>
      <c r="C1006" s="188"/>
      <c r="D1006" s="188"/>
    </row>
    <row r="1007">
      <c r="B1007" s="188"/>
      <c r="C1007" s="188"/>
      <c r="D1007" s="188"/>
    </row>
    <row r="1008">
      <c r="B1008" s="188"/>
      <c r="C1008" s="188"/>
      <c r="D1008" s="188"/>
    </row>
  </sheetData>
  <printOptions/>
  <pageMargins bottom="0.75" footer="0.0" header="0.0" left="0.7" right="0.7" top="0.75"/>
  <pageSetup orientation="landscape"/>
  <drawing r:id="rId1"/>
  <tableParts count="3">
    <tablePart r:id="rId5"/>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1.0" topLeftCell="A12" activePane="bottomLeft" state="frozen"/>
      <selection activeCell="B13" sqref="B13" pane="bottomLeft"/>
    </sheetView>
  </sheetViews>
  <sheetFormatPr customHeight="1" defaultColWidth="14.43" defaultRowHeight="15.75" outlineLevelCol="1"/>
  <cols>
    <col customWidth="1" min="1" max="1" width="2.29"/>
    <col customWidth="1" min="2" max="2" width="21.86"/>
    <col customWidth="1" min="3" max="3" width="70.86"/>
    <col customWidth="1" min="4" max="4" width="22.57"/>
    <col customWidth="1" min="5" max="5" width="34.43"/>
    <col customWidth="1" min="6" max="6" width="18.43"/>
    <col customWidth="1" min="7" max="7" width="43.0"/>
    <col customWidth="1" min="8" max="8" width="28.43"/>
    <col customWidth="1" min="9" max="10" width="36.0"/>
    <col customWidth="1" min="11" max="11" width="47.29"/>
    <col customWidth="1" min="12" max="12" width="50.0"/>
    <col customWidth="1" min="13" max="13" width="26.14"/>
    <col customWidth="1" min="14" max="14" width="97.0"/>
    <col customWidth="1" min="15" max="15" width="21.14"/>
    <col customWidth="1" min="16" max="16" width="26.14"/>
    <col customWidth="1" min="17" max="17" width="12.14"/>
  </cols>
  <sheetData>
    <row r="1">
      <c r="A1" s="12"/>
      <c r="B1" s="16"/>
      <c r="C1" s="17"/>
      <c r="D1" s="17"/>
      <c r="E1" s="17"/>
      <c r="F1" s="17"/>
      <c r="G1" s="16"/>
      <c r="H1" s="16"/>
      <c r="I1" s="16"/>
      <c r="J1" s="17"/>
      <c r="K1" s="17"/>
      <c r="L1" s="20"/>
      <c r="M1" s="23"/>
      <c r="N1" s="20"/>
      <c r="O1" s="20"/>
      <c r="P1" s="25"/>
      <c r="Q1" s="20"/>
    </row>
    <row r="2">
      <c r="A2" s="12"/>
      <c r="B2" s="16"/>
      <c r="C2" s="17"/>
      <c r="D2" s="17"/>
      <c r="E2" s="17"/>
      <c r="F2" s="17"/>
      <c r="G2" s="16"/>
      <c r="H2" s="16"/>
      <c r="I2" s="16"/>
      <c r="J2" s="17"/>
      <c r="K2" s="17"/>
      <c r="L2" s="20"/>
      <c r="M2" s="23"/>
      <c r="N2" s="20"/>
      <c r="O2" s="20"/>
      <c r="P2" s="25"/>
      <c r="Q2" s="20"/>
    </row>
    <row r="3">
      <c r="A3" s="12"/>
      <c r="B3" s="16"/>
      <c r="C3" s="17"/>
      <c r="D3" s="17"/>
      <c r="E3" s="17"/>
      <c r="F3" s="17"/>
      <c r="G3" s="16"/>
      <c r="H3" s="16"/>
      <c r="I3" s="16"/>
      <c r="J3" s="17"/>
      <c r="K3" s="17"/>
      <c r="L3" s="20"/>
      <c r="M3" s="23"/>
      <c r="N3" s="20"/>
      <c r="O3" s="20"/>
      <c r="P3" s="30"/>
      <c r="Q3" s="31"/>
    </row>
    <row r="4">
      <c r="A4" s="12"/>
      <c r="B4" s="9" t="s">
        <v>43</v>
      </c>
      <c r="C4" s="10"/>
      <c r="D4" s="11"/>
      <c r="E4" s="33"/>
      <c r="F4" s="33"/>
      <c r="G4" s="34"/>
      <c r="H4" s="34"/>
      <c r="I4" s="34"/>
      <c r="J4" s="33"/>
      <c r="K4" s="33"/>
      <c r="L4" s="36"/>
      <c r="M4" s="37"/>
      <c r="N4" s="36"/>
      <c r="O4" s="20"/>
      <c r="P4" s="30"/>
      <c r="Q4" s="31"/>
    </row>
    <row r="5">
      <c r="A5" s="21"/>
      <c r="B5" s="22"/>
      <c r="D5" s="24"/>
      <c r="E5" s="33"/>
      <c r="F5" s="33"/>
      <c r="G5" s="34"/>
      <c r="H5" s="34"/>
      <c r="I5" s="34"/>
      <c r="J5" s="33"/>
      <c r="K5" s="33"/>
      <c r="L5" s="36"/>
      <c r="M5" s="37"/>
      <c r="N5" s="36"/>
      <c r="O5" s="20"/>
      <c r="P5" s="30"/>
      <c r="Q5" s="31"/>
    </row>
    <row r="6" ht="11.25" customHeight="1">
      <c r="A6" s="21"/>
      <c r="B6" s="22"/>
      <c r="D6" s="24"/>
      <c r="E6" s="33"/>
      <c r="F6" s="33"/>
      <c r="G6" s="34"/>
      <c r="H6" s="34"/>
      <c r="I6" s="34"/>
      <c r="J6" s="33"/>
      <c r="K6" s="33"/>
      <c r="L6" s="36"/>
      <c r="M6" s="37"/>
      <c r="N6" s="36"/>
      <c r="O6" s="20"/>
      <c r="P6" s="30"/>
      <c r="Q6" s="31"/>
    </row>
    <row r="7" ht="15.0" customHeight="1">
      <c r="A7" s="21"/>
      <c r="B7" s="26"/>
      <c r="C7" s="27"/>
      <c r="D7" s="28"/>
      <c r="E7" s="33"/>
      <c r="F7" s="33"/>
      <c r="G7" s="34"/>
      <c r="H7" s="34"/>
      <c r="I7" s="34"/>
      <c r="J7" s="33"/>
      <c r="K7" s="33"/>
      <c r="L7" s="36"/>
      <c r="M7" s="37"/>
      <c r="N7" s="36"/>
      <c r="O7" s="20"/>
      <c r="P7" s="30"/>
      <c r="Q7" s="31"/>
    </row>
    <row r="8" ht="16.5" customHeight="1">
      <c r="A8" s="21"/>
      <c r="B8" s="49" t="s">
        <v>39</v>
      </c>
      <c r="C8" s="33"/>
      <c r="D8" s="33"/>
      <c r="E8" s="33"/>
      <c r="F8" s="33"/>
      <c r="G8" s="34"/>
      <c r="H8" s="34"/>
      <c r="I8" s="34"/>
      <c r="J8" s="33"/>
      <c r="K8" s="33"/>
      <c r="L8" s="36"/>
      <c r="M8" s="37"/>
      <c r="N8" s="36"/>
      <c r="O8" s="20"/>
      <c r="P8" s="30"/>
      <c r="Q8" s="31"/>
    </row>
    <row r="9" ht="12.0" customHeight="1">
      <c r="A9" s="62"/>
      <c r="B9" s="10"/>
      <c r="C9" s="10"/>
      <c r="D9" s="11"/>
      <c r="E9" s="20"/>
      <c r="F9" s="64"/>
      <c r="G9" s="65"/>
      <c r="H9" s="65"/>
      <c r="I9" s="65"/>
      <c r="J9" s="64"/>
      <c r="K9" s="64"/>
      <c r="L9" s="20"/>
      <c r="M9" s="23"/>
      <c r="N9" s="20"/>
      <c r="O9" s="20"/>
      <c r="P9" s="69"/>
      <c r="Q9" s="71"/>
    </row>
    <row r="10">
      <c r="A10" s="73"/>
      <c r="B10" s="74"/>
      <c r="C10" s="76"/>
      <c r="D10" s="76"/>
      <c r="E10" s="78"/>
      <c r="F10" s="79"/>
      <c r="G10" s="80"/>
      <c r="H10" s="80"/>
      <c r="I10" s="80"/>
      <c r="J10" s="79"/>
      <c r="K10" s="79"/>
      <c r="L10" s="78"/>
      <c r="M10" s="81"/>
      <c r="N10" s="78"/>
      <c r="O10" s="78"/>
      <c r="P10" s="82"/>
      <c r="Q10" s="78"/>
    </row>
    <row r="11">
      <c r="A11" s="73"/>
      <c r="B11" s="84" t="s">
        <v>0</v>
      </c>
      <c r="C11" s="84" t="s">
        <v>150</v>
      </c>
      <c r="D11" s="84" t="s">
        <v>152</v>
      </c>
      <c r="E11" s="85" t="s">
        <v>153</v>
      </c>
      <c r="F11" s="84" t="s">
        <v>154</v>
      </c>
      <c r="G11" s="86" t="s">
        <v>156</v>
      </c>
      <c r="H11" s="86" t="s">
        <v>158</v>
      </c>
      <c r="I11" s="86" t="s">
        <v>159</v>
      </c>
      <c r="J11" s="89" t="s">
        <v>165</v>
      </c>
      <c r="K11" s="86" t="s">
        <v>160</v>
      </c>
      <c r="L11" s="90" t="s">
        <v>162</v>
      </c>
      <c r="M11" s="89" t="s">
        <v>163</v>
      </c>
      <c r="N11" s="91" t="s">
        <v>166</v>
      </c>
      <c r="O11" s="90"/>
      <c r="P11" s="92" t="s">
        <v>164</v>
      </c>
      <c r="Q11" s="90"/>
    </row>
    <row r="12">
      <c r="A12" s="73"/>
      <c r="B12" s="103" t="str">
        <f>IFERROR(__xludf.DUMMYFUNCTION("ARRAYFORMULA(LET(std,LAMBDA(x,HSTACK(CHOOSECOLS(x,1,2,3,4,5,6,7,8,13,9,10,11,14),IF(SEQUENCE(ROWS(x)),""""),CHOOSECOLS(x,12))),ges,LAMBDA(x,HSTACK(CHOOSECOLS(x,1,2,3,4,5,10,11,12,13,6,7,8,14),IF(SEQUENCE(ROWS(x)),""""),CHOOSECOLS(x,9))),sep,IF(SEQUENCE(1,"&amp;"15),""""),pv,FILTER('SESSÕES | PRÉ VENDAS'!B9:O2390,'SESSÕES | PRÉ VENDAS'!C9:C2390&lt;&gt;""""),ex,FILTER('SESSÕES | EXECUTIVOS'!B9:O2390,'SESSÕES | EXECUTIVOS'!C9:C2390&lt;&gt;""""),pc,FILTER('SESSÕES | GESTÃO'!B9:O2390,'SESSÕES | GESTÃO'!C9:C2390&lt;&gt;"""",'SESSÕES | "&amp;"GESTÃO'!B9:B2390=""Planejamento Comercial""),li,FILTER('SESSÕES | GESTÃO'!B9:O2390,'SESSÕES | GESTÃO'!C9:C2390&lt;&gt;"""",'SESSÕES | GESTÃO'!B9:B2390&lt;&gt;""Planejamento Comercial""),ca,FILTER(' SESSÕES | CANAIS'!B9:O2390,' SESSÕES | CANAIS'!C9:C2390&lt;&gt;""""),cl,FIL"&amp;"TER('SESSÕES | CLASS'!B9:O2390,'SESSÕES | CLASS'!C9:C2390&lt;&gt;""""),n_mv,FILTER('MÁQUINA DE VENDAS'!B9:O2390,'MÁQUINA DE VENDAS'!C9:C2390&lt;&gt;""""),n_ia,FILTER('CERTIFICAÇÃO EM IA'!B9:O2390,'CERTIFICAÇÃO EM IA'!C9:C2390&lt;&gt;""""),n_pg,FILTER('PROGRAMA DE GESTÃO'!B"&amp;"9:O2390,'PROGRAMA DE GESTÃO'!C9:C2390&lt;&gt;""""),n_cv,FILTER('CERTIFICAÇÃO DE VENDEDORES B2B'!B9:O2390,'CERTIFICAÇÃO DE VENDEDORES B2B'!C9:C2390&lt;&gt;""""),n_es,FILTER('ESPECIALIZAÇÃO DE VENDEDORES'!B9:O2390,'ESPECIALIZAÇÃO DE VENDEDORES'!C9:C2390&lt;&gt;""""),VSTACK(s"&amp;"td(pv),sep,std(ex),sep,ges(pc),sep,ges(li),sep,std(ca),sep,std(cl),sep,std(n_mv),sep,std(n_ia),sep,std(n_pg),sep,std(n_cv),sep,std(n_es))))"),"Pré-Vendas (Prospecção)")</f>
        <v>Pré-Vendas (Prospecção)</v>
      </c>
      <c r="C12" s="104" t="str">
        <f>IFERROR(__xludf.DUMMYFUNCTION("""COMPUTED_VALUE"""),"LinkedIn e Sales Navigator na Prática")</f>
        <v>LinkedIn e Sales Navigator na Prática</v>
      </c>
      <c r="D12" s="104" t="str">
        <f>IFERROR(__xludf.DUMMYFUNCTION("""COMPUTED_VALUE"""),"Thiago Iamnhuque")</f>
        <v>Thiago Iamnhuque</v>
      </c>
      <c r="E12" s="105" t="str">
        <f>IFERROR(__xludf.DUMMYFUNCTION("""COMPUTED_VALUE"""),"Sales Manager")</f>
        <v>Sales Manager</v>
      </c>
      <c r="F12" s="105" t="str">
        <f>IFERROR(__xludf.DUMMYFUNCTION("""COMPUTED_VALUE"""),"Linkedin")</f>
        <v>Linkedin</v>
      </c>
      <c r="G12" s="109" t="str">
        <f>IFERROR(__xludf.DUMMYFUNCTION("""COMPUTED_VALUE"""),"https://www.linkedin.com/in/thiago-iamnhuque/")</f>
        <v>https://www.linkedin.com/in/thiago-iamnhuque/</v>
      </c>
      <c r="H12" s="110" t="str">
        <f>IFERROR(__xludf.DUMMYFUNCTION("""COMPUTED_VALUE"""),"Conhecimento Técnico")</f>
        <v>Conhecimento Técnico</v>
      </c>
      <c r="I12" s="110" t="str">
        <f>IFERROR(__xludf.DUMMYFUNCTION("""COMPUTED_VALUE"""),"Gestão de Vendas")</f>
        <v>Gestão de Vendas</v>
      </c>
      <c r="J12" s="110" t="str">
        <f>IFERROR(__xludf.DUMMYFUNCTION("""COMPUTED_VALUE"""),"Ferramentas de Vendas")</f>
        <v>Ferramentas de Vendas</v>
      </c>
      <c r="K12" s="114" t="str">
        <f>IFERROR(__xludf.DUMMYFUNCTION("""COMPUTED_VALUE"""),"https://universidade.pipelovers.net/m/lessons/linkedin-e-sales-navigator-na-pratica1769551998143?classId=3302")</f>
        <v>https://universidade.pipelovers.net/m/lessons/linkedin-e-sales-navigator-na-pratica1769551998143?classId=3302</v>
      </c>
      <c r="L12" s="115" t="str">
        <f>IFERROR(__xludf.DUMMYFUNCTION("""COMPUTED_VALUE"""),"https://universidade.pipelovers.net/m/lessons/linkedin-e-sales-navigator-na-pratica1769551998143?classId=3302")</f>
        <v>https://universidade.pipelovers.net/m/lessons/linkedin-e-sales-navigator-na-pratica1769551998143?classId=3302</v>
      </c>
      <c r="M12" s="117">
        <f>IFERROR(__xludf.DUMMYFUNCTION("""COMPUTED_VALUE"""),4.21)</f>
        <v>4.21</v>
      </c>
      <c r="N12" s="110" t="str">
        <f>IFERROR(__xludf.DUMMYFUNCTION("""COMPUTED_VALUE""")," 1. PipeLovers 💚 SDRs com Thiago Iamnhuque ""LinkedIn e Sales Navigator na Prática""")</f>
        <v> 1. PipeLovers 💚 SDRs com Thiago Iamnhuque "LinkedIn e Sales Navigator na Prática"</v>
      </c>
      <c r="O12" s="110" t="str">
        <f>IFERROR(__xludf.DUMMYFUNCTION("""COMPUTED_VALUE"""),"")</f>
        <v/>
      </c>
      <c r="P12" s="118">
        <f>IFERROR(__xludf.DUMMYFUNCTION("""COMPUTED_VALUE"""),44872.0)</f>
        <v>44872</v>
      </c>
      <c r="Q12" s="110"/>
    </row>
    <row r="13">
      <c r="A13" s="73"/>
      <c r="B13" s="103" t="str">
        <f>IFERROR(__xludf.DUMMYFUNCTION("""COMPUTED_VALUE"""),"Pré-Vendas (Prospecção)")</f>
        <v>Pré-Vendas (Prospecção)</v>
      </c>
      <c r="C13" s="119" t="str">
        <f>IFERROR(__xludf.DUMMYFUNCTION("""COMPUTED_VALUE"""),"Aprendizados de 100 Mentorias para SDRs")</f>
        <v>Aprendizados de 100 Mentorias para SDRs</v>
      </c>
      <c r="D13" s="119" t="str">
        <f>IFERROR(__xludf.DUMMYFUNCTION("""COMPUTED_VALUE"""),"Gustavo Pagotto")</f>
        <v>Gustavo Pagotto</v>
      </c>
      <c r="E13" s="105" t="str">
        <f>IFERROR(__xludf.DUMMYFUNCTION("""COMPUTED_VALUE"""),"Fundador")</f>
        <v>Fundador</v>
      </c>
      <c r="F13" s="105" t="str">
        <f>IFERROR(__xludf.DUMMYFUNCTION("""COMPUTED_VALUE"""),"PipeLovers")</f>
        <v>PipeLovers</v>
      </c>
      <c r="G13" s="122" t="str">
        <f>IFERROR(__xludf.DUMMYFUNCTION("""COMPUTED_VALUE"""),"https://www.linkedin.com/in/gpagotto/")</f>
        <v>https://www.linkedin.com/in/gpagotto/</v>
      </c>
      <c r="H13" s="110" t="str">
        <f>IFERROR(__xludf.DUMMYFUNCTION("""COMPUTED_VALUE"""),"Autodesenvolvimento")</f>
        <v>Autodesenvolvimento</v>
      </c>
      <c r="I13" s="110" t="str">
        <f>IFERROR(__xludf.DUMMYFUNCTION("""COMPUTED_VALUE"""),"Aprendizado Ativo")</f>
        <v>Aprendizado Ativo</v>
      </c>
      <c r="J13" s="110" t="str">
        <f>IFERROR(__xludf.DUMMYFUNCTION("""COMPUTED_VALUE"""),"Benchmarking")</f>
        <v>Benchmarking</v>
      </c>
      <c r="K13" s="128" t="str">
        <f>IFERROR(__xludf.DUMMYFUNCTION("""COMPUTED_VALUE"""),"https://universidade.pipelovers.net/m/lessons/aprendizados-de-100-mentorias-para-sdrs1769551998054?classId=3304")</f>
        <v>https://universidade.pipelovers.net/m/lessons/aprendizados-de-100-mentorias-para-sdrs1769551998054?classId=3304</v>
      </c>
      <c r="L13" s="115" t="str">
        <f>IFERROR(__xludf.DUMMYFUNCTION("""COMPUTED_VALUE"""),"https://universidade.pipelovers.net/m/lessons/aprendizados-de-100-mentorias-para-sdrs1769551998054?classId=3304")</f>
        <v>https://universidade.pipelovers.net/m/lessons/aprendizados-de-100-mentorias-para-sdrs1769551998054?classId=3304</v>
      </c>
      <c r="M13" s="117">
        <f>IFERROR(__xludf.DUMMYFUNCTION("""COMPUTED_VALUE"""),4.71)</f>
        <v>4.71</v>
      </c>
      <c r="N13" s="110" t="str">
        <f>IFERROR(__xludf.DUMMYFUNCTION("""COMPUTED_VALUE"""),"2. PipeLovers 💚 SDRs com Gustavo Pagotto ""Aprendizados de 100 Mentorias para SDRs""")</f>
        <v>2. PipeLovers 💚 SDRs com Gustavo Pagotto "Aprendizados de 100 Mentorias para SDRs"</v>
      </c>
      <c r="O13" s="110" t="str">
        <f>IFERROR(__xludf.DUMMYFUNCTION("""COMPUTED_VALUE"""),"")</f>
        <v/>
      </c>
      <c r="P13" s="118">
        <f>IFERROR(__xludf.DUMMYFUNCTION("""COMPUTED_VALUE"""),44879.0)</f>
        <v>44879</v>
      </c>
      <c r="Q13" s="110"/>
    </row>
    <row r="14">
      <c r="A14" s="73"/>
      <c r="B14" s="103" t="str">
        <f>IFERROR(__xludf.DUMMYFUNCTION("""COMPUTED_VALUE"""),"Pré-Vendas (Prospecção)")</f>
        <v>Pré-Vendas (Prospecção)</v>
      </c>
      <c r="C14" s="104" t="str">
        <f>IFERROR(__xludf.DUMMYFUNCTION("""COMPUTED_VALUE"""),"Speedio na Prática")</f>
        <v>Speedio na Prática</v>
      </c>
      <c r="D14" s="104" t="str">
        <f>IFERROR(__xludf.DUMMYFUNCTION("""COMPUTED_VALUE"""),"Maucir Nascimento")</f>
        <v>Maucir Nascimento</v>
      </c>
      <c r="E14" s="105" t="str">
        <f>IFERROR(__xludf.DUMMYFUNCTION("""COMPUTED_VALUE"""),"CGO")</f>
        <v>CGO</v>
      </c>
      <c r="F14" s="105" t="str">
        <f>IFERROR(__xludf.DUMMYFUNCTION("""COMPUTED_VALUE"""),"Speedio")</f>
        <v>Speedio</v>
      </c>
      <c r="G14" s="122" t="str">
        <f>IFERROR(__xludf.DUMMYFUNCTION("""COMPUTED_VALUE"""),"https://www.linkedin.com/in/maucirnascimento/")</f>
        <v>https://www.linkedin.com/in/maucirnascimento/</v>
      </c>
      <c r="H14" s="110" t="str">
        <f>IFERROR(__xludf.DUMMYFUNCTION("""COMPUTED_VALUE"""),"Conhecimento Técnico")</f>
        <v>Conhecimento Técnico</v>
      </c>
      <c r="I14" s="110" t="str">
        <f>IFERROR(__xludf.DUMMYFUNCTION("""COMPUTED_VALUE"""),"Gestão de Vendas")</f>
        <v>Gestão de Vendas</v>
      </c>
      <c r="J14" s="110" t="str">
        <f>IFERROR(__xludf.DUMMYFUNCTION("""COMPUTED_VALUE"""),"Ferramentas de Vendas")</f>
        <v>Ferramentas de Vendas</v>
      </c>
      <c r="K14" s="114" t="str">
        <f>IFERROR(__xludf.DUMMYFUNCTION("""COMPUTED_VALUE"""),"https://universidade.pipelovers.net/m/lessons/speedio-na-pratica1769551998117?classId=3311")</f>
        <v>https://universidade.pipelovers.net/m/lessons/speedio-na-pratica1769551998117?classId=3311</v>
      </c>
      <c r="L14" s="115" t="str">
        <f>IFERROR(__xludf.DUMMYFUNCTION("""COMPUTED_VALUE"""),"https://universidade.pipelovers.net/m/lessons/speedio-na-pratica1769551998117?classId=3311")</f>
        <v>https://universidade.pipelovers.net/m/lessons/speedio-na-pratica1769551998117?classId=3311</v>
      </c>
      <c r="M14" s="117">
        <f>IFERROR(__xludf.DUMMYFUNCTION("""COMPUTED_VALUE"""),3.5)</f>
        <v>3.5</v>
      </c>
      <c r="N14" s="110" t="str">
        <f>IFERROR(__xludf.DUMMYFUNCTION("""COMPUTED_VALUE"""),"3. PipeLovers 💚 SDRs com Maurcir Nascimento ""Speedio na Prática""(2022-07-20 04:04 GMT-7)")</f>
        <v>3. PipeLovers 💚 SDRs com Maurcir Nascimento "Speedio na Prática"(2022-07-20 04:04 GMT-7)</v>
      </c>
      <c r="O14" s="110" t="str">
        <f>IFERROR(__xludf.DUMMYFUNCTION("""COMPUTED_VALUE"""),"")</f>
        <v/>
      </c>
      <c r="P14" s="118">
        <f>IFERROR(__xludf.DUMMYFUNCTION("""COMPUTED_VALUE"""),44886.0)</f>
        <v>44886</v>
      </c>
      <c r="Q14" s="110"/>
    </row>
    <row r="15">
      <c r="A15" s="73"/>
      <c r="B15" s="103" t="str">
        <f>IFERROR(__xludf.DUMMYFUNCTION("""COMPUTED_VALUE"""),"Pré-Vendas (Prospecção)")</f>
        <v>Pré-Vendas (Prospecção)</v>
      </c>
      <c r="C15" s="119" t="str">
        <f>IFERROR(__xludf.DUMMYFUNCTION("""COMPUTED_VALUE"""),"Por dentro da Estrutura de SDRs da Zendesk")</f>
        <v>Por dentro da Estrutura de SDRs da Zendesk</v>
      </c>
      <c r="D15" s="119" t="str">
        <f>IFERROR(__xludf.DUMMYFUNCTION("""COMPUTED_VALUE"""),"João Bevilacqua")</f>
        <v>João Bevilacqua</v>
      </c>
      <c r="E15" s="105" t="str">
        <f>IFERROR(__xludf.DUMMYFUNCTION("""COMPUTED_VALUE"""),"LATAM Sales Development Director")</f>
        <v>LATAM Sales Development Director</v>
      </c>
      <c r="F15" s="105" t="str">
        <f>IFERROR(__xludf.DUMMYFUNCTION("""COMPUTED_VALUE"""),"Zendesk")</f>
        <v>Zendesk</v>
      </c>
      <c r="G15" s="122" t="str">
        <f>IFERROR(__xludf.DUMMYFUNCTION("""COMPUTED_VALUE"""),"https://www.linkedin.com/in/joaoambevilacqua/")</f>
        <v>https://www.linkedin.com/in/joaoambevilacqua/</v>
      </c>
      <c r="H15" s="110" t="str">
        <f>IFERROR(__xludf.DUMMYFUNCTION("""COMPUTED_VALUE"""),"Conhecimento Técnico")</f>
        <v>Conhecimento Técnico</v>
      </c>
      <c r="I15" s="110" t="str">
        <f>IFERROR(__xludf.DUMMYFUNCTION("""COMPUTED_VALUE"""),"Técnicas de Vendas")</f>
        <v>Técnicas de Vendas</v>
      </c>
      <c r="J15" s="110" t="str">
        <f>IFERROR(__xludf.DUMMYFUNCTION("""COMPUTED_VALUE"""),"Abordagem e Prospecção")</f>
        <v>Abordagem e Prospecção</v>
      </c>
      <c r="K15" s="128" t="str">
        <f>IFERROR(__xludf.DUMMYFUNCTION("""COMPUTED_VALUE"""),"https://universidade.pipelovers.net/m/lessons/por-dentro-da-estrutura-de-sdrs-da-zendesk1769551998168?classId=3314")</f>
        <v>https://universidade.pipelovers.net/m/lessons/por-dentro-da-estrutura-de-sdrs-da-zendesk1769551998168?classId=3314</v>
      </c>
      <c r="L15" s="115" t="str">
        <f>IFERROR(__xludf.DUMMYFUNCTION("""COMPUTED_VALUE"""),"https://universidade.pipelovers.net/m/lessons/por-dentro-da-estrutura-de-sdrs-da-zendesk1769551998168?classId=3314")</f>
        <v>https://universidade.pipelovers.net/m/lessons/por-dentro-da-estrutura-de-sdrs-da-zendesk1769551998168?classId=3314</v>
      </c>
      <c r="M15" s="117">
        <f>IFERROR(__xludf.DUMMYFUNCTION("""COMPUTED_VALUE"""),4.86)</f>
        <v>4.86</v>
      </c>
      <c r="N15" s="110" t="str">
        <f>IFERROR(__xludf.DUMMYFUNCTION("""COMPUTED_VALUE"""),"4. PipeLovers 💚 SDRs com João Bevilacqua ""Por dentro da Estrutura de SDRs da Zendesk""(2022-07-27 04:04 GMT-7)")</f>
        <v>4. PipeLovers 💚 SDRs com João Bevilacqua "Por dentro da Estrutura de SDRs da Zendesk"(2022-07-27 04:04 GMT-7)</v>
      </c>
      <c r="O15" s="110" t="str">
        <f>IFERROR(__xludf.DUMMYFUNCTION("""COMPUTED_VALUE"""),"")</f>
        <v/>
      </c>
      <c r="P15" s="118">
        <f>IFERROR(__xludf.DUMMYFUNCTION("""COMPUTED_VALUE"""),44893.0)</f>
        <v>44893</v>
      </c>
      <c r="Q15" s="110"/>
    </row>
    <row r="16">
      <c r="A16" s="73"/>
      <c r="B16" s="103" t="str">
        <f>IFERROR(__xludf.DUMMYFUNCTION("""COMPUTED_VALUE"""),"Pré-Vendas (Prospecção)")</f>
        <v>Pré-Vendas (Prospecção)</v>
      </c>
      <c r="C16" s="104" t="str">
        <f>IFERROR(__xludf.DUMMYFUNCTION("""COMPUTED_VALUE"""),"Apollo.io na Prática")</f>
        <v>Apollo.io na Prática</v>
      </c>
      <c r="D16" s="104" t="str">
        <f>IFERROR(__xludf.DUMMYFUNCTION("""COMPUTED_VALUE"""),"João Olivério")</f>
        <v>João Olivério</v>
      </c>
      <c r="E16" s="105" t="str">
        <f>IFERROR(__xludf.DUMMYFUNCTION("""COMPUTED_VALUE"""),"Country Manager")</f>
        <v>Country Manager</v>
      </c>
      <c r="F16" s="105" t="str">
        <f>IFERROR(__xludf.DUMMYFUNCTION("""COMPUTED_VALUE"""),"Apollo")</f>
        <v>Apollo</v>
      </c>
      <c r="G16" s="122" t="str">
        <f>IFERROR(__xludf.DUMMYFUNCTION("""COMPUTED_VALUE"""),"https://www.linkedin.com/in/joaoluisoliverio/")</f>
        <v>https://www.linkedin.com/in/joaoluisoliverio/</v>
      </c>
      <c r="H16" s="110" t="str">
        <f>IFERROR(__xludf.DUMMYFUNCTION("""COMPUTED_VALUE"""),"Conhecimento Técnico")</f>
        <v>Conhecimento Técnico</v>
      </c>
      <c r="I16" s="110" t="str">
        <f>IFERROR(__xludf.DUMMYFUNCTION("""COMPUTED_VALUE"""),"Gestão de Vendas")</f>
        <v>Gestão de Vendas</v>
      </c>
      <c r="J16" s="110" t="str">
        <f>IFERROR(__xludf.DUMMYFUNCTION("""COMPUTED_VALUE"""),"Ferramentas de Vendas")</f>
        <v>Ferramentas de Vendas</v>
      </c>
      <c r="K16" s="114" t="str">
        <f>IFERROR(__xludf.DUMMYFUNCTION("""COMPUTED_VALUE"""),"https://universidade.pipelovers.net/m/lessons/apolloio-na-pratica1769551998090?classId=3323")</f>
        <v>https://universidade.pipelovers.net/m/lessons/apolloio-na-pratica1769551998090?classId=3323</v>
      </c>
      <c r="L16" s="115" t="str">
        <f>IFERROR(__xludf.DUMMYFUNCTION("""COMPUTED_VALUE"""),"https://universidade.pipelovers.net/m/lessons/apolloio-na-pratica1769551998090?classId=3323")</f>
        <v>https://universidade.pipelovers.net/m/lessons/apolloio-na-pratica1769551998090?classId=3323</v>
      </c>
      <c r="M16" s="117">
        <f>IFERROR(__xludf.DUMMYFUNCTION("""COMPUTED_VALUE"""),3.57)</f>
        <v>3.57</v>
      </c>
      <c r="N16" s="110" t="str">
        <f>IFERROR(__xludf.DUMMYFUNCTION("""COMPUTED_VALUE"""),"5. PipeLovers 💚 SDRs com João Olivério ""Apollo.io na Prática"" (2022-08-03 08:03 GMT-3)")</f>
        <v>5. PipeLovers 💚 SDRs com João Olivério "Apollo.io na Prática" (2022-08-03 08:03 GMT-3)</v>
      </c>
      <c r="O16" s="110" t="str">
        <f>IFERROR(__xludf.DUMMYFUNCTION("""COMPUTED_VALUE"""),"")</f>
        <v/>
      </c>
      <c r="P16" s="118">
        <f>IFERROR(__xludf.DUMMYFUNCTION("""COMPUTED_VALUE"""),44900.0)</f>
        <v>44900</v>
      </c>
      <c r="Q16" s="110"/>
    </row>
    <row r="17">
      <c r="A17" s="73"/>
      <c r="B17" s="103" t="str">
        <f>IFERROR(__xludf.DUMMYFUNCTION("""COMPUTED_VALUE"""),"Pré-Vendas (Prospecção)")</f>
        <v>Pré-Vendas (Prospecção)</v>
      </c>
      <c r="C17" s="145" t="str">
        <f>IFERROR(__xludf.DUMMYFUNCTION("""COMPUTED_VALUE"""),"O que os melhores SDRs fazem")</f>
        <v>O que os melhores SDRs fazem</v>
      </c>
      <c r="D17" s="119" t="str">
        <f>IFERROR(__xludf.DUMMYFUNCTION("""COMPUTED_VALUE"""),"Theo Orosco")</f>
        <v>Theo Orosco</v>
      </c>
      <c r="E17" s="105" t="str">
        <f>IFERROR(__xludf.DUMMYFUNCTION("""COMPUTED_VALUE"""),"CEO")</f>
        <v>CEO</v>
      </c>
      <c r="F17" s="105" t="str">
        <f>IFERROR(__xludf.DUMMYFUNCTION("""COMPUTED_VALUE"""),"Exact Sales")</f>
        <v>Exact Sales</v>
      </c>
      <c r="G17" s="122" t="str">
        <f>IFERROR(__xludf.DUMMYFUNCTION("""COMPUTED_VALUE"""),"https://www.linkedin.com/in/theoorosco/")</f>
        <v>https://www.linkedin.com/in/theoorosco/</v>
      </c>
      <c r="H17" s="110" t="str">
        <f>IFERROR(__xludf.DUMMYFUNCTION("""COMPUTED_VALUE"""),"Autodesenvolvimento")</f>
        <v>Autodesenvolvimento</v>
      </c>
      <c r="I17" s="110" t="str">
        <f>IFERROR(__xludf.DUMMYFUNCTION("""COMPUTED_VALUE"""),"Inteligência Emocional")</f>
        <v>Inteligência Emocional</v>
      </c>
      <c r="J17" s="110" t="str">
        <f>IFERROR(__xludf.DUMMYFUNCTION("""COMPUTED_VALUE"""),"Motivação")</f>
        <v>Motivação</v>
      </c>
      <c r="K17" s="147" t="str">
        <f>IFERROR(__xludf.DUMMYFUNCTION("""COMPUTED_VALUE"""),"https://universidade.pipelovers.net/aulas/os-segredos-dos-melhores-pre-vendedores-do-brasil-1775073349177")</f>
        <v>https://universidade.pipelovers.net/aulas/os-segredos-dos-melhores-pre-vendedores-do-brasil-1775073349177</v>
      </c>
      <c r="L17" s="148" t="str">
        <f>IFERROR(__xludf.DUMMYFUNCTION("""COMPUTED_VALUE"""),"https://universidade.pipelovers.net/aulas/os-segredos-dos-melhores-pre-vendedores-do-brasil-1775073349177")</f>
        <v>https://universidade.pipelovers.net/aulas/os-segredos-dos-melhores-pre-vendedores-do-brasil-1775073349177</v>
      </c>
      <c r="M17" s="150">
        <f>IFERROR(__xludf.DUMMYFUNCTION("""COMPUTED_VALUE"""),3.71)</f>
        <v>3.71</v>
      </c>
      <c r="N17" s="151" t="str">
        <f>IFERROR(__xludf.DUMMYFUNCTION("""COMPUTED_VALUE"""),"6. PipeLovers 💚 SDRs com Theo Orosco ""O que os melhores SDRs fazem"" (2022-08-10 08:04 GMT-3)")</f>
        <v>6. PipeLovers 💚 SDRs com Theo Orosco "O que os melhores SDRs fazem" (2022-08-10 08:04 GMT-3)</v>
      </c>
      <c r="O17" s="110" t="str">
        <f>IFERROR(__xludf.DUMMYFUNCTION("""COMPUTED_VALUE"""),"")</f>
        <v/>
      </c>
      <c r="P17" s="118">
        <f>IFERROR(__xludf.DUMMYFUNCTION("""COMPUTED_VALUE"""),44907.0)</f>
        <v>44907</v>
      </c>
      <c r="Q17" s="110"/>
    </row>
    <row r="18">
      <c r="A18" s="73"/>
      <c r="B18" s="103" t="str">
        <f>IFERROR(__xludf.DUMMYFUNCTION("""COMPUTED_VALUE"""),"Pré-Vendas (Prospecção)")</f>
        <v>Pré-Vendas (Prospecção)</v>
      </c>
      <c r="C18" s="104" t="str">
        <f>IFERROR(__xludf.DUMMYFUNCTION("""COMPUTED_VALUE"""),"Como construir o seu playbook de SDR")</f>
        <v>Como construir o seu playbook de SDR</v>
      </c>
      <c r="D18" s="104" t="str">
        <f>IFERROR(__xludf.DUMMYFUNCTION("""COMPUTED_VALUE"""),"Rafael Follador")</f>
        <v>Rafael Follador</v>
      </c>
      <c r="E18" s="105" t="str">
        <f>IFERROR(__xludf.DUMMYFUNCTION("""COMPUTED_VALUE"""),"SMB &amp; xDR Program Manager LATAM")</f>
        <v>SMB &amp; xDR Program Manager LATAM</v>
      </c>
      <c r="F18" s="105" t="str">
        <f>IFERROR(__xludf.DUMMYFUNCTION("""COMPUTED_VALUE"""),"Zendesk")</f>
        <v>Zendesk</v>
      </c>
      <c r="G18" s="122" t="str">
        <f>IFERROR(__xludf.DUMMYFUNCTION("""COMPUTED_VALUE"""),"https://www.linkedin.com/in/rafaelfollador/")</f>
        <v>https://www.linkedin.com/in/rafaelfollador/</v>
      </c>
      <c r="H18" s="110" t="str">
        <f>IFERROR(__xludf.DUMMYFUNCTION("""COMPUTED_VALUE"""),"Conhecimento Técnico")</f>
        <v>Conhecimento Técnico</v>
      </c>
      <c r="I18" s="110" t="str">
        <f>IFERROR(__xludf.DUMMYFUNCTION("""COMPUTED_VALUE"""),"Gestão de Vendas")</f>
        <v>Gestão de Vendas</v>
      </c>
      <c r="J18" s="110" t="str">
        <f>IFERROR(__xludf.DUMMYFUNCTION("""COMPUTED_VALUE"""),"Rotinas e Rituais")</f>
        <v>Rotinas e Rituais</v>
      </c>
      <c r="K18" s="114" t="str">
        <f>IFERROR(__xludf.DUMMYFUNCTION("""COMPUTED_VALUE"""),"https://universidade.pipelovers.net/m/lessons/como-construir-o-seu-playbook-de-sdr1769551998012?classId=3330")</f>
        <v>https://universidade.pipelovers.net/m/lessons/como-construir-o-seu-playbook-de-sdr1769551998012?classId=3330</v>
      </c>
      <c r="L18" s="115" t="str">
        <f>IFERROR(__xludf.DUMMYFUNCTION("""COMPUTED_VALUE"""),"https://universidade.pipelovers.net/m/lessons/como-construir-o-seu-playbook-de-sdr1769551998012?classId=3330")</f>
        <v>https://universidade.pipelovers.net/m/lessons/como-construir-o-seu-playbook-de-sdr1769551998012?classId=3330</v>
      </c>
      <c r="M18" s="150">
        <f>IFERROR(__xludf.DUMMYFUNCTION("""COMPUTED_VALUE"""),3.0)</f>
        <v>3</v>
      </c>
      <c r="N18" s="151" t="str">
        <f>IFERROR(__xludf.DUMMYFUNCTION("""COMPUTED_VALUE"""),"8. PipeLovers 💚 SDRs com Rafael Follador ""Como Construir o seu Playbook de SDR?"" (2022-08-24 08:05 GMT-3)")</f>
        <v>8. PipeLovers 💚 SDRs com Rafael Follador "Como Construir o seu Playbook de SDR?" (2022-08-24 08:05 GMT-3)</v>
      </c>
      <c r="O18" s="110" t="str">
        <f>IFERROR(__xludf.DUMMYFUNCTION("""COMPUTED_VALUE"""),"")</f>
        <v/>
      </c>
      <c r="P18" s="118">
        <f>IFERROR(__xludf.DUMMYFUNCTION("""COMPUTED_VALUE"""),44914.0)</f>
        <v>44914</v>
      </c>
      <c r="Q18" s="110"/>
    </row>
    <row r="19">
      <c r="A19" s="73"/>
      <c r="B19" s="103" t="str">
        <f>IFERROR(__xludf.DUMMYFUNCTION("""COMPUTED_VALUE"""),"Pré-Vendas (Prospecção)")</f>
        <v>Pré-Vendas (Prospecção)</v>
      </c>
      <c r="C19" s="145" t="str">
        <f>IFERROR(__xludf.DUMMYFUNCTION("""COMPUTED_VALUE"""),"A máquina de vendas das máquinas de vendas")</f>
        <v>A máquina de vendas das máquinas de vendas</v>
      </c>
      <c r="D19" s="119" t="str">
        <f>IFERROR(__xludf.DUMMYFUNCTION("""COMPUTED_VALUE"""),"Thiago Reis")</f>
        <v>Thiago Reis</v>
      </c>
      <c r="E19" s="105" t="str">
        <f>IFERROR(__xludf.DUMMYFUNCTION("""COMPUTED_VALUE"""),"CEO")</f>
        <v>CEO</v>
      </c>
      <c r="F19" s="105" t="str">
        <f>IFERROR(__xludf.DUMMYFUNCTION("""COMPUTED_VALUE"""),"Growth Machine")</f>
        <v>Growth Machine</v>
      </c>
      <c r="G19" s="122" t="str">
        <f>IFERROR(__xludf.DUMMYFUNCTION("""COMPUTED_VALUE"""),"https://www.linkedin.com/in/thiago-reis-/")</f>
        <v>https://www.linkedin.com/in/thiago-reis-/</v>
      </c>
      <c r="H19" s="110" t="str">
        <f>IFERROR(__xludf.DUMMYFUNCTION("""COMPUTED_VALUE"""),"Conhecimento Técnico")</f>
        <v>Conhecimento Técnico</v>
      </c>
      <c r="I19" s="110" t="str">
        <f>IFERROR(__xludf.DUMMYFUNCTION("""COMPUTED_VALUE"""),"Gestão de Vendas")</f>
        <v>Gestão de Vendas</v>
      </c>
      <c r="J19" s="110" t="str">
        <f>IFERROR(__xludf.DUMMYFUNCTION("""COMPUTED_VALUE"""),"Planejamento Comercial")</f>
        <v>Planejamento Comercial</v>
      </c>
      <c r="K19" s="128" t="str">
        <f>IFERROR(__xludf.DUMMYFUNCTION("""COMPUTED_VALUE"""),"https://universidade.pipelovers.net/m/lessons/a-maquina-das-maquinas-de-vendas-b2b-do-brasil1772542661755?classId=3766")</f>
        <v>https://universidade.pipelovers.net/m/lessons/a-maquina-das-maquinas-de-vendas-b2b-do-brasil1772542661755?classId=3766</v>
      </c>
      <c r="L19" s="115" t="str">
        <f>IFERROR(__xludf.DUMMYFUNCTION("""COMPUTED_VALUE"""),"https://universidade.pipelovers.net/m/lessons/a-maquina-das-maquinas-de-vendas-b2b-do-brasil1772542661755?classId=3766")</f>
        <v>https://universidade.pipelovers.net/m/lessons/a-maquina-das-maquinas-de-vendas-b2b-do-brasil1772542661755?classId=3766</v>
      </c>
      <c r="M19" s="117">
        <f>IFERROR(__xludf.DUMMYFUNCTION("""COMPUTED_VALUE"""),3.0)</f>
        <v>3</v>
      </c>
      <c r="N19" s="110" t="str">
        <f>IFERROR(__xludf.DUMMYFUNCTION("""COMPUTED_VALUE"""),"7. PipeLovers 💚 SDRs com Thiago Reis ""A máquina de vendas das máquinas de vendas"" (2022-08-17 08:04 GMT-3)")</f>
        <v>7. PipeLovers 💚 SDRs com Thiago Reis "A máquina de vendas das máquinas de vendas" (2022-08-17 08:04 GMT-3)</v>
      </c>
      <c r="O19" s="110" t="str">
        <f>IFERROR(__xludf.DUMMYFUNCTION("""COMPUTED_VALUE"""),"")</f>
        <v/>
      </c>
      <c r="P19" s="118">
        <f>IFERROR(__xludf.DUMMYFUNCTION("""COMPUTED_VALUE"""),44921.0)</f>
        <v>44921</v>
      </c>
      <c r="Q19" s="110"/>
    </row>
    <row r="20">
      <c r="A20" s="73"/>
      <c r="B20" s="103" t="str">
        <f>IFERROR(__xludf.DUMMYFUNCTION("""COMPUTED_VALUE"""),"Pré-Vendas (Prospecção)")</f>
        <v>Pré-Vendas (Prospecção)</v>
      </c>
      <c r="C20" s="104" t="str">
        <f>IFERROR(__xludf.DUMMYFUNCTION("""COMPUTED_VALUE"""),"Aumento de Conversão na Prospecção")</f>
        <v>Aumento de Conversão na Prospecção</v>
      </c>
      <c r="D20" s="104" t="str">
        <f>IFERROR(__xludf.DUMMYFUNCTION("""COMPUTED_VALUE"""),"Oshry Vidal")</f>
        <v>Oshry Vidal</v>
      </c>
      <c r="E20" s="105" t="str">
        <f>IFERROR(__xludf.DUMMYFUNCTION("""COMPUTED_VALUE"""),"Sales Manager")</f>
        <v>Sales Manager</v>
      </c>
      <c r="F20" s="105" t="str">
        <f>IFERROR(__xludf.DUMMYFUNCTION("""COMPUTED_VALUE"""),"Pintrest")</f>
        <v>Pintrest</v>
      </c>
      <c r="G20" s="122" t="str">
        <f>IFERROR(__xludf.DUMMYFUNCTION("""COMPUTED_VALUE"""),"https://www.linkedin.com/in/vidalo/")</f>
        <v>https://www.linkedin.com/in/vidalo/</v>
      </c>
      <c r="H20" s="110" t="str">
        <f>IFERROR(__xludf.DUMMYFUNCTION("""COMPUTED_VALUE"""),"Conhecimento Técnico")</f>
        <v>Conhecimento Técnico</v>
      </c>
      <c r="I20" s="110" t="str">
        <f>IFERROR(__xludf.DUMMYFUNCTION("""COMPUTED_VALUE"""),"Técnicas de Vendas")</f>
        <v>Técnicas de Vendas</v>
      </c>
      <c r="J20" s="110" t="str">
        <f>IFERROR(__xludf.DUMMYFUNCTION("""COMPUTED_VALUE"""),"Abordagem e Prospecção")</f>
        <v>Abordagem e Prospecção</v>
      </c>
      <c r="K20" s="114" t="str">
        <f>IFERROR(__xludf.DUMMYFUNCTION("""COMPUTED_VALUE"""),"https://universidade.pipelovers.net/m/lessons/aumento-de-conversao-na-prospeccao1769552002545?classId=3337")</f>
        <v>https://universidade.pipelovers.net/m/lessons/aumento-de-conversao-na-prospeccao1769552002545?classId=3337</v>
      </c>
      <c r="L20" s="115" t="str">
        <f>IFERROR(__xludf.DUMMYFUNCTION("""COMPUTED_VALUE"""),"https://universidade.pipelovers.net/m/lessons/aumento-de-conversao-na-prospeccao1769552002545?classId=3337")</f>
        <v>https://universidade.pipelovers.net/m/lessons/aumento-de-conversao-na-prospeccao1769552002545?classId=3337</v>
      </c>
      <c r="M20" s="117">
        <f>IFERROR(__xludf.DUMMYFUNCTION("""COMPUTED_VALUE"""),4.29)</f>
        <v>4.29</v>
      </c>
      <c r="N20" s="110" t="str">
        <f>IFERROR(__xludf.DUMMYFUNCTION("""COMPUTED_VALUE"""),"9. PipeLovers 💚 SDRs com Oshry Vidal ""Aumento de Conversão na Prospecção"" (2022-08-31 08:03 GMT-3)")</f>
        <v>9. PipeLovers 💚 SDRs com Oshry Vidal "Aumento de Conversão na Prospecção" (2022-08-31 08:03 GMT-3)</v>
      </c>
      <c r="O20" s="110" t="str">
        <f>IFERROR(__xludf.DUMMYFUNCTION("""COMPUTED_VALUE"""),"")</f>
        <v/>
      </c>
      <c r="P20" s="118">
        <f>IFERROR(__xludf.DUMMYFUNCTION("""COMPUTED_VALUE"""),44928.0)</f>
        <v>44928</v>
      </c>
      <c r="Q20" s="110"/>
    </row>
    <row r="21">
      <c r="A21" s="73"/>
      <c r="B21" s="103" t="str">
        <f>IFERROR(__xludf.DUMMYFUNCTION("""COMPUTED_VALUE"""),"Pré-Vendas (Prospecção)")</f>
        <v>Pré-Vendas (Prospecção)</v>
      </c>
      <c r="C21" s="119" t="str">
        <f>IFERROR(__xludf.DUMMYFUNCTION("""COMPUTED_VALUE"""),"Abordagens Inteligentes usando Social Selling")</f>
        <v>Abordagens Inteligentes usando Social Selling</v>
      </c>
      <c r="D21" s="119" t="str">
        <f>IFERROR(__xludf.DUMMYFUNCTION("""COMPUTED_VALUE"""),"Denise Maia")</f>
        <v>Denise Maia</v>
      </c>
      <c r="E21" s="105" t="str">
        <f>IFERROR(__xludf.DUMMYFUNCTION("""COMPUTED_VALUE"""),"Fundadora")</f>
        <v>Fundadora</v>
      </c>
      <c r="F21" s="105" t="str">
        <f>IFERROR(__xludf.DUMMYFUNCTION("""COMPUTED_VALUE"""),"DMS")</f>
        <v>DMS</v>
      </c>
      <c r="G21" s="122" t="str">
        <f>IFERROR(__xludf.DUMMYFUNCTION("""COMPUTED_VALUE"""),"https://www.linkedin.com/in/denisemaiasoares/")</f>
        <v>https://www.linkedin.com/in/denisemaiasoares/</v>
      </c>
      <c r="H21" s="110" t="str">
        <f>IFERROR(__xludf.DUMMYFUNCTION("""COMPUTED_VALUE"""),"Conhecimento Técnico")</f>
        <v>Conhecimento Técnico</v>
      </c>
      <c r="I21" s="110" t="str">
        <f>IFERROR(__xludf.DUMMYFUNCTION("""COMPUTED_VALUE"""),"Técnicas de Vendas")</f>
        <v>Técnicas de Vendas</v>
      </c>
      <c r="J21" s="110" t="str">
        <f>IFERROR(__xludf.DUMMYFUNCTION("""COMPUTED_VALUE"""),"Abordagem e Prospecção")</f>
        <v>Abordagem e Prospecção</v>
      </c>
      <c r="K21" s="128" t="str">
        <f>IFERROR(__xludf.DUMMYFUNCTION("""COMPUTED_VALUE"""),"https://universidade.pipelovers.net/m/lessons/abordagens-inteligentes-usando-social-selling1769552002626?classId=3339")</f>
        <v>https://universidade.pipelovers.net/m/lessons/abordagens-inteligentes-usando-social-selling1769552002626?classId=3339</v>
      </c>
      <c r="L21" s="115" t="str">
        <f>IFERROR(__xludf.DUMMYFUNCTION("""COMPUTED_VALUE"""),"https://universidade.pipelovers.net/m/lessons/abordagens-inteligentes-usando-social-selling1769552002626?classId=3339")</f>
        <v>https://universidade.pipelovers.net/m/lessons/abordagens-inteligentes-usando-social-selling1769552002626?classId=3339</v>
      </c>
      <c r="M21" s="117">
        <f>IFERROR(__xludf.DUMMYFUNCTION("""COMPUTED_VALUE"""),3.57)</f>
        <v>3.57</v>
      </c>
      <c r="N21" s="110" t="str">
        <f>IFERROR(__xludf.DUMMYFUNCTION("""COMPUTED_VALUE"""),"10. PipeLovers 💚 SDRs com Denise Maia ""Abordagens Inteligentes usando Social Selling"" (2022-09-06 08:04 GMT-3)")</f>
        <v>10. PipeLovers 💚 SDRs com Denise Maia "Abordagens Inteligentes usando Social Selling" (2022-09-06 08:04 GMT-3)</v>
      </c>
      <c r="O21" s="110" t="str">
        <f>IFERROR(__xludf.DUMMYFUNCTION("""COMPUTED_VALUE"""),"")</f>
        <v/>
      </c>
      <c r="P21" s="118">
        <f>IFERROR(__xludf.DUMMYFUNCTION("""COMPUTED_VALUE"""),44935.0)</f>
        <v>44935</v>
      </c>
      <c r="Q21" s="110"/>
    </row>
    <row r="22">
      <c r="A22" s="73"/>
      <c r="B22" s="103" t="str">
        <f>IFERROR(__xludf.DUMMYFUNCTION("""COMPUTED_VALUE"""),"Pré-Vendas (Prospecção)")</f>
        <v>Pré-Vendas (Prospecção)</v>
      </c>
      <c r="C22" s="157" t="str">
        <f>IFERROR(__xludf.DUMMYFUNCTION("""COMPUTED_VALUE"""),"Produtividade Baseada em Cadência e Gestão do Tempo")</f>
        <v>Produtividade Baseada em Cadência e Gestão do Tempo</v>
      </c>
      <c r="D22" s="104" t="str">
        <f>IFERROR(__xludf.DUMMYFUNCTION("""COMPUTED_VALUE"""),"Ana Duccini")</f>
        <v>Ana Duccini</v>
      </c>
      <c r="E22" s="105" t="str">
        <f>IFERROR(__xludf.DUMMYFUNCTION("""COMPUTED_VALUE"""),"Head of Sales")</f>
        <v>Head of Sales</v>
      </c>
      <c r="F22" s="105" t="str">
        <f>IFERROR(__xludf.DUMMYFUNCTION("""COMPUTED_VALUE"""),"Loja integrada")</f>
        <v>Loja integrada</v>
      </c>
      <c r="G22" s="122" t="str">
        <f>IFERROR(__xludf.DUMMYFUNCTION("""COMPUTED_VALUE"""),"https://www.linkedin.com/in/anaduccini/")</f>
        <v>https://www.linkedin.com/in/anaduccini/</v>
      </c>
      <c r="H22" s="110" t="str">
        <f>IFERROR(__xludf.DUMMYFUNCTION("""COMPUTED_VALUE"""),"Autodesenvolvimento")</f>
        <v>Autodesenvolvimento</v>
      </c>
      <c r="I22" s="110" t="str">
        <f>IFERROR(__xludf.DUMMYFUNCTION("""COMPUTED_VALUE"""),"Gestão de Tempo e da Informação")</f>
        <v>Gestão de Tempo e da Informação</v>
      </c>
      <c r="J22" s="110" t="str">
        <f>IFERROR(__xludf.DUMMYFUNCTION("""COMPUTED_VALUE"""),"Priorização de Atividades")</f>
        <v>Priorização de Atividades</v>
      </c>
      <c r="K22" s="159" t="str">
        <f>IFERROR(__xludf.DUMMYFUNCTION("""COMPUTED_VALUE"""),"https://universidade.pipelovers.net/m/lessons/produtividade-baseada-em-cadencia-e-gestao-do-tempo1769552002705?classId=3344")</f>
        <v>https://universidade.pipelovers.net/m/lessons/produtividade-baseada-em-cadencia-e-gestao-do-tempo1769552002705?classId=3344</v>
      </c>
      <c r="L22" s="115" t="str">
        <f>IFERROR(__xludf.DUMMYFUNCTION("""COMPUTED_VALUE"""),"https://universidade.pipelovers.net/m/lessons/produtividade-baseada-em-cadencia-e-gestao-do-tempo1769552002705?classId=3344")</f>
        <v>https://universidade.pipelovers.net/m/lessons/produtividade-baseada-em-cadencia-e-gestao-do-tempo1769552002705?classId=3344</v>
      </c>
      <c r="M22" s="117">
        <f>IFERROR(__xludf.DUMMYFUNCTION("""COMPUTED_VALUE"""),4.36)</f>
        <v>4.36</v>
      </c>
      <c r="N22" s="110" t="str">
        <f>IFERROR(__xludf.DUMMYFUNCTION("""COMPUTED_VALUE"""),"11. PipeLovers 💚 SDRs com Ana Duccini “Produtividade Baseada em Cadência e Gestão do Tempo” (2022-09-14 08:06 GMT-3)")</f>
        <v>11. PipeLovers 💚 SDRs com Ana Duccini “Produtividade Baseada em Cadência e Gestão do Tempo” (2022-09-14 08:06 GMT-3)</v>
      </c>
      <c r="O22" s="110" t="str">
        <f>IFERROR(__xludf.DUMMYFUNCTION("""COMPUTED_VALUE"""),"")</f>
        <v/>
      </c>
      <c r="P22" s="118">
        <f>IFERROR(__xludf.DUMMYFUNCTION("""COMPUTED_VALUE"""),44942.0)</f>
        <v>44942</v>
      </c>
      <c r="Q22" s="110"/>
    </row>
    <row r="23">
      <c r="A23" s="73"/>
      <c r="B23" s="103" t="str">
        <f>IFERROR(__xludf.DUMMYFUNCTION("""COMPUTED_VALUE"""),"Pré-Vendas (Prospecção)")</f>
        <v>Pré-Vendas (Prospecção)</v>
      </c>
      <c r="C23" s="104" t="str">
        <f>IFERROR(__xludf.DUMMYFUNCTION("""COMPUTED_VALUE"""),"Técnicas de Cold Calling")</f>
        <v>Técnicas de Cold Calling</v>
      </c>
      <c r="D23" s="119" t="str">
        <f>IFERROR(__xludf.DUMMYFUNCTION("""COMPUTED_VALUE"""),"Jessica Bosco
Fernanda Garcia")</f>
        <v>Jessica Bosco
Fernanda Garcia</v>
      </c>
      <c r="E23" s="105" t="str">
        <f>IFERROR(__xludf.DUMMYFUNCTION("""COMPUTED_VALUE"""),"Fundadoras")</f>
        <v>Fundadoras</v>
      </c>
      <c r="F23" s="105" t="str">
        <f>IFERROR(__xludf.DUMMYFUNCTION("""COMPUTED_VALUE"""),"Academia Rapport")</f>
        <v>Academia Rapport</v>
      </c>
      <c r="G23" s="110" t="str">
        <f>IFERROR(__xludf.DUMMYFUNCTION("""COMPUTED_VALUE"""),"-")</f>
        <v>-</v>
      </c>
      <c r="H23" s="110" t="str">
        <f>IFERROR(__xludf.DUMMYFUNCTION("""COMPUTED_VALUE"""),"Conhecimento Técnico")</f>
        <v>Conhecimento Técnico</v>
      </c>
      <c r="I23" s="110" t="str">
        <f>IFERROR(__xludf.DUMMYFUNCTION("""COMPUTED_VALUE"""),"Técnicas de Vendas")</f>
        <v>Técnicas de Vendas</v>
      </c>
      <c r="J23" s="110" t="str">
        <f>IFERROR(__xludf.DUMMYFUNCTION("""COMPUTED_VALUE"""),"Abordagem e Prospecção")</f>
        <v>Abordagem e Prospecção</v>
      </c>
      <c r="K23" s="114" t="str">
        <f>IFERROR(__xludf.DUMMYFUNCTION("""COMPUTED_VALUE"""),"https://universidade.pipelovers.net/m/lessons/tecnicas-de-cold-calling1769552002783?classId=3347")</f>
        <v>https://universidade.pipelovers.net/m/lessons/tecnicas-de-cold-calling1769552002783?classId=3347</v>
      </c>
      <c r="L23" s="115" t="str">
        <f>IFERROR(__xludf.DUMMYFUNCTION("""COMPUTED_VALUE"""),"https://universidade.pipelovers.net/m/lessons/tecnicas-de-cold-calling1769552002783?classId=3347")</f>
        <v>https://universidade.pipelovers.net/m/lessons/tecnicas-de-cold-calling1769552002783?classId=3347</v>
      </c>
      <c r="M23" s="117">
        <f>IFERROR(__xludf.DUMMYFUNCTION("""COMPUTED_VALUE"""),4.0)</f>
        <v>4</v>
      </c>
      <c r="N23" s="110" t="str">
        <f>IFERROR(__xludf.DUMMYFUNCTION("""COMPUTED_VALUE"""),"12. PipeLovers 💚 SDRs com Jessica Bosco e Fernanda Garcia “Técnicas de Cold Calling” (2022-09-21 08:04 GMT-3)")</f>
        <v>12. PipeLovers 💚 SDRs com Jessica Bosco e Fernanda Garcia “Técnicas de Cold Calling” (2022-09-21 08:04 GMT-3)</v>
      </c>
      <c r="O23" s="110" t="str">
        <f>IFERROR(__xludf.DUMMYFUNCTION("""COMPUTED_VALUE"""),"")</f>
        <v/>
      </c>
      <c r="P23" s="118">
        <f>IFERROR(__xludf.DUMMYFUNCTION("""COMPUTED_VALUE"""),44949.0)</f>
        <v>44949</v>
      </c>
      <c r="Q23" s="110"/>
    </row>
    <row r="24">
      <c r="A24" s="73"/>
      <c r="B24" s="103" t="str">
        <f>IFERROR(__xludf.DUMMYFUNCTION("""COMPUTED_VALUE"""),"Pré-Vendas (Prospecção)")</f>
        <v>Pré-Vendas (Prospecção)</v>
      </c>
      <c r="C24" s="119" t="str">
        <f>IFERROR(__xludf.DUMMYFUNCTION("""COMPUTED_VALUE"""),"Por quê os leads não respondem?")</f>
        <v>Por quê os leads não respondem?</v>
      </c>
      <c r="D24" s="104" t="str">
        <f>IFERROR(__xludf.DUMMYFUNCTION("""COMPUTED_VALUE"""),"Lucas Ribeiro
Carolina Souza")</f>
        <v>Lucas Ribeiro
Carolina Souza</v>
      </c>
      <c r="E24" s="105" t="str">
        <f>IFERROR(__xludf.DUMMYFUNCTION("""COMPUTED_VALUE"""),"SDR
SDR Team Leader")</f>
        <v>SDR
SDR Team Leader</v>
      </c>
      <c r="F24" s="105" t="str">
        <f>IFERROR(__xludf.DUMMYFUNCTION("""COMPUTED_VALUE"""),"Portão 3 
Runrun.it")</f>
        <v>Portão 3 
Runrun.it</v>
      </c>
      <c r="G24" s="110" t="str">
        <f>IFERROR(__xludf.DUMMYFUNCTION("""COMPUTED_VALUE"""),"-")</f>
        <v>-</v>
      </c>
      <c r="H24" s="110" t="str">
        <f>IFERROR(__xludf.DUMMYFUNCTION("""COMPUTED_VALUE"""),"Conhecimento Técnico")</f>
        <v>Conhecimento Técnico</v>
      </c>
      <c r="I24" s="110" t="str">
        <f>IFERROR(__xludf.DUMMYFUNCTION("""COMPUTED_VALUE"""),"Técnicas de Vendas")</f>
        <v>Técnicas de Vendas</v>
      </c>
      <c r="J24" s="110" t="str">
        <f>IFERROR(__xludf.DUMMYFUNCTION("""COMPUTED_VALUE"""),"Contorno de Objeções")</f>
        <v>Contorno de Objeções</v>
      </c>
      <c r="K24" s="128" t="str">
        <f>IFERROR(__xludf.DUMMYFUNCTION("""COMPUTED_VALUE"""),"https://universidade.pipelovers.net/m/lessons/por-que-os-leads-nao-respondem1769552002933?classId=3351")</f>
        <v>https://universidade.pipelovers.net/m/lessons/por-que-os-leads-nao-respondem1769552002933?classId=3351</v>
      </c>
      <c r="L24" s="115" t="str">
        <f>IFERROR(__xludf.DUMMYFUNCTION("""COMPUTED_VALUE"""),"https://universidade.pipelovers.net/m/lessons/por-que-os-leads-nao-respondem1769552002933?classId=3351")</f>
        <v>https://universidade.pipelovers.net/m/lessons/por-que-os-leads-nao-respondem1769552002933?classId=3351</v>
      </c>
      <c r="M24" s="117">
        <f>IFERROR(__xludf.DUMMYFUNCTION("""COMPUTED_VALUE"""),4.0)</f>
        <v>4</v>
      </c>
      <c r="N24" s="110" t="str">
        <f>IFERROR(__xludf.DUMMYFUNCTION("""COMPUTED_VALUE"""),"13. PipeLovers 💚 SDRs com Lucas Ribeiro e Carolina Souza ""Por quê os leads não respondem?"" (2022-09-28 08:02 GMT-3)")</f>
        <v>13. PipeLovers 💚 SDRs com Lucas Ribeiro e Carolina Souza "Por quê os leads não respondem?" (2022-09-28 08:02 GMT-3)</v>
      </c>
      <c r="O24" s="110" t="str">
        <f>IFERROR(__xludf.DUMMYFUNCTION("""COMPUTED_VALUE"""),"")</f>
        <v/>
      </c>
      <c r="P24" s="118">
        <f>IFERROR(__xludf.DUMMYFUNCTION("""COMPUTED_VALUE"""),44956.0)</f>
        <v>44956</v>
      </c>
      <c r="Q24" s="110"/>
    </row>
    <row r="25">
      <c r="A25" s="73"/>
      <c r="B25" s="103" t="str">
        <f>IFERROR(__xludf.DUMMYFUNCTION("""COMPUTED_VALUE"""),"Pré-Vendas (Prospecção)")</f>
        <v>Pré-Vendas (Prospecção)</v>
      </c>
      <c r="C25" s="145" t="str">
        <f>IFERROR(__xludf.DUMMYFUNCTION("""COMPUTED_VALUE"""),"Prospectando Grandes Contas")</f>
        <v>Prospectando Grandes Contas</v>
      </c>
      <c r="D25" s="119" t="str">
        <f>IFERROR(__xludf.DUMMYFUNCTION("""COMPUTED_VALUE"""),"Tatiana Pimenta")</f>
        <v>Tatiana Pimenta</v>
      </c>
      <c r="E25" s="105" t="str">
        <f>IFERROR(__xludf.DUMMYFUNCTION("""COMPUTED_VALUE"""),"CEO")</f>
        <v>CEO</v>
      </c>
      <c r="F25" s="105" t="str">
        <f>IFERROR(__xludf.DUMMYFUNCTION("""COMPUTED_VALUE"""),"Vittude")</f>
        <v>Vittude</v>
      </c>
      <c r="G25" s="122" t="str">
        <f>IFERROR(__xludf.DUMMYFUNCTION("""COMPUTED_VALUE"""),"https://www.linkedin.com/in/tatianapimenta/")</f>
        <v>https://www.linkedin.com/in/tatianapimenta/</v>
      </c>
      <c r="H25" s="110" t="str">
        <f>IFERROR(__xludf.DUMMYFUNCTION("""COMPUTED_VALUE"""),"Conhecimento Técnico")</f>
        <v>Conhecimento Técnico</v>
      </c>
      <c r="I25" s="110" t="str">
        <f>IFERROR(__xludf.DUMMYFUNCTION("""COMPUTED_VALUE"""),"Técnicas de Vendas")</f>
        <v>Técnicas de Vendas</v>
      </c>
      <c r="J25" s="110" t="str">
        <f>IFERROR(__xludf.DUMMYFUNCTION("""COMPUTED_VALUE"""),"Abordagem e Prospecção")</f>
        <v>Abordagem e Prospecção</v>
      </c>
      <c r="K25" s="166" t="str">
        <f>IFERROR(__xludf.DUMMYFUNCTION("""COMPUTED_VALUE"""),"https://universidade.pipelovers.net/m/lessons/prospectando-grandes-contas1769552002862?classId=3352")</f>
        <v>https://universidade.pipelovers.net/m/lessons/prospectando-grandes-contas1769552002862?classId=3352</v>
      </c>
      <c r="L25" s="115" t="str">
        <f>IFERROR(__xludf.DUMMYFUNCTION("""COMPUTED_VALUE"""),"https://universidade.pipelovers.net/m/lessons/prospectando-grandes-contas1769552002862?classId=3352")</f>
        <v>https://universidade.pipelovers.net/m/lessons/prospectando-grandes-contas1769552002862?classId=3352</v>
      </c>
      <c r="M25" s="117">
        <f>IFERROR(__xludf.DUMMYFUNCTION("""COMPUTED_VALUE"""),4.57)</f>
        <v>4.57</v>
      </c>
      <c r="N25" s="110" t="str">
        <f>IFERROR(__xludf.DUMMYFUNCTION("""COMPUTED_VALUE"""),"14. PipeLovers 💚 SDRs com Tatiana Pimenta ""Prospectando Grandes Contas"" (2022-10-05 08:04 GMT-3)")</f>
        <v>14. PipeLovers 💚 SDRs com Tatiana Pimenta "Prospectando Grandes Contas" (2022-10-05 08:04 GMT-3)</v>
      </c>
      <c r="O25" s="110" t="str">
        <f>IFERROR(__xludf.DUMMYFUNCTION("""COMPUTED_VALUE"""),"")</f>
        <v/>
      </c>
      <c r="P25" s="118">
        <f>IFERROR(__xludf.DUMMYFUNCTION("""COMPUTED_VALUE"""),44963.0)</f>
        <v>44963</v>
      </c>
      <c r="Q25" s="110"/>
    </row>
    <row r="26">
      <c r="A26" s="73"/>
      <c r="B26" s="103" t="str">
        <f>IFERROR(__xludf.DUMMYFUNCTION("""COMPUTED_VALUE"""),"Pré-Vendas (Prospecção)")</f>
        <v>Pré-Vendas (Prospecção)</v>
      </c>
      <c r="C26" s="157" t="str">
        <f>IFERROR(__xludf.DUMMYFUNCTION("""COMPUTED_VALUE"""),"Construindo uma Carreira em Vendas Internacionais")</f>
        <v>Construindo uma Carreira em Vendas Internacionais</v>
      </c>
      <c r="D26" s="104" t="str">
        <f>IFERROR(__xludf.DUMMYFUNCTION("""COMPUTED_VALUE"""),"Juliana Menegatti")</f>
        <v>Juliana Menegatti</v>
      </c>
      <c r="E26" s="105" t="str">
        <f>IFERROR(__xludf.DUMMYFUNCTION("""COMPUTED_VALUE"""),"Account Executive EMEA")</f>
        <v>Account Executive EMEA</v>
      </c>
      <c r="F26" s="105" t="str">
        <f>IFERROR(__xludf.DUMMYFUNCTION("""COMPUTED_VALUE"""),"Messenger People")</f>
        <v>Messenger People</v>
      </c>
      <c r="G26" s="122" t="str">
        <f>IFERROR(__xludf.DUMMYFUNCTION("""COMPUTED_VALUE"""),"https://www.linkedin.com/in/julianamenegatti/")</f>
        <v>https://www.linkedin.com/in/julianamenegatti/</v>
      </c>
      <c r="H26" s="110" t="str">
        <f>IFERROR(__xludf.DUMMYFUNCTION("""COMPUTED_VALUE"""),"Visão de Negócios")</f>
        <v>Visão de Negócios</v>
      </c>
      <c r="I26" s="110" t="str">
        <f>IFERROR(__xludf.DUMMYFUNCTION("""COMPUTED_VALUE"""),"Tendências de Mercado")</f>
        <v>Tendências de Mercado</v>
      </c>
      <c r="J26" s="110" t="str">
        <f>IFERROR(__xludf.DUMMYFUNCTION("""COMPUTED_VALUE"""),"Cenário Internacional")</f>
        <v>Cenário Internacional</v>
      </c>
      <c r="K26" s="167" t="str">
        <f>IFERROR(__xludf.DUMMYFUNCTION("""COMPUTED_VALUE"""),"https://universidade.pipelovers.net/aulas/construindo-uma-carreira-internacional-em-vendas-b2b-1775073941335")</f>
        <v>https://universidade.pipelovers.net/aulas/construindo-uma-carreira-internacional-em-vendas-b2b-1775073941335</v>
      </c>
      <c r="L26" s="148" t="str">
        <f>IFERROR(__xludf.DUMMYFUNCTION("""COMPUTED_VALUE"""),"https://universidade.pipelovers.net/aulas/construindo-uma-carreira-internacional-em-vendas-b2b-1775073941335")</f>
        <v>https://universidade.pipelovers.net/aulas/construindo-uma-carreira-internacional-em-vendas-b2b-1775073941335</v>
      </c>
      <c r="M26" s="117">
        <f>IFERROR(__xludf.DUMMYFUNCTION("""COMPUTED_VALUE"""),3.71)</f>
        <v>3.71</v>
      </c>
      <c r="N26" s="110" t="str">
        <f>IFERROR(__xludf.DUMMYFUNCTION("""COMPUTED_VALUE"""),"15. PipeLovers 💚 SDRs com Juliana Menegatti ""Construindo uma Carreira em Vendas Internacionais"" (2022-10-11 18:06 GMT-3)")</f>
        <v>15. PipeLovers 💚 SDRs com Juliana Menegatti "Construindo uma Carreira em Vendas Internacionais" (2022-10-11 18:06 GMT-3)</v>
      </c>
      <c r="O26" s="110" t="str">
        <f>IFERROR(__xludf.DUMMYFUNCTION("""COMPUTED_VALUE"""),"")</f>
        <v/>
      </c>
      <c r="P26" s="118">
        <f>IFERROR(__xludf.DUMMYFUNCTION("""COMPUTED_VALUE"""),44970.0)</f>
        <v>44970</v>
      </c>
      <c r="Q26" s="110"/>
    </row>
    <row r="27">
      <c r="A27" s="73"/>
      <c r="B27" s="103" t="str">
        <f>IFERROR(__xludf.DUMMYFUNCTION("""COMPUTED_VALUE"""),"Pré-Vendas (Prospecção)")</f>
        <v>Pré-Vendas (Prospecção)</v>
      </c>
      <c r="C27" s="119" t="str">
        <f>IFERROR(__xludf.DUMMYFUNCTION("""COMPUTED_VALUE"""),"Como ser um SDR Top Performer?")</f>
        <v>Como ser um SDR Top Performer?</v>
      </c>
      <c r="D27" s="119" t="str">
        <f>IFERROR(__xludf.DUMMYFUNCTION("""COMPUTED_VALUE"""),"Pedro Caldeira")</f>
        <v>Pedro Caldeira</v>
      </c>
      <c r="E27" s="105" t="str">
        <f>IFERROR(__xludf.DUMMYFUNCTION("""COMPUTED_VALUE"""),"Demand Generation Manager")</f>
        <v>Demand Generation Manager</v>
      </c>
      <c r="F27" s="105" t="str">
        <f>IFERROR(__xludf.DUMMYFUNCTION("""COMPUTED_VALUE"""),"Amazon AWS")</f>
        <v>Amazon AWS</v>
      </c>
      <c r="G27" s="122" t="str">
        <f>IFERROR(__xludf.DUMMYFUNCTION("""COMPUTED_VALUE"""),"https://www.linkedin.com/in/caldeirapedro/")</f>
        <v>https://www.linkedin.com/in/caldeirapedro/</v>
      </c>
      <c r="H27" s="110" t="str">
        <f>IFERROR(__xludf.DUMMYFUNCTION("""COMPUTED_VALUE"""),"Conhecimento Técnico")</f>
        <v>Conhecimento Técnico</v>
      </c>
      <c r="I27" s="110" t="str">
        <f>IFERROR(__xludf.DUMMYFUNCTION("""COMPUTED_VALUE"""),"Gestão de Vendas")</f>
        <v>Gestão de Vendas</v>
      </c>
      <c r="J27" s="110" t="str">
        <f>IFERROR(__xludf.DUMMYFUNCTION("""COMPUTED_VALUE"""),"Rotinas e Rituais")</f>
        <v>Rotinas e Rituais</v>
      </c>
      <c r="K27" s="128" t="str">
        <f>IFERROR(__xludf.DUMMYFUNCTION("""COMPUTED_VALUE"""),"https://universidade.pipelovers.net/m/lessons/como-ser-um-sdr-top-performer1769552003068?classId=3358")</f>
        <v>https://universidade.pipelovers.net/m/lessons/como-ser-um-sdr-top-performer1769552003068?classId=3358</v>
      </c>
      <c r="L27" s="115" t="str">
        <f>IFERROR(__xludf.DUMMYFUNCTION("""COMPUTED_VALUE"""),"https://universidade.pipelovers.net/m/lessons/como-ser-um-sdr-top-performer1769552003068?classId=3358")</f>
        <v>https://universidade.pipelovers.net/m/lessons/como-ser-um-sdr-top-performer1769552003068?classId=3358</v>
      </c>
      <c r="M27" s="117">
        <f>IFERROR(__xludf.DUMMYFUNCTION("""COMPUTED_VALUE"""),3.0)</f>
        <v>3</v>
      </c>
      <c r="N27" s="110" t="str">
        <f>IFERROR(__xludf.DUMMYFUNCTION("""COMPUTED_VALUE"""),"16. PipeLovers 💚 SDRs com Pedro Caldeira ""Como ser um SDR Top Performer?"" (2022-10-19 08:03 GMT-3)")</f>
        <v>16. PipeLovers 💚 SDRs com Pedro Caldeira "Como ser um SDR Top Performer?" (2022-10-19 08:03 GMT-3)</v>
      </c>
      <c r="O27" s="110" t="str">
        <f>IFERROR(__xludf.DUMMYFUNCTION("""COMPUTED_VALUE"""),"")</f>
        <v/>
      </c>
      <c r="P27" s="118">
        <f>IFERROR(__xludf.DUMMYFUNCTION("""COMPUTED_VALUE"""),44977.0)</f>
        <v>44977</v>
      </c>
      <c r="Q27" s="110"/>
    </row>
    <row r="28">
      <c r="A28" s="73"/>
      <c r="B28" s="103" t="str">
        <f>IFERROR(__xludf.DUMMYFUNCTION("""COMPUTED_VALUE"""),"Pré-Vendas (Prospecção)")</f>
        <v>Pré-Vendas (Prospecção)</v>
      </c>
      <c r="C28" s="157" t="str">
        <f>IFERROR(__xludf.DUMMYFUNCTION("""COMPUTED_VALUE"""),"Carreira e Mulheres em Vendas")</f>
        <v>Carreira e Mulheres em Vendas</v>
      </c>
      <c r="D28" s="104" t="str">
        <f>IFERROR(__xludf.DUMMYFUNCTION("""COMPUTED_VALUE"""),"Angelita Oliveira")</f>
        <v>Angelita Oliveira</v>
      </c>
      <c r="E28" s="105" t="str">
        <f>IFERROR(__xludf.DUMMYFUNCTION("""COMPUTED_VALUE"""),"Key Account Sales Leader &amp; Partner")</f>
        <v>Key Account Sales Leader &amp; Partner</v>
      </c>
      <c r="F28" s="105" t="str">
        <f>IFERROR(__xludf.DUMMYFUNCTION("""COMPUTED_VALUE"""),"Idwall")</f>
        <v>Idwall</v>
      </c>
      <c r="G28" s="122" t="str">
        <f>IFERROR(__xludf.DUMMYFUNCTION("""COMPUTED_VALUE"""),"https://www.linkedin.com/in/angelita-oliveira/")</f>
        <v>https://www.linkedin.com/in/angelita-oliveira/</v>
      </c>
      <c r="H28" s="110" t="str">
        <f>IFERROR(__xludf.DUMMYFUNCTION("""COMPUTED_VALUE"""),"Autodesenvolvimento")</f>
        <v>Autodesenvolvimento</v>
      </c>
      <c r="I28" s="110" t="str">
        <f>IFERROR(__xludf.DUMMYFUNCTION("""COMPUTED_VALUE"""),"Inteligência Emocional")</f>
        <v>Inteligência Emocional</v>
      </c>
      <c r="J28" s="110" t="str">
        <f>IFERROR(__xludf.DUMMYFUNCTION("""COMPUTED_VALUE"""),"Motivação")</f>
        <v>Motivação</v>
      </c>
      <c r="K28" s="166" t="str">
        <f>IFERROR(__xludf.DUMMYFUNCTION("""COMPUTED_VALUE"""),"https://universidade.pipelovers.net/m/lessons/carreira-e-mulheres-em-vendas1769552003169?classId=3363")</f>
        <v>https://universidade.pipelovers.net/m/lessons/carreira-e-mulheres-em-vendas1769552003169?classId=3363</v>
      </c>
      <c r="L28" s="115" t="str">
        <f>IFERROR(__xludf.DUMMYFUNCTION("""COMPUTED_VALUE"""),"https://universidade.pipelovers.net/m/lessons/carreira-e-mulheres-em-vendas1769552003169?classId=3363")</f>
        <v>https://universidade.pipelovers.net/m/lessons/carreira-e-mulheres-em-vendas1769552003169?classId=3363</v>
      </c>
      <c r="M28" s="117">
        <f>IFERROR(__xludf.DUMMYFUNCTION("""COMPUTED_VALUE"""),3.5)</f>
        <v>3.5</v>
      </c>
      <c r="N28" s="110" t="str">
        <f>IFERROR(__xludf.DUMMYFUNCTION("""COMPUTED_VALUE"""),"17. PipeLovers 💚 SDRs com Angelita Oliveira ""Carreira e Mulheres em Vendas"" (2022-10-26 08:05 GMT-3)")</f>
        <v>17. PipeLovers 💚 SDRs com Angelita Oliveira "Carreira e Mulheres em Vendas" (2022-10-26 08:05 GMT-3)</v>
      </c>
      <c r="O28" s="110" t="str">
        <f>IFERROR(__xludf.DUMMYFUNCTION("""COMPUTED_VALUE"""),"")</f>
        <v/>
      </c>
      <c r="P28" s="118">
        <f>IFERROR(__xludf.DUMMYFUNCTION("""COMPUTED_VALUE"""),44984.0)</f>
        <v>44984</v>
      </c>
      <c r="Q28" s="110"/>
    </row>
    <row r="29">
      <c r="A29" s="73"/>
      <c r="B29" s="103" t="str">
        <f>IFERROR(__xludf.DUMMYFUNCTION("""COMPUTED_VALUE"""),"Pré-Vendas (Prospecção)")</f>
        <v>Pré-Vendas (Prospecção)</v>
      </c>
      <c r="C29" s="145" t="str">
        <f>IFERROR(__xludf.DUMMYFUNCTION("""COMPUTED_VALUE"""),"SPIN Selling na Prospecção")</f>
        <v>SPIN Selling na Prospecção</v>
      </c>
      <c r="D29" s="119" t="str">
        <f>IFERROR(__xludf.DUMMYFUNCTION("""COMPUTED_VALUE"""),"Bianca Junqueira")</f>
        <v>Bianca Junqueira</v>
      </c>
      <c r="E29" s="105" t="str">
        <f>IFERROR(__xludf.DUMMYFUNCTION("""COMPUTED_VALUE"""),"Fundadora")</f>
        <v>Fundadora</v>
      </c>
      <c r="F29" s="105" t="str">
        <f>IFERROR(__xludf.DUMMYFUNCTION("""COMPUTED_VALUE"""),"Portão 3")</f>
        <v>Portão 3</v>
      </c>
      <c r="G29" s="122" t="str">
        <f>IFERROR(__xludf.DUMMYFUNCTION("""COMPUTED_VALUE"""),"https://www.linkedin.com/in/bianca-junqueira/")</f>
        <v>https://www.linkedin.com/in/bianca-junqueira/</v>
      </c>
      <c r="H29" s="110" t="str">
        <f>IFERROR(__xludf.DUMMYFUNCTION("""COMPUTED_VALUE"""),"Conhecimento Técnico")</f>
        <v>Conhecimento Técnico</v>
      </c>
      <c r="I29" s="110" t="str">
        <f>IFERROR(__xludf.DUMMYFUNCTION("""COMPUTED_VALUE"""),"Técnicas de Vendas")</f>
        <v>Técnicas de Vendas</v>
      </c>
      <c r="J29" s="110" t="str">
        <f>IFERROR(__xludf.DUMMYFUNCTION("""COMPUTED_VALUE"""),"Qualificação e Entendimento da Dor")</f>
        <v>Qualificação e Entendimento da Dor</v>
      </c>
      <c r="K29" s="166" t="str">
        <f>IFERROR(__xludf.DUMMYFUNCTION("""COMPUTED_VALUE"""),"https://universidade.pipelovers.net/m/lessons/spin-selling-na-prospeccao1769552005937?classId=3364")</f>
        <v>https://universidade.pipelovers.net/m/lessons/spin-selling-na-prospeccao1769552005937?classId=3364</v>
      </c>
      <c r="L29" s="115" t="str">
        <f>IFERROR(__xludf.DUMMYFUNCTION("""COMPUTED_VALUE"""),"https://universidade.pipelovers.net/m/lessons/spin-selling-na-prospeccao1769552005937?classId=3364")</f>
        <v>https://universidade.pipelovers.net/m/lessons/spin-selling-na-prospeccao1769552005937?classId=3364</v>
      </c>
      <c r="M29" s="117">
        <f>IFERROR(__xludf.DUMMYFUNCTION("""COMPUTED_VALUE"""),3.86)</f>
        <v>3.86</v>
      </c>
      <c r="N29" s="110" t="str">
        <f>IFERROR(__xludf.DUMMYFUNCTION("""COMPUTED_VALUE"""),"18. PipeLovers 💚 SDRs com Bianca Junqueira ""SPIN Selling na Prospecção"" (2022-11-01 18:06 GMT-3)")</f>
        <v>18. PipeLovers 💚 SDRs com Bianca Junqueira "SPIN Selling na Prospecção" (2022-11-01 18:06 GMT-3)</v>
      </c>
      <c r="O29" s="110" t="str">
        <f>IFERROR(__xludf.DUMMYFUNCTION("""COMPUTED_VALUE"""),"")</f>
        <v/>
      </c>
      <c r="P29" s="118">
        <f>IFERROR(__xludf.DUMMYFUNCTION("""COMPUTED_VALUE"""),44991.0)</f>
        <v>44991</v>
      </c>
      <c r="Q29" s="110"/>
    </row>
    <row r="30">
      <c r="A30" s="73"/>
      <c r="B30" s="103" t="str">
        <f>IFERROR(__xludf.DUMMYFUNCTION("""COMPUTED_VALUE"""),"Pré-Vendas (Prospecção)")</f>
        <v>Pré-Vendas (Prospecção)</v>
      </c>
      <c r="C30" s="104" t="str">
        <f>IFERROR(__xludf.DUMMYFUNCTION("""COMPUTED_VALUE"""),"Técnicas de PNL e Gatilhos Mentais")</f>
        <v>Técnicas de PNL e Gatilhos Mentais</v>
      </c>
      <c r="D30" s="104" t="str">
        <f>IFERROR(__xludf.DUMMYFUNCTION("""COMPUTED_VALUE"""),"Julio Ramone")</f>
        <v>Julio Ramone</v>
      </c>
      <c r="E30" s="105" t="str">
        <f>IFERROR(__xludf.DUMMYFUNCTION("""COMPUTED_VALUE"""),"Coordenador de BDR Enterprise")</f>
        <v>Coordenador de BDR Enterprise</v>
      </c>
      <c r="F30" s="105" t="str">
        <f>IFERROR(__xludf.DUMMYFUNCTION("""COMPUTED_VALUE"""),"Docket")</f>
        <v>Docket</v>
      </c>
      <c r="G30" s="122" t="str">
        <f>IFERROR(__xludf.DUMMYFUNCTION("""COMPUTED_VALUE"""),"https://www.linkedin.com/in/juliocesarramone/")</f>
        <v>https://www.linkedin.com/in/juliocesarramone/</v>
      </c>
      <c r="H30" s="110" t="str">
        <f>IFERROR(__xludf.DUMMYFUNCTION("""COMPUTED_VALUE"""),"Relacionamento Interpessoal")</f>
        <v>Relacionamento Interpessoal</v>
      </c>
      <c r="I30" s="110" t="str">
        <f>IFERROR(__xludf.DUMMYFUNCTION("""COMPUTED_VALUE"""),"Comunicação e Relacionamento")</f>
        <v>Comunicação e Relacionamento</v>
      </c>
      <c r="J30" s="110" t="str">
        <f>IFERROR(__xludf.DUMMYFUNCTION("""COMPUTED_VALUE"""),"Tecnicas de Rapport")</f>
        <v>Tecnicas de Rapport</v>
      </c>
      <c r="K30" s="114" t="str">
        <f>IFERROR(__xludf.DUMMYFUNCTION("""COMPUTED_VALUE"""),"https://universidade.pipelovers.net/m/lessons/tecnicas-de-pnl-e-gatilhos-mentais1769552005987?classId=3365")</f>
        <v>https://universidade.pipelovers.net/m/lessons/tecnicas-de-pnl-e-gatilhos-mentais1769552005987?classId=3365</v>
      </c>
      <c r="L30" s="115" t="str">
        <f>IFERROR(__xludf.DUMMYFUNCTION("""COMPUTED_VALUE"""),"https://universidade.pipelovers.net/m/lessons/tecnicas-de-pnl-e-gatilhos-mentais1769552005987?moduleId=776&amp;classId=3365")</f>
        <v>https://universidade.pipelovers.net/m/lessons/tecnicas-de-pnl-e-gatilhos-mentais1769552005987?moduleId=776&amp;classId=3365</v>
      </c>
      <c r="M30" s="117">
        <f>IFERROR(__xludf.DUMMYFUNCTION("""COMPUTED_VALUE"""),4.0)</f>
        <v>4</v>
      </c>
      <c r="N30" s="110" t="str">
        <f>IFERROR(__xludf.DUMMYFUNCTION("""COMPUTED_VALUE"""),"19. PipeLovers 💚 SDRs com Julio Ramone ""Técnicas de PNL e Gatilhos Mentais"" (2022-11-09 08:05 GMT-3)")</f>
        <v>19. PipeLovers 💚 SDRs com Julio Ramone "Técnicas de PNL e Gatilhos Mentais" (2022-11-09 08:05 GMT-3)</v>
      </c>
      <c r="O30" s="110" t="str">
        <f>IFERROR(__xludf.DUMMYFUNCTION("""COMPUTED_VALUE"""),"")</f>
        <v/>
      </c>
      <c r="P30" s="118">
        <f>IFERROR(__xludf.DUMMYFUNCTION("""COMPUTED_VALUE"""),44998.0)</f>
        <v>44998</v>
      </c>
      <c r="Q30" s="110"/>
    </row>
    <row r="31">
      <c r="A31" s="73"/>
      <c r="B31" s="103" t="str">
        <f>IFERROR(__xludf.DUMMYFUNCTION("""COMPUTED_VALUE"""),"Pré-Vendas (Prospecção)")</f>
        <v>Pré-Vendas (Prospecção)</v>
      </c>
      <c r="C31" s="145" t="str">
        <f>IFERROR(__xludf.DUMMYFUNCTION("""COMPUTED_VALUE"""),"Automações Produtivas para SDRs")</f>
        <v>Automações Produtivas para SDRs</v>
      </c>
      <c r="D31" s="119" t="str">
        <f>IFERROR(__xludf.DUMMYFUNCTION("""COMPUTED_VALUE"""),"Marcelo Silva")</f>
        <v>Marcelo Silva</v>
      </c>
      <c r="E31" s="105" t="str">
        <f>IFERROR(__xludf.DUMMYFUNCTION("""COMPUTED_VALUE"""),"Fundador")</f>
        <v>Fundador</v>
      </c>
      <c r="F31" s="105" t="str">
        <f>IFERROR(__xludf.DUMMYFUNCTION("""COMPUTED_VALUE"""),"Sales Ops")</f>
        <v>Sales Ops</v>
      </c>
      <c r="G31" s="122" t="str">
        <f>IFERROR(__xludf.DUMMYFUNCTION("""COMPUTED_VALUE"""),"https://www.linkedin.com/in/marcelosalesops/")</f>
        <v>https://www.linkedin.com/in/marcelosalesops/</v>
      </c>
      <c r="H31" s="110" t="str">
        <f>IFERROR(__xludf.DUMMYFUNCTION("""COMPUTED_VALUE"""),"Conhecimento Técnico")</f>
        <v>Conhecimento Técnico</v>
      </c>
      <c r="I31" s="110" t="str">
        <f>IFERROR(__xludf.DUMMYFUNCTION("""COMPUTED_VALUE"""),"Gestão de Vendas")</f>
        <v>Gestão de Vendas</v>
      </c>
      <c r="J31" s="110" t="str">
        <f>IFERROR(__xludf.DUMMYFUNCTION("""COMPUTED_VALUE"""),"Ferramentas de Vendas")</f>
        <v>Ferramentas de Vendas</v>
      </c>
      <c r="K31" s="166" t="str">
        <f>IFERROR(__xludf.DUMMYFUNCTION("""COMPUTED_VALUE"""),"https://universidade.pipelovers.net/m/lessons/automacoes-produtivas-para-sdrs1769552006015?classId=3369")</f>
        <v>https://universidade.pipelovers.net/m/lessons/automacoes-produtivas-para-sdrs1769552006015?classId=3369</v>
      </c>
      <c r="L31" s="115" t="str">
        <f>IFERROR(__xludf.DUMMYFUNCTION("""COMPUTED_VALUE"""),"https://universidade.pipelovers.net/m/lessons/automacoes-produtivas-para-sdrs1769552006015?classId=3369")</f>
        <v>https://universidade.pipelovers.net/m/lessons/automacoes-produtivas-para-sdrs1769552006015?classId=3369</v>
      </c>
      <c r="M31" s="117">
        <f>IFERROR(__xludf.DUMMYFUNCTION("""COMPUTED_VALUE"""),3.5)</f>
        <v>3.5</v>
      </c>
      <c r="N31" s="110" t="str">
        <f>IFERROR(__xludf.DUMMYFUNCTION("""COMPUTED_VALUE"""),"20. PipeLovers💚SDRs com Marcelo Silva ""Automações Produtivas para SDRs"" (2022-11-16 08:06 GMT-3)")</f>
        <v>20. PipeLovers💚SDRs com Marcelo Silva "Automações Produtivas para SDRs" (2022-11-16 08:06 GMT-3)</v>
      </c>
      <c r="O31" s="110" t="str">
        <f>IFERROR(__xludf.DUMMYFUNCTION("""COMPUTED_VALUE"""),"")</f>
        <v/>
      </c>
      <c r="P31" s="118">
        <f>IFERROR(__xludf.DUMMYFUNCTION("""COMPUTED_VALUE"""),45005.0)</f>
        <v>45005</v>
      </c>
      <c r="Q31" s="110"/>
    </row>
    <row r="32">
      <c r="A32" s="73"/>
      <c r="B32" s="103" t="str">
        <f>IFERROR(__xludf.DUMMYFUNCTION("""COMPUTED_VALUE"""),"Pré-Vendas (Prospecção)")</f>
        <v>Pré-Vendas (Prospecção)</v>
      </c>
      <c r="C32" s="119" t="str">
        <f>IFERROR(__xludf.DUMMYFUNCTION("""COMPUTED_VALUE"""),"Modelo GPCT")</f>
        <v>Modelo GPCT</v>
      </c>
      <c r="D32" s="104" t="str">
        <f>IFERROR(__xludf.DUMMYFUNCTION("""COMPUTED_VALUE"""),"Gabriel Baeta")</f>
        <v>Gabriel Baeta</v>
      </c>
      <c r="E32" s="105" t="str">
        <f>IFERROR(__xludf.DUMMYFUNCTION("""COMPUTED_VALUE"""),"Sales Director")</f>
        <v>Sales Director</v>
      </c>
      <c r="F32" s="105" t="str">
        <f>IFERROR(__xludf.DUMMYFUNCTION("""COMPUTED_VALUE"""),"Alinea Helath")</f>
        <v>Alinea Helath</v>
      </c>
      <c r="G32" s="122" t="str">
        <f>IFERROR(__xludf.DUMMYFUNCTION("""COMPUTED_VALUE"""),"https://www.linkedin.com/in/gabrielbaeta/")</f>
        <v>https://www.linkedin.com/in/gabrielbaeta/</v>
      </c>
      <c r="H32" s="110" t="str">
        <f>IFERROR(__xludf.DUMMYFUNCTION("""COMPUTED_VALUE"""),"Conhecimento Técnico")</f>
        <v>Conhecimento Técnico</v>
      </c>
      <c r="I32" s="110" t="str">
        <f>IFERROR(__xludf.DUMMYFUNCTION("""COMPUTED_VALUE"""),"Técnicas de Vendas")</f>
        <v>Técnicas de Vendas</v>
      </c>
      <c r="J32" s="110" t="str">
        <f>IFERROR(__xludf.DUMMYFUNCTION("""COMPUTED_VALUE"""),"Qualificação e Entendimento da Dor")</f>
        <v>Qualificação e Entendimento da Dor</v>
      </c>
      <c r="K32" s="128" t="str">
        <f>IFERROR(__xludf.DUMMYFUNCTION("""COMPUTED_VALUE"""),"https://universidade.pipelovers.net/m/lessons/modelo-gpct1769552006045?classId=3370")</f>
        <v>https://universidade.pipelovers.net/m/lessons/modelo-gpct1769552006045?classId=3370</v>
      </c>
      <c r="L32" s="115" t="str">
        <f>IFERROR(__xludf.DUMMYFUNCTION("""COMPUTED_VALUE"""),"https://universidade.pipelovers.net/m/lessons/modelo-gpct1769552006045?classId=3370")</f>
        <v>https://universidade.pipelovers.net/m/lessons/modelo-gpct1769552006045?classId=3370</v>
      </c>
      <c r="M32" s="117">
        <f>IFERROR(__xludf.DUMMYFUNCTION("""COMPUTED_VALUE"""),3.0)</f>
        <v>3</v>
      </c>
      <c r="N32" s="110" t="str">
        <f>IFERROR(__xludf.DUMMYFUNCTION("""COMPUTED_VALUE"""),"21. PipeLovers💚SDRs com Gabriel Baeta ""Modelo GPCT"" (2022-11-23 08:05 GMT-3)")</f>
        <v>21. PipeLovers💚SDRs com Gabriel Baeta "Modelo GPCT" (2022-11-23 08:05 GMT-3)</v>
      </c>
      <c r="O32" s="110" t="str">
        <f>IFERROR(__xludf.DUMMYFUNCTION("""COMPUTED_VALUE"""),"")</f>
        <v/>
      </c>
      <c r="P32" s="118">
        <f>IFERROR(__xludf.DUMMYFUNCTION("""COMPUTED_VALUE"""),45012.0)</f>
        <v>45012</v>
      </c>
      <c r="Q32" s="110"/>
    </row>
    <row r="33">
      <c r="A33" s="73"/>
      <c r="B33" s="103" t="str">
        <f>IFERROR(__xludf.DUMMYFUNCTION("""COMPUTED_VALUE"""),"Pré-Vendas (Prospecção)")</f>
        <v>Pré-Vendas (Prospecção)</v>
      </c>
      <c r="C33" s="145" t="str">
        <f>IFERROR(__xludf.DUMMYFUNCTION("""COMPUTED_VALUE"""),"Aumento de Produtividade com ferramentas de Sales Engagement")</f>
        <v>Aumento de Produtividade com ferramentas de Sales Engagement</v>
      </c>
      <c r="D33" s="173" t="str">
        <f>IFERROR(__xludf.DUMMYFUNCTION("""COMPUTED_VALUE"""),"Sérgio Albuquerque")</f>
        <v>Sérgio Albuquerque</v>
      </c>
      <c r="E33" s="174" t="str">
        <f>IFERROR(__xludf.DUMMYFUNCTION("""COMPUTED_VALUE"""),"Sales Representative")</f>
        <v>Sales Representative</v>
      </c>
      <c r="F33" s="174" t="str">
        <f>IFERROR(__xludf.DUMMYFUNCTION("""COMPUTED_VALUE"""),"Meetime")</f>
        <v>Meetime</v>
      </c>
      <c r="G33" s="122" t="str">
        <f>IFERROR(__xludf.DUMMYFUNCTION("""COMPUTED_VALUE"""),"https://www.linkedin.com/in/s%C3%A9rgio-albuquerque-68985b14a/")</f>
        <v>https://www.linkedin.com/in/s%C3%A9rgio-albuquerque-68985b14a/</v>
      </c>
      <c r="H33" s="110" t="str">
        <f>IFERROR(__xludf.DUMMYFUNCTION("""COMPUTED_VALUE"""),"Conhecimento Técnico")</f>
        <v>Conhecimento Técnico</v>
      </c>
      <c r="I33" s="110" t="str">
        <f>IFERROR(__xludf.DUMMYFUNCTION("""COMPUTED_VALUE"""),"Gestão de Vendas")</f>
        <v>Gestão de Vendas</v>
      </c>
      <c r="J33" s="110" t="str">
        <f>IFERROR(__xludf.DUMMYFUNCTION("""COMPUTED_VALUE"""),"Ferramentas de Vendas")</f>
        <v>Ferramentas de Vendas</v>
      </c>
      <c r="K33" s="166" t="str">
        <f>IFERROR(__xludf.DUMMYFUNCTION("""COMPUTED_VALUE"""),"https://universidade.pipelovers.net/m/lessons/aumento-de-produtividade-com-ferramentas-de-sales-engagement1769552006095?classId=3371")</f>
        <v>https://universidade.pipelovers.net/m/lessons/aumento-de-produtividade-com-ferramentas-de-sales-engagement1769552006095?classId=3371</v>
      </c>
      <c r="L33" s="115" t="str">
        <f>IFERROR(__xludf.DUMMYFUNCTION("""COMPUTED_VALUE"""),"https://universidade.pipelovers.net/m/lessons/aumento-de-produtividade-com-ferramentas-de-sales-engagement1769552006095?classId=3371")</f>
        <v>https://universidade.pipelovers.net/m/lessons/aumento-de-produtividade-com-ferramentas-de-sales-engagement1769552006095?classId=3371</v>
      </c>
      <c r="M33" s="117">
        <f>IFERROR(__xludf.DUMMYFUNCTION("""COMPUTED_VALUE"""),4.0)</f>
        <v>4</v>
      </c>
      <c r="N33" s="110" t="str">
        <f>IFERROR(__xludf.DUMMYFUNCTION("""COMPUTED_VALUE"""),"22. PipeLovers💚SDRs com Sérgio Albuquerque ""Aumento de Produtividade com ferramentas de Sales Engageme (2022-11-30 08:04 GMT-3)")</f>
        <v>22. PipeLovers💚SDRs com Sérgio Albuquerque "Aumento de Produtividade com ferramentas de Sales Engageme (2022-11-30 08:04 GMT-3)</v>
      </c>
      <c r="O33" s="110" t="str">
        <f>IFERROR(__xludf.DUMMYFUNCTION("""COMPUTED_VALUE"""),"")</f>
        <v/>
      </c>
      <c r="P33" s="118">
        <f>IFERROR(__xludf.DUMMYFUNCTION("""COMPUTED_VALUE"""),45019.0)</f>
        <v>45019</v>
      </c>
      <c r="Q33" s="110"/>
    </row>
    <row r="34">
      <c r="A34" s="73"/>
      <c r="B34" s="103" t="str">
        <f>IFERROR(__xludf.DUMMYFUNCTION("""COMPUTED_VALUE"""),"Pré-Vendas (Prospecção)")</f>
        <v>Pré-Vendas (Prospecção)</v>
      </c>
      <c r="C34" s="157" t="str">
        <f>IFERROR(__xludf.DUMMYFUNCTION("""COMPUTED_VALUE"""),"Case G4 Educação")</f>
        <v>Case G4 Educação</v>
      </c>
      <c r="D34" s="175" t="str">
        <f>IFERROR(__xludf.DUMMYFUNCTION("""COMPUTED_VALUE"""),"Marina Mello")</f>
        <v>Marina Mello</v>
      </c>
      <c r="E34" s="174" t="str">
        <f>IFERROR(__xludf.DUMMYFUNCTION("""COMPUTED_VALUE"""),"Sócia e Head Comercial")</f>
        <v>Sócia e Head Comercial</v>
      </c>
      <c r="F34" s="174" t="str">
        <f>IFERROR(__xludf.DUMMYFUNCTION("""COMPUTED_VALUE"""),"G4 Educação")</f>
        <v>G4 Educação</v>
      </c>
      <c r="G34" s="122" t="str">
        <f>IFERROR(__xludf.DUMMYFUNCTION("""COMPUTED_VALUE"""),"https://www.linkedin.com/in/marina-p-mello/")</f>
        <v>https://www.linkedin.com/in/marina-p-mello/</v>
      </c>
      <c r="H34" s="110" t="str">
        <f>IFERROR(__xludf.DUMMYFUNCTION("""COMPUTED_VALUE"""),"Autodesenvolvimento")</f>
        <v>Autodesenvolvimento</v>
      </c>
      <c r="I34" s="110" t="str">
        <f>IFERROR(__xludf.DUMMYFUNCTION("""COMPUTED_VALUE"""),"Aprendizado Ativo")</f>
        <v>Aprendizado Ativo</v>
      </c>
      <c r="J34" s="110" t="str">
        <f>IFERROR(__xludf.DUMMYFUNCTION("""COMPUTED_VALUE"""),"Benchmarking")</f>
        <v>Benchmarking</v>
      </c>
      <c r="K34" s="166" t="str">
        <f>IFERROR(__xludf.DUMMYFUNCTION("""COMPUTED_VALUE"""),"https://universidade.pipelovers.net/m/lessons/case-g4-educacao1769552006142?classId=3372")</f>
        <v>https://universidade.pipelovers.net/m/lessons/case-g4-educacao1769552006142?classId=3372</v>
      </c>
      <c r="L34" s="115" t="str">
        <f>IFERROR(__xludf.DUMMYFUNCTION("""COMPUTED_VALUE"""),"https://universidade.pipelovers.net/m/lessons/case-g4-educacao1769552006142?classId=3372")</f>
        <v>https://universidade.pipelovers.net/m/lessons/case-g4-educacao1769552006142?classId=3372</v>
      </c>
      <c r="M34" s="117">
        <f>IFERROR(__xludf.DUMMYFUNCTION("""COMPUTED_VALUE"""),4.14)</f>
        <v>4.14</v>
      </c>
      <c r="N34" s="110" t="str">
        <f>IFERROR(__xludf.DUMMYFUNCTION("""COMPUTED_VALUE"""),"23. PipeLovers💚SDRs com Mariana Mello ""Case G4 Educação""  (2022-12-07 08:02 GMT-3)")</f>
        <v>23. PipeLovers💚SDRs com Mariana Mello "Case G4 Educação"  (2022-12-07 08:02 GMT-3)</v>
      </c>
      <c r="O34" s="110" t="str">
        <f>IFERROR(__xludf.DUMMYFUNCTION("""COMPUTED_VALUE"""),"")</f>
        <v/>
      </c>
      <c r="P34" s="118">
        <f>IFERROR(__xludf.DUMMYFUNCTION("""COMPUTED_VALUE"""),45026.0)</f>
        <v>45026</v>
      </c>
      <c r="Q34" s="110"/>
    </row>
    <row r="35">
      <c r="A35" s="73"/>
      <c r="B35" s="103" t="str">
        <f>IFERROR(__xludf.DUMMYFUNCTION("""COMPUTED_VALUE"""),"Pré-Vendas (Prospecção)")</f>
        <v>Pré-Vendas (Prospecção)</v>
      </c>
      <c r="C35" s="145" t="str">
        <f>IFERROR(__xludf.DUMMYFUNCTION("""COMPUTED_VALUE"""),"Case de Vendas Gupy")</f>
        <v>Case de Vendas Gupy</v>
      </c>
      <c r="D35" s="173" t="str">
        <f>IFERROR(__xludf.DUMMYFUNCTION("""COMPUTED_VALUE"""),"Ieza de Oliveira")</f>
        <v>Ieza de Oliveira</v>
      </c>
      <c r="E35" s="174" t="str">
        <f>IFERROR(__xludf.DUMMYFUNCTION("""COMPUTED_VALUE"""),"Gerente de Pré Vendas")</f>
        <v>Gerente de Pré Vendas</v>
      </c>
      <c r="F35" s="174" t="str">
        <f>IFERROR(__xludf.DUMMYFUNCTION("""COMPUTED_VALUE"""),"Gupy")</f>
        <v>Gupy</v>
      </c>
      <c r="G35" s="122" t="str">
        <f>IFERROR(__xludf.DUMMYFUNCTION("""COMPUTED_VALUE"""),"https://www.linkedin.com/in/iezadeoliveira/")</f>
        <v>https://www.linkedin.com/in/iezadeoliveira/</v>
      </c>
      <c r="H35" s="110" t="str">
        <f>IFERROR(__xludf.DUMMYFUNCTION("""COMPUTED_VALUE"""),"Autodesenvolvimento")</f>
        <v>Autodesenvolvimento</v>
      </c>
      <c r="I35" s="110" t="str">
        <f>IFERROR(__xludf.DUMMYFUNCTION("""COMPUTED_VALUE"""),"Aprendizado Ativo")</f>
        <v>Aprendizado Ativo</v>
      </c>
      <c r="J35" s="110" t="str">
        <f>IFERROR(__xludf.DUMMYFUNCTION("""COMPUTED_VALUE"""),"Benchmarking")</f>
        <v>Benchmarking</v>
      </c>
      <c r="K35" s="166" t="str">
        <f>IFERROR(__xludf.DUMMYFUNCTION("""COMPUTED_VALUE"""),"https://universidade.pipelovers.net/m/lessons/case-de-vendas-gupy1769552006171?classId=3378")</f>
        <v>https://universidade.pipelovers.net/m/lessons/case-de-vendas-gupy1769552006171?classId=3378</v>
      </c>
      <c r="L35" s="115" t="str">
        <f>IFERROR(__xludf.DUMMYFUNCTION("""COMPUTED_VALUE"""),"https://universidade.pipelovers.net/m/lessons/case-de-vendas-gupy1769552006171?classId=3378")</f>
        <v>https://universidade.pipelovers.net/m/lessons/case-de-vendas-gupy1769552006171?classId=3378</v>
      </c>
      <c r="M35" s="117">
        <f>IFERROR(__xludf.DUMMYFUNCTION("""COMPUTED_VALUE"""),4.14)</f>
        <v>4.14</v>
      </c>
      <c r="N35" s="110" t="str">
        <f>IFERROR(__xludf.DUMMYFUNCTION("""COMPUTED_VALUE"""),"24. PipeLovers💚SDRs com Ieza de Oliveira ""Case de Vendas Gupy"" (2022-12-14 08:04 GMT-3)")</f>
        <v>24. PipeLovers💚SDRs com Ieza de Oliveira "Case de Vendas Gupy" (2022-12-14 08:04 GMT-3)</v>
      </c>
      <c r="O35" s="110" t="str">
        <f>IFERROR(__xludf.DUMMYFUNCTION("""COMPUTED_VALUE"""),"")</f>
        <v/>
      </c>
      <c r="P35" s="118">
        <f>IFERROR(__xludf.DUMMYFUNCTION("""COMPUTED_VALUE"""),45033.0)</f>
        <v>45033</v>
      </c>
      <c r="Q35" s="110"/>
    </row>
    <row r="36">
      <c r="A36" s="73"/>
      <c r="B36" s="103" t="str">
        <f>IFERROR(__xludf.DUMMYFUNCTION("""COMPUTED_VALUE"""),"Pré-Vendas (Prospecção)")</f>
        <v>Pré-Vendas (Prospecção)</v>
      </c>
      <c r="C36" s="157" t="str">
        <f>IFERROR(__xludf.DUMMYFUNCTION("""COMPUTED_VALUE"""),"Construindo um PDI como Pré-Vendedor")</f>
        <v>Construindo um PDI como Pré-Vendedor</v>
      </c>
      <c r="D36" s="175" t="str">
        <f>IFERROR(__xludf.DUMMYFUNCTION("""COMPUTED_VALUE"""),"Julia Ennes")</f>
        <v>Julia Ennes</v>
      </c>
      <c r="E36" s="174" t="str">
        <f>IFERROR(__xludf.DUMMYFUNCTION("""COMPUTED_VALUE"""),"Coordenadora de Pré-vendas")</f>
        <v>Coordenadora de Pré-vendas</v>
      </c>
      <c r="F36" s="174" t="str">
        <f>IFERROR(__xludf.DUMMYFUNCTION("""COMPUTED_VALUE"""),"Creditas")</f>
        <v>Creditas</v>
      </c>
      <c r="G36" s="122" t="str">
        <f>IFERROR(__xludf.DUMMYFUNCTION("""COMPUTED_VALUE"""),"https://www.linkedin.com/in/juliaennes/")</f>
        <v>https://www.linkedin.com/in/juliaennes/</v>
      </c>
      <c r="H36" s="110" t="str">
        <f>IFERROR(__xludf.DUMMYFUNCTION("""COMPUTED_VALUE"""),"Autodesenvolvimento")</f>
        <v>Autodesenvolvimento</v>
      </c>
      <c r="I36" s="110" t="str">
        <f>IFERROR(__xludf.DUMMYFUNCTION("""COMPUTED_VALUE"""),"Gestão de Tempo e da Informação")</f>
        <v>Gestão de Tempo e da Informação</v>
      </c>
      <c r="J36" s="110" t="str">
        <f>IFERROR(__xludf.DUMMYFUNCTION("""COMPUTED_VALUE"""),"Técnicas de Organização e Rotina")</f>
        <v>Técnicas de Organização e Rotina</v>
      </c>
      <c r="K36" s="166" t="str">
        <f>IFERROR(__xludf.DUMMYFUNCTION("""COMPUTED_VALUE"""),"https://universidade.pipelovers.net/m/lessons/construindo-um-pdi-como-pre-vendedor1769552018835?classId=3379")</f>
        <v>https://universidade.pipelovers.net/m/lessons/construindo-um-pdi-como-pre-vendedor1769552018835?classId=3379</v>
      </c>
      <c r="L36" s="115" t="str">
        <f>IFERROR(__xludf.DUMMYFUNCTION("""COMPUTED_VALUE"""),"https://universidade.pipelovers.net/m/lessons/construindo-um-pdi-como-pre-vendedor1769552018835?classId=3379")</f>
        <v>https://universidade.pipelovers.net/m/lessons/construindo-um-pdi-como-pre-vendedor1769552018835?classId=3379</v>
      </c>
      <c r="M36" s="117">
        <f>IFERROR(__xludf.DUMMYFUNCTION("""COMPUTED_VALUE"""),3.57)</f>
        <v>3.57</v>
      </c>
      <c r="N36" s="110" t="str">
        <f>IFERROR(__xludf.DUMMYFUNCTION("""COMPUTED_VALUE"""),"25. PipeLovers💚SDRs com Julia Ennes ""Construindo seu PDI como Pré-Vendedor"" (2022-12-21 08:05 GMT-3)")</f>
        <v>25. PipeLovers💚SDRs com Julia Ennes "Construindo seu PDI como Pré-Vendedor" (2022-12-21 08:05 GMT-3)</v>
      </c>
      <c r="O36" s="110" t="str">
        <f>IFERROR(__xludf.DUMMYFUNCTION("""COMPUTED_VALUE"""),"")</f>
        <v/>
      </c>
      <c r="P36" s="118">
        <f>IFERROR(__xludf.DUMMYFUNCTION("""COMPUTED_VALUE"""),45040.0)</f>
        <v>45040</v>
      </c>
      <c r="Q36" s="110"/>
    </row>
    <row r="37">
      <c r="A37" s="73"/>
      <c r="B37" s="103" t="str">
        <f>IFERROR(__xludf.DUMMYFUNCTION("""COMPUTED_VALUE"""),"Pré-Vendas (Prospecção)")</f>
        <v>Pré-Vendas (Prospecção)</v>
      </c>
      <c r="C37" s="104" t="str">
        <f>IFERROR(__xludf.DUMMYFUNCTION("""COMPUTED_VALUE"""),"Fluxos de Cadência de Prospecção")</f>
        <v>Fluxos de Cadência de Prospecção</v>
      </c>
      <c r="D37" s="173" t="str">
        <f>IFERROR(__xludf.DUMMYFUNCTION("""COMPUTED_VALUE"""),"Matheus Quirino")</f>
        <v>Matheus Quirino</v>
      </c>
      <c r="E37" s="174" t="str">
        <f>IFERROR(__xludf.DUMMYFUNCTION("""COMPUTED_VALUE"""),"Co-Founder &amp; CMO")</f>
        <v>Co-Founder &amp; CMO</v>
      </c>
      <c r="F37" s="174" t="str">
        <f>IFERROR(__xludf.DUMMYFUNCTION("""COMPUTED_VALUE"""),"Processo de Vendas")</f>
        <v>Processo de Vendas</v>
      </c>
      <c r="G37" s="122" t="str">
        <f>IFERROR(__xludf.DUMMYFUNCTION("""COMPUTED_VALUE"""),"https://www.linkedin.com/in/matheusqcosta/")</f>
        <v>https://www.linkedin.com/in/matheusqcosta/</v>
      </c>
      <c r="H37" s="174" t="str">
        <f>IFERROR(__xludf.DUMMYFUNCTION("""COMPUTED_VALUE"""),"Conhecimento Técnico")</f>
        <v>Conhecimento Técnico</v>
      </c>
      <c r="I37" s="174" t="str">
        <f>IFERROR(__xludf.DUMMYFUNCTION("""COMPUTED_VALUE"""),"Técnicas de Vendas")</f>
        <v>Técnicas de Vendas</v>
      </c>
      <c r="J37" s="110" t="str">
        <f>IFERROR(__xludf.DUMMYFUNCTION("""COMPUTED_VALUE"""),"Abordagem e Prospecção")</f>
        <v>Abordagem e Prospecção</v>
      </c>
      <c r="K37" s="114" t="str">
        <f>IFERROR(__xludf.DUMMYFUNCTION("""COMPUTED_VALUE"""),"https://universidade.pipelovers.net/m/lessons/fluxos-de-cadencia-de-prospeccao1769552018874?classId=3380")</f>
        <v>https://universidade.pipelovers.net/m/lessons/fluxos-de-cadencia-de-prospeccao1769552018874?classId=3380</v>
      </c>
      <c r="L37" s="115" t="str">
        <f>IFERROR(__xludf.DUMMYFUNCTION("""COMPUTED_VALUE"""),"https://universidade.pipelovers.net/m/lessons/fluxos-de-cadencia-de-prospeccao1769552018874?classId=3380")</f>
        <v>https://universidade.pipelovers.net/m/lessons/fluxos-de-cadencia-de-prospeccao1769552018874?classId=3380</v>
      </c>
      <c r="M37" s="117">
        <f>IFERROR(__xludf.DUMMYFUNCTION("""COMPUTED_VALUE"""),3.0)</f>
        <v>3</v>
      </c>
      <c r="N37" s="110" t="str">
        <f>IFERROR(__xludf.DUMMYFUNCTION("""COMPUTED_VALUE"""),"26. PipeLovers 💚 SDRs ""Fluxos de Cadência de Prospecção"" com Matheus Quirino (2023-01-04 08:05 GMT-3)")</f>
        <v>26. PipeLovers 💚 SDRs "Fluxos de Cadência de Prospecção" com Matheus Quirino (2023-01-04 08:05 GMT-3)</v>
      </c>
      <c r="O37" s="110" t="str">
        <f>IFERROR(__xludf.DUMMYFUNCTION("""COMPUTED_VALUE"""),"")</f>
        <v/>
      </c>
      <c r="P37" s="118">
        <f>IFERROR(__xludf.DUMMYFUNCTION("""COMPUTED_VALUE"""),45047.0)</f>
        <v>45047</v>
      </c>
      <c r="Q37" s="110"/>
    </row>
    <row r="38">
      <c r="A38" s="73"/>
      <c r="B38" s="103" t="str">
        <f>IFERROR(__xludf.DUMMYFUNCTION("""COMPUTED_VALUE"""),"Pré-Vendas (Prospecção)")</f>
        <v>Pré-Vendas (Prospecção)</v>
      </c>
      <c r="C38" s="157" t="str">
        <f>IFERROR(__xludf.DUMMYFUNCTION("""COMPUTED_VALUE"""),"Resiliência na Área de Vendas")</f>
        <v>Resiliência na Área de Vendas</v>
      </c>
      <c r="D38" s="175" t="str">
        <f>IFERROR(__xludf.DUMMYFUNCTION("""COMPUTED_VALUE"""),"Giovanna Rosa")</f>
        <v>Giovanna Rosa</v>
      </c>
      <c r="E38" s="174" t="str">
        <f>IFERROR(__xludf.DUMMYFUNCTION("""COMPUTED_VALUE"""),"Sales Leader B2B")</f>
        <v>Sales Leader B2B</v>
      </c>
      <c r="F38" s="174" t="str">
        <f>IFERROR(__xludf.DUMMYFUNCTION("""COMPUTED_VALUE"""),"Creditas")</f>
        <v>Creditas</v>
      </c>
      <c r="G38" s="122" t="str">
        <f>IFERROR(__xludf.DUMMYFUNCTION("""COMPUTED_VALUE"""),"https://www.linkedin.com/in/giovanna-prosa")</f>
        <v>https://www.linkedin.com/in/giovanna-prosa</v>
      </c>
      <c r="H38" s="110" t="str">
        <f>IFERROR(__xludf.DUMMYFUNCTION("""COMPUTED_VALUE"""),"Autodesenvolvimento")</f>
        <v>Autodesenvolvimento</v>
      </c>
      <c r="I38" s="110" t="str">
        <f>IFERROR(__xludf.DUMMYFUNCTION("""COMPUTED_VALUE"""),"Inteligência Emocional")</f>
        <v>Inteligência Emocional</v>
      </c>
      <c r="J38" s="110" t="str">
        <f>IFERROR(__xludf.DUMMYFUNCTION("""COMPUTED_VALUE"""),"Resiliência")</f>
        <v>Resiliência</v>
      </c>
      <c r="K38" s="166" t="str">
        <f>IFERROR(__xludf.DUMMYFUNCTION("""COMPUTED_VALUE"""),"https://universidade.pipelovers.net/m/lessons/resiliencia-na-area-de-vendas1769552018214?classId=3385")</f>
        <v>https://universidade.pipelovers.net/m/lessons/resiliencia-na-area-de-vendas1769552018214?classId=3385</v>
      </c>
      <c r="L38" s="115" t="str">
        <f>IFERROR(__xludf.DUMMYFUNCTION("""COMPUTED_VALUE"""),"https://universidade.pipelovers.net/m/lessons/resiliencia-na-area-de-vendas1769552018214?classId=3385")</f>
        <v>https://universidade.pipelovers.net/m/lessons/resiliencia-na-area-de-vendas1769552018214?classId=3385</v>
      </c>
      <c r="M38" s="117">
        <f>IFERROR(__xludf.DUMMYFUNCTION("""COMPUTED_VALUE"""),3.36)</f>
        <v>3.36</v>
      </c>
      <c r="N38" s="110" t="str">
        <f>IFERROR(__xludf.DUMMYFUNCTION("""COMPUTED_VALUE"""),"27. PipeLovers💚SDRs ""Resiliência na área de Vendas"" com Giovanna Rosa (2023-01-11 08:05 GMT-3)")</f>
        <v>27. PipeLovers💚SDRs "Resiliência na área de Vendas" com Giovanna Rosa (2023-01-11 08:05 GMT-3)</v>
      </c>
      <c r="O38" s="110" t="str">
        <f>IFERROR(__xludf.DUMMYFUNCTION("""COMPUTED_VALUE"""),"")</f>
        <v/>
      </c>
      <c r="P38" s="118">
        <f>IFERROR(__xludf.DUMMYFUNCTION("""COMPUTED_VALUE"""),45054.0)</f>
        <v>45054</v>
      </c>
      <c r="Q38" s="110"/>
    </row>
    <row r="39">
      <c r="A39" s="73"/>
      <c r="B39" s="103" t="str">
        <f>IFERROR(__xludf.DUMMYFUNCTION("""COMPUTED_VALUE"""),"Pré-Vendas (Prospecção)")</f>
        <v>Pré-Vendas (Prospecção)</v>
      </c>
      <c r="C39" s="181" t="str">
        <f>IFERROR(__xludf.DUMMYFUNCTION("""COMPUTED_VALUE"""),"Opções de Carreira para SDRs")</f>
        <v>Opções de Carreira para SDRs</v>
      </c>
      <c r="D39" s="173" t="str">
        <f>IFERROR(__xludf.DUMMYFUNCTION("""COMPUTED_VALUE"""),"Rodrigo Aranha")</f>
        <v>Rodrigo Aranha</v>
      </c>
      <c r="E39" s="174" t="str">
        <f>IFERROR(__xludf.DUMMYFUNCTION("""COMPUTED_VALUE"""),"Gerente de Pré Vendas")</f>
        <v>Gerente de Pré Vendas</v>
      </c>
      <c r="F39" s="110" t="str">
        <f>IFERROR(__xludf.DUMMYFUNCTION("""COMPUTED_VALUE"""),"Zendesk")</f>
        <v>Zendesk</v>
      </c>
      <c r="G39" s="122" t="str">
        <f>IFERROR(__xludf.DUMMYFUNCTION("""COMPUTED_VALUE"""),"https://www.linkedin.com/in/rodrigomaranha/")</f>
        <v>https://www.linkedin.com/in/rodrigomaranha/</v>
      </c>
      <c r="H39" s="110" t="str">
        <f>IFERROR(__xludf.DUMMYFUNCTION("""COMPUTED_VALUE"""),"Autodesenvolvimento")</f>
        <v>Autodesenvolvimento</v>
      </c>
      <c r="I39" s="110" t="str">
        <f>IFERROR(__xludf.DUMMYFUNCTION("""COMPUTED_VALUE"""),"Inteligência Emocional")</f>
        <v>Inteligência Emocional</v>
      </c>
      <c r="J39" s="110" t="str">
        <f>IFERROR(__xludf.DUMMYFUNCTION("""COMPUTED_VALUE"""),"Motivação")</f>
        <v>Motivação</v>
      </c>
      <c r="K39" s="166" t="str">
        <f>IFERROR(__xludf.DUMMYFUNCTION("""COMPUTED_VALUE"""),"https://universidade.pipelovers.net/m/lessons/opcoes-de-carreira-para-sdrs1769552018631?classId=3386")</f>
        <v>https://universidade.pipelovers.net/m/lessons/opcoes-de-carreira-para-sdrs1769552018631?classId=3386</v>
      </c>
      <c r="L39" s="115" t="str">
        <f>IFERROR(__xludf.DUMMYFUNCTION("""COMPUTED_VALUE"""),"https://universidade.pipelovers.net/m/lessons/opcoes-de-carreira-para-sdrs1769552018631?classId=3386")</f>
        <v>https://universidade.pipelovers.net/m/lessons/opcoes-de-carreira-para-sdrs1769552018631?classId=3386</v>
      </c>
      <c r="M39" s="117">
        <f>IFERROR(__xludf.DUMMYFUNCTION("""COMPUTED_VALUE"""),1.0)</f>
        <v>1</v>
      </c>
      <c r="N39" s="110" t="str">
        <f>IFERROR(__xludf.DUMMYFUNCTION("""COMPUTED_VALUE"""),"28. PipeLovers💚SDRs ""Opções de Carreira para SDRs"" com Rodrigo Aranha (2023-01-18 08:04 GMT-3)")</f>
        <v>28. PipeLovers💚SDRs "Opções de Carreira para SDRs" com Rodrigo Aranha (2023-01-18 08:04 GMT-3)</v>
      </c>
      <c r="O39" s="110" t="str">
        <f>IFERROR(__xludf.DUMMYFUNCTION("""COMPUTED_VALUE"""),"")</f>
        <v/>
      </c>
      <c r="P39" s="118">
        <f>IFERROR(__xludf.DUMMYFUNCTION("""COMPUTED_VALUE"""),45061.0)</f>
        <v>45061</v>
      </c>
      <c r="Q39" s="110"/>
    </row>
    <row r="40">
      <c r="A40" s="73"/>
      <c r="B40" s="103" t="str">
        <f>IFERROR(__xludf.DUMMYFUNCTION("""COMPUTED_VALUE"""),"Pré-Vendas (Prospecção)")</f>
        <v>Pré-Vendas (Prospecção)</v>
      </c>
      <c r="C40" s="157" t="str">
        <f>IFERROR(__xludf.DUMMYFUNCTION("""COMPUTED_VALUE"""),"Estruturando uma Operação de Pré-Vendas")</f>
        <v>Estruturando uma Operação de Pré-Vendas</v>
      </c>
      <c r="D40" s="175" t="str">
        <f>IFERROR(__xludf.DUMMYFUNCTION("""COMPUTED_VALUE"""),"Lucas Abrucezze")</f>
        <v>Lucas Abrucezze</v>
      </c>
      <c r="E40" s="174" t="str">
        <f>IFERROR(__xludf.DUMMYFUNCTION("""COMPUTED_VALUE"""),"Gerente Comercial B2B")</f>
        <v>Gerente Comercial B2B</v>
      </c>
      <c r="F40" s="174" t="str">
        <f>IFERROR(__xludf.DUMMYFUNCTION("""COMPUTED_VALUE"""),"Escola Conquer")</f>
        <v>Escola Conquer</v>
      </c>
      <c r="G40" s="110" t="str">
        <f>IFERROR(__xludf.DUMMYFUNCTION("""COMPUTED_VALUE"""),"-")</f>
        <v>-</v>
      </c>
      <c r="H40" s="110" t="str">
        <f>IFERROR(__xludf.DUMMYFUNCTION("""COMPUTED_VALUE"""),"Conhecimento Técnico")</f>
        <v>Conhecimento Técnico</v>
      </c>
      <c r="I40" s="110" t="str">
        <f>IFERROR(__xludf.DUMMYFUNCTION("""COMPUTED_VALUE"""),"Gestão de Vendas")</f>
        <v>Gestão de Vendas</v>
      </c>
      <c r="J40" s="110" t="str">
        <f>IFERROR(__xludf.DUMMYFUNCTION("""COMPUTED_VALUE"""),"Planejamento Comercial")</f>
        <v>Planejamento Comercial</v>
      </c>
      <c r="K40" s="166" t="str">
        <f>IFERROR(__xludf.DUMMYFUNCTION("""COMPUTED_VALUE"""),"https://universidade.pipelovers.net/m/lessons/estruturando-uma-operacao-de-pre-vendas1769552018768?classId=3387")</f>
        <v>https://universidade.pipelovers.net/m/lessons/estruturando-uma-operacao-de-pre-vendas1769552018768?classId=3387</v>
      </c>
      <c r="L40" s="115" t="str">
        <f>IFERROR(__xludf.DUMMYFUNCTION("""COMPUTED_VALUE"""),"https://universidade.pipelovers.net/m/lessons/estruturando-uma-operacao-de-pre-vendas1769552018768?classId=3387")</f>
        <v>https://universidade.pipelovers.net/m/lessons/estruturando-uma-operacao-de-pre-vendas1769552018768?classId=3387</v>
      </c>
      <c r="M40" s="117">
        <f>IFERROR(__xludf.DUMMYFUNCTION("""COMPUTED_VALUE"""),3.0)</f>
        <v>3</v>
      </c>
      <c r="N40" s="110" t="str">
        <f>IFERROR(__xludf.DUMMYFUNCTION("""COMPUTED_VALUE"""),"29. PipeLovers 💚 SDRs ""Estruturando uma Operação de Pré-Vendas"" com Lucas Abrucezze (2023-01-25 08:07 GMT-3)")</f>
        <v>29. PipeLovers 💚 SDRs "Estruturando uma Operação de Pré-Vendas" com Lucas Abrucezze (2023-01-25 08:07 GMT-3)</v>
      </c>
      <c r="O40" s="110" t="str">
        <f>IFERROR(__xludf.DUMMYFUNCTION("""COMPUTED_VALUE"""),"")</f>
        <v/>
      </c>
      <c r="P40" s="118">
        <f>IFERROR(__xludf.DUMMYFUNCTION("""COMPUTED_VALUE"""),45068.0)</f>
        <v>45068</v>
      </c>
      <c r="Q40" s="110"/>
    </row>
    <row r="41">
      <c r="A41" s="73"/>
      <c r="B41" s="103" t="str">
        <f>IFERROR(__xludf.DUMMYFUNCTION("""COMPUTED_VALUE"""),"Pré-Vendas (Prospecção)")</f>
        <v>Pré-Vendas (Prospecção)</v>
      </c>
      <c r="C41" s="119" t="str">
        <f>IFERROR(__xludf.DUMMYFUNCTION("""COMPUTED_VALUE"""),"Escuta Ativa")</f>
        <v>Escuta Ativa</v>
      </c>
      <c r="D41" s="173" t="str">
        <f>IFERROR(__xludf.DUMMYFUNCTION("""COMPUTED_VALUE"""),"Guilherme Bonaroti")</f>
        <v>Guilherme Bonaroti</v>
      </c>
      <c r="E41" s="174" t="str">
        <f>IFERROR(__xludf.DUMMYFUNCTION("""COMPUTED_VALUE"""),"Diretor Operacional")</f>
        <v>Diretor Operacional</v>
      </c>
      <c r="F41" s="174" t="str">
        <f>IFERROR(__xludf.DUMMYFUNCTION("""COMPUTED_VALUE"""),"Better Now")</f>
        <v>Better Now</v>
      </c>
      <c r="G41" s="122" t="str">
        <f>IFERROR(__xludf.DUMMYFUNCTION("""COMPUTED_VALUE"""),"https://www.linkedin.com/in/bonaroti/")</f>
        <v>https://www.linkedin.com/in/bonaroti/</v>
      </c>
      <c r="H41" s="110" t="str">
        <f>IFERROR(__xludf.DUMMYFUNCTION("""COMPUTED_VALUE"""),"Relacionamento Interpessoal")</f>
        <v>Relacionamento Interpessoal</v>
      </c>
      <c r="I41" s="110" t="str">
        <f>IFERROR(__xludf.DUMMYFUNCTION("""COMPUTED_VALUE"""),"Comunicação e Relacionamento")</f>
        <v>Comunicação e Relacionamento</v>
      </c>
      <c r="J41" s="110" t="str">
        <f>IFERROR(__xludf.DUMMYFUNCTION("""COMPUTED_VALUE"""),"Escuta Ativa")</f>
        <v>Escuta Ativa</v>
      </c>
      <c r="K41" s="128" t="str">
        <f>IFERROR(__xludf.DUMMYFUNCTION("""COMPUTED_VALUE"""),"https://universidade.pipelovers.net/m/lessons/escuta-ativa1769552018798?classId=3388")</f>
        <v>https://universidade.pipelovers.net/m/lessons/escuta-ativa1769552018798?classId=3388</v>
      </c>
      <c r="L41" s="115" t="str">
        <f>IFERROR(__xludf.DUMMYFUNCTION("""COMPUTED_VALUE"""),"https://universidade.pipelovers.net/m/lessons/escuta-ativa1769552018798?classId=3388")</f>
        <v>https://universidade.pipelovers.net/m/lessons/escuta-ativa1769552018798?classId=3388</v>
      </c>
      <c r="M41" s="117">
        <f>IFERROR(__xludf.DUMMYFUNCTION("""COMPUTED_VALUE"""),3.0)</f>
        <v>3</v>
      </c>
      <c r="N41" s="110" t="str">
        <f>IFERROR(__xludf.DUMMYFUNCTION("""COMPUTED_VALUE"""),"30. PipeLovers 💚 SDRs ""Escuta Ativa"" com Guilherme Bonaroti (2023-02-01 08:05 GMT-3)")</f>
        <v>30. PipeLovers 💚 SDRs "Escuta Ativa" com Guilherme Bonaroti (2023-02-01 08:05 GMT-3)</v>
      </c>
      <c r="O41" s="110" t="str">
        <f>IFERROR(__xludf.DUMMYFUNCTION("""COMPUTED_VALUE"""),"")</f>
        <v/>
      </c>
      <c r="P41" s="118">
        <f>IFERROR(__xludf.DUMMYFUNCTION("""COMPUTED_VALUE"""),45075.0)</f>
        <v>45075</v>
      </c>
      <c r="Q41" s="110"/>
    </row>
    <row r="42">
      <c r="A42" s="73"/>
      <c r="B42" s="103" t="str">
        <f>IFERROR(__xludf.DUMMYFUNCTION("""COMPUTED_VALUE"""),"Pré-Vendas (Prospecção)")</f>
        <v>Pré-Vendas (Prospecção)</v>
      </c>
      <c r="C42" s="157" t="str">
        <f>IFERROR(__xludf.DUMMYFUNCTION("""COMPUTED_VALUE"""),"Planejamento de Território de Prospecção")</f>
        <v>Planejamento de Território de Prospecção</v>
      </c>
      <c r="D42" s="104" t="str">
        <f>IFERROR(__xludf.DUMMYFUNCTION("""COMPUTED_VALUE"""),"Carmen Baretti")</f>
        <v>Carmen Baretti</v>
      </c>
      <c r="E42" s="110" t="str">
        <f>IFERROR(__xludf.DUMMYFUNCTION("""COMPUTED_VALUE"""),"Account Manager")</f>
        <v>Account Manager</v>
      </c>
      <c r="F42" s="174" t="str">
        <f>IFERROR(__xludf.DUMMYFUNCTION("""COMPUTED_VALUE"""),"Google")</f>
        <v>Google</v>
      </c>
      <c r="G42" s="110" t="str">
        <f>IFERROR(__xludf.DUMMYFUNCTION("""COMPUTED_VALUE"""),"-")</f>
        <v>-</v>
      </c>
      <c r="H42" s="110" t="str">
        <f>IFERROR(__xludf.DUMMYFUNCTION("""COMPUTED_VALUE"""),"Visão de Negócios")</f>
        <v>Visão de Negócios</v>
      </c>
      <c r="I42" s="110" t="str">
        <f>IFERROR(__xludf.DUMMYFUNCTION("""COMPUTED_VALUE"""),"Conhecimento de Produto e Negócio")</f>
        <v>Conhecimento de Produto e Negócio</v>
      </c>
      <c r="J42" s="110" t="str">
        <f>IFERROR(__xludf.DUMMYFUNCTION("""COMPUTED_VALUE"""),"Segmentação de Mercado")</f>
        <v>Segmentação de Mercado</v>
      </c>
      <c r="K42" s="166" t="str">
        <f>IFERROR(__xludf.DUMMYFUNCTION("""COMPUTED_VALUE"""),"https://universidade.pipelovers.net/m/lessons/planejamento-de-territorio-de-prospeccao1769552018953?classId=3389")</f>
        <v>https://universidade.pipelovers.net/m/lessons/planejamento-de-territorio-de-prospeccao1769552018953?classId=3389</v>
      </c>
      <c r="L42" s="115" t="str">
        <f>IFERROR(__xludf.DUMMYFUNCTION("""COMPUTED_VALUE"""),"https://universidade.pipelovers.net/m/lessons/planejamento-de-territorio-de-prospeccao1769552018953?classId=3389")</f>
        <v>https://universidade.pipelovers.net/m/lessons/planejamento-de-territorio-de-prospeccao1769552018953?classId=3389</v>
      </c>
      <c r="M42" s="117">
        <f>IFERROR(__xludf.DUMMYFUNCTION("""COMPUTED_VALUE"""),3.0)</f>
        <v>3</v>
      </c>
      <c r="N42" s="110" t="str">
        <f>IFERROR(__xludf.DUMMYFUNCTION("""COMPUTED_VALUE"""),"31. PipeLovers 💚 SDRs ""Planejamento de Território de Prospecção"" com Carmen Barretti (2023-02-08 08:03 GMT-3)")</f>
        <v>31. PipeLovers 💚 SDRs "Planejamento de Território de Prospecção" com Carmen Barretti (2023-02-08 08:03 GMT-3)</v>
      </c>
      <c r="O42" s="110" t="str">
        <f>IFERROR(__xludf.DUMMYFUNCTION("""COMPUTED_VALUE"""),"")</f>
        <v/>
      </c>
      <c r="P42" s="118">
        <f>IFERROR(__xludf.DUMMYFUNCTION("""COMPUTED_VALUE"""),45082.0)</f>
        <v>45082</v>
      </c>
      <c r="Q42" s="110"/>
    </row>
    <row r="43">
      <c r="A43" s="73"/>
      <c r="B43" s="103" t="str">
        <f>IFERROR(__xludf.DUMMYFUNCTION("""COMPUTED_VALUE"""),"Pré-Vendas (Prospecção)")</f>
        <v>Pré-Vendas (Prospecção)</v>
      </c>
      <c r="C43" s="145" t="str">
        <f>IFERROR(__xludf.DUMMYFUNCTION("""COMPUTED_VALUE"""),"Desafios do SDR que vira Vendedor")</f>
        <v>Desafios do SDR que vira Vendedor</v>
      </c>
      <c r="D43" s="173" t="str">
        <f>IFERROR(__xludf.DUMMYFUNCTION("""COMPUTED_VALUE"""),"Patricia Ribeiro")</f>
        <v>Patricia Ribeiro</v>
      </c>
      <c r="E43" s="174" t="str">
        <f>IFERROR(__xludf.DUMMYFUNCTION("""COMPUTED_VALUE"""),"Enterprise Account Executive")</f>
        <v>Enterprise Account Executive</v>
      </c>
      <c r="F43" s="174" t="str">
        <f>IFERROR(__xludf.DUMMYFUNCTION("""COMPUTED_VALUE"""),"LexisNexis")</f>
        <v>LexisNexis</v>
      </c>
      <c r="G43" s="122" t="str">
        <f>IFERROR(__xludf.DUMMYFUNCTION("""COMPUTED_VALUE"""),"https://www.linkedin.com/in/admpatriciaribeiro")</f>
        <v>https://www.linkedin.com/in/admpatriciaribeiro</v>
      </c>
      <c r="H43" s="110" t="str">
        <f>IFERROR(__xludf.DUMMYFUNCTION("""COMPUTED_VALUE"""),"Autodesenvolvimento")</f>
        <v>Autodesenvolvimento</v>
      </c>
      <c r="I43" s="110" t="str">
        <f>IFERROR(__xludf.DUMMYFUNCTION("""COMPUTED_VALUE"""),"Inteligência Emocional")</f>
        <v>Inteligência Emocional</v>
      </c>
      <c r="J43" s="110" t="str">
        <f>IFERROR(__xludf.DUMMYFUNCTION("""COMPUTED_VALUE"""),"Motivação")</f>
        <v>Motivação</v>
      </c>
      <c r="K43" s="166" t="str">
        <f>IFERROR(__xludf.DUMMYFUNCTION("""COMPUTED_VALUE"""),"https://universidade.pipelovers.net/m/lessons/desafios-do-sdr-que-vira-vendedor1769552018922?classId=3390")</f>
        <v>https://universidade.pipelovers.net/m/lessons/desafios-do-sdr-que-vira-vendedor1769552018922?classId=3390</v>
      </c>
      <c r="L43" s="115" t="str">
        <f>IFERROR(__xludf.DUMMYFUNCTION("""COMPUTED_VALUE"""),"https://universidade.pipelovers.net/m/lessons/desafios-do-sdr-que-vira-vendedor1769552018922?classId=3390")</f>
        <v>https://universidade.pipelovers.net/m/lessons/desafios-do-sdr-que-vira-vendedor1769552018922?classId=3390</v>
      </c>
      <c r="M43" s="117">
        <f>IFERROR(__xludf.DUMMYFUNCTION("""COMPUTED_VALUE"""),3.0)</f>
        <v>3</v>
      </c>
      <c r="N43" s="110" t="str">
        <f>IFERROR(__xludf.DUMMYFUNCTION("""COMPUTED_VALUE"""),"32. PipeLovers💚SDRs com Patricia Ribeiro ""Desafios do SDR que vira Vendedor"" (2023-02-15 08:05 GMT-3)")</f>
        <v>32. PipeLovers💚SDRs com Patricia Ribeiro "Desafios do SDR que vira Vendedor" (2023-02-15 08:05 GMT-3)</v>
      </c>
      <c r="O43" s="110" t="str">
        <f>IFERROR(__xludf.DUMMYFUNCTION("""COMPUTED_VALUE"""),"")</f>
        <v/>
      </c>
      <c r="P43" s="118">
        <f>IFERROR(__xludf.DUMMYFUNCTION("""COMPUTED_VALUE"""),45089.0)</f>
        <v>45089</v>
      </c>
      <c r="Q43" s="110"/>
    </row>
    <row r="44">
      <c r="A44" s="73"/>
      <c r="B44" s="103" t="str">
        <f>IFERROR(__xludf.DUMMYFUNCTION("""COMPUTED_VALUE"""),"Pré-Vendas (Prospecção)")</f>
        <v>Pré-Vendas (Prospecção)</v>
      </c>
      <c r="C44" s="157" t="str">
        <f>IFERROR(__xludf.DUMMYFUNCTION("""COMPUTED_VALUE"""),"Case: Rock Content")</f>
        <v>Case: Rock Content</v>
      </c>
      <c r="D44" s="175" t="str">
        <f>IFERROR(__xludf.DUMMYFUNCTION("""COMPUTED_VALUE"""),"Thaise Bolzan")</f>
        <v>Thaise Bolzan</v>
      </c>
      <c r="E44" s="110" t="str">
        <f>IFERROR(__xludf.DUMMYFUNCTION("""COMPUTED_VALUE"""),"Coordenadora de Inside Sales")</f>
        <v>Coordenadora de Inside Sales</v>
      </c>
      <c r="F44" s="174" t="str">
        <f>IFERROR(__xludf.DUMMYFUNCTION("""COMPUTED_VALUE"""),"Rock Content")</f>
        <v>Rock Content</v>
      </c>
      <c r="G44" s="122" t="str">
        <f>IFERROR(__xludf.DUMMYFUNCTION("""COMPUTED_VALUE"""),"https://www.linkedin.com/in/izebolzan/")</f>
        <v>https://www.linkedin.com/in/izebolzan/</v>
      </c>
      <c r="H44" s="110" t="str">
        <f>IFERROR(__xludf.DUMMYFUNCTION("""COMPUTED_VALUE"""),"Autodesenvolvimento")</f>
        <v>Autodesenvolvimento</v>
      </c>
      <c r="I44" s="110" t="str">
        <f>IFERROR(__xludf.DUMMYFUNCTION("""COMPUTED_VALUE"""),"Aprendizado Ativo")</f>
        <v>Aprendizado Ativo</v>
      </c>
      <c r="J44" s="110" t="str">
        <f>IFERROR(__xludf.DUMMYFUNCTION("""COMPUTED_VALUE"""),"Benchmarking")</f>
        <v>Benchmarking</v>
      </c>
      <c r="K44" s="166" t="str">
        <f>IFERROR(__xludf.DUMMYFUNCTION("""COMPUTED_VALUE"""),"https://universidade.pipelovers.net/m/lessons/case-rock-content1769552018997?classId=3391")</f>
        <v>https://universidade.pipelovers.net/m/lessons/case-rock-content1769552018997?classId=3391</v>
      </c>
      <c r="L44" s="115" t="str">
        <f>IFERROR(__xludf.DUMMYFUNCTION("""COMPUTED_VALUE"""),"https://universidade.pipelovers.net/m/lessons/case-rock-content1769552018997?classId=3391")</f>
        <v>https://universidade.pipelovers.net/m/lessons/case-rock-content1769552018997?classId=3391</v>
      </c>
      <c r="M44" s="117">
        <f>IFERROR(__xludf.DUMMYFUNCTION("""COMPUTED_VALUE"""),3.0)</f>
        <v>3</v>
      </c>
      <c r="N44" s="110" t="str">
        <f>IFERROR(__xludf.DUMMYFUNCTION("""COMPUTED_VALUE"""),"33. PipeLovers 💚 SDRs Case ""Rock Content"" com Thaise Bolzan (2023-03-01 08:05 GMT-3)")</f>
        <v>33. PipeLovers 💚 SDRs Case "Rock Content" com Thaise Bolzan (2023-03-01 08:05 GMT-3)</v>
      </c>
      <c r="O44" s="110" t="str">
        <f>IFERROR(__xludf.DUMMYFUNCTION("""COMPUTED_VALUE"""),"")</f>
        <v/>
      </c>
      <c r="P44" s="118">
        <f>IFERROR(__xludf.DUMMYFUNCTION("""COMPUTED_VALUE"""),45096.0)</f>
        <v>45096</v>
      </c>
      <c r="Q44" s="110"/>
    </row>
    <row r="45">
      <c r="A45" s="73"/>
      <c r="B45" s="103" t="str">
        <f>IFERROR(__xludf.DUMMYFUNCTION("""COMPUTED_VALUE"""),"Pré-Vendas (Prospecção)")</f>
        <v>Pré-Vendas (Prospecção)</v>
      </c>
      <c r="C45" s="145" t="str">
        <f>IFERROR(__xludf.DUMMYFUNCTION("""COMPUTED_VALUE"""),"Assédio não é normal, ok?")</f>
        <v>Assédio não é normal, ok?</v>
      </c>
      <c r="D45" s="173" t="str">
        <f>IFERROR(__xludf.DUMMYFUNCTION("""COMPUTED_VALUE"""),"Ana Nunes")</f>
        <v>Ana Nunes</v>
      </c>
      <c r="E45" s="110" t="str">
        <f>IFERROR(__xludf.DUMMYFUNCTION("""COMPUTED_VALUE"""),"Business Development Representative")</f>
        <v>Business Development Representative</v>
      </c>
      <c r="F45" s="174" t="str">
        <f>IFERROR(__xludf.DUMMYFUNCTION("""COMPUTED_VALUE"""),"Swile")</f>
        <v>Swile</v>
      </c>
      <c r="G45" s="110" t="str">
        <f>IFERROR(__xludf.DUMMYFUNCTION("""COMPUTED_VALUE"""),"-")</f>
        <v>-</v>
      </c>
      <c r="H45" s="110" t="str">
        <f>IFERROR(__xludf.DUMMYFUNCTION("""COMPUTED_VALUE"""),"Relacionamento Interpessoal")</f>
        <v>Relacionamento Interpessoal</v>
      </c>
      <c r="I45" s="110" t="str">
        <f>IFERROR(__xludf.DUMMYFUNCTION("""COMPUTED_VALUE"""),"Comunicação e Relacionamento")</f>
        <v>Comunicação e Relacionamento</v>
      </c>
      <c r="J45" s="110" t="str">
        <f>IFERROR(__xludf.DUMMYFUNCTION("""COMPUTED_VALUE"""),"Comunicação Não-Agressiva")</f>
        <v>Comunicação Não-Agressiva</v>
      </c>
      <c r="K45" s="166" t="str">
        <f>IFERROR(__xludf.DUMMYFUNCTION("""COMPUTED_VALUE"""),"https://universidade.pipelovers.net/m/lessons/assedio-nao-e-normal-ok1769552019039?classId=3392")</f>
        <v>https://universidade.pipelovers.net/m/lessons/assedio-nao-e-normal-ok1769552019039?classId=3392</v>
      </c>
      <c r="L45" s="115" t="str">
        <f>IFERROR(__xludf.DUMMYFUNCTION("""COMPUTED_VALUE"""),"https://universidade.pipelovers.net/m/lessons/assedio-nao-e-normal-ok1769552019039?classId=3392")</f>
        <v>https://universidade.pipelovers.net/m/lessons/assedio-nao-e-normal-ok1769552019039?classId=3392</v>
      </c>
      <c r="M45" s="117">
        <f>IFERROR(__xludf.DUMMYFUNCTION("""COMPUTED_VALUE"""),1.0)</f>
        <v>1</v>
      </c>
      <c r="N45" s="110" t="str">
        <f>IFERROR(__xludf.DUMMYFUNCTION("""COMPUTED_VALUE"""),"34. PipeLovers💚SDRs com Ana Nunes ""Assédio não é normal, ok?"" (2023-03-08 08:05 GMT-3)")</f>
        <v>34. PipeLovers💚SDRs com Ana Nunes "Assédio não é normal, ok?" (2023-03-08 08:05 GMT-3)</v>
      </c>
      <c r="O45" s="110" t="str">
        <f>IFERROR(__xludf.DUMMYFUNCTION("""COMPUTED_VALUE"""),"")</f>
        <v/>
      </c>
      <c r="P45" s="118">
        <f>IFERROR(__xludf.DUMMYFUNCTION("""COMPUTED_VALUE"""),45103.0)</f>
        <v>45103</v>
      </c>
      <c r="Q45" s="110"/>
    </row>
    <row r="46">
      <c r="A46" s="73"/>
      <c r="B46" s="103" t="str">
        <f>IFERROR(__xludf.DUMMYFUNCTION("""COMPUTED_VALUE"""),"Pré-Vendas (Prospecção)")</f>
        <v>Pré-Vendas (Prospecção)</v>
      </c>
      <c r="C46" s="157" t="str">
        <f>IFERROR(__xludf.DUMMYFUNCTION("""COMPUTED_VALUE"""),"Autogestão Baseada em Indicadores")</f>
        <v>Autogestão Baseada em Indicadores</v>
      </c>
      <c r="D46" s="175" t="str">
        <f>IFERROR(__xludf.DUMMYFUNCTION("""COMPUTED_VALUE"""),"Bruna Craveiro")</f>
        <v>Bruna Craveiro</v>
      </c>
      <c r="E46" s="110" t="str">
        <f>IFERROR(__xludf.DUMMYFUNCTION("""COMPUTED_VALUE"""),"Senior Sales Manager Brazil")</f>
        <v>Senior Sales Manager Brazil</v>
      </c>
      <c r="F46" s="174" t="str">
        <f>IFERROR(__xludf.DUMMYFUNCTION("""COMPUTED_VALUE"""),"eMentor")</f>
        <v>eMentor</v>
      </c>
      <c r="G46" s="110" t="str">
        <f>IFERROR(__xludf.DUMMYFUNCTION("""COMPUTED_VALUE"""),"-")</f>
        <v>-</v>
      </c>
      <c r="H46" s="110" t="str">
        <f>IFERROR(__xludf.DUMMYFUNCTION("""COMPUTED_VALUE"""),"Conhecimento Técnico")</f>
        <v>Conhecimento Técnico</v>
      </c>
      <c r="I46" s="110" t="str">
        <f>IFERROR(__xludf.DUMMYFUNCTION("""COMPUTED_VALUE"""),"Pensamento Crítico")</f>
        <v>Pensamento Crítico</v>
      </c>
      <c r="J46" s="110" t="str">
        <f>IFERROR(__xludf.DUMMYFUNCTION("""COMPUTED_VALUE"""),"Métricas de Funil")</f>
        <v>Métricas de Funil</v>
      </c>
      <c r="K46" s="166" t="str">
        <f>IFERROR(__xludf.DUMMYFUNCTION("""COMPUTED_VALUE"""),"https://universidade.pipelovers.net/m/lessons/autogestao-baseada-em-indicadores1769552019066?classId=3393")</f>
        <v>https://universidade.pipelovers.net/m/lessons/autogestao-baseada-em-indicadores1769552019066?classId=3393</v>
      </c>
      <c r="L46" s="115" t="str">
        <f>IFERROR(__xludf.DUMMYFUNCTION("""COMPUTED_VALUE"""),"https://universidade.pipelovers.net/m/lessons/autogestao-baseada-em-indicadores1769552019066?classId=3393")</f>
        <v>https://universidade.pipelovers.net/m/lessons/autogestao-baseada-em-indicadores1769552019066?classId=3393</v>
      </c>
      <c r="M46" s="117">
        <f>IFERROR(__xludf.DUMMYFUNCTION("""COMPUTED_VALUE"""),3.79)</f>
        <v>3.79</v>
      </c>
      <c r="N46" s="110" t="str">
        <f>IFERROR(__xludf.DUMMYFUNCTION("""COMPUTED_VALUE"""),"35. PipeLovers💚SDRs com Bruna Craveiro ""Autogestão Baseada em Indicadores"" (2023-03-15 08:06 GMT-3)")</f>
        <v>35. PipeLovers💚SDRs com Bruna Craveiro "Autogestão Baseada em Indicadores" (2023-03-15 08:06 GMT-3)</v>
      </c>
      <c r="O46" s="110" t="str">
        <f>IFERROR(__xludf.DUMMYFUNCTION("""COMPUTED_VALUE"""),"")</f>
        <v/>
      </c>
      <c r="P46" s="118">
        <f>IFERROR(__xludf.DUMMYFUNCTION("""COMPUTED_VALUE"""),45110.0)</f>
        <v>45110</v>
      </c>
      <c r="Q46" s="110"/>
    </row>
    <row r="47">
      <c r="A47" s="73"/>
      <c r="B47" s="103" t="str">
        <f>IFERROR(__xludf.DUMMYFUNCTION("""COMPUTED_VALUE"""),"Pré-Vendas (Prospecção)")</f>
        <v>Pré-Vendas (Prospecção)</v>
      </c>
      <c r="C47" s="145" t="str">
        <f>IFERROR(__xludf.DUMMYFUNCTION("""COMPUTED_VALUE"""),"Como Ter um Perfil de Autoridade no LinkedIn")</f>
        <v>Como Ter um Perfil de Autoridade no LinkedIn</v>
      </c>
      <c r="D47" s="173" t="str">
        <f>IFERROR(__xludf.DUMMYFUNCTION("""COMPUTED_VALUE"""),"Daniel Fidelis")</f>
        <v>Daniel Fidelis</v>
      </c>
      <c r="E47" s="174" t="str">
        <f>IFERROR(__xludf.DUMMYFUNCTION("""COMPUTED_VALUE"""),"Enterprise Account Executive")</f>
        <v>Enterprise Account Executive</v>
      </c>
      <c r="F47" s="174" t="str">
        <f>IFERROR(__xludf.DUMMYFUNCTION("""COMPUTED_VALUE"""),"Signifyd")</f>
        <v>Signifyd</v>
      </c>
      <c r="G47" s="122" t="str">
        <f>IFERROR(__xludf.DUMMYFUNCTION("""COMPUTED_VALUE"""),"https://www.linkedin.com/in/daniel-fidelis-ab8700159/")</f>
        <v>https://www.linkedin.com/in/daniel-fidelis-ab8700159/</v>
      </c>
      <c r="H47" s="110" t="str">
        <f>IFERROR(__xludf.DUMMYFUNCTION("""COMPUTED_VALUE"""),"Relacionamento Interpessoal")</f>
        <v>Relacionamento Interpessoal</v>
      </c>
      <c r="I47" s="110" t="str">
        <f>IFERROR(__xludf.DUMMYFUNCTION("""COMPUTED_VALUE"""),"Liderança e Influência")</f>
        <v>Liderança e Influência</v>
      </c>
      <c r="J47" s="110" t="str">
        <f>IFERROR(__xludf.DUMMYFUNCTION("""COMPUTED_VALUE"""),"Credibilidade e Reputação")</f>
        <v>Credibilidade e Reputação</v>
      </c>
      <c r="K47" s="166" t="str">
        <f>IFERROR(__xludf.DUMMYFUNCTION("""COMPUTED_VALUE"""),"https://universidade.pipelovers.net/m/lessons/como-ter-um-perfil-de-autoridade-no-linkedin1769552019091?classId=3396")</f>
        <v>https://universidade.pipelovers.net/m/lessons/como-ter-um-perfil-de-autoridade-no-linkedin1769552019091?classId=3396</v>
      </c>
      <c r="L47" s="115" t="str">
        <f>IFERROR(__xludf.DUMMYFUNCTION("""COMPUTED_VALUE"""),"https://universidade.pipelovers.net/m/lessons/como-ter-um-perfil-de-autoridade-no-linkedin1769552019091?classId=3396")</f>
        <v>https://universidade.pipelovers.net/m/lessons/como-ter-um-perfil-de-autoridade-no-linkedin1769552019091?classId=3396</v>
      </c>
      <c r="M47" s="117">
        <f>IFERROR(__xludf.DUMMYFUNCTION("""COMPUTED_VALUE"""),4.0)</f>
        <v>4</v>
      </c>
      <c r="N47" s="110" t="str">
        <f>IFERROR(__xludf.DUMMYFUNCTION("""COMPUTED_VALUE"""),"36. PipeLovers💚SDRs - ""COMO TER UM PERFIL DE AUTORIDADE NO LINKEDIN"" com Daniel Fideles (2023-03-22 08:05 GMT-3)")</f>
        <v>36. PipeLovers💚SDRs - "COMO TER UM PERFIL DE AUTORIDADE NO LINKEDIN" com Daniel Fideles (2023-03-22 08:05 GMT-3)</v>
      </c>
      <c r="O47" s="110" t="str">
        <f>IFERROR(__xludf.DUMMYFUNCTION("""COMPUTED_VALUE"""),"")</f>
        <v/>
      </c>
      <c r="P47" s="118">
        <f>IFERROR(__xludf.DUMMYFUNCTION("""COMPUTED_VALUE"""),45117.0)</f>
        <v>45117</v>
      </c>
      <c r="Q47" s="110"/>
    </row>
    <row r="48">
      <c r="A48" s="73"/>
      <c r="B48" s="103" t="str">
        <f>IFERROR(__xludf.DUMMYFUNCTION("""COMPUTED_VALUE"""),"Pré-Vendas (Prospecção)")</f>
        <v>Pré-Vendas (Prospecção)</v>
      </c>
      <c r="C48" s="181" t="str">
        <f>IFERROR(__xludf.DUMMYFUNCTION("""COMPUTED_VALUE"""),"Relacionamento Marketing &lt;&gt; Pré-Vendas")</f>
        <v>Relacionamento Marketing &lt;&gt; Pré-Vendas</v>
      </c>
      <c r="D48" s="175" t="str">
        <f>IFERROR(__xludf.DUMMYFUNCTION("""COMPUTED_VALUE"""),"Amanda de Paula")</f>
        <v>Amanda de Paula</v>
      </c>
      <c r="E48" s="174" t="str">
        <f>IFERROR(__xludf.DUMMYFUNCTION("""COMPUTED_VALUE"""),"Inbound Marketing Leader")</f>
        <v>Inbound Marketing Leader</v>
      </c>
      <c r="F48" s="174" t="str">
        <f>IFERROR(__xludf.DUMMYFUNCTION("""COMPUTED_VALUE"""),"Creditas")</f>
        <v>Creditas</v>
      </c>
      <c r="G48" s="122" t="str">
        <f>IFERROR(__xludf.DUMMYFUNCTION("""COMPUTED_VALUE"""),"https://www.linkedin.com/in/amandadeepaula/")</f>
        <v>https://www.linkedin.com/in/amandadeepaula/</v>
      </c>
      <c r="H48" s="110" t="str">
        <f>IFERROR(__xludf.DUMMYFUNCTION("""COMPUTED_VALUE"""),"Relacionamento Interpessoal")</f>
        <v>Relacionamento Interpessoal</v>
      </c>
      <c r="I48" s="110" t="str">
        <f>IFERROR(__xludf.DUMMYFUNCTION("""COMPUTED_VALUE"""),"Liderança e Influência")</f>
        <v>Liderança e Influência</v>
      </c>
      <c r="J48" s="110" t="str">
        <f>IFERROR(__xludf.DUMMYFUNCTION("""COMPUTED_VALUE"""),"Stakeholder Management")</f>
        <v>Stakeholder Management</v>
      </c>
      <c r="K48" s="166" t="str">
        <f>IFERROR(__xludf.DUMMYFUNCTION("""COMPUTED_VALUE"""),"https://universidade.pipelovers.net/m/lessons/relacionamento-marketing-pre-vendas1769552019140?classId=3395")</f>
        <v>https://universidade.pipelovers.net/m/lessons/relacionamento-marketing-pre-vendas1769552019140?classId=3395</v>
      </c>
      <c r="L48" s="115" t="str">
        <f>IFERROR(__xludf.DUMMYFUNCTION("""COMPUTED_VALUE"""),"https://universidade.pipelovers.net/m/lessons/relacionamento-marketing-pre-vendas1769552019140?classId=3395")</f>
        <v>https://universidade.pipelovers.net/m/lessons/relacionamento-marketing-pre-vendas1769552019140?classId=3395</v>
      </c>
      <c r="M48" s="117">
        <f>IFERROR(__xludf.DUMMYFUNCTION("""COMPUTED_VALUE"""),4.5)</f>
        <v>4.5</v>
      </c>
      <c r="N48" s="110" t="str">
        <f>IFERROR(__xludf.DUMMYFUNCTION("""COMPUTED_VALUE"""),"37. PipeLovers 💚 SDRs com Amanda de Paula ""Relacionamento entre Marketing e Pré-Vendas"" (2023-03-29 08:05 GMT-3)")</f>
        <v>37. PipeLovers 💚 SDRs com Amanda de Paula "Relacionamento entre Marketing e Pré-Vendas" (2023-03-29 08:05 GMT-3)</v>
      </c>
      <c r="O48" s="110" t="str">
        <f>IFERROR(__xludf.DUMMYFUNCTION("""COMPUTED_VALUE"""),"")</f>
        <v/>
      </c>
      <c r="P48" s="118">
        <f>IFERROR(__xludf.DUMMYFUNCTION("""COMPUTED_VALUE"""),45124.0)</f>
        <v>45124</v>
      </c>
      <c r="Q48" s="110"/>
    </row>
    <row r="49">
      <c r="A49" s="73"/>
      <c r="B49" s="103" t="str">
        <f>IFERROR(__xludf.DUMMYFUNCTION("""COMPUTED_VALUE"""),"Pré-Vendas (Prospecção)")</f>
        <v>Pré-Vendas (Prospecção)</v>
      </c>
      <c r="C49" s="104" t="str">
        <f>IFERROR(__xludf.DUMMYFUNCTION("""COMPUTED_VALUE"""),"Mensagem de prospecção que convertem")</f>
        <v>Mensagem de prospecção que convertem</v>
      </c>
      <c r="D49" s="173" t="str">
        <f>IFERROR(__xludf.DUMMYFUNCTION("""COMPUTED_VALUE"""),"Sergio Alonso")</f>
        <v>Sergio Alonso</v>
      </c>
      <c r="E49" s="174" t="str">
        <f>IFERROR(__xludf.DUMMYFUNCTION("""COMPUTED_VALUE"""),"Coordenador de SDR")</f>
        <v>Coordenador de SDR</v>
      </c>
      <c r="F49" s="174" t="str">
        <f>IFERROR(__xludf.DUMMYFUNCTION("""COMPUTED_VALUE"""),"G4 Educação")</f>
        <v>G4 Educação</v>
      </c>
      <c r="G49" s="122" t="str">
        <f>IFERROR(__xludf.DUMMYFUNCTION("""COMPUTED_VALUE"""),"https://www.linkedin.com/in/-sergioalonso/")</f>
        <v>https://www.linkedin.com/in/-sergioalonso/</v>
      </c>
      <c r="H49" s="174" t="str">
        <f>IFERROR(__xludf.DUMMYFUNCTION("""COMPUTED_VALUE"""),"Conhecimento Técnico")</f>
        <v>Conhecimento Técnico</v>
      </c>
      <c r="I49" s="174" t="str">
        <f>IFERROR(__xludf.DUMMYFUNCTION("""COMPUTED_VALUE"""),"Técnicas de Vendas")</f>
        <v>Técnicas de Vendas</v>
      </c>
      <c r="J49" s="110" t="str">
        <f>IFERROR(__xludf.DUMMYFUNCTION("""COMPUTED_VALUE"""),"Abordagem e Prospecção")</f>
        <v>Abordagem e Prospecção</v>
      </c>
      <c r="K49" s="167" t="str">
        <f>IFERROR(__xludf.DUMMYFUNCTION("""COMPUTED_VALUE"""),"https://universidade.pipelovers.net/aulas/mensagem-de-prospeccao-que-convertem-1775074225062")</f>
        <v>https://universidade.pipelovers.net/aulas/mensagem-de-prospeccao-que-convertem-1775074225062</v>
      </c>
      <c r="L49" s="148" t="str">
        <f>IFERROR(__xludf.DUMMYFUNCTION("""COMPUTED_VALUE"""),"https://universidade.pipelovers.net/aulas/mensagem-de-prospeccao-que-convertem-1775074225062")</f>
        <v>https://universidade.pipelovers.net/aulas/mensagem-de-prospeccao-que-convertem-1775074225062</v>
      </c>
      <c r="M49" s="117">
        <f>IFERROR(__xludf.DUMMYFUNCTION("""COMPUTED_VALUE"""),4.64)</f>
        <v>4.64</v>
      </c>
      <c r="N49" s="110" t="str">
        <f>IFERROR(__xludf.DUMMYFUNCTION("""COMPUTED_VALUE"""),"38. PipeLovers💚SDRs ""Mensagens de prospecção que convertem"" com Sergio Alonso do G4 Educação (2023-04-12 08:04 GMT-3)")</f>
        <v>38. PipeLovers💚SDRs "Mensagens de prospecção que convertem" com Sergio Alonso do G4 Educação (2023-04-12 08:04 GMT-3)</v>
      </c>
      <c r="O49" s="110" t="str">
        <f>IFERROR(__xludf.DUMMYFUNCTION("""COMPUTED_VALUE"""),"")</f>
        <v/>
      </c>
      <c r="P49" s="118">
        <f>IFERROR(__xludf.DUMMYFUNCTION("""COMPUTED_VALUE"""),45131.0)</f>
        <v>45131</v>
      </c>
      <c r="Q49" s="110"/>
    </row>
    <row r="50">
      <c r="A50" s="73"/>
      <c r="B50" s="103" t="str">
        <f>IFERROR(__xludf.DUMMYFUNCTION("""COMPUTED_VALUE"""),"Pré-Vendas (Prospecção)")</f>
        <v>Pré-Vendas (Prospecção)</v>
      </c>
      <c r="C50" s="204" t="str">
        <f>IFERROR(__xludf.DUMMYFUNCTION("""COMPUTED_VALUE"""),"Como autoconhecimento e inteligência emocional te ajudam a vender mais?")</f>
        <v>Como autoconhecimento e inteligência emocional te ajudam a vender mais?</v>
      </c>
      <c r="D50" s="175" t="str">
        <f>IFERROR(__xludf.DUMMYFUNCTION("""COMPUTED_VALUE"""),"Leonardo Schutel")</f>
        <v>Leonardo Schutel</v>
      </c>
      <c r="E50" s="174" t="str">
        <f>IFERROR(__xludf.DUMMYFUNCTION("""COMPUTED_VALUE"""),"Coordenador de SDR")</f>
        <v>Coordenador de SDR</v>
      </c>
      <c r="F50" s="174" t="str">
        <f>IFERROR(__xludf.DUMMYFUNCTION("""COMPUTED_VALUE"""),"TotalPass ")</f>
        <v>TotalPass </v>
      </c>
      <c r="G50" s="122" t="str">
        <f>IFERROR(__xludf.DUMMYFUNCTION("""COMPUTED_VALUE"""),"https://www.linkedin.com/in/leonardo-s-3552b21a9/")</f>
        <v>https://www.linkedin.com/in/leonardo-s-3552b21a9/</v>
      </c>
      <c r="H50" s="110" t="str">
        <f>IFERROR(__xludf.DUMMYFUNCTION("""COMPUTED_VALUE"""),"Autodesenvolvimento")</f>
        <v>Autodesenvolvimento</v>
      </c>
      <c r="I50" s="110" t="str">
        <f>IFERROR(__xludf.DUMMYFUNCTION("""COMPUTED_VALUE"""),"Inteligência Emocional")</f>
        <v>Inteligência Emocional</v>
      </c>
      <c r="J50" s="110" t="str">
        <f>IFERROR(__xludf.DUMMYFUNCTION("""COMPUTED_VALUE"""),"Gatilhos de Stress")</f>
        <v>Gatilhos de Stress</v>
      </c>
      <c r="K50" s="167" t="str">
        <f>IFERROR(__xludf.DUMMYFUNCTION("""COMPUTED_VALUE"""),"https://universidade.pipelovers.net/aulas/como-autoconhecimento-e-inteligencia-emocional-te-ajudam-a-vender-mais--1775681110809")</f>
        <v>https://universidade.pipelovers.net/aulas/como-autoconhecimento-e-inteligencia-emocional-te-ajudam-a-vender-mais--1775681110809</v>
      </c>
      <c r="L50" s="148" t="str">
        <f>IFERROR(__xludf.DUMMYFUNCTION("""COMPUTED_VALUE"""),"https://universidade.pipelovers.net/aulas/como-autoconhecimento-e-inteligencia-emocional-te-ajudam-a-vender-mais--1775681110809")</f>
        <v>https://universidade.pipelovers.net/aulas/como-autoconhecimento-e-inteligencia-emocional-te-ajudam-a-vender-mais--1775681110809</v>
      </c>
      <c r="M50" s="117">
        <f>IFERROR(__xludf.DUMMYFUNCTION("""COMPUTED_VALUE"""),3.64)</f>
        <v>3.64</v>
      </c>
      <c r="N50" s="110" t="str">
        <f>IFERROR(__xludf.DUMMYFUNCTION("""COMPUTED_VALUE"""),"39. PipeLovers💚SDRs: ""Como autoconhecimento e inteligência emocional te ajudam a vender mais?"" com Leo (2023-04-19 08:04 GMT-3)")</f>
        <v>39. PipeLovers💚SDRs: "Como autoconhecimento e inteligência emocional te ajudam a vender mais?" com Leo (2023-04-19 08:04 GMT-3)</v>
      </c>
      <c r="O50" s="110" t="str">
        <f>IFERROR(__xludf.DUMMYFUNCTION("""COMPUTED_VALUE"""),"")</f>
        <v/>
      </c>
      <c r="P50" s="118">
        <f>IFERROR(__xludf.DUMMYFUNCTION("""COMPUTED_VALUE"""),45138.0)</f>
        <v>45138</v>
      </c>
      <c r="Q50" s="110"/>
    </row>
    <row r="51">
      <c r="A51" s="73"/>
      <c r="B51" s="103" t="str">
        <f>IFERROR(__xludf.DUMMYFUNCTION("""COMPUTED_VALUE"""),"Pré-Vendas (Prospecção)")</f>
        <v>Pré-Vendas (Prospecção)</v>
      </c>
      <c r="C51" s="145" t="str">
        <f>IFERROR(__xludf.DUMMYFUNCTION("""COMPUTED_VALUE"""),"Relacionamento Executivo de Vendas &lt;&gt; Pré vendas")</f>
        <v>Relacionamento Executivo de Vendas &lt;&gt; Pré vendas</v>
      </c>
      <c r="D51" s="119" t="str">
        <f>IFERROR(__xludf.DUMMYFUNCTION("""COMPUTED_VALUE"""),"Rodrigo Saretto")</f>
        <v>Rodrigo Saretto</v>
      </c>
      <c r="E51" s="110" t="str">
        <f>IFERROR(__xludf.DUMMYFUNCTION("""COMPUTED_VALUE"""),"Senior Account Executive")</f>
        <v>Senior Account Executive</v>
      </c>
      <c r="F51" s="110" t="str">
        <f>IFERROR(__xludf.DUMMYFUNCTION("""COMPUTED_VALUE"""),"Voxy")</f>
        <v>Voxy</v>
      </c>
      <c r="G51" s="122" t="str">
        <f>IFERROR(__xludf.DUMMYFUNCTION("""COMPUTED_VALUE"""),"https://www.linkedin.com/in/rodrigosaretto/")</f>
        <v>https://www.linkedin.com/in/rodrigosaretto/</v>
      </c>
      <c r="H51" s="110" t="str">
        <f>IFERROR(__xludf.DUMMYFUNCTION("""COMPUTED_VALUE"""),"Relacionamento Interpessoal")</f>
        <v>Relacionamento Interpessoal</v>
      </c>
      <c r="I51" s="110" t="str">
        <f>IFERROR(__xludf.DUMMYFUNCTION("""COMPUTED_VALUE"""),"Liderança e Influência")</f>
        <v>Liderança e Influência</v>
      </c>
      <c r="J51" s="110" t="str">
        <f>IFERROR(__xludf.DUMMYFUNCTION("""COMPUTED_VALUE"""),"Stakeholder Management")</f>
        <v>Stakeholder Management</v>
      </c>
      <c r="K51" s="166" t="str">
        <f>IFERROR(__xludf.DUMMYFUNCTION("""COMPUTED_VALUE"""),"https://universidade.pipelovers.net/m/lessons/relacionamento-executivo-de-vendas-pre-vendas1769552019257?classId=3401")</f>
        <v>https://universidade.pipelovers.net/m/lessons/relacionamento-executivo-de-vendas-pre-vendas1769552019257?classId=3401</v>
      </c>
      <c r="L51" s="115" t="str">
        <f>IFERROR(__xludf.DUMMYFUNCTION("""COMPUTED_VALUE"""),"https://universidade.pipelovers.net/m/lessons/relacionamento-executivo-de-vendas-pre-vendas1769552019257?classId=3401")</f>
        <v>https://universidade.pipelovers.net/m/lessons/relacionamento-executivo-de-vendas-pre-vendas1769552019257?classId=3401</v>
      </c>
      <c r="M51" s="117">
        <f>IFERROR(__xludf.DUMMYFUNCTION("""COMPUTED_VALUE"""),4.36)</f>
        <v>4.36</v>
      </c>
      <c r="N51" s="110" t="str">
        <f>IFERROR(__xludf.DUMMYFUNCTION("""COMPUTED_VALUE"""),"40. PipeLovers💚SDRs: ""Relacionamento Executivo de Vendas &lt;&gt; Pré Vendedor"" com Rodrigo Saretto da Voxy (2023-04-26 08:04 GMT-3)")</f>
        <v>40. PipeLovers💚SDRs: "Relacionamento Executivo de Vendas &lt;&gt; Pré Vendedor" com Rodrigo Saretto da Voxy (2023-04-26 08:04 GMT-3)</v>
      </c>
      <c r="O51" s="110" t="str">
        <f>IFERROR(__xludf.DUMMYFUNCTION("""COMPUTED_VALUE"""),"")</f>
        <v/>
      </c>
      <c r="P51" s="118">
        <f>IFERROR(__xludf.DUMMYFUNCTION("""COMPUTED_VALUE"""),45145.0)</f>
        <v>45145</v>
      </c>
      <c r="Q51" s="110"/>
    </row>
    <row r="52">
      <c r="A52" s="73"/>
      <c r="B52" s="103" t="str">
        <f>IFERROR(__xludf.DUMMYFUNCTION("""COMPUTED_VALUE"""),"Pré-Vendas (Prospecção)")</f>
        <v>Pré-Vendas (Prospecção)</v>
      </c>
      <c r="C52" s="157" t="str">
        <f>IFERROR(__xludf.DUMMYFUNCTION("""COMPUTED_VALUE"""),"Liderança pelo exemplo: como ser a referência para o time?")</f>
        <v>Liderança pelo exemplo: como ser a referência para o time?</v>
      </c>
      <c r="D52" s="175" t="str">
        <f>IFERROR(__xludf.DUMMYFUNCTION("""COMPUTED_VALUE"""),"Heloísa Kinal")</f>
        <v>Heloísa Kinal</v>
      </c>
      <c r="E52" s="206" t="str">
        <f>IFERROR(__xludf.DUMMYFUNCTION("""COMPUTED_VALUE""")," Business Development Account Executive")</f>
        <v> Business Development Account Executive</v>
      </c>
      <c r="F52" s="206" t="str">
        <f>IFERROR(__xludf.DUMMYFUNCTION("""COMPUTED_VALUE"""),"Salesforce")</f>
        <v>Salesforce</v>
      </c>
      <c r="G52" s="207" t="str">
        <f>IFERROR(__xludf.DUMMYFUNCTION("""COMPUTED_VALUE"""),"https://www.linkedin.com/in/helo%C3%ADsa-kinal-99aa2952/")</f>
        <v>https://www.linkedin.com/in/helo%C3%ADsa-kinal-99aa2952/</v>
      </c>
      <c r="H52" s="151" t="str">
        <f>IFERROR(__xludf.DUMMYFUNCTION("""COMPUTED_VALUE"""),"Relacionamento Interpessoal")</f>
        <v>Relacionamento Interpessoal</v>
      </c>
      <c r="I52" s="151" t="str">
        <f>IFERROR(__xludf.DUMMYFUNCTION("""COMPUTED_VALUE"""),"Liderança e Influência")</f>
        <v>Liderança e Influência</v>
      </c>
      <c r="J52" s="151" t="str">
        <f>IFERROR(__xludf.DUMMYFUNCTION("""COMPUTED_VALUE"""),"Credibilidade e Reputação")</f>
        <v>Credibilidade e Reputação</v>
      </c>
      <c r="K52" s="166" t="str">
        <f>IFERROR(__xludf.DUMMYFUNCTION("""COMPUTED_VALUE"""),"https://universidade.pipelovers.net/m/lessons/lideranca-pelo-exemplo-como-ser-a-referencia-para-o-time1769552019284?classId=3405")</f>
        <v>https://universidade.pipelovers.net/m/lessons/lideranca-pelo-exemplo-como-ser-a-referencia-para-o-time1769552019284?classId=3405</v>
      </c>
      <c r="L52" s="115" t="str">
        <f>IFERROR(__xludf.DUMMYFUNCTION("""COMPUTED_VALUE"""),"https://universidade.pipelovers.net/m/lessons/lideranca-pelo-exemplo-como-ser-a-referencia-para-o-time1769552019284?classId=3405")</f>
        <v>https://universidade.pipelovers.net/m/lessons/lideranca-pelo-exemplo-como-ser-a-referencia-para-o-time1769552019284?classId=3405</v>
      </c>
      <c r="M52" s="117">
        <f>IFERROR(__xludf.DUMMYFUNCTION("""COMPUTED_VALUE"""),1.0)</f>
        <v>1</v>
      </c>
      <c r="N52" s="110" t="str">
        <f>IFERROR(__xludf.DUMMYFUNCTION("""COMPUTED_VALUE"""),"41. PipeLovers💚SDRs: ""Liderança pelo exemplo: como ser a referência para o time?"" com Heloisa Kinal da (2023-05-03 08:04 GMT-3)")</f>
        <v>41. PipeLovers💚SDRs: "Liderança pelo exemplo: como ser a referência para o time?" com Heloisa Kinal da (2023-05-03 08:04 GMT-3)</v>
      </c>
      <c r="O52" s="208" t="str">
        <f>IFERROR(__xludf.DUMMYFUNCTION("""COMPUTED_VALUE"""),"")</f>
        <v/>
      </c>
      <c r="P52" s="118">
        <f>IFERROR(__xludf.DUMMYFUNCTION("""COMPUTED_VALUE"""),45152.0)</f>
        <v>45152</v>
      </c>
      <c r="Q52" s="208"/>
    </row>
    <row r="53">
      <c r="A53" s="73"/>
      <c r="B53" s="209" t="str">
        <f>IFERROR(__xludf.DUMMYFUNCTION("""COMPUTED_VALUE"""),"Pré-Vendas (Prospecção)")</f>
        <v>Pré-Vendas (Prospecção)</v>
      </c>
      <c r="C53" s="119" t="str">
        <f>IFERROR(__xludf.DUMMYFUNCTION("""COMPUTED_VALUE"""),"Inteligência Artificial aplicada a Prospecção")</f>
        <v>Inteligência Artificial aplicada a Prospecção</v>
      </c>
      <c r="D53" s="119" t="str">
        <f>IFERROR(__xludf.DUMMYFUNCTION("""COMPUTED_VALUE"""),"Igor de Moura Batista")</f>
        <v>Igor de Moura Batista</v>
      </c>
      <c r="E53" s="151" t="str">
        <f>IFERROR(__xludf.DUMMYFUNCTION("""COMPUTED_VALUE"""),"Consultor em Vendas B2B")</f>
        <v>Consultor em Vendas B2B</v>
      </c>
      <c r="F53" s="151" t="str">
        <f>IFERROR(__xludf.DUMMYFUNCTION("""COMPUTED_VALUE"""),"iBusiness")</f>
        <v>iBusiness</v>
      </c>
      <c r="G53" s="207" t="str">
        <f>IFERROR(__xludf.DUMMYFUNCTION("""COMPUTED_VALUE"""),"https://www.linkedin.com/in/igorbatista/")</f>
        <v>https://www.linkedin.com/in/igorbatista/</v>
      </c>
      <c r="H53" s="151" t="str">
        <f>IFERROR(__xludf.DUMMYFUNCTION("""COMPUTED_VALUE"""),"Visão de Negócios")</f>
        <v>Visão de Negócios</v>
      </c>
      <c r="I53" s="151" t="str">
        <f>IFERROR(__xludf.DUMMYFUNCTION("""COMPUTED_VALUE"""),"Tendências de Mercado")</f>
        <v>Tendências de Mercado</v>
      </c>
      <c r="J53" s="151" t="str">
        <f>IFERROR(__xludf.DUMMYFUNCTION("""COMPUTED_VALUE"""),"Inovações Tecnológicas")</f>
        <v>Inovações Tecnológicas</v>
      </c>
      <c r="K53" s="128" t="str">
        <f>IFERROR(__xludf.DUMMYFUNCTION("""COMPUTED_VALUE"""),"https://universidade.pipelovers.net/m/lessons/inteligencia-artificial-aplicada-a-prospeccao1769552019309?classId=3422")</f>
        <v>https://universidade.pipelovers.net/m/lessons/inteligencia-artificial-aplicada-a-prospeccao1769552019309?classId=3422</v>
      </c>
      <c r="L53" s="115" t="str">
        <f>IFERROR(__xludf.DUMMYFUNCTION("""COMPUTED_VALUE"""),"https://universidade.pipelovers.net/m/lessons/inteligencia-artificial-aplicada-a-prospeccao1769552019309?classId=3422")</f>
        <v>https://universidade.pipelovers.net/m/lessons/inteligencia-artificial-aplicada-a-prospeccao1769552019309?classId=3422</v>
      </c>
      <c r="M53" s="117">
        <f>IFERROR(__xludf.DUMMYFUNCTION("""COMPUTED_VALUE"""),3.57)</f>
        <v>3.57</v>
      </c>
      <c r="N53" s="110" t="str">
        <f>IFERROR(__xludf.DUMMYFUNCTION("""COMPUTED_VALUE"""),"42. PipeLovers💚SDRs: ""Inteligência Artificial aplicada a Prospecção"" com Igor Batista da iBusiness (2023-05-10 08:05 GMT-3)")</f>
        <v>42. PipeLovers💚SDRs: "Inteligência Artificial aplicada a Prospecção" com Igor Batista da iBusiness (2023-05-10 08:05 GMT-3)</v>
      </c>
      <c r="O53" s="208" t="str">
        <f>IFERROR(__xludf.DUMMYFUNCTION("""COMPUTED_VALUE"""),"")</f>
        <v/>
      </c>
      <c r="P53" s="118">
        <f>IFERROR(__xludf.DUMMYFUNCTION("""COMPUTED_VALUE"""),45159.0)</f>
        <v>45159</v>
      </c>
      <c r="Q53" s="208"/>
    </row>
    <row r="54">
      <c r="A54" s="73"/>
      <c r="B54" s="209" t="str">
        <f>IFERROR(__xludf.DUMMYFUNCTION("""COMPUTED_VALUE"""),"Pré-Vendas (Prospecção)")</f>
        <v>Pré-Vendas (Prospecção)</v>
      </c>
      <c r="C54" s="157" t="str">
        <f>IFERROR(__xludf.DUMMYFUNCTION("""COMPUTED_VALUE"""),"Aprendizado baseado em projetos")</f>
        <v>Aprendizado baseado em projetos</v>
      </c>
      <c r="D54" s="104" t="str">
        <f>IFERROR(__xludf.DUMMYFUNCTION("""COMPUTED_VALUE"""),"Jayme Pereira")</f>
        <v>Jayme Pereira</v>
      </c>
      <c r="E54" s="151" t="str">
        <f>IFERROR(__xludf.DUMMYFUNCTION("""COMPUTED_VALUE"""),"Head of New Business")</f>
        <v>Head of New Business</v>
      </c>
      <c r="F54" s="151" t="str">
        <f>IFERROR(__xludf.DUMMYFUNCTION("""COMPUTED_VALUE"""),"Sinch")</f>
        <v>Sinch</v>
      </c>
      <c r="G54" s="207" t="str">
        <f>IFERROR(__xludf.DUMMYFUNCTION("""COMPUTED_VALUE"""),"https://www.linkedin.com/in/jaymepereira/")</f>
        <v>https://www.linkedin.com/in/jaymepereira/</v>
      </c>
      <c r="H54" s="151" t="str">
        <f>IFERROR(__xludf.DUMMYFUNCTION("""COMPUTED_VALUE"""),"Autodesenvolvimento")</f>
        <v>Autodesenvolvimento</v>
      </c>
      <c r="I54" s="151" t="str">
        <f>IFERROR(__xludf.DUMMYFUNCTION("""COMPUTED_VALUE"""),"Aprendizado Ativo")</f>
        <v>Aprendizado Ativo</v>
      </c>
      <c r="J54" s="151" t="str">
        <f>IFERROR(__xludf.DUMMYFUNCTION("""COMPUTED_VALUE"""),"Benchmarking")</f>
        <v>Benchmarking</v>
      </c>
      <c r="K54" s="166" t="str">
        <f>IFERROR(__xludf.DUMMYFUNCTION("""COMPUTED_VALUE"""),"https://universidade.pipelovers.net/m/lessons/aprendizado-baseado-em-projetos1769552019347?classId=3423")</f>
        <v>https://universidade.pipelovers.net/m/lessons/aprendizado-baseado-em-projetos1769552019347?classId=3423</v>
      </c>
      <c r="L54" s="115" t="str">
        <f>IFERROR(__xludf.DUMMYFUNCTION("""COMPUTED_VALUE"""),"https://universidade.pipelovers.net/m/lessons/aprendizado-baseado-em-projetos1769552019347?classId=3423")</f>
        <v>https://universidade.pipelovers.net/m/lessons/aprendizado-baseado-em-projetos1769552019347?classId=3423</v>
      </c>
      <c r="M54" s="117">
        <f>IFERROR(__xludf.DUMMYFUNCTION("""COMPUTED_VALUE"""),4.36)</f>
        <v>4.36</v>
      </c>
      <c r="N54" s="110" t="str">
        <f>IFERROR(__xludf.DUMMYFUNCTION("""COMPUTED_VALUE"""),"43. PipeLovers💚SDRs: ""Aprendizado baseado em projetos"" com Jayme Pereira da Sinch (2023-05-16 08:05 GMT-3)")</f>
        <v>43. PipeLovers💚SDRs: "Aprendizado baseado em projetos" com Jayme Pereira da Sinch (2023-05-16 08:05 GMT-3)</v>
      </c>
      <c r="O54" s="208" t="str">
        <f>IFERROR(__xludf.DUMMYFUNCTION("""COMPUTED_VALUE"""),"")</f>
        <v/>
      </c>
      <c r="P54" s="118">
        <f>IFERROR(__xludf.DUMMYFUNCTION("""COMPUTED_VALUE"""),45166.0)</f>
        <v>45166</v>
      </c>
      <c r="Q54" s="208"/>
    </row>
    <row r="55">
      <c r="A55" s="73"/>
      <c r="B55" s="209" t="str">
        <f>IFERROR(__xludf.DUMMYFUNCTION("""COMPUTED_VALUE"""),"Pré-Vendas (Prospecção)")</f>
        <v>Pré-Vendas (Prospecção)</v>
      </c>
      <c r="C55" s="216" t="str">
        <f>IFERROR(__xludf.DUMMYFUNCTION("""COMPUTED_VALUE"""),"Comunicação não violenta em conversas difíceis")</f>
        <v>Comunicação não violenta em conversas difíceis</v>
      </c>
      <c r="D55" s="119" t="str">
        <f>IFERROR(__xludf.DUMMYFUNCTION("""COMPUTED_VALUE"""),"Cindy Carbonari")</f>
        <v>Cindy Carbonari</v>
      </c>
      <c r="E55" s="208" t="str">
        <f>IFERROR(__xludf.DUMMYFUNCTION("""COMPUTED_VALUE"""),"Diretora de Parcerias")</f>
        <v>Diretora de Parcerias</v>
      </c>
      <c r="F55" s="208" t="str">
        <f>IFERROR(__xludf.DUMMYFUNCTION("""COMPUTED_VALUE"""),"Alicerce Educação")</f>
        <v>Alicerce Educação</v>
      </c>
      <c r="G55" s="217" t="str">
        <f>IFERROR(__xludf.DUMMYFUNCTION("""COMPUTED_VALUE"""),"https://www.linkedin.com/in/cindycarbonari/")</f>
        <v>https://www.linkedin.com/in/cindycarbonari/</v>
      </c>
      <c r="H55" s="208" t="str">
        <f>IFERROR(__xludf.DUMMYFUNCTION("""COMPUTED_VALUE"""),"Relacionamento Interpessoal")</f>
        <v>Relacionamento Interpessoal</v>
      </c>
      <c r="I55" s="208" t="str">
        <f>IFERROR(__xludf.DUMMYFUNCTION("""COMPUTED_VALUE"""),"Comunicação e Relacionamento")</f>
        <v>Comunicação e Relacionamento</v>
      </c>
      <c r="J55" s="208" t="str">
        <f>IFERROR(__xludf.DUMMYFUNCTION("""COMPUTED_VALUE"""),"Comunicação Não-Agressiva")</f>
        <v>Comunicação Não-Agressiva</v>
      </c>
      <c r="K55" s="114" t="str">
        <f>IFERROR(__xludf.DUMMYFUNCTION("""COMPUTED_VALUE"""),"https://universidade.pipelovers.net/m/lessons/comunicacao-nao-violenta-em-conversas-dificeis1769552019374?classId=3424")</f>
        <v>https://universidade.pipelovers.net/m/lessons/comunicacao-nao-violenta-em-conversas-dificeis1769552019374?classId=3424</v>
      </c>
      <c r="L55" s="115" t="str">
        <f>IFERROR(__xludf.DUMMYFUNCTION("""COMPUTED_VALUE"""),"https://universidade.pipelovers.net/m/lessons/comunicacao-nao-violenta-em-conversas-dificeis1769552019374?classId=3424")</f>
        <v>https://universidade.pipelovers.net/m/lessons/comunicacao-nao-violenta-em-conversas-dificeis1769552019374?classId=3424</v>
      </c>
      <c r="M55" s="117">
        <f>IFERROR(__xludf.DUMMYFUNCTION("""COMPUTED_VALUE"""),4.64)</f>
        <v>4.64</v>
      </c>
      <c r="N55" s="110" t="str">
        <f>IFERROR(__xludf.DUMMYFUNCTION("""COMPUTED_VALUE"""),"44. PipeLovers💚SDRs: ""Comunicação não violenta em conversas difíceis"" com Cindy Carbonari da Alicerce  (2023-05-24 08:05 GMT-3)")</f>
        <v>44. PipeLovers💚SDRs: "Comunicação não violenta em conversas difíceis" com Cindy Carbonari da Alicerce  (2023-05-24 08:05 GMT-3)</v>
      </c>
      <c r="O55" s="208" t="str">
        <f>IFERROR(__xludf.DUMMYFUNCTION("""COMPUTED_VALUE"""),"")</f>
        <v/>
      </c>
      <c r="P55" s="118">
        <f>IFERROR(__xludf.DUMMYFUNCTION("""COMPUTED_VALUE"""),45173.0)</f>
        <v>45173</v>
      </c>
      <c r="Q55" s="208"/>
    </row>
    <row r="56">
      <c r="A56" s="73"/>
      <c r="B56" s="209" t="str">
        <f>IFERROR(__xludf.DUMMYFUNCTION("""COMPUTED_VALUE"""),"Pré-Vendas (Prospecção)")</f>
        <v>Pré-Vendas (Prospecção)</v>
      </c>
      <c r="C56" s="119" t="str">
        <f>IFERROR(__xludf.DUMMYFUNCTION("""COMPUTED_VALUE"""),"Como seu lider pode te ajudar a ter sucesso?")</f>
        <v>Como seu lider pode te ajudar a ter sucesso?</v>
      </c>
      <c r="D56" s="104" t="str">
        <f>IFERROR(__xludf.DUMMYFUNCTION("""COMPUTED_VALUE"""),"Marcelo Baratella")</f>
        <v>Marcelo Baratella</v>
      </c>
      <c r="E56" s="208" t="str">
        <f>IFERROR(__xludf.DUMMYFUNCTION("""COMPUTED_VALUE"""),"CEO e Fundador")</f>
        <v>CEO e Fundador</v>
      </c>
      <c r="F56" s="208" t="str">
        <f>IFERROR(__xludf.DUMMYFUNCTION("""COMPUTED_VALUE"""),"MB SOLUTION SELLING")</f>
        <v>MB SOLUTION SELLING</v>
      </c>
      <c r="G56" s="217" t="str">
        <f>IFERROR(__xludf.DUMMYFUNCTION("""COMPUTED_VALUE"""),"https://www.linkedin.com/in/marcelobaratella/")</f>
        <v>https://www.linkedin.com/in/marcelobaratella/</v>
      </c>
      <c r="H56" s="208" t="str">
        <f>IFERROR(__xludf.DUMMYFUNCTION("""COMPUTED_VALUE"""),"Relacionamento Interpessoal")</f>
        <v>Relacionamento Interpessoal</v>
      </c>
      <c r="I56" s="208" t="str">
        <f>IFERROR(__xludf.DUMMYFUNCTION("""COMPUTED_VALUE"""),"Liderança e Influência")</f>
        <v>Liderança e Influência</v>
      </c>
      <c r="J56" s="208" t="str">
        <f>IFERROR(__xludf.DUMMYFUNCTION("""COMPUTED_VALUE"""),"Mentoria e Desenvolvimento de Talentos")</f>
        <v>Mentoria e Desenvolvimento de Talentos</v>
      </c>
      <c r="K56" s="128" t="str">
        <f>IFERROR(__xludf.DUMMYFUNCTION("""COMPUTED_VALUE"""),"https://universidade.pipelovers.net/m/lessons/como-seu-lider-pode-te-ajudar-a-ter-sucesso1769552019399?classId=3427")</f>
        <v>https://universidade.pipelovers.net/m/lessons/como-seu-lider-pode-te-ajudar-a-ter-sucesso1769552019399?classId=3427</v>
      </c>
      <c r="L56" s="115" t="str">
        <f>IFERROR(__xludf.DUMMYFUNCTION("""COMPUTED_VALUE"""),"https://universidade.pipelovers.net/m/lessons/como-seu-lider-pode-te-ajudar-a-ter-sucesso1769552019399?classId=3427")</f>
        <v>https://universidade.pipelovers.net/m/lessons/como-seu-lider-pode-te-ajudar-a-ter-sucesso1769552019399?classId=3427</v>
      </c>
      <c r="M56" s="117">
        <f>IFERROR(__xludf.DUMMYFUNCTION("""COMPUTED_VALUE"""),4.36)</f>
        <v>4.36</v>
      </c>
      <c r="N56" s="110" t="str">
        <f>IFERROR(__xludf.DUMMYFUNCTION("""COMPUTED_VALUE"""),"45. PipeLovers💚SDRs: ""Como seu lider pode te ajudar a ter sucesso?"" com Marcelo Baratella (2023-05-31 08:04 GMT-3)")</f>
        <v>45. PipeLovers💚SDRs: "Como seu lider pode te ajudar a ter sucesso?" com Marcelo Baratella (2023-05-31 08:04 GMT-3)</v>
      </c>
      <c r="O56" s="208" t="str">
        <f>IFERROR(__xludf.DUMMYFUNCTION("""COMPUTED_VALUE"""),"")</f>
        <v/>
      </c>
      <c r="P56" s="118">
        <f>IFERROR(__xludf.DUMMYFUNCTION("""COMPUTED_VALUE"""),45180.0)</f>
        <v>45180</v>
      </c>
      <c r="Q56" s="208"/>
    </row>
    <row r="57">
      <c r="A57" s="73"/>
      <c r="B57" s="209" t="str">
        <f>IFERROR(__xludf.DUMMYFUNCTION("""COMPUTED_VALUE"""),"Pré-Vendas (Prospecção)")</f>
        <v>Pré-Vendas (Prospecção)</v>
      </c>
      <c r="C57" s="181" t="str">
        <f>IFERROR(__xludf.DUMMYFUNCTION("""COMPUTED_VALUE"""),"A importância do posicionamento de produto na prospecção")</f>
        <v>A importância do posicionamento de produto na prospecção</v>
      </c>
      <c r="D57" s="119" t="str">
        <f>IFERROR(__xludf.DUMMYFUNCTION("""COMPUTED_VALUE"""),"Thiago Lisboa")</f>
        <v>Thiago Lisboa</v>
      </c>
      <c r="E57" s="208" t="str">
        <f>IFERROR(__xludf.DUMMYFUNCTION("""COMPUTED_VALUE"""),"Founder")</f>
        <v>Founder</v>
      </c>
      <c r="F57" s="208" t="str">
        <f>IFERROR(__xludf.DUMMYFUNCTION("""COMPUTED_VALUE"""),"Supernov4")</f>
        <v>Supernov4</v>
      </c>
      <c r="G57" s="217" t="str">
        <f>IFERROR(__xludf.DUMMYFUNCTION("""COMPUTED_VALUE"""),"https://www.linkedin.com/in/thiagoalisboa/")</f>
        <v>https://www.linkedin.com/in/thiagoalisboa/</v>
      </c>
      <c r="H57" s="208" t="str">
        <f>IFERROR(__xludf.DUMMYFUNCTION("""COMPUTED_VALUE"""),"Visão de Negócios")</f>
        <v>Visão de Negócios</v>
      </c>
      <c r="I57" s="208" t="str">
        <f>IFERROR(__xludf.DUMMYFUNCTION("""COMPUTED_VALUE"""),"Conhecimento do Negócio e seu Produto")</f>
        <v>Conhecimento do Negócio e seu Produto</v>
      </c>
      <c r="J57" s="208" t="str">
        <f>IFERROR(__xludf.DUMMYFUNCTION("""COMPUTED_VALUE"""),"Posicionamento de Produto")</f>
        <v>Posicionamento de Produto</v>
      </c>
      <c r="K57" s="166" t="str">
        <f>IFERROR(__xludf.DUMMYFUNCTION("""COMPUTED_VALUE"""),"https://universidade.pipelovers.net/m/lessons/a-importancia-do-posicionamento-de-produto-na-prospeccao1769552019439?classId=3428")</f>
        <v>https://universidade.pipelovers.net/m/lessons/a-importancia-do-posicionamento-de-produto-na-prospeccao1769552019439?classId=3428</v>
      </c>
      <c r="L57" s="115" t="str">
        <f>IFERROR(__xludf.DUMMYFUNCTION("""COMPUTED_VALUE"""),"https://universidade.pipelovers.net/m/lessons/a-importancia-do-posicionamento-de-produto-na-prospeccao1769552019439?classId=3428")</f>
        <v>https://universidade.pipelovers.net/m/lessons/a-importancia-do-posicionamento-de-produto-na-prospeccao1769552019439?classId=3428</v>
      </c>
      <c r="M57" s="117">
        <f>IFERROR(__xludf.DUMMYFUNCTION("""COMPUTED_VALUE"""),1.0)</f>
        <v>1</v>
      </c>
      <c r="N57" s="110" t="str">
        <f>IFERROR(__xludf.DUMMYFUNCTION("""COMPUTED_VALUE"""),"46. PipeLovers💚SDRs: ""A importância do posicionamento de produto na prospecção"" com Thiago Lisboa da S (2023-06-07 08:05 GMT-3)")</f>
        <v>46. PipeLovers💚SDRs: "A importância do posicionamento de produto na prospecção" com Thiago Lisboa da S (2023-06-07 08:05 GMT-3)</v>
      </c>
      <c r="O57" s="208" t="str">
        <f>IFERROR(__xludf.DUMMYFUNCTION("""COMPUTED_VALUE"""),"")</f>
        <v/>
      </c>
      <c r="P57" s="118">
        <f>IFERROR(__xludf.DUMMYFUNCTION("""COMPUTED_VALUE"""),45187.0)</f>
        <v>45187</v>
      </c>
      <c r="Q57" s="208"/>
    </row>
    <row r="58">
      <c r="A58" s="73"/>
      <c r="B58" s="209" t="str">
        <f>IFERROR(__xludf.DUMMYFUNCTION("""COMPUTED_VALUE"""),"Pré-Vendas (Prospecção)")</f>
        <v>Pré-Vendas (Prospecção)</v>
      </c>
      <c r="C58" s="104" t="str">
        <f>IFERROR(__xludf.DUMMYFUNCTION("""COMPUTED_VALUE"""),"Como ser mais produtivo em pré vendas")</f>
        <v>Como ser mais produtivo em pré vendas</v>
      </c>
      <c r="D58" s="104" t="str">
        <f>IFERROR(__xludf.DUMMYFUNCTION("""COMPUTED_VALUE"""),"Laura Freitas")</f>
        <v>Laura Freitas</v>
      </c>
      <c r="E58" s="218" t="str">
        <f>IFERROR(__xludf.DUMMYFUNCTION("""COMPUTED_VALUE"""),"Lead Generation Coordinator ")</f>
        <v>Lead Generation Coordinator </v>
      </c>
      <c r="F58" s="218" t="str">
        <f>IFERROR(__xludf.DUMMYFUNCTION("""COMPUTED_VALUE"""),"ília ")</f>
        <v>ília </v>
      </c>
      <c r="G58" s="219" t="str">
        <f>IFERROR(__xludf.DUMMYFUNCTION("""COMPUTED_VALUE"""),"https://www.linkedin.com/in/laura-freitas1/")</f>
        <v>https://www.linkedin.com/in/laura-freitas1/</v>
      </c>
      <c r="H58" s="218" t="str">
        <f>IFERROR(__xludf.DUMMYFUNCTION("""COMPUTED_VALUE"""),"Autodesenvolvimento")</f>
        <v>Autodesenvolvimento</v>
      </c>
      <c r="I58" s="218" t="str">
        <f>IFERROR(__xludf.DUMMYFUNCTION("""COMPUTED_VALUE"""),"Gestão do Tempo e de Informação")</f>
        <v>Gestão do Tempo e de Informação</v>
      </c>
      <c r="J58" s="218" t="str">
        <f>IFERROR(__xludf.DUMMYFUNCTION("""COMPUTED_VALUE"""),"Priorização de Atividades")</f>
        <v>Priorização de Atividades</v>
      </c>
      <c r="K58" s="114" t="str">
        <f>IFERROR(__xludf.DUMMYFUNCTION("""COMPUTED_VALUE"""),"https://universidade.pipelovers.net/m/lessons/como-ser-mais-produtivo-em-pre-vendas1769552019505?classId=3429")</f>
        <v>https://universidade.pipelovers.net/m/lessons/como-ser-mais-produtivo-em-pre-vendas1769552019505?classId=3429</v>
      </c>
      <c r="L58" s="115" t="str">
        <f>IFERROR(__xludf.DUMMYFUNCTION("""COMPUTED_VALUE"""),"https://universidade.pipelovers.net/m/lessons/como-ser-mais-produtivo-em-pre-vendas1769552019505?classId=3429")</f>
        <v>https://universidade.pipelovers.net/m/lessons/como-ser-mais-produtivo-em-pre-vendas1769552019505?classId=3429</v>
      </c>
      <c r="M58" s="117">
        <f>IFERROR(__xludf.DUMMYFUNCTION("""COMPUTED_VALUE"""),4.0)</f>
        <v>4</v>
      </c>
      <c r="N58" s="110" t="str">
        <f>IFERROR(__xludf.DUMMYFUNCTION("""COMPUTED_VALUE"""),"47. PipeLovers💚SDRs: ""Como ser mais produtivo em pré vendas"" com Laura Freitas da Ília Digital (2023-06-14 08:05 GMT-3)")</f>
        <v>47. PipeLovers💚SDRs: "Como ser mais produtivo em pré vendas" com Laura Freitas da Ília Digital (2023-06-14 08:05 GMT-3)</v>
      </c>
      <c r="O58" s="218" t="str">
        <f>IFERROR(__xludf.DUMMYFUNCTION("""COMPUTED_VALUE"""),"")</f>
        <v/>
      </c>
      <c r="P58" s="118">
        <f>IFERROR(__xludf.DUMMYFUNCTION("""COMPUTED_VALUE"""),45194.0)</f>
        <v>45194</v>
      </c>
      <c r="Q58" s="218"/>
    </row>
    <row r="59">
      <c r="A59" s="73"/>
      <c r="B59" s="209" t="str">
        <f>IFERROR(__xludf.DUMMYFUNCTION("""COMPUTED_VALUE"""),"Pré-Vendas (Prospecção)")</f>
        <v>Pré-Vendas (Prospecção)</v>
      </c>
      <c r="C59" s="145" t="str">
        <f>IFERROR(__xludf.DUMMYFUNCTION("""COMPUTED_VALUE"""),"Operação de Pré-Vendas como motor de crescimento de Startups")</f>
        <v>Operação de Pré-Vendas como motor de crescimento de Startups</v>
      </c>
      <c r="D59" s="119" t="str">
        <f>IFERROR(__xludf.DUMMYFUNCTION("""COMPUTED_VALUE"""),"Angela Garbin")</f>
        <v>Angela Garbin</v>
      </c>
      <c r="E59" s="218" t="str">
        <f>IFERROR(__xludf.DUMMYFUNCTION("""COMPUTED_VALUE"""),"Fundadora")</f>
        <v>Fundadora</v>
      </c>
      <c r="F59" s="218" t="str">
        <f>IFERROR(__xludf.DUMMYFUNCTION("""COMPUTED_VALUE"""),"ACGarbin")</f>
        <v>ACGarbin</v>
      </c>
      <c r="G59" s="219" t="str">
        <f>IFERROR(__xludf.DUMMYFUNCTION("""COMPUTED_VALUE"""),"https://www.linkedin.com/in/angelagarbin/")</f>
        <v>https://www.linkedin.com/in/angelagarbin/</v>
      </c>
      <c r="H59" s="218" t="str">
        <f>IFERROR(__xludf.DUMMYFUNCTION("""COMPUTED_VALUE"""),"Conhecimento Técnico")</f>
        <v>Conhecimento Técnico</v>
      </c>
      <c r="I59" s="218" t="str">
        <f>IFERROR(__xludf.DUMMYFUNCTION("""COMPUTED_VALUE"""),"Gestão de Vendas")</f>
        <v>Gestão de Vendas</v>
      </c>
      <c r="J59" s="218" t="str">
        <f>IFERROR(__xludf.DUMMYFUNCTION("""COMPUTED_VALUE"""),"Planejamento Comercial")</f>
        <v>Planejamento Comercial</v>
      </c>
      <c r="K59" s="166" t="str">
        <f>IFERROR(__xludf.DUMMYFUNCTION("""COMPUTED_VALUE"""),"https://universidade.pipelovers.net/m/lessons/operacao-de-pre-vendas-como-motor-de-crescimento-de-startups1769552019468?classId=3435")</f>
        <v>https://universidade.pipelovers.net/m/lessons/operacao-de-pre-vendas-como-motor-de-crescimento-de-startups1769552019468?classId=3435</v>
      </c>
      <c r="L59" s="115" t="str">
        <f>IFERROR(__xludf.DUMMYFUNCTION("""COMPUTED_VALUE"""),"https://universidade.pipelovers.net/m/lessons/operacao-de-pre-vendas-como-motor-de-crescimento-de-startups1769552019468?classId=3435")</f>
        <v>https://universidade.pipelovers.net/m/lessons/operacao-de-pre-vendas-como-motor-de-crescimento-de-startups1769552019468?classId=3435</v>
      </c>
      <c r="M59" s="117">
        <f>IFERROR(__xludf.DUMMYFUNCTION("""COMPUTED_VALUE"""),1.0)</f>
        <v>1</v>
      </c>
      <c r="N59" s="110" t="str">
        <f>IFERROR(__xludf.DUMMYFUNCTION("""COMPUTED_VALUE"""),"48. PipeLovers💚SDRs: ""Operação de Pré-Vendas como motor de crescimento de Startups"" com Angela Garbin (2023-06-21 08:05 GMT-3)")</f>
        <v>48. PipeLovers💚SDRs: "Operação de Pré-Vendas como motor de crescimento de Startups" com Angela Garbin (2023-06-21 08:05 GMT-3)</v>
      </c>
      <c r="O59" s="208" t="str">
        <f>IFERROR(__xludf.DUMMYFUNCTION("""COMPUTED_VALUE"""),"")</f>
        <v/>
      </c>
      <c r="P59" s="118">
        <f>IFERROR(__xludf.DUMMYFUNCTION("""COMPUTED_VALUE"""),45201.0)</f>
        <v>45201</v>
      </c>
      <c r="Q59" s="208"/>
    </row>
    <row r="60">
      <c r="A60" s="73"/>
      <c r="B60" s="209" t="str">
        <f>IFERROR(__xludf.DUMMYFUNCTION("""COMPUTED_VALUE"""),"Pré-Vendas (Prospecção)")</f>
        <v>Pré-Vendas (Prospecção)</v>
      </c>
      <c r="C60" s="157" t="str">
        <f>IFERROR(__xludf.DUMMYFUNCTION("""COMPUTED_VALUE"""),"Como ser um ""influenciador corporativo"" nas redes sociais")</f>
        <v>Como ser um "influenciador corporativo" nas redes sociais</v>
      </c>
      <c r="D60" s="104" t="str">
        <f>IFERROR(__xludf.DUMMYFUNCTION("""COMPUTED_VALUE"""),"Lucas Gomes")</f>
        <v>Lucas Gomes</v>
      </c>
      <c r="E60" s="218" t="str">
        <f>IFERROR(__xludf.DUMMYFUNCTION("""COMPUTED_VALUE"""),"CEO ")</f>
        <v>CEO </v>
      </c>
      <c r="F60" s="218" t="str">
        <f>IFERROR(__xludf.DUMMYFUNCTION("""COMPUTED_VALUE"""),"OndaSkim")</f>
        <v>OndaSkim</v>
      </c>
      <c r="G60" s="219" t="str">
        <f>IFERROR(__xludf.DUMMYFUNCTION("""COMPUTED_VALUE"""),"https://www.linkedin.com/in/dronda/")</f>
        <v>https://www.linkedin.com/in/dronda/</v>
      </c>
      <c r="H60" s="218" t="str">
        <f>IFERROR(__xludf.DUMMYFUNCTION("""COMPUTED_VALUE"""),"Relacionamento Interpessoal")</f>
        <v>Relacionamento Interpessoal</v>
      </c>
      <c r="I60" s="218" t="str">
        <f>IFERROR(__xludf.DUMMYFUNCTION("""COMPUTED_VALUE"""),"Liderança e Influência")</f>
        <v>Liderança e Influência</v>
      </c>
      <c r="J60" s="218" t="str">
        <f>IFERROR(__xludf.DUMMYFUNCTION("""COMPUTED_VALUE"""),"Credibilidade e Reputação")</f>
        <v>Credibilidade e Reputação</v>
      </c>
      <c r="K60" s="166" t="str">
        <f>IFERROR(__xludf.DUMMYFUNCTION("""COMPUTED_VALUE"""),"https://universidade.pipelovers.net/m/lessons/como-ser-um-influenciador-corporativo-nas-redes-sociais1769552019545?classId=3434")</f>
        <v>https://universidade.pipelovers.net/m/lessons/como-ser-um-influenciador-corporativo-nas-redes-sociais1769552019545?classId=3434</v>
      </c>
      <c r="L60" s="115" t="str">
        <f>IFERROR(__xludf.DUMMYFUNCTION("""COMPUTED_VALUE"""),"https://universidade.pipelovers.net/m/lessons/como-ser-um-influenciador-corporativo-nas-redes-sociais1769552019545?classId=3434")</f>
        <v>https://universidade.pipelovers.net/m/lessons/como-ser-um-influenciador-corporativo-nas-redes-sociais1769552019545?classId=3434</v>
      </c>
      <c r="M60" s="117">
        <f>IFERROR(__xludf.DUMMYFUNCTION("""COMPUTED_VALUE"""),3.64)</f>
        <v>3.64</v>
      </c>
      <c r="N60" s="110" t="str">
        <f>IFERROR(__xludf.DUMMYFUNCTION("""COMPUTED_VALUE"""),"49. PipeLovers💚SDRs: ""Como ser um ""influenciador corporativo"" nas redes sociais"" com Lucas Gomes  (2023-06-28 08:04 GMT-3)")</f>
        <v>49. PipeLovers💚SDRs: "Como ser um "influenciador corporativo" nas redes sociais" com Lucas Gomes  (2023-06-28 08:04 GMT-3)</v>
      </c>
      <c r="O60" s="218" t="str">
        <f>IFERROR(__xludf.DUMMYFUNCTION("""COMPUTED_VALUE"""),"")</f>
        <v/>
      </c>
      <c r="P60" s="118">
        <f>IFERROR(__xludf.DUMMYFUNCTION("""COMPUTED_VALUE"""),45208.0)</f>
        <v>45208</v>
      </c>
      <c r="Q60" s="218"/>
    </row>
    <row r="61">
      <c r="A61" s="73"/>
      <c r="B61" s="209" t="str">
        <f>IFERROR(__xludf.DUMMYFUNCTION("""COMPUTED_VALUE"""),"Pré-Vendas (Prospecção)")</f>
        <v>Pré-Vendas (Prospecção)</v>
      </c>
      <c r="C61" s="145" t="str">
        <f>IFERROR(__xludf.DUMMYFUNCTION("""COMPUTED_VALUE"""),"Aprendizados da ""Semana de Prospecção B2B""")</f>
        <v>Aprendizados da "Semana de Prospecção B2B"</v>
      </c>
      <c r="D61" s="119" t="str">
        <f>IFERROR(__xludf.DUMMYFUNCTION("""COMPUTED_VALUE"""),"Gustavo Gomes")</f>
        <v>Gustavo Gomes</v>
      </c>
      <c r="E61" s="218" t="str">
        <f>IFERROR(__xludf.DUMMYFUNCTION("""COMPUTED_VALUE"""),"Gerente de Vendas")</f>
        <v>Gerente de Vendas</v>
      </c>
      <c r="F61" s="218" t="str">
        <f>IFERROR(__xludf.DUMMYFUNCTION("""COMPUTED_VALUE"""),"Agendor")</f>
        <v>Agendor</v>
      </c>
      <c r="G61" s="219" t="str">
        <f>IFERROR(__xludf.DUMMYFUNCTION("""COMPUTED_VALUE"""),"https://www.linkedin.com/in/gustavo-gomes-sales/")</f>
        <v>https://www.linkedin.com/in/gustavo-gomes-sales/</v>
      </c>
      <c r="H61" s="218" t="str">
        <f>IFERROR(__xludf.DUMMYFUNCTION("""COMPUTED_VALUE"""),"Autodesenvolvimento")</f>
        <v>Autodesenvolvimento</v>
      </c>
      <c r="I61" s="218" t="str">
        <f>IFERROR(__xludf.DUMMYFUNCTION("""COMPUTED_VALUE"""),"Aprendizado Ativo")</f>
        <v>Aprendizado Ativo</v>
      </c>
      <c r="J61" s="218" t="str">
        <f>IFERROR(__xludf.DUMMYFUNCTION("""COMPUTED_VALUE"""),"Benchmarking")</f>
        <v>Benchmarking</v>
      </c>
      <c r="K61" s="166" t="str">
        <f>IFERROR(__xludf.DUMMYFUNCTION("""COMPUTED_VALUE"""),"https://universidade.pipelovers.net/m/lessons/aprendizados-da-semana-de-prospeccao-b2b1769552022786?classId=3436")</f>
        <v>https://universidade.pipelovers.net/m/lessons/aprendizados-da-semana-de-prospeccao-b2b1769552022786?classId=3436</v>
      </c>
      <c r="L61" s="115" t="str">
        <f>IFERROR(__xludf.DUMMYFUNCTION("""COMPUTED_VALUE"""),"https://universidade.pipelovers.net/m/lessons/aprendizados-da-semana-de-prospeccao-b2b1769552022786?classId=3436")</f>
        <v>https://universidade.pipelovers.net/m/lessons/aprendizados-da-semana-de-prospeccao-b2b1769552022786?classId=3436</v>
      </c>
      <c r="M61" s="117">
        <f>IFERROR(__xludf.DUMMYFUNCTION("""COMPUTED_VALUE"""),4.0)</f>
        <v>4</v>
      </c>
      <c r="N61" s="110" t="str">
        <f>IFERROR(__xludf.DUMMYFUNCTION("""COMPUTED_VALUE"""),"50. PipeLovers💚Pré-Vendas: ""Aprendizados da ""Semana de Prospecção B2B"" com Gustavo Gomes (2023-07-12 08:05 GMT-3)")</f>
        <v>50. PipeLovers💚Pré-Vendas: "Aprendizados da "Semana de Prospecção B2B" com Gustavo Gomes (2023-07-12 08:05 GMT-3)</v>
      </c>
      <c r="O61" s="218" t="str">
        <f>IFERROR(__xludf.DUMMYFUNCTION("""COMPUTED_VALUE"""),"")</f>
        <v/>
      </c>
      <c r="P61" s="118">
        <f>IFERROR(__xludf.DUMMYFUNCTION("""COMPUTED_VALUE"""),45215.0)</f>
        <v>45215</v>
      </c>
      <c r="Q61" s="218"/>
    </row>
    <row r="62">
      <c r="A62" s="73"/>
      <c r="B62" s="209" t="str">
        <f>IFERROR(__xludf.DUMMYFUNCTION("""COMPUTED_VALUE"""),"Pré-Vendas (Prospecção)")</f>
        <v>Pré-Vendas (Prospecção)</v>
      </c>
      <c r="C62" s="157" t="str">
        <f>IFERROR(__xludf.DUMMYFUNCTION("""COMPUTED_VALUE"""),"Framework de avaliação de ligações")</f>
        <v>Framework de avaliação de ligações</v>
      </c>
      <c r="D62" s="104" t="str">
        <f>IFERROR(__xludf.DUMMYFUNCTION("""COMPUTED_VALUE"""),"Matheus Gomes")</f>
        <v>Matheus Gomes</v>
      </c>
      <c r="E62" s="218" t="str">
        <f>IFERROR(__xludf.DUMMYFUNCTION("""COMPUTED_VALUE"""),"Enablement Specialist")</f>
        <v>Enablement Specialist</v>
      </c>
      <c r="F62" s="218" t="str">
        <f>IFERROR(__xludf.DUMMYFUNCTION("""COMPUTED_VALUE"""),"Nuvemshop")</f>
        <v>Nuvemshop</v>
      </c>
      <c r="G62" s="219" t="str">
        <f>IFERROR(__xludf.DUMMYFUNCTION("""COMPUTED_VALUE"""),"https://www.linkedin.com/in/matheus-gomes-dasilva/")</f>
        <v>https://www.linkedin.com/in/matheus-gomes-dasilva/</v>
      </c>
      <c r="H62" s="218" t="str">
        <f>IFERROR(__xludf.DUMMYFUNCTION("""COMPUTED_VALUE"""),"Conhecimento Técnico")</f>
        <v>Conhecimento Técnico</v>
      </c>
      <c r="I62" s="218" t="str">
        <f>IFERROR(__xludf.DUMMYFUNCTION("""COMPUTED_VALUE"""),"Gestão de Vendas")</f>
        <v>Gestão de Vendas</v>
      </c>
      <c r="J62" s="218" t="str">
        <f>IFERROR(__xludf.DUMMYFUNCTION("""COMPUTED_VALUE"""),"Rotinas e Rituais")</f>
        <v>Rotinas e Rituais</v>
      </c>
      <c r="K62" s="166" t="str">
        <f>IFERROR(__xludf.DUMMYFUNCTION("""COMPUTED_VALUE"""),"https://universidade.pipelovers.net/m/lessons/framework-de-avaliacao-de-ligacoes1769552022715?classId=3442")</f>
        <v>https://universidade.pipelovers.net/m/lessons/framework-de-avaliacao-de-ligacoes1769552022715?classId=3442</v>
      </c>
      <c r="L62" s="115" t="str">
        <f>IFERROR(__xludf.DUMMYFUNCTION("""COMPUTED_VALUE"""),"https://universidade.pipelovers.net/m/lessons/framework-de-avaliacao-de-ligacoes1769552022715?classId=3442")</f>
        <v>https://universidade.pipelovers.net/m/lessons/framework-de-avaliacao-de-ligacoes1769552022715?classId=3442</v>
      </c>
      <c r="M62" s="117">
        <f>IFERROR(__xludf.DUMMYFUNCTION("""COMPUTED_VALUE"""),4.21)</f>
        <v>4.21</v>
      </c>
      <c r="N62" s="110" t="str">
        <f>IFERROR(__xludf.DUMMYFUNCTION("""COMPUTED_VALUE"""),"51. PipeLovers💚Pré-Vendas: ""Framework de avaliação de ligações"" com Matheus Gomes da Nuvemshop (2023-07-19 08:05 GMT-3)")</f>
        <v>51. PipeLovers💚Pré-Vendas: "Framework de avaliação de ligações" com Matheus Gomes da Nuvemshop (2023-07-19 08:05 GMT-3)</v>
      </c>
      <c r="O62" s="218" t="str">
        <f>IFERROR(__xludf.DUMMYFUNCTION("""COMPUTED_VALUE"""),"")</f>
        <v/>
      </c>
      <c r="P62" s="118">
        <f>IFERROR(__xludf.DUMMYFUNCTION("""COMPUTED_VALUE"""),45222.0)</f>
        <v>45222</v>
      </c>
      <c r="Q62" s="218"/>
    </row>
    <row r="63">
      <c r="A63" s="73"/>
      <c r="B63" s="209" t="str">
        <f>IFERROR(__xludf.DUMMYFUNCTION("""COMPUTED_VALUE"""),"Pré-Vendas (Prospecção)")</f>
        <v>Pré-Vendas (Prospecção)</v>
      </c>
      <c r="C63" s="216" t="str">
        <f>IFERROR(__xludf.DUMMYFUNCTION("""COMPUTED_VALUE"""),"O papel do pré-vendedor em Account Based Marketing")</f>
        <v>O papel do pré-vendedor em Account Based Marketing</v>
      </c>
      <c r="D63" s="119" t="str">
        <f>IFERROR(__xludf.DUMMYFUNCTION("""COMPUTED_VALUE"""),"Amanda Feitosa")</f>
        <v>Amanda Feitosa</v>
      </c>
      <c r="E63" s="218" t="str">
        <f>IFERROR(__xludf.DUMMYFUNCTION("""COMPUTED_VALUE"""),"Especialista em ABM")</f>
        <v>Especialista em ABM</v>
      </c>
      <c r="F63" s="218" t="str">
        <f>IFERROR(__xludf.DUMMYFUNCTION("""COMPUTED_VALUE"""),"MaestroABM")</f>
        <v>MaestroABM</v>
      </c>
      <c r="G63" s="219" t="str">
        <f>IFERROR(__xludf.DUMMYFUNCTION("""COMPUTED_VALUE"""),"https://www.linkedin.com/in/amandafeitosa/")</f>
        <v>https://www.linkedin.com/in/amandafeitosa/</v>
      </c>
      <c r="H63" s="218" t="str">
        <f>IFERROR(__xludf.DUMMYFUNCTION("""COMPUTED_VALUE"""),"Conhecimento Técnico")</f>
        <v>Conhecimento Técnico</v>
      </c>
      <c r="I63" s="218" t="str">
        <f>IFERROR(__xludf.DUMMYFUNCTION("""COMPUTED_VALUE"""),"Técnicas de Vendas")</f>
        <v>Técnicas de Vendas</v>
      </c>
      <c r="J63" s="218" t="str">
        <f>IFERROR(__xludf.DUMMYFUNCTION("""COMPUTED_VALUE"""),"Abordagem e Prospecção")</f>
        <v>Abordagem e Prospecção</v>
      </c>
      <c r="K63" s="128" t="str">
        <f>IFERROR(__xludf.DUMMYFUNCTION("""COMPUTED_VALUE"""),"https://universidade.pipelovers.net/m/lessons/o-papel-do-pre-vendedor-em-account-based-marketing1769552022846?classId=3443")</f>
        <v>https://universidade.pipelovers.net/m/lessons/o-papel-do-pre-vendedor-em-account-based-marketing1769552022846?classId=3443</v>
      </c>
      <c r="L63" s="115" t="str">
        <f>IFERROR(__xludf.DUMMYFUNCTION("""COMPUTED_VALUE"""),"https://universidade.pipelovers.net/m/lessons/o-papel-do-pre-vendedor-em-account-based-marketing1769552022846?classId=3443")</f>
        <v>https://universidade.pipelovers.net/m/lessons/o-papel-do-pre-vendedor-em-account-based-marketing1769552022846?classId=3443</v>
      </c>
      <c r="M63" s="117">
        <f>IFERROR(__xludf.DUMMYFUNCTION("""COMPUTED_VALUE"""),4.0)</f>
        <v>4</v>
      </c>
      <c r="N63" s="110" t="str">
        <f>IFERROR(__xludf.DUMMYFUNCTION("""COMPUTED_VALUE""")," 52. PipeLovers💚SDRs: ""O papel do pré-vendedor em Account Based Marketing"" com Amanda Feitosa da Maestr (2023-07-26 08:05 GMT-3)")</f>
        <v> 52. PipeLovers💚SDRs: "O papel do pré-vendedor em Account Based Marketing" com Amanda Feitosa da Maestr (2023-07-26 08:05 GMT-3)</v>
      </c>
      <c r="O63" s="218" t="str">
        <f>IFERROR(__xludf.DUMMYFUNCTION("""COMPUTED_VALUE"""),"")</f>
        <v/>
      </c>
      <c r="P63" s="118">
        <f>IFERROR(__xludf.DUMMYFUNCTION("""COMPUTED_VALUE"""),45229.0)</f>
        <v>45229</v>
      </c>
      <c r="Q63" s="218"/>
    </row>
    <row r="64">
      <c r="A64" s="73"/>
      <c r="B64" s="209" t="str">
        <f>IFERROR(__xludf.DUMMYFUNCTION("""COMPUTED_VALUE"""),"Pré-Vendas (Prospecção)")</f>
        <v>Pré-Vendas (Prospecção)</v>
      </c>
      <c r="C64" s="157" t="str">
        <f>IFERROR(__xludf.DUMMYFUNCTION("""COMPUTED_VALUE"""),"Práticas de comunicação escrita efetiva")</f>
        <v>Práticas de comunicação escrita efetiva</v>
      </c>
      <c r="D64" s="104" t="str">
        <f>IFERROR(__xludf.DUMMYFUNCTION("""COMPUTED_VALUE"""),"Daniela Souza")</f>
        <v>Daniela Souza</v>
      </c>
      <c r="E64" s="218" t="str">
        <f>IFERROR(__xludf.DUMMYFUNCTION("""COMPUTED_VALUE"""),"Consultora de Comunicação")</f>
        <v>Consultora de Comunicação</v>
      </c>
      <c r="F64" s="218" t="str">
        <f>IFERROR(__xludf.DUMMYFUNCTION("""COMPUTED_VALUE"""),"PipeLovers")</f>
        <v>PipeLovers</v>
      </c>
      <c r="G64" s="219" t="str">
        <f>IFERROR(__xludf.DUMMYFUNCTION("""COMPUTED_VALUE"""),"https://www.linkedin.com/in/-danielasouza/")</f>
        <v>https://www.linkedin.com/in/-danielasouza/</v>
      </c>
      <c r="H64" s="218" t="str">
        <f>IFERROR(__xludf.DUMMYFUNCTION("""COMPUTED_VALUE"""),"Relacionamento Interpessoal")</f>
        <v>Relacionamento Interpessoal</v>
      </c>
      <c r="I64" s="218" t="str">
        <f>IFERROR(__xludf.DUMMYFUNCTION("""COMPUTED_VALUE"""),"Comunicação e Relacionamento")</f>
        <v>Comunicação e Relacionamento</v>
      </c>
      <c r="J64" s="218" t="str">
        <f>IFERROR(__xludf.DUMMYFUNCTION("""COMPUTED_VALUE"""),"Comunicação Virtual")</f>
        <v>Comunicação Virtual</v>
      </c>
      <c r="K64" s="166" t="str">
        <f>IFERROR(__xludf.DUMMYFUNCTION("""COMPUTED_VALUE"""),"https://universidade.pipelovers.net/m/lessons/praticas-de-comunicacao-escrita-efetiva1769552022917?classId=3444")</f>
        <v>https://universidade.pipelovers.net/m/lessons/praticas-de-comunicacao-escrita-efetiva1769552022917?classId=3444</v>
      </c>
      <c r="L64" s="115" t="str">
        <f>IFERROR(__xludf.DUMMYFUNCTION("""COMPUTED_VALUE"""),"https://universidade.pipelovers.net/m/lessons/praticas-de-comunicacao-escrita-efetiva1769552022917?classId=3444")</f>
        <v>https://universidade.pipelovers.net/m/lessons/praticas-de-comunicacao-escrita-efetiva1769552022917?classId=3444</v>
      </c>
      <c r="M64" s="117">
        <f>IFERROR(__xludf.DUMMYFUNCTION("""COMPUTED_VALUE"""),1.0)</f>
        <v>1</v>
      </c>
      <c r="N64" s="110" t="str">
        <f>IFERROR(__xludf.DUMMYFUNCTION("""COMPUTED_VALUE"""),"53. PipeLovers💚Pré-Vendas: ""Práticas de comunicação escrita efetiva"" com Daniela Souza (2023-08-02 08:04 GMT-3)")</f>
        <v>53. PipeLovers💚Pré-Vendas: "Práticas de comunicação escrita efetiva" com Daniela Souza (2023-08-02 08:04 GMT-3)</v>
      </c>
      <c r="O64" s="218" t="str">
        <f>IFERROR(__xludf.DUMMYFUNCTION("""COMPUTED_VALUE"""),"")</f>
        <v/>
      </c>
      <c r="P64" s="118">
        <f>IFERROR(__xludf.DUMMYFUNCTION("""COMPUTED_VALUE"""),45236.0)</f>
        <v>45236</v>
      </c>
      <c r="Q64" s="218"/>
    </row>
    <row r="65">
      <c r="A65" s="73"/>
      <c r="B65" s="209" t="str">
        <f>IFERROR(__xludf.DUMMYFUNCTION("""COMPUTED_VALUE"""),"Pré-Vendas (Prospecção)")</f>
        <v>Pré-Vendas (Prospecção)</v>
      </c>
      <c r="C65" s="104" t="str">
        <f>IFERROR(__xludf.DUMMYFUNCTION("""COMPUTED_VALUE"""),"O papel de um mentor no desenvolvimento em vendas")</f>
        <v>O papel de um mentor no desenvolvimento em vendas</v>
      </c>
      <c r="D65" s="119" t="str">
        <f>IFERROR(__xludf.DUMMYFUNCTION("""COMPUTED_VALUE"""),"Evelyn Dias")</f>
        <v>Evelyn Dias</v>
      </c>
      <c r="E65" s="151" t="str">
        <f>IFERROR(__xludf.DUMMYFUNCTION("""COMPUTED_VALUE"""),"Sales Development Manager")</f>
        <v>Sales Development Manager</v>
      </c>
      <c r="F65" s="151" t="str">
        <f>IFERROR(__xludf.DUMMYFUNCTION("""COMPUTED_VALUE"""),"Linkedin")</f>
        <v>Linkedin</v>
      </c>
      <c r="G65" s="207" t="str">
        <f>IFERROR(__xludf.DUMMYFUNCTION("""COMPUTED_VALUE"""),"https://www.linkedin.com/in/evdias/")</f>
        <v>https://www.linkedin.com/in/evdias/</v>
      </c>
      <c r="H65" s="151" t="str">
        <f>IFERROR(__xludf.DUMMYFUNCTION("""COMPUTED_VALUE"""),"Relacionamento Interpessoal")</f>
        <v>Relacionamento Interpessoal</v>
      </c>
      <c r="I65" s="151" t="str">
        <f>IFERROR(__xludf.DUMMYFUNCTION("""COMPUTED_VALUE"""),"Liderança e Influência")</f>
        <v>Liderança e Influência</v>
      </c>
      <c r="J65" s="151" t="str">
        <f>IFERROR(__xludf.DUMMYFUNCTION("""COMPUTED_VALUE"""),"Mentoria e Desenvolvimento de Talentos")</f>
        <v>Mentoria e Desenvolvimento de Talentos</v>
      </c>
      <c r="K65" s="114" t="str">
        <f>IFERROR(__xludf.DUMMYFUNCTION("""COMPUTED_VALUE"""),"https://universidade.pipelovers.net/m/lessons/o-papel-de-um-mentor-no-desenvolvimento-em-vendas1769552022982?classId=3447")</f>
        <v>https://universidade.pipelovers.net/m/lessons/o-papel-de-um-mentor-no-desenvolvimento-em-vendas1769552022982?classId=3447</v>
      </c>
      <c r="L65" s="115" t="str">
        <f>IFERROR(__xludf.DUMMYFUNCTION("""COMPUTED_VALUE"""),"https://universidade.pipelovers.net/m/lessons/o-papel-de-um-mentor-no-desenvolvimento-em-vendas1769552022982?classId=3447")</f>
        <v>https://universidade.pipelovers.net/m/lessons/o-papel-de-um-mentor-no-desenvolvimento-em-vendas1769552022982?classId=3447</v>
      </c>
      <c r="M65" s="150">
        <f>IFERROR(__xludf.DUMMYFUNCTION("""COMPUTED_VALUE"""),4.64)</f>
        <v>4.64</v>
      </c>
      <c r="N65" s="151" t="str">
        <f>IFERROR(__xludf.DUMMYFUNCTION("""COMPUTED_VALUE"""),"54. PipeLovers💚Pré-Vendas: ""O papel de um mentor no desenvolvimento em vendas"" com Evelyn Dias do Link (2023-08-09 08:04 GMT-3)")</f>
        <v>54. PipeLovers💚Pré-Vendas: "O papel de um mentor no desenvolvimento em vendas" com Evelyn Dias do Link (2023-08-09 08:04 GMT-3)</v>
      </c>
      <c r="O65" s="151" t="str">
        <f>IFERROR(__xludf.DUMMYFUNCTION("""COMPUTED_VALUE"""),"")</f>
        <v/>
      </c>
      <c r="P65" s="118">
        <f>IFERROR(__xludf.DUMMYFUNCTION("""COMPUTED_VALUE"""),45243.0)</f>
        <v>45243</v>
      </c>
      <c r="Q65" s="151"/>
    </row>
    <row r="66">
      <c r="A66" s="73"/>
      <c r="B66" s="209" t="str">
        <f>IFERROR(__xludf.DUMMYFUNCTION("""COMPUTED_VALUE"""),"Pré-Vendas (Prospecção)")</f>
        <v>Pré-Vendas (Prospecção)</v>
      </c>
      <c r="C66" s="119" t="str">
        <f>IFERROR(__xludf.DUMMYFUNCTION("""COMPUTED_VALUE"""),"Indicação como canal de geração de oportunidades")</f>
        <v>Indicação como canal de geração de oportunidades</v>
      </c>
      <c r="D66" s="104" t="str">
        <f>IFERROR(__xludf.DUMMYFUNCTION("""COMPUTED_VALUE"""),"Rodrigo Noll")</f>
        <v>Rodrigo Noll</v>
      </c>
      <c r="E66" s="228" t="str">
        <f>IFERROR(__xludf.DUMMYFUNCTION("""COMPUTED_VALUE"""),"Fundador")</f>
        <v>Fundador</v>
      </c>
      <c r="F66" s="228" t="str">
        <f>IFERROR(__xludf.DUMMYFUNCTION("""COMPUTED_VALUE"""),"Base Viral")</f>
        <v>Base Viral</v>
      </c>
      <c r="G66" s="229" t="str">
        <f>IFERROR(__xludf.DUMMYFUNCTION("""COMPUTED_VALUE"""),"https://www.linkedin.com/in/nollrodrigo/")</f>
        <v>https://www.linkedin.com/in/nollrodrigo/</v>
      </c>
      <c r="H66" s="228" t="str">
        <f>IFERROR(__xludf.DUMMYFUNCTION("""COMPUTED_VALUE"""),"Visão de Negócios")</f>
        <v>Visão de Negócios</v>
      </c>
      <c r="I66" s="228" t="str">
        <f>IFERROR(__xludf.DUMMYFUNCTION("""COMPUTED_VALUE"""),"Conhecimento de Produto e Negócio")</f>
        <v>Conhecimento de Produto e Negócio</v>
      </c>
      <c r="J66" s="228" t="str">
        <f>IFERROR(__xludf.DUMMYFUNCTION("""COMPUTED_VALUE"""),"Ciclo de Vida de Produto")</f>
        <v>Ciclo de Vida de Produto</v>
      </c>
      <c r="K66" s="128" t="str">
        <f>IFERROR(__xludf.DUMMYFUNCTION("""COMPUTED_VALUE"""),"https://universidade.pipelovers.net/m/lessons/indicacao-como-canal-de-geracao-de-oportunidades1769552023043?classId=3448")</f>
        <v>https://universidade.pipelovers.net/m/lessons/indicacao-como-canal-de-geracao-de-oportunidades1769552023043?classId=3448</v>
      </c>
      <c r="L66" s="115" t="str">
        <f>IFERROR(__xludf.DUMMYFUNCTION("""COMPUTED_VALUE"""),"https://universidade.pipelovers.net/m/lessons/indicacao-como-canal-de-geracao-de-oportunidades1769552023043?classId=3448")</f>
        <v>https://universidade.pipelovers.net/m/lessons/indicacao-como-canal-de-geracao-de-oportunidades1769552023043?classId=3448</v>
      </c>
      <c r="M66" s="150">
        <f>IFERROR(__xludf.DUMMYFUNCTION("""COMPUTED_VALUE"""),4.86)</f>
        <v>4.86</v>
      </c>
      <c r="N66" s="151" t="str">
        <f>IFERROR(__xludf.DUMMYFUNCTION("""COMPUTED_VALUE"""),"55. PipeLovers💚Pré-Vendas: ""Indicação como canal de geração de oportunidades"" com Rodrigo Noll (2023-08-16 08:05 GMT-3)")</f>
        <v>55. PipeLovers💚Pré-Vendas: "Indicação como canal de geração de oportunidades" com Rodrigo Noll (2023-08-16 08:05 GMT-3)</v>
      </c>
      <c r="O66" s="228" t="str">
        <f>IFERROR(__xludf.DUMMYFUNCTION("""COMPUTED_VALUE"""),"")</f>
        <v/>
      </c>
      <c r="P66" s="118">
        <f>IFERROR(__xludf.DUMMYFUNCTION("""COMPUTED_VALUE"""),45250.0)</f>
        <v>45250</v>
      </c>
      <c r="Q66" s="228"/>
    </row>
    <row r="67">
      <c r="A67" s="73"/>
      <c r="B67" s="209" t="str">
        <f>IFERROR(__xludf.DUMMYFUNCTION("""COMPUTED_VALUE"""),"Pré-Vendas (Prospecção)")</f>
        <v>Pré-Vendas (Prospecção)</v>
      </c>
      <c r="C67" s="104" t="str">
        <f>IFERROR(__xludf.DUMMYFUNCTION("""COMPUTED_VALUE"""),"Prospectando a base de concorrentes")</f>
        <v>Prospectando a base de concorrentes</v>
      </c>
      <c r="D67" s="119" t="str">
        <f>IFERROR(__xludf.DUMMYFUNCTION("""COMPUTED_VALUE"""),"Giovanne Viana")</f>
        <v>Giovanne Viana</v>
      </c>
      <c r="E67" s="151" t="str">
        <f>IFERROR(__xludf.DUMMYFUNCTION("""COMPUTED_VALUE"""),"Coordenador de SDR")</f>
        <v>Coordenador de SDR</v>
      </c>
      <c r="F67" s="151" t="str">
        <f>IFERROR(__xludf.DUMMYFUNCTION("""COMPUTED_VALUE"""),"Vitacon")</f>
        <v>Vitacon</v>
      </c>
      <c r="G67" s="207" t="str">
        <f>IFERROR(__xludf.DUMMYFUNCTION("""COMPUTED_VALUE"""),"https://www.linkedin.com/in/giovanneviana/")</f>
        <v>https://www.linkedin.com/in/giovanneviana/</v>
      </c>
      <c r="H67" s="151" t="str">
        <f>IFERROR(__xludf.DUMMYFUNCTION("""COMPUTED_VALUE"""),"Conhecimento Técnico")</f>
        <v>Conhecimento Técnico</v>
      </c>
      <c r="I67" s="151" t="str">
        <f>IFERROR(__xludf.DUMMYFUNCTION("""COMPUTED_VALUE"""),"Técnicas de Vendas")</f>
        <v>Técnicas de Vendas</v>
      </c>
      <c r="J67" s="151" t="str">
        <f>IFERROR(__xludf.DUMMYFUNCTION("""COMPUTED_VALUE"""),"Abordagem e Prospecção")</f>
        <v>Abordagem e Prospecção</v>
      </c>
      <c r="K67" s="114" t="str">
        <f>IFERROR(__xludf.DUMMYFUNCTION("""COMPUTED_VALUE"""),"https://universidade.pipelovers.net/m/lessons/prospectando-a-base-de-concorrentes1769552023105?classId=3449")</f>
        <v>https://universidade.pipelovers.net/m/lessons/prospectando-a-base-de-concorrentes1769552023105?classId=3449</v>
      </c>
      <c r="L67" s="115" t="str">
        <f>IFERROR(__xludf.DUMMYFUNCTION("""COMPUTED_VALUE"""),"https://universidade.pipelovers.net/m/lessons/prospectando-a-base-de-concorrentes1769552023105?classId=3449")</f>
        <v>https://universidade.pipelovers.net/m/lessons/prospectando-a-base-de-concorrentes1769552023105?classId=3449</v>
      </c>
      <c r="M67" s="150">
        <f>IFERROR(__xludf.DUMMYFUNCTION("""COMPUTED_VALUE"""),3.79)</f>
        <v>3.79</v>
      </c>
      <c r="N67" s="151" t="str">
        <f>IFERROR(__xludf.DUMMYFUNCTION("""COMPUTED_VALUE"""),"56. PipeLovers💚Pré-Vendas: ""Prospectando a base de concorrentes"" com Giovanne Viana da Vitacon (2023-08-23 08:04 GMT-3)")</f>
        <v>56. PipeLovers💚Pré-Vendas: "Prospectando a base de concorrentes" com Giovanne Viana da Vitacon (2023-08-23 08:04 GMT-3)</v>
      </c>
      <c r="O67" s="151" t="str">
        <f>IFERROR(__xludf.DUMMYFUNCTION("""COMPUTED_VALUE"""),"")</f>
        <v/>
      </c>
      <c r="P67" s="118">
        <f>IFERROR(__xludf.DUMMYFUNCTION("""COMPUTED_VALUE"""),45257.0)</f>
        <v>45257</v>
      </c>
      <c r="Q67" s="151"/>
    </row>
    <row r="68">
      <c r="A68" s="73"/>
      <c r="B68" s="209" t="str">
        <f>IFERROR(__xludf.DUMMYFUNCTION("""COMPUTED_VALUE"""),"Pré-Vendas (Prospecção)")</f>
        <v>Pré-Vendas (Prospecção)</v>
      </c>
      <c r="C68" s="157" t="str">
        <f>IFERROR(__xludf.DUMMYFUNCTION("""COMPUTED_VALUE"""),"Como montar uma rotina de sucesso e equilíbrio")</f>
        <v>Como montar uma rotina de sucesso e equilíbrio</v>
      </c>
      <c r="D68" s="104" t="str">
        <f>IFERROR(__xludf.DUMMYFUNCTION("""COMPUTED_VALUE"""),"Fabiane Kobayashi")</f>
        <v>Fabiane Kobayashi</v>
      </c>
      <c r="E68" s="228" t="str">
        <f>IFERROR(__xludf.DUMMYFUNCTION("""COMPUTED_VALUE"""),"Sales Coordinator")</f>
        <v>Sales Coordinator</v>
      </c>
      <c r="F68" s="228" t="str">
        <f>IFERROR(__xludf.DUMMYFUNCTION("""COMPUTED_VALUE"""),"BHub")</f>
        <v>BHub</v>
      </c>
      <c r="G68" s="229" t="str">
        <f>IFERROR(__xludf.DUMMYFUNCTION("""COMPUTED_VALUE"""),"https://www.linkedin.com/in/fabianekobayashi/")</f>
        <v>https://www.linkedin.com/in/fabianekobayashi/</v>
      </c>
      <c r="H68" s="228" t="str">
        <f>IFERROR(__xludf.DUMMYFUNCTION("""COMPUTED_VALUE"""),"Autodesenvolvimento")</f>
        <v>Autodesenvolvimento</v>
      </c>
      <c r="I68" s="228" t="str">
        <f>IFERROR(__xludf.DUMMYFUNCTION("""COMPUTED_VALUE"""),"Gestão de Tempo e da Informação")</f>
        <v>Gestão de Tempo e da Informação</v>
      </c>
      <c r="J68" s="228" t="str">
        <f>IFERROR(__xludf.DUMMYFUNCTION("""COMPUTED_VALUE"""),"Técnicas de Organização e Rotina")</f>
        <v>Técnicas de Organização e Rotina</v>
      </c>
      <c r="K68" s="166" t="str">
        <f>IFERROR(__xludf.DUMMYFUNCTION("""COMPUTED_VALUE"""),"https://universidade.pipelovers.net/m/lessons/como-montar-uma-rotina-de-sucesso-e-equilibrio1769552023178?classId=3450")</f>
        <v>https://universidade.pipelovers.net/m/lessons/como-montar-uma-rotina-de-sucesso-e-equilibrio1769552023178?classId=3450</v>
      </c>
      <c r="L68" s="115" t="str">
        <f>IFERROR(__xludf.DUMMYFUNCTION("""COMPUTED_VALUE"""),"https://universidade.pipelovers.net/m/lessons/como-montar-uma-rotina-de-sucesso-e-equilibrio1769552023178?classId=3450")</f>
        <v>https://universidade.pipelovers.net/m/lessons/como-montar-uma-rotina-de-sucesso-e-equilibrio1769552023178?classId=3450</v>
      </c>
      <c r="M68" s="150">
        <f>IFERROR(__xludf.DUMMYFUNCTION("""COMPUTED_VALUE"""),3.86)</f>
        <v>3.86</v>
      </c>
      <c r="N68" s="151" t="str">
        <f>IFERROR(__xludf.DUMMYFUNCTION("""COMPUTED_VALUE"""),"57. PipeLovers💚Pré-Vendas: ""Como montar uma rotina de sucesso e equilíbrio"" com Fabiane Kobayashi  (2023-08-30 08:04 GMT-3)")</f>
        <v>57. PipeLovers💚Pré-Vendas: "Como montar uma rotina de sucesso e equilíbrio" com Fabiane Kobayashi  (2023-08-30 08:04 GMT-3)</v>
      </c>
      <c r="O68" s="228" t="str">
        <f>IFERROR(__xludf.DUMMYFUNCTION("""COMPUTED_VALUE"""),"")</f>
        <v/>
      </c>
      <c r="P68" s="118">
        <f>IFERROR(__xludf.DUMMYFUNCTION("""COMPUTED_VALUE"""),45264.0)</f>
        <v>45264</v>
      </c>
      <c r="Q68" s="228"/>
    </row>
    <row r="69">
      <c r="A69" s="73"/>
      <c r="B69" s="209" t="str">
        <f>IFERROR(__xludf.DUMMYFUNCTION("""COMPUTED_VALUE"""),"Pré-Vendas (Prospecção)")</f>
        <v>Pré-Vendas (Prospecção)</v>
      </c>
      <c r="C69" s="145" t="str">
        <f>IFERROR(__xludf.DUMMYFUNCTION("""COMPUTED_VALUE"""),"Como a sazonalidade pode impactar seu ICP?")</f>
        <v>Como a sazonalidade pode impactar seu ICP?</v>
      </c>
      <c r="D69" s="119" t="str">
        <f>IFERROR(__xludf.DUMMYFUNCTION("""COMPUTED_VALUE"""),"Pamela Gottschalk")</f>
        <v>Pamela Gottschalk</v>
      </c>
      <c r="E69" s="151" t="str">
        <f>IFERROR(__xludf.DUMMYFUNCTION("""COMPUTED_VALUE"""),"Founder")</f>
        <v>Founder</v>
      </c>
      <c r="F69" s="151" t="str">
        <f>IFERROR(__xludf.DUMMYFUNCTION("""COMPUTED_VALUE"""),"Urano Management")</f>
        <v>Urano Management</v>
      </c>
      <c r="G69" s="207" t="str">
        <f>IFERROR(__xludf.DUMMYFUNCTION("""COMPUTED_VALUE"""),"https://www.linkedin.com/in/pamelamartins/")</f>
        <v>https://www.linkedin.com/in/pamelamartins/</v>
      </c>
      <c r="H69" s="151" t="str">
        <f>IFERROR(__xludf.DUMMYFUNCTION("""COMPUTED_VALUE"""),"Visão de Negócios")</f>
        <v>Visão de Negócios</v>
      </c>
      <c r="I69" s="151" t="str">
        <f>IFERROR(__xludf.DUMMYFUNCTION("""COMPUTED_VALUE"""),"Conhecimento de Produto e Negócio")</f>
        <v>Conhecimento de Produto e Negócio</v>
      </c>
      <c r="J69" s="151" t="str">
        <f>IFERROR(__xludf.DUMMYFUNCTION("""COMPUTED_VALUE"""),"ICP (Perfil de Cliente Ideal)")</f>
        <v>ICP (Perfil de Cliente Ideal)</v>
      </c>
      <c r="K69" s="166" t="str">
        <f>IFERROR(__xludf.DUMMYFUNCTION("""COMPUTED_VALUE"""),"https://universidade.pipelovers.net/m/lessons/como-a-sazonalidade-pode-impactar-seu-icp1769552026153?classId=3451")</f>
        <v>https://universidade.pipelovers.net/m/lessons/como-a-sazonalidade-pode-impactar-seu-icp1769552026153?classId=3451</v>
      </c>
      <c r="L69" s="115" t="str">
        <f>IFERROR(__xludf.DUMMYFUNCTION("""COMPUTED_VALUE"""),"https://universidade.pipelovers.net/m/lessons/como-a-sazonalidade-pode-impactar-seu-icp1769552026153?classId=3451")</f>
        <v>https://universidade.pipelovers.net/m/lessons/como-a-sazonalidade-pode-impactar-seu-icp1769552026153?classId=3451</v>
      </c>
      <c r="M69" s="150">
        <f>IFERROR(__xludf.DUMMYFUNCTION("""COMPUTED_VALUE"""),4.64)</f>
        <v>4.64</v>
      </c>
      <c r="N69" s="151" t="str">
        <f>IFERROR(__xludf.DUMMYFUNCTION("""COMPUTED_VALUE"""),"58. PipeLovers💚SDRs: ""Como a sazonalidade pode impactar seu ICP?"" com Pamela Gottschalk (2023-09-06 08:03 GMT-3)")</f>
        <v>58. PipeLovers💚SDRs: "Como a sazonalidade pode impactar seu ICP?" com Pamela Gottschalk (2023-09-06 08:03 GMT-3)</v>
      </c>
      <c r="O69" s="151" t="str">
        <f>IFERROR(__xludf.DUMMYFUNCTION("""COMPUTED_VALUE"""),"")</f>
        <v/>
      </c>
      <c r="P69" s="118">
        <f>IFERROR(__xludf.DUMMYFUNCTION("""COMPUTED_VALUE"""),45271.0)</f>
        <v>45271</v>
      </c>
      <c r="Q69" s="151"/>
    </row>
    <row r="70">
      <c r="A70" s="73"/>
      <c r="B70" s="209" t="str">
        <f>IFERROR(__xludf.DUMMYFUNCTION("""COMPUTED_VALUE"""),"Pré-Vendas (Prospecção)")</f>
        <v>Pré-Vendas (Prospecção)</v>
      </c>
      <c r="C70" s="157" t="str">
        <f>IFERROR(__xludf.DUMMYFUNCTION("""COMPUTED_VALUE"""),"Você está qualificando ou só fazendo agendamento?")</f>
        <v>Você está qualificando ou só fazendo agendamento?</v>
      </c>
      <c r="D70" s="104" t="str">
        <f>IFERROR(__xludf.DUMMYFUNCTION("""COMPUTED_VALUE"""),"Dhionas Roell")</f>
        <v>Dhionas Roell</v>
      </c>
      <c r="E70" s="228" t="str">
        <f>IFERROR(__xludf.DUMMYFUNCTION("""COMPUTED_VALUE"""),"Head of SDR")</f>
        <v>Head of SDR</v>
      </c>
      <c r="F70" s="228" t="str">
        <f>IFERROR(__xludf.DUMMYFUNCTION("""COMPUTED_VALUE"""),"Questor Sistemas")</f>
        <v>Questor Sistemas</v>
      </c>
      <c r="G70" s="229" t="str">
        <f>IFERROR(__xludf.DUMMYFUNCTION("""COMPUTED_VALUE"""),"https://www.linkedin.com/in/dhionas-milo-roell/")</f>
        <v>https://www.linkedin.com/in/dhionas-milo-roell/</v>
      </c>
      <c r="H70" s="228" t="str">
        <f>IFERROR(__xludf.DUMMYFUNCTION("""COMPUTED_VALUE"""),"Conhecimento Técnico")</f>
        <v>Conhecimento Técnico</v>
      </c>
      <c r="I70" s="228" t="str">
        <f>IFERROR(__xludf.DUMMYFUNCTION("""COMPUTED_VALUE"""),"Técnicas de Vendas")</f>
        <v>Técnicas de Vendas</v>
      </c>
      <c r="J70" s="228" t="str">
        <f>IFERROR(__xludf.DUMMYFUNCTION("""COMPUTED_VALUE"""),"Qualificação e Entendimento da Dor")</f>
        <v>Qualificação e Entendimento da Dor</v>
      </c>
      <c r="K70" s="166" t="str">
        <f>IFERROR(__xludf.DUMMYFUNCTION("""COMPUTED_VALUE"""),"https://universidade.pipelovers.net/m/lessons/voce-esta-qualificando-ou-so-fazendo-agendamento1769552026277?classId=3452")</f>
        <v>https://universidade.pipelovers.net/m/lessons/voce-esta-qualificando-ou-so-fazendo-agendamento1769552026277?classId=3452</v>
      </c>
      <c r="L70" s="115" t="str">
        <f>IFERROR(__xludf.DUMMYFUNCTION("""COMPUTED_VALUE"""),"https://universidade.pipelovers.net/m/lessons/voce-esta-qualificando-ou-so-fazendo-agendamento1769552026277?classId=3452")</f>
        <v>https://universidade.pipelovers.net/m/lessons/voce-esta-qualificando-ou-so-fazendo-agendamento1769552026277?classId=3452</v>
      </c>
      <c r="M70" s="150">
        <f>IFERROR(__xludf.DUMMYFUNCTION("""COMPUTED_VALUE"""),3.64)</f>
        <v>3.64</v>
      </c>
      <c r="N70" s="151" t="str">
        <f>IFERROR(__xludf.DUMMYFUNCTION("""COMPUTED_VALUE"""),"59. PipeLovers💚SDRs: ""Você está qualificando ou só fazendo agendamento?"" com Dhionas Roell (2023-09-13 08:04 GMT-3)")</f>
        <v>59. PipeLovers💚SDRs: "Você está qualificando ou só fazendo agendamento?" com Dhionas Roell (2023-09-13 08:04 GMT-3)</v>
      </c>
      <c r="O70" s="228" t="str">
        <f>IFERROR(__xludf.DUMMYFUNCTION("""COMPUTED_VALUE"""),"")</f>
        <v/>
      </c>
      <c r="P70" s="118">
        <f>IFERROR(__xludf.DUMMYFUNCTION("""COMPUTED_VALUE"""),45278.0)</f>
        <v>45278</v>
      </c>
      <c r="Q70" s="228"/>
    </row>
    <row r="71">
      <c r="A71" s="73"/>
      <c r="B71" s="209" t="str">
        <f>IFERROR(__xludf.DUMMYFUNCTION("""COMPUTED_VALUE"""),"Pré-Vendas (Prospecção)")</f>
        <v>Pré-Vendas (Prospecção)</v>
      </c>
      <c r="C71" s="145" t="str">
        <f>IFERROR(__xludf.DUMMYFUNCTION("""COMPUTED_VALUE"""),"Como lidar com a rejeição (dos clientes)?")</f>
        <v>Como lidar com a rejeição (dos clientes)?</v>
      </c>
      <c r="D71" s="119" t="str">
        <f>IFERROR(__xludf.DUMMYFUNCTION("""COMPUTED_VALUE"""),"Larissa Pereira")</f>
        <v>Larissa Pereira</v>
      </c>
      <c r="E71" s="151" t="str">
        <f>IFERROR(__xludf.DUMMYFUNCTION("""COMPUTED_VALUE"""),"Head of Sales")</f>
        <v>Head of Sales</v>
      </c>
      <c r="F71" s="151" t="str">
        <f>IFERROR(__xludf.DUMMYFUNCTION("""COMPUTED_VALUE"""),"VRental")</f>
        <v>VRental</v>
      </c>
      <c r="G71" s="207" t="str">
        <f>IFERROR(__xludf.DUMMYFUNCTION("""COMPUTED_VALUE"""),"https://www.linkedin.com/in/larissahelenapereira/")</f>
        <v>https://www.linkedin.com/in/larissahelenapereira/</v>
      </c>
      <c r="H71" s="151" t="str">
        <f>IFERROR(__xludf.DUMMYFUNCTION("""COMPUTED_VALUE"""),"Autodesenvolvimento")</f>
        <v>Autodesenvolvimento</v>
      </c>
      <c r="I71" s="151" t="str">
        <f>IFERROR(__xludf.DUMMYFUNCTION("""COMPUTED_VALUE"""),"Inteligência Emocional")</f>
        <v>Inteligência Emocional</v>
      </c>
      <c r="J71" s="151" t="str">
        <f>IFERROR(__xludf.DUMMYFUNCTION("""COMPUTED_VALUE"""),"Resiliência")</f>
        <v>Resiliência</v>
      </c>
      <c r="K71" s="128" t="str">
        <f>IFERROR(__xludf.DUMMYFUNCTION("""COMPUTED_VALUE"""),"https://universidade.pipelovers.net/aulas/como-lidar-com-a-rejeica0-dos-clientes-1775074436382")</f>
        <v>https://universidade.pipelovers.net/aulas/como-lidar-com-a-rejeica0-dos-clientes-1775074436382</v>
      </c>
      <c r="L71" s="115" t="str">
        <f>IFERROR(__xludf.DUMMYFUNCTION("""COMPUTED_VALUE"""),"https://universidade.pipelovers.net/aulas/como-lidar-com-a-rejeica0-dos-clientes-1775074436382")</f>
        <v>https://universidade.pipelovers.net/aulas/como-lidar-com-a-rejeica0-dos-clientes-1775074436382</v>
      </c>
      <c r="M71" s="150">
        <f>IFERROR(__xludf.DUMMYFUNCTION("""COMPUTED_VALUE"""),4.71)</f>
        <v>4.71</v>
      </c>
      <c r="N71" s="151" t="str">
        <f>IFERROR(__xludf.DUMMYFUNCTION("""COMPUTED_VALUE"""),"60. PipeLovers💚SDRs: ""Como lidar com a rejeição (dos clientes)?"" com Larissa Pereira (2023-09-20 08:04 GMT-3)")</f>
        <v>60. PipeLovers💚SDRs: "Como lidar com a rejeição (dos clientes)?" com Larissa Pereira (2023-09-20 08:04 GMT-3)</v>
      </c>
      <c r="O71" s="151" t="str">
        <f>IFERROR(__xludf.DUMMYFUNCTION("""COMPUTED_VALUE"""),"")</f>
        <v/>
      </c>
      <c r="P71" s="118">
        <f>IFERROR(__xludf.DUMMYFUNCTION("""COMPUTED_VALUE"""),45285.0)</f>
        <v>45285</v>
      </c>
      <c r="Q71" s="151"/>
    </row>
    <row r="72">
      <c r="A72" s="73"/>
      <c r="B72" s="209" t="str">
        <f>IFERROR(__xludf.DUMMYFUNCTION("""COMPUTED_VALUE"""),"Pré-Vendas (Prospecção)")</f>
        <v>Pré-Vendas (Prospecção)</v>
      </c>
      <c r="C72" s="104" t="str">
        <f>IFERROR(__xludf.DUMMYFUNCTION("""COMPUTED_VALUE"""),"Prospecção em mercados altamente concorridos")</f>
        <v>Prospecção em mercados altamente concorridos</v>
      </c>
      <c r="D72" s="104" t="str">
        <f>IFERROR(__xludf.DUMMYFUNCTION("""COMPUTED_VALUE"""),"Bruna Verissimo")</f>
        <v>Bruna Verissimo</v>
      </c>
      <c r="E72" s="228" t="str">
        <f>IFERROR(__xludf.DUMMYFUNCTION("""COMPUTED_VALUE"""),"Director, Sales &amp; Marketing")</f>
        <v>Director, Sales &amp; Marketing</v>
      </c>
      <c r="F72" s="228" t="str">
        <f>IFERROR(__xludf.DUMMYFUNCTION("""COMPUTED_VALUE"""),"Cvortex")</f>
        <v>Cvortex</v>
      </c>
      <c r="G72" s="229" t="str">
        <f>IFERROR(__xludf.DUMMYFUNCTION("""COMPUTED_VALUE"""),"https://www.linkedin.com/in/bruna-verissimo/")</f>
        <v>https://www.linkedin.com/in/bruna-verissimo/</v>
      </c>
      <c r="H72" s="228" t="str">
        <f>IFERROR(__xludf.DUMMYFUNCTION("""COMPUTED_VALUE"""),"Conhecimento Técnico")</f>
        <v>Conhecimento Técnico</v>
      </c>
      <c r="I72" s="228" t="str">
        <f>IFERROR(__xludf.DUMMYFUNCTION("""COMPUTED_VALUE"""),"Técnicas de Vendas")</f>
        <v>Técnicas de Vendas</v>
      </c>
      <c r="J72" s="228" t="str">
        <f>IFERROR(__xludf.DUMMYFUNCTION("""COMPUTED_VALUE"""),"Abordagem e Prospecção")</f>
        <v>Abordagem e Prospecção</v>
      </c>
      <c r="K72" s="114" t="str">
        <f>IFERROR(__xludf.DUMMYFUNCTION("""COMPUTED_VALUE"""),"https://universidade.pipelovers.net/m/lessons/prospeccao-em-mercados-altamente-concorridos1769552026894?classId=3454")</f>
        <v>https://universidade.pipelovers.net/m/lessons/prospeccao-em-mercados-altamente-concorridos1769552026894?classId=3454</v>
      </c>
      <c r="L72" s="115" t="str">
        <f>IFERROR(__xludf.DUMMYFUNCTION("""COMPUTED_VALUE"""),"https://universidade.pipelovers.net/m/lessons/prospeccao-em-mercados-altamente-concorridos1769552026894?classId=3454")</f>
        <v>https://universidade.pipelovers.net/m/lessons/prospeccao-em-mercados-altamente-concorridos1769552026894?classId=3454</v>
      </c>
      <c r="M72" s="150">
        <f>IFERROR(__xludf.DUMMYFUNCTION("""COMPUTED_VALUE"""),4.43)</f>
        <v>4.43</v>
      </c>
      <c r="N72" s="151" t="str">
        <f>IFERROR(__xludf.DUMMYFUNCTION("""COMPUTED_VALUE"""),"61. PipeLovers💚SDRs: ""Prospecção em mercados altamente concorridos"" com Bruna Verissimo (2023-09-27 08:05 GMT-3)")</f>
        <v>61. PipeLovers💚SDRs: "Prospecção em mercados altamente concorridos" com Bruna Verissimo (2023-09-27 08:05 GMT-3)</v>
      </c>
      <c r="O72" s="228" t="str">
        <f>IFERROR(__xludf.DUMMYFUNCTION("""COMPUTED_VALUE"""),"")</f>
        <v/>
      </c>
      <c r="P72" s="118">
        <f>IFERROR(__xludf.DUMMYFUNCTION("""COMPUTED_VALUE"""),45292.0)</f>
        <v>45292</v>
      </c>
      <c r="Q72" s="228"/>
    </row>
    <row r="73">
      <c r="A73" s="73"/>
      <c r="B73" s="209" t="str">
        <f>IFERROR(__xludf.DUMMYFUNCTION("""COMPUTED_VALUE"""),"Pré-Vendas (Prospecção)")</f>
        <v>Pré-Vendas (Prospecção)</v>
      </c>
      <c r="C73" s="119" t="str">
        <f>IFERROR(__xludf.DUMMYFUNCTION("""COMPUTED_VALUE"""),"Técnicas para reduzir no-show de prospects")</f>
        <v>Técnicas para reduzir no-show de prospects</v>
      </c>
      <c r="D73" s="119" t="str">
        <f>IFERROR(__xludf.DUMMYFUNCTION("""COMPUTED_VALUE"""),"José de Sousa")</f>
        <v>José de Sousa</v>
      </c>
      <c r="E73" s="151" t="str">
        <f>IFERROR(__xludf.DUMMYFUNCTION("""COMPUTED_VALUE"""),"Business Development Representative Pleno")</f>
        <v>Business Development Representative Pleno</v>
      </c>
      <c r="F73" s="151" t="str">
        <f>IFERROR(__xludf.DUMMYFUNCTION("""COMPUTED_VALUE"""),"Blip ")</f>
        <v>Blip </v>
      </c>
      <c r="G73" s="207" t="str">
        <f>IFERROR(__xludf.DUMMYFUNCTION("""COMPUTED_VALUE"""),"https://www.linkedin.com/in/jos%C3%A9-de-sousa-cunha-68093a200/")</f>
        <v>https://www.linkedin.com/in/jos%C3%A9-de-sousa-cunha-68093a200/</v>
      </c>
      <c r="H73" s="151" t="str">
        <f>IFERROR(__xludf.DUMMYFUNCTION("""COMPUTED_VALUE"""),"Conhecimento Técnico")</f>
        <v>Conhecimento Técnico</v>
      </c>
      <c r="I73" s="151" t="str">
        <f>IFERROR(__xludf.DUMMYFUNCTION("""COMPUTED_VALUE"""),"Técnicas de Vendas")</f>
        <v>Técnicas de Vendas</v>
      </c>
      <c r="J73" s="151" t="str">
        <f>IFERROR(__xludf.DUMMYFUNCTION("""COMPUTED_VALUE"""),"Abordagem e Prospecção")</f>
        <v>Abordagem e Prospecção</v>
      </c>
      <c r="K73" s="128" t="str">
        <f>IFERROR(__xludf.DUMMYFUNCTION("""COMPUTED_VALUE"""),"https://universidade.pipelovers.net/m/lessons/tecnicas-para-reduzir-no-show-de-prospects1769552026948?classId=3455")</f>
        <v>https://universidade.pipelovers.net/m/lessons/tecnicas-para-reduzir-no-show-de-prospects1769552026948?classId=3455</v>
      </c>
      <c r="L73" s="115" t="str">
        <f>IFERROR(__xludf.DUMMYFUNCTION("""COMPUTED_VALUE"""),"https://universidade.pipelovers.net/m/lessons/tecnicas-para-reduzir-no-show-de-prospects1769552026948?classId=3455")</f>
        <v>https://universidade.pipelovers.net/m/lessons/tecnicas-para-reduzir-no-show-de-prospects1769552026948?classId=3455</v>
      </c>
      <c r="M73" s="150">
        <f>IFERROR(__xludf.DUMMYFUNCTION("""COMPUTED_VALUE"""),4.0)</f>
        <v>4</v>
      </c>
      <c r="N73" s="151" t="str">
        <f>IFERROR(__xludf.DUMMYFUNCTION("""COMPUTED_VALUE"""),"62. PipeLovers💚SDRs: Técnicas para reduzir no-show de prospects com José de Sousa")</f>
        <v>62. PipeLovers💚SDRs: Técnicas para reduzir no-show de prospects com José de Sousa</v>
      </c>
      <c r="O73" s="151" t="str">
        <f>IFERROR(__xludf.DUMMYFUNCTION("""COMPUTED_VALUE"""),"")</f>
        <v/>
      </c>
      <c r="P73" s="118">
        <f>IFERROR(__xludf.DUMMYFUNCTION("""COMPUTED_VALUE"""),45299.0)</f>
        <v>45299</v>
      </c>
      <c r="Q73" s="151"/>
    </row>
    <row r="74">
      <c r="A74" s="73"/>
      <c r="B74" s="209" t="str">
        <f>IFERROR(__xludf.DUMMYFUNCTION("""COMPUTED_VALUE"""),"Pré-Vendas (Prospecção)")</f>
        <v>Pré-Vendas (Prospecção)</v>
      </c>
      <c r="C74" s="247" t="str">
        <f>IFERROR(__xludf.DUMMYFUNCTION("""COMPUTED_VALUE"""),"Como organizar o dia a dia de uma operação volumosa em pré vendas")</f>
        <v>Como organizar o dia a dia de uma operação volumosa em pré vendas</v>
      </c>
      <c r="D74" s="104" t="str">
        <f>IFERROR(__xludf.DUMMYFUNCTION("""COMPUTED_VALUE"""),"Samara Anselmi")</f>
        <v>Samara Anselmi</v>
      </c>
      <c r="E74" s="228" t="str">
        <f>IFERROR(__xludf.DUMMYFUNCTION("""COMPUTED_VALUE"""),"Head of Sales")</f>
        <v>Head of Sales</v>
      </c>
      <c r="F74" s="228" t="str">
        <f>IFERROR(__xludf.DUMMYFUNCTION("""COMPUTED_VALUE"""),"RevisaPrev")</f>
        <v>RevisaPrev</v>
      </c>
      <c r="G74" s="229" t="str">
        <f>IFERROR(__xludf.DUMMYFUNCTION("""COMPUTED_VALUE"""),"https://www.linkedin.com/in/samara-anselmi/")</f>
        <v>https://www.linkedin.com/in/samara-anselmi/</v>
      </c>
      <c r="H74" s="228" t="str">
        <f>IFERROR(__xludf.DUMMYFUNCTION("""COMPUTED_VALUE"""),"Autodesenvolvimento")</f>
        <v>Autodesenvolvimento</v>
      </c>
      <c r="I74" s="228" t="str">
        <f>IFERROR(__xludf.DUMMYFUNCTION("""COMPUTED_VALUE"""),"Gestão do Tempo e de Informação")</f>
        <v>Gestão do Tempo e de Informação</v>
      </c>
      <c r="J74" s="228" t="str">
        <f>IFERROR(__xludf.DUMMYFUNCTION("""COMPUTED_VALUE"""),"Técnicas de Organização e Rotina")</f>
        <v>Técnicas de Organização e Rotina</v>
      </c>
      <c r="K74" s="166" t="str">
        <f>IFERROR(__xludf.DUMMYFUNCTION("""COMPUTED_VALUE"""),"https://universidade.pipelovers.net/aulas/como-organizar-o-dia-a-dia-de-uma-operaca0-volumosa-em-pre-vendas-1775818200864")</f>
        <v>https://universidade.pipelovers.net/aulas/como-organizar-o-dia-a-dia-de-uma-operaca0-volumosa-em-pre-vendas-1775818200864</v>
      </c>
      <c r="L74" s="148" t="str">
        <f>IFERROR(__xludf.DUMMYFUNCTION("""COMPUTED_VALUE"""),"https://universidade.pipelovers.net/aulas/como-organizar-o-dia-a-dia-de-uma-operaca0-volumosa-em-pre-vendas-1775818200864")</f>
        <v>https://universidade.pipelovers.net/aulas/como-organizar-o-dia-a-dia-de-uma-operaca0-volumosa-em-pre-vendas-1775818200864</v>
      </c>
      <c r="M74" s="150">
        <f>IFERROR(__xludf.DUMMYFUNCTION("""COMPUTED_VALUE"""),3.71)</f>
        <v>3.71</v>
      </c>
      <c r="N74" s="151" t="str">
        <f>IFERROR(__xludf.DUMMYFUNCTION("""COMPUTED_VALUE"""),"63. PipeLovers💚SDRs: "" Como organizar o dia a dia de uma operação volumosa em pré vendas"" com Samara A (2023-10-18 08:05 GMT-3)")</f>
        <v>63. PipeLovers💚SDRs: " Como organizar o dia a dia de uma operação volumosa em pré vendas" com Samara A (2023-10-18 08:05 GMT-3)</v>
      </c>
      <c r="O74" s="228" t="str">
        <f>IFERROR(__xludf.DUMMYFUNCTION("""COMPUTED_VALUE"""),"")</f>
        <v/>
      </c>
      <c r="P74" s="118">
        <f>IFERROR(__xludf.DUMMYFUNCTION("""COMPUTED_VALUE"""),45306.0)</f>
        <v>45306</v>
      </c>
      <c r="Q74" s="228"/>
    </row>
    <row r="75">
      <c r="A75" s="73"/>
      <c r="B75" s="209" t="str">
        <f>IFERROR(__xludf.DUMMYFUNCTION("""COMPUTED_VALUE"""),"Pré-Vendas (Prospecção)")</f>
        <v>Pré-Vendas (Prospecção)</v>
      </c>
      <c r="C75" s="104" t="str">
        <f>IFERROR(__xludf.DUMMYFUNCTION("""COMPUTED_VALUE"""),"Como criar account planning para prospectar contas enterprise")</f>
        <v>Como criar account planning para prospectar contas enterprise</v>
      </c>
      <c r="D75" s="119" t="str">
        <f>IFERROR(__xludf.DUMMYFUNCTION("""COMPUTED_VALUE"""),"Gabriel Brasil")</f>
        <v>Gabriel Brasil</v>
      </c>
      <c r="E75" s="151" t="str">
        <f>IFERROR(__xludf.DUMMYFUNCTION("""COMPUTED_VALUE"""),"Head of Sales")</f>
        <v>Head of Sales</v>
      </c>
      <c r="F75" s="151" t="str">
        <f>IFERROR(__xludf.DUMMYFUNCTION("""COMPUTED_VALUE"""),"PipeLovers")</f>
        <v>PipeLovers</v>
      </c>
      <c r="G75" s="207" t="str">
        <f>IFERROR(__xludf.DUMMYFUNCTION("""COMPUTED_VALUE"""),"https://www.linkedin.com/in/gabriel-sbrasil/")</f>
        <v>https://www.linkedin.com/in/gabriel-sbrasil/</v>
      </c>
      <c r="H75" s="151" t="str">
        <f>IFERROR(__xludf.DUMMYFUNCTION("""COMPUTED_VALUE"""),"Conhecimento Técnico")</f>
        <v>Conhecimento Técnico</v>
      </c>
      <c r="I75" s="151" t="str">
        <f>IFERROR(__xludf.DUMMYFUNCTION("""COMPUTED_VALUE"""),"Técnicas de Vendas")</f>
        <v>Técnicas de Vendas</v>
      </c>
      <c r="J75" s="151" t="str">
        <f>IFERROR(__xludf.DUMMYFUNCTION("""COMPUTED_VALUE"""),"Abordagem e Prospecção")</f>
        <v>Abordagem e Prospecção</v>
      </c>
      <c r="K75" s="114" t="str">
        <f>IFERROR(__xludf.DUMMYFUNCTION("""COMPUTED_VALUE"""),"https://universidade.pipelovers.net/m/lessons/como-criar-account-planning-para-prospectar-contas-enterprise1769552039068?classId=3457")</f>
        <v>https://universidade.pipelovers.net/m/lessons/como-criar-account-planning-para-prospectar-contas-enterprise1769552039068?classId=3457</v>
      </c>
      <c r="L75" s="115" t="str">
        <f>IFERROR(__xludf.DUMMYFUNCTION("""COMPUTED_VALUE"""),"https://universidade.pipelovers.net/m/lessons/como-criar-account-planning-para-prospectar-contas-enterprise1769552039068?classId=3457")</f>
        <v>https://universidade.pipelovers.net/m/lessons/como-criar-account-planning-para-prospectar-contas-enterprise1769552039068?classId=3457</v>
      </c>
      <c r="M75" s="150">
        <f>IFERROR(__xludf.DUMMYFUNCTION("""COMPUTED_VALUE"""),4.86)</f>
        <v>4.86</v>
      </c>
      <c r="N75" s="151" t="str">
        <f>IFERROR(__xludf.DUMMYFUNCTION("""COMPUTED_VALUE"""),"64. PipeLovers💚SDRs: "" Como criar account planning para prospectar contas enterprise"" com Gabriel Bras (2023-10-25 08:04 GMT-3)")</f>
        <v>64. PipeLovers💚SDRs: " Como criar account planning para prospectar contas enterprise" com Gabriel Bras (2023-10-25 08:04 GMT-3)</v>
      </c>
      <c r="O75" s="151" t="str">
        <f>IFERROR(__xludf.DUMMYFUNCTION("""COMPUTED_VALUE"""),"")</f>
        <v/>
      </c>
      <c r="P75" s="118">
        <f>IFERROR(__xludf.DUMMYFUNCTION("""COMPUTED_VALUE"""),45313.0)</f>
        <v>45313</v>
      </c>
      <c r="Q75" s="151"/>
    </row>
    <row r="76">
      <c r="A76" s="73"/>
      <c r="B76" s="209" t="str">
        <f>IFERROR(__xludf.DUMMYFUNCTION("""COMPUTED_VALUE"""),"Pré-Vendas (Prospecção)")</f>
        <v>Pré-Vendas (Prospecção)</v>
      </c>
      <c r="C76" s="119" t="str">
        <f>IFERROR(__xludf.DUMMYFUNCTION("""COMPUTED_VALUE"""),"Táticas de Growth Mindset para Pré-Vendedores")</f>
        <v>Táticas de Growth Mindset para Pré-Vendedores</v>
      </c>
      <c r="D76" s="104" t="str">
        <f>IFERROR(__xludf.DUMMYFUNCTION("""COMPUTED_VALUE"""),"Rhulian Marcus")</f>
        <v>Rhulian Marcus</v>
      </c>
      <c r="E76" s="228" t="str">
        <f>IFERROR(__xludf.DUMMYFUNCTION("""COMPUTED_VALUE"""),"CEO")</f>
        <v>CEO</v>
      </c>
      <c r="F76" s="228" t="str">
        <f>IFERROR(__xludf.DUMMYFUNCTION("""COMPUTED_VALUE"""),"Hawk Marketing")</f>
        <v>Hawk Marketing</v>
      </c>
      <c r="G76" s="229" t="str">
        <f>IFERROR(__xludf.DUMMYFUNCTION("""COMPUTED_VALUE"""),"https://www.linkedin.com/in/rhulian/")</f>
        <v>https://www.linkedin.com/in/rhulian/</v>
      </c>
      <c r="H76" s="228" t="str">
        <f>IFERROR(__xludf.DUMMYFUNCTION("""COMPUTED_VALUE"""),"Autodesenvolvimento")</f>
        <v>Autodesenvolvimento</v>
      </c>
      <c r="I76" s="228" t="str">
        <f>IFERROR(__xludf.DUMMYFUNCTION("""COMPUTED_VALUE"""),"Inteligência Emocional")</f>
        <v>Inteligência Emocional</v>
      </c>
      <c r="J76" s="228" t="str">
        <f>IFERROR(__xludf.DUMMYFUNCTION("""COMPUTED_VALUE"""),"Motivação")</f>
        <v>Motivação</v>
      </c>
      <c r="K76" s="128" t="str">
        <f>IFERROR(__xludf.DUMMYFUNCTION("""COMPUTED_VALUE"""),"https://universidade.pipelovers.net/m/lessons/taticas-de-growth-mindset-para-pre-vendedores1769552039303?classId=3458")</f>
        <v>https://universidade.pipelovers.net/m/lessons/taticas-de-growth-mindset-para-pre-vendedores1769552039303?classId=3458</v>
      </c>
      <c r="L76" s="115" t="str">
        <f>IFERROR(__xludf.DUMMYFUNCTION("""COMPUTED_VALUE"""),"https://universidade.pipelovers.net/m/lessons/taticas-de-growth-mindset-para-pre-vendedores1769552039303?classId=3458")</f>
        <v>https://universidade.pipelovers.net/m/lessons/taticas-de-growth-mindset-para-pre-vendedores1769552039303?classId=3458</v>
      </c>
      <c r="M76" s="150">
        <f>IFERROR(__xludf.DUMMYFUNCTION("""COMPUTED_VALUE"""),3.86)</f>
        <v>3.86</v>
      </c>
      <c r="N76" s="151" t="str">
        <f>IFERROR(__xludf.DUMMYFUNCTION("""COMPUTED_VALUE"""),"65. PipeLovers💚SDRs: ""Táticas de Growth Mindset para Pré-Vendedores"" com Rhulian Marcus (2023-11-01 08:04 GMT-3)")</f>
        <v>65. PipeLovers💚SDRs: "Táticas de Growth Mindset para Pré-Vendedores" com Rhulian Marcus (2023-11-01 08:04 GMT-3)</v>
      </c>
      <c r="O76" s="228" t="str">
        <f>IFERROR(__xludf.DUMMYFUNCTION("""COMPUTED_VALUE"""),"")</f>
        <v/>
      </c>
      <c r="P76" s="118">
        <f>IFERROR(__xludf.DUMMYFUNCTION("""COMPUTED_VALUE"""),45320.0)</f>
        <v>45320</v>
      </c>
      <c r="Q76" s="228"/>
    </row>
    <row r="77">
      <c r="A77" s="73"/>
      <c r="B77" s="209" t="str">
        <f>IFERROR(__xludf.DUMMYFUNCTION("""COMPUTED_VALUE"""),"Pré-Vendas (Prospecção)")</f>
        <v>Pré-Vendas (Prospecção)</v>
      </c>
      <c r="C77" s="145" t="str">
        <f>IFERROR(__xludf.DUMMYFUNCTION("""COMPUTED_VALUE"""),"Palestra RD Summit 2023")</f>
        <v>Palestra RD Summit 2023</v>
      </c>
      <c r="D77" s="119" t="str">
        <f>IFERROR(__xludf.DUMMYFUNCTION("""COMPUTED_VALUE"""),"Gustavo Pagotto")</f>
        <v>Gustavo Pagotto</v>
      </c>
      <c r="E77" s="151" t="str">
        <f>IFERROR(__xludf.DUMMYFUNCTION("""COMPUTED_VALUE"""),"Fundador")</f>
        <v>Fundador</v>
      </c>
      <c r="F77" s="151" t="str">
        <f>IFERROR(__xludf.DUMMYFUNCTION("""COMPUTED_VALUE"""),"PipeLovers")</f>
        <v>PipeLovers</v>
      </c>
      <c r="G77" s="207" t="str">
        <f>IFERROR(__xludf.DUMMYFUNCTION("""COMPUTED_VALUE"""),"https://www.linkedin.com/in/gpagotto/")</f>
        <v>https://www.linkedin.com/in/gpagotto/</v>
      </c>
      <c r="H77" s="151" t="str">
        <f>IFERROR(__xludf.DUMMYFUNCTION("""COMPUTED_VALUE"""),"Autodesenvolvimento")</f>
        <v>Autodesenvolvimento</v>
      </c>
      <c r="I77" s="151" t="str">
        <f>IFERROR(__xludf.DUMMYFUNCTION("""COMPUTED_VALUE"""),"Aprendizado Ativo")</f>
        <v>Aprendizado Ativo</v>
      </c>
      <c r="J77" s="151" t="str">
        <f>IFERROR(__xludf.DUMMYFUNCTION("""COMPUTED_VALUE"""),"Benchmarking")</f>
        <v>Benchmarking</v>
      </c>
      <c r="K77" s="166" t="str">
        <f>IFERROR(__xludf.DUMMYFUNCTION("""COMPUTED_VALUE"""),"https://universidade.pipelovers.net/m/lessons/palestra-rd-summit-20231769552039345?classId=3108")</f>
        <v>https://universidade.pipelovers.net/m/lessons/palestra-rd-summit-20231769552039345?classId=3108</v>
      </c>
      <c r="L77" s="115" t="str">
        <f>IFERROR(__xludf.DUMMYFUNCTION("""COMPUTED_VALUE"""),"https://universidade.pipelovers.net/m/lessons/palestra-rd-summit-20231769552039345?classId=3108")</f>
        <v>https://universidade.pipelovers.net/m/lessons/palestra-rd-summit-20231769552039345?classId=3108</v>
      </c>
      <c r="M77" s="150">
        <f>IFERROR(__xludf.DUMMYFUNCTION("""COMPUTED_VALUE"""),5.0)</f>
        <v>5</v>
      </c>
      <c r="N77" s="151" t="str">
        <f>IFERROR(__xludf.DUMMYFUNCTION("""COMPUTED_VALUE"""),"66.  PipeLovers : ""Palestra RD Summit 2023"" com Gustavo Pagotto (2023-11-07 08:09 GMT-3)")</f>
        <v>66.  PipeLovers : "Palestra RD Summit 2023" com Gustavo Pagotto (2023-11-07 08:09 GMT-3)</v>
      </c>
      <c r="O77" s="151" t="str">
        <f>IFERROR(__xludf.DUMMYFUNCTION("""COMPUTED_VALUE"""),"")</f>
        <v/>
      </c>
      <c r="P77" s="118">
        <f>IFERROR(__xludf.DUMMYFUNCTION("""COMPUTED_VALUE"""),45327.0)</f>
        <v>45327</v>
      </c>
      <c r="Q77" s="151"/>
    </row>
    <row r="78">
      <c r="A78" s="73"/>
      <c r="B78" s="209" t="str">
        <f>IFERROR(__xludf.DUMMYFUNCTION("""COMPUTED_VALUE"""),"Pré-Vendas (Prospecção)")</f>
        <v>Pré-Vendas (Prospecção)</v>
      </c>
      <c r="C78" s="104" t="str">
        <f>IFERROR(__xludf.DUMMYFUNCTION("""COMPUTED_VALUE"""),"Além da meta: o que é preciso para ser promovido.")</f>
        <v>Além da meta: o que é preciso para ser promovido.</v>
      </c>
      <c r="D78" s="104" t="str">
        <f>IFERROR(__xludf.DUMMYFUNCTION("""COMPUTED_VALUE"""),"Aura Khemani")</f>
        <v>Aura Khemani</v>
      </c>
      <c r="E78" s="228" t="str">
        <f>IFERROR(__xludf.DUMMYFUNCTION("""COMPUTED_VALUE"""),"SDR Coordinator")</f>
        <v>SDR Coordinator</v>
      </c>
      <c r="F78" s="228" t="str">
        <f>IFERROR(__xludf.DUMMYFUNCTION("""COMPUTED_VALUE"""),"Zenvia")</f>
        <v>Zenvia</v>
      </c>
      <c r="G78" s="229" t="str">
        <f>IFERROR(__xludf.DUMMYFUNCTION("""COMPUTED_VALUE"""),"https://www.linkedin.com/in/aura-d-khemani/")</f>
        <v>https://www.linkedin.com/in/aura-d-khemani/</v>
      </c>
      <c r="H78" s="228" t="str">
        <f>IFERROR(__xludf.DUMMYFUNCTION("""COMPUTED_VALUE"""),"Relacionamento Interpessoal")</f>
        <v>Relacionamento Interpessoal</v>
      </c>
      <c r="I78" s="228" t="str">
        <f>IFERROR(__xludf.DUMMYFUNCTION("""COMPUTED_VALUE"""),"Liderança e Influência")</f>
        <v>Liderança e Influência</v>
      </c>
      <c r="J78" s="228" t="str">
        <f>IFERROR(__xludf.DUMMYFUNCTION("""COMPUTED_VALUE"""),"Credibilidade e Reputação")</f>
        <v>Credibilidade e Reputação</v>
      </c>
      <c r="K78" s="114" t="str">
        <f>IFERROR(__xludf.DUMMYFUNCTION("""COMPUTED_VALUE"""),"https://universidade.pipelovers.net/m/lessons/alem-da-meta-o-que-e-preciso-para-ser-promovido1769552039372?classId=3466")</f>
        <v>https://universidade.pipelovers.net/m/lessons/alem-da-meta-o-que-e-preciso-para-ser-promovido1769552039372?classId=3466</v>
      </c>
      <c r="L78" s="115" t="str">
        <f>IFERROR(__xludf.DUMMYFUNCTION("""COMPUTED_VALUE"""),"https://universidade.pipelovers.net/m/lessons/alem-da-meta-o-que-e-preciso-para-ser-promovido1769552039372?classId=3466")</f>
        <v>https://universidade.pipelovers.net/m/lessons/alem-da-meta-o-que-e-preciso-para-ser-promovido1769552039372?classId=3466</v>
      </c>
      <c r="M78" s="150">
        <f>IFERROR(__xludf.DUMMYFUNCTION("""COMPUTED_VALUE"""),3.86)</f>
        <v>3.86</v>
      </c>
      <c r="N78" s="151" t="str">
        <f>IFERROR(__xludf.DUMMYFUNCTION("""COMPUTED_VALUE"""),"67. PipeLovers💚SDRs: ""Além da meta: o que é preciso para ser promovido"" com Aura Khemani (2023-11-16 09:06 GMT-3)")</f>
        <v>67. PipeLovers💚SDRs: "Além da meta: o que é preciso para ser promovido" com Aura Khemani (2023-11-16 09:06 GMT-3)</v>
      </c>
      <c r="O78" s="228" t="str">
        <f>IFERROR(__xludf.DUMMYFUNCTION("""COMPUTED_VALUE"""),"")</f>
        <v/>
      </c>
      <c r="P78" s="118">
        <f>IFERROR(__xludf.DUMMYFUNCTION("""COMPUTED_VALUE"""),45334.0)</f>
        <v>45334</v>
      </c>
      <c r="Q78" s="228"/>
    </row>
    <row r="79">
      <c r="A79" s="73"/>
      <c r="B79" s="209" t="str">
        <f>IFERROR(__xludf.DUMMYFUNCTION("""COMPUTED_VALUE"""),"Pré-Vendas (Prospecção)")</f>
        <v>Pré-Vendas (Prospecção)</v>
      </c>
      <c r="C79" s="145" t="str">
        <f>IFERROR(__xludf.DUMMYFUNCTION("""COMPUTED_VALUE"""),"Estruturação e avaliação de testes na prospecção")</f>
        <v>Estruturação e avaliação de testes na prospecção</v>
      </c>
      <c r="D79" s="119" t="str">
        <f>IFERROR(__xludf.DUMMYFUNCTION("""COMPUTED_VALUE"""),"Vittor Amaral")</f>
        <v>Vittor Amaral</v>
      </c>
      <c r="E79" s="151" t="str">
        <f>IFERROR(__xludf.DUMMYFUNCTION("""COMPUTED_VALUE"""),"Líder de Pré-Vendas")</f>
        <v>Líder de Pré-Vendas</v>
      </c>
      <c r="F79" s="151" t="str">
        <f>IFERROR(__xludf.DUMMYFUNCTION("""COMPUTED_VALUE"""),"Ploomes")</f>
        <v>Ploomes</v>
      </c>
      <c r="G79" s="207" t="str">
        <f>IFERROR(__xludf.DUMMYFUNCTION("""COMPUTED_VALUE"""),"https://www.linkedin.com/in/vittor-amaral/")</f>
        <v>https://www.linkedin.com/in/vittor-amaral/</v>
      </c>
      <c r="H79" s="151" t="str">
        <f>IFERROR(__xludf.DUMMYFUNCTION("""COMPUTED_VALUE"""),"Conhecimento Técnico")</f>
        <v>Conhecimento Técnico</v>
      </c>
      <c r="I79" s="151" t="str">
        <f>IFERROR(__xludf.DUMMYFUNCTION("""COMPUTED_VALUE"""),"Pensamento Crítico")</f>
        <v>Pensamento Crítico</v>
      </c>
      <c r="J79" s="151" t="str">
        <f>IFERROR(__xludf.DUMMYFUNCTION("""COMPUTED_VALUE"""),"Pensamento Crítico")</f>
        <v>Pensamento Crítico</v>
      </c>
      <c r="K79" s="252" t="str">
        <f>IFERROR(__xludf.DUMMYFUNCTION("""COMPUTED_VALUE"""),"https://universidade.pipelovers.net/m/lessons/estruturacao-e-avaliacao-de-testes-na-prospeccao1769552039490?classId=3467")</f>
        <v>https://universidade.pipelovers.net/m/lessons/estruturacao-e-avaliacao-de-testes-na-prospeccao1769552039490?classId=3467</v>
      </c>
      <c r="L79" s="115" t="str">
        <f>IFERROR(__xludf.DUMMYFUNCTION("""COMPUTED_VALUE"""),"https://universidade.pipelovers.net/m/lessons/estruturacao-e-avaliacao-de-testes-na-prospeccao1769552039490?classId=3467")</f>
        <v>https://universidade.pipelovers.net/m/lessons/estruturacao-e-avaliacao-de-testes-na-prospeccao1769552039490?classId=3467</v>
      </c>
      <c r="M79" s="150">
        <f>IFERROR(__xludf.DUMMYFUNCTION("""COMPUTED_VALUE"""),3.64)</f>
        <v>3.64</v>
      </c>
      <c r="N79" s="151" t="str">
        <f>IFERROR(__xludf.DUMMYFUNCTION("""COMPUTED_VALUE"""),"68. PipeLovers💚SDRs: ""Estruturação e avaliação de testes na prospecção"" com Vittor Amaral da Ploomes (2023-11-22 08:36 GMT-3)")</f>
        <v>68. PipeLovers💚SDRs: "Estruturação e avaliação de testes na prospecção" com Vittor Amaral da Ploomes (2023-11-22 08:36 GMT-3)</v>
      </c>
      <c r="O79" s="151" t="str">
        <f>IFERROR(__xludf.DUMMYFUNCTION("""COMPUTED_VALUE"""),"")</f>
        <v/>
      </c>
      <c r="P79" s="118">
        <f>IFERROR(__xludf.DUMMYFUNCTION("""COMPUTED_VALUE"""),45341.0)</f>
        <v>45341</v>
      </c>
      <c r="Q79" s="151"/>
    </row>
    <row r="80">
      <c r="A80" s="73"/>
      <c r="B80" s="209" t="str">
        <f>IFERROR(__xludf.DUMMYFUNCTION("""COMPUTED_VALUE"""),"Pré-Vendas (Prospecção)")</f>
        <v>Pré-Vendas (Prospecção)</v>
      </c>
      <c r="C80" s="119" t="str">
        <f>IFERROR(__xludf.DUMMYFUNCTION("""COMPUTED_VALUE"""),"Autoestima e autoconfiança a favor do vendedor")</f>
        <v>Autoestima e autoconfiança a favor do vendedor</v>
      </c>
      <c r="D80" s="104" t="str">
        <f>IFERROR(__xludf.DUMMYFUNCTION("""COMPUTED_VALUE"""),"Cassio Gifford")</f>
        <v>Cassio Gifford</v>
      </c>
      <c r="E80" s="228" t="str">
        <f>IFERROR(__xludf.DUMMYFUNCTION("""COMPUTED_VALUE"""),"Account Executive")</f>
        <v>Account Executive</v>
      </c>
      <c r="F80" s="228" t="str">
        <f>IFERROR(__xludf.DUMMYFUNCTION("""COMPUTED_VALUE"""),"G4 Educação")</f>
        <v>G4 Educação</v>
      </c>
      <c r="G80" s="229" t="str">
        <f>IFERROR(__xludf.DUMMYFUNCTION("""COMPUTED_VALUE"""),"https://www.linkedin.com/in/cassiogifford/")</f>
        <v>https://www.linkedin.com/in/cassiogifford/</v>
      </c>
      <c r="H80" s="228" t="str">
        <f>IFERROR(__xludf.DUMMYFUNCTION("""COMPUTED_VALUE"""),"Autodesenvolvimento")</f>
        <v>Autodesenvolvimento</v>
      </c>
      <c r="I80" s="228" t="str">
        <f>IFERROR(__xludf.DUMMYFUNCTION("""COMPUTED_VALUE"""),"Inteligência Emocional")</f>
        <v>Inteligência Emocional</v>
      </c>
      <c r="J80" s="228" t="str">
        <f>IFERROR(__xludf.DUMMYFUNCTION("""COMPUTED_VALUE"""),"Motivação")</f>
        <v>Motivação</v>
      </c>
      <c r="K80" s="128" t="str">
        <f>IFERROR(__xludf.DUMMYFUNCTION("""COMPUTED_VALUE"""),"https://universidade.pipelovers.net/m/lessons/autoestima-e-autoconfianca-a-favor-do-vendedor1769552039399?classId=3468")</f>
        <v>https://universidade.pipelovers.net/m/lessons/autoestima-e-autoconfianca-a-favor-do-vendedor1769552039399?classId=3468</v>
      </c>
      <c r="L80" s="115" t="str">
        <f>IFERROR(__xludf.DUMMYFUNCTION("""COMPUTED_VALUE"""),"https://universidade.pipelovers.net/m/lessons/autoestima-e-autoconfianca-a-favor-do-vendedor1769552039399?classId=3468")</f>
        <v>https://universidade.pipelovers.net/m/lessons/autoestima-e-autoconfianca-a-favor-do-vendedor1769552039399?classId=3468</v>
      </c>
      <c r="M80" s="150">
        <f>IFERROR(__xludf.DUMMYFUNCTION("""COMPUTED_VALUE"""),4.0)</f>
        <v>4</v>
      </c>
      <c r="N80" s="151" t="str">
        <f>IFERROR(__xludf.DUMMYFUNCTION("""COMPUTED_VALUE"""),"69. PipeLovers💚SDRs: ""Autoestima e autoconfiança a favor do vendedor"" com Cássio Gifford do G4 Educaçã (2023-11-29 08:05 GMT-3)")</f>
        <v>69. PipeLovers💚SDRs: "Autoestima e autoconfiança a favor do vendedor" com Cássio Gifford do G4 Educaçã (2023-11-29 08:05 GMT-3)</v>
      </c>
      <c r="O80" s="228" t="str">
        <f>IFERROR(__xludf.DUMMYFUNCTION("""COMPUTED_VALUE"""),"")</f>
        <v/>
      </c>
      <c r="P80" s="118">
        <f>IFERROR(__xludf.DUMMYFUNCTION("""COMPUTED_VALUE"""),45348.0)</f>
        <v>45348</v>
      </c>
      <c r="Q80" s="228"/>
    </row>
    <row r="81">
      <c r="A81" s="73"/>
      <c r="B81" s="209" t="str">
        <f>IFERROR(__xludf.DUMMYFUNCTION("""COMPUTED_VALUE"""),"Pré-Vendas (Prospecção)")</f>
        <v>Pré-Vendas (Prospecção)</v>
      </c>
      <c r="C81" s="181" t="str">
        <f>IFERROR(__xludf.DUMMYFUNCTION("""COMPUTED_VALUE"""),"IA na Prática: Potencialize sua performance como pré-vendedor")</f>
        <v>IA na Prática: Potencialize sua performance como pré-vendedor</v>
      </c>
      <c r="D81" s="119" t="str">
        <f>IFERROR(__xludf.DUMMYFUNCTION("""COMPUTED_VALUE"""),"Otávio Ponciano")</f>
        <v>Otávio Ponciano</v>
      </c>
      <c r="E81" s="151" t="str">
        <f>IFERROR(__xludf.DUMMYFUNCTION("""COMPUTED_VALUE"""),"Co-Founder")</f>
        <v>Co-Founder</v>
      </c>
      <c r="F81" s="151" t="str">
        <f>IFERROR(__xludf.DUMMYFUNCTION("""COMPUTED_VALUE"""),"Right Business")</f>
        <v>Right Business</v>
      </c>
      <c r="G81" s="207" t="str">
        <f>IFERROR(__xludf.DUMMYFUNCTION("""COMPUTED_VALUE"""),"https://www.linkedin.com/in/ot%C3%A1vio-ponciano-a5b04018b/")</f>
        <v>https://www.linkedin.com/in/ot%C3%A1vio-ponciano-a5b04018b/</v>
      </c>
      <c r="H81" s="151" t="str">
        <f>IFERROR(__xludf.DUMMYFUNCTION("""COMPUTED_VALUE"""),"Conhecimento Técnico")</f>
        <v>Conhecimento Técnico</v>
      </c>
      <c r="I81" s="151" t="str">
        <f>IFERROR(__xludf.DUMMYFUNCTION("""COMPUTED_VALUE"""),"Gestão de Vendas")</f>
        <v>Gestão de Vendas</v>
      </c>
      <c r="J81" s="151" t="str">
        <f>IFERROR(__xludf.DUMMYFUNCTION("""COMPUTED_VALUE"""),"Ferramentas de Vendas")</f>
        <v>Ferramentas de Vendas</v>
      </c>
      <c r="K81" s="166" t="str">
        <f>IFERROR(__xludf.DUMMYFUNCTION("""COMPUTED_VALUE"""),"https://universidade.pipelovers.net/m/lessons/ia-na-pratica-potencialize-sua-performance-como-pre-vendedor1769552039520?classId=3469")</f>
        <v>https://universidade.pipelovers.net/m/lessons/ia-na-pratica-potencialize-sua-performance-como-pre-vendedor1769552039520?classId=3469</v>
      </c>
      <c r="L81" s="115" t="str">
        <f>IFERROR(__xludf.DUMMYFUNCTION("""COMPUTED_VALUE"""),"https://universidade.pipelovers.net/m/lessons/ia-na-pratica-potencialize-sua-performance-como-pre-vendedor1769552039520?classId=3469")</f>
        <v>https://universidade.pipelovers.net/m/lessons/ia-na-pratica-potencialize-sua-performance-como-pre-vendedor1769552039520?classId=3469</v>
      </c>
      <c r="M81" s="150">
        <f>IFERROR(__xludf.DUMMYFUNCTION("""COMPUTED_VALUE"""),3.14)</f>
        <v>3.14</v>
      </c>
      <c r="N81" s="151" t="str">
        <f>IFERROR(__xludf.DUMMYFUNCTION("""COMPUTED_VALUE"""),"70. PipeLovers💚SDRs: ""IA na Prática: Potencialize sua performance como pré-vendedor"" com Otávio Poncia (2023-12-06 08:06 GMT-3)")</f>
        <v>70. PipeLovers💚SDRs: "IA na Prática: Potencialize sua performance como pré-vendedor" com Otávio Poncia (2023-12-06 08:06 GMT-3)</v>
      </c>
      <c r="O81" s="151" t="str">
        <f>IFERROR(__xludf.DUMMYFUNCTION("""COMPUTED_VALUE"""),"")</f>
        <v/>
      </c>
      <c r="P81" s="118">
        <f>IFERROR(__xludf.DUMMYFUNCTION("""COMPUTED_VALUE"""),45355.0)</f>
        <v>45355</v>
      </c>
      <c r="Q81" s="151"/>
    </row>
    <row r="82">
      <c r="A82" s="73"/>
      <c r="B82" s="209" t="str">
        <f>IFERROR(__xludf.DUMMYFUNCTION("""COMPUTED_VALUE"""),"Pré-Vendas (Prospecção)")</f>
        <v>Pré-Vendas (Prospecção)</v>
      </c>
      <c r="C82" s="104" t="str">
        <f>IFERROR(__xludf.DUMMYFUNCTION("""COMPUTED_VALUE"""),"Técnicas de aprendizado ""lado-a-lado"" com pares")</f>
        <v>Técnicas de aprendizado "lado-a-lado" com pares</v>
      </c>
      <c r="D82" s="104" t="str">
        <f>IFERROR(__xludf.DUMMYFUNCTION("""COMPUTED_VALUE"""),"Otavio Fortunato")</f>
        <v>Otavio Fortunato</v>
      </c>
      <c r="E82" s="228" t="str">
        <f>IFERROR(__xludf.DUMMYFUNCTION("""COMPUTED_VALUE"""),"Manager, SDR LATAM")</f>
        <v>Manager, SDR LATAM</v>
      </c>
      <c r="F82" s="228" t="str">
        <f>IFERROR(__xludf.DUMMYFUNCTION("""COMPUTED_VALUE"""),"DocuSign")</f>
        <v>DocuSign</v>
      </c>
      <c r="G82" s="229" t="str">
        <f>IFERROR(__xludf.DUMMYFUNCTION("""COMPUTED_VALUE"""),"https://www.linkedin.com/in/otavioafortunato/")</f>
        <v>https://www.linkedin.com/in/otavioafortunato/</v>
      </c>
      <c r="H82" s="228" t="str">
        <f>IFERROR(__xludf.DUMMYFUNCTION("""COMPUTED_VALUE"""),"Autodesenvolvimento")</f>
        <v>Autodesenvolvimento</v>
      </c>
      <c r="I82" s="228" t="str">
        <f>IFERROR(__xludf.DUMMYFUNCTION("""COMPUTED_VALUE"""),"Aprendizado Ativo")</f>
        <v>Aprendizado Ativo</v>
      </c>
      <c r="J82" s="228" t="str">
        <f>IFERROR(__xludf.DUMMYFUNCTION("""COMPUTED_VALUE"""),"Benchmarking")</f>
        <v>Benchmarking</v>
      </c>
      <c r="K82" s="114" t="str">
        <f>IFERROR(__xludf.DUMMYFUNCTION("""COMPUTED_VALUE"""),"https://universidade.pipelovers.net/m/lessons/tecnicas-de-aprendizado-lado-a-lado-com-pares1769552039424?classId=3470")</f>
        <v>https://universidade.pipelovers.net/m/lessons/tecnicas-de-aprendizado-lado-a-lado-com-pares1769552039424?classId=3470</v>
      </c>
      <c r="L82" s="115" t="str">
        <f>IFERROR(__xludf.DUMMYFUNCTION("""COMPUTED_VALUE"""),"https://universidade.pipelovers.net/m/lessons/tecnicas-de-aprendizado-lado-a-lado-com-pares1769552039424?classId=3470")</f>
        <v>https://universidade.pipelovers.net/m/lessons/tecnicas-de-aprendizado-lado-a-lado-com-pares1769552039424?classId=3470</v>
      </c>
      <c r="M82" s="150">
        <f>IFERROR(__xludf.DUMMYFUNCTION("""COMPUTED_VALUE"""),4.21)</f>
        <v>4.21</v>
      </c>
      <c r="N82" s="151" t="str">
        <f>IFERROR(__xludf.DUMMYFUNCTION("""COMPUTED_VALUE"""),"71. PipeLovers💚SDRs: ""Técnicas de aprendizado ""lado-a-lado"" com pares"" com Otavio Fortunato (2023-12-13 08:06 GMT-3)")</f>
        <v>71. PipeLovers💚SDRs: "Técnicas de aprendizado "lado-a-lado" com pares" com Otavio Fortunato (2023-12-13 08:06 GMT-3)</v>
      </c>
      <c r="O82" s="228" t="str">
        <f>IFERROR(__xludf.DUMMYFUNCTION("""COMPUTED_VALUE"""),"")</f>
        <v/>
      </c>
      <c r="P82" s="118">
        <f>IFERROR(__xludf.DUMMYFUNCTION("""COMPUTED_VALUE"""),45362.0)</f>
        <v>45362</v>
      </c>
      <c r="Q82" s="228"/>
    </row>
    <row r="83">
      <c r="A83" s="73"/>
      <c r="B83" s="209" t="str">
        <f>IFERROR(__xludf.DUMMYFUNCTION("""COMPUTED_VALUE"""),"Pré-Vendas (Prospecção)")</f>
        <v>Pré-Vendas (Prospecção)</v>
      </c>
      <c r="C83" s="119" t="str">
        <f>IFERROR(__xludf.DUMMYFUNCTION("""COMPUTED_VALUE"""),"Segmentos para focar sua prospecção em 2024")</f>
        <v>Segmentos para focar sua prospecção em 2024</v>
      </c>
      <c r="D83" s="119" t="str">
        <f>IFERROR(__xludf.DUMMYFUNCTION("""COMPUTED_VALUE"""),"Carlos Henrique Campos")</f>
        <v>Carlos Henrique Campos</v>
      </c>
      <c r="E83" s="151" t="str">
        <f>IFERROR(__xludf.DUMMYFUNCTION("""COMPUTED_VALUE"""),"Founder &amp; CEO")</f>
        <v>Founder &amp; CEO</v>
      </c>
      <c r="F83" s="151" t="str">
        <f>IFERROR(__xludf.DUMMYFUNCTION("""COMPUTED_VALUE"""),"Mkt4Sales")</f>
        <v>Mkt4Sales</v>
      </c>
      <c r="G83" s="207" t="str">
        <f>IFERROR(__xludf.DUMMYFUNCTION("""COMPUTED_VALUE"""),"https://www.linkedin.com/in/carloshacampos/")</f>
        <v>https://www.linkedin.com/in/carloshacampos/</v>
      </c>
      <c r="H83" s="151" t="str">
        <f>IFERROR(__xludf.DUMMYFUNCTION("""COMPUTED_VALUE"""),"Visão de Negócios")</f>
        <v>Visão de Negócios</v>
      </c>
      <c r="I83" s="151" t="str">
        <f>IFERROR(__xludf.DUMMYFUNCTION("""COMPUTED_VALUE"""),"Tendências de Mercado")</f>
        <v>Tendências de Mercado</v>
      </c>
      <c r="J83" s="151" t="str">
        <f>IFERROR(__xludf.DUMMYFUNCTION("""COMPUTED_VALUE"""),"Perfil do Comprador B2B")</f>
        <v>Perfil do Comprador B2B</v>
      </c>
      <c r="K83" s="128" t="str">
        <f>IFERROR(__xludf.DUMMYFUNCTION("""COMPUTED_VALUE"""),"https://universidade.pipelovers.net/m/lessons/segmentos-para-focar-sua-prospeccao-em-20241769552039464?classId=3471")</f>
        <v>https://universidade.pipelovers.net/m/lessons/segmentos-para-focar-sua-prospeccao-em-20241769552039464?classId=3471</v>
      </c>
      <c r="L83" s="115" t="str">
        <f>IFERROR(__xludf.DUMMYFUNCTION("""COMPUTED_VALUE"""),"https://universidade.pipelovers.net/m/lessons/segmentos-para-focar-sua-prospeccao-em-20241769552039464?classId=3471")</f>
        <v>https://universidade.pipelovers.net/m/lessons/segmentos-para-focar-sua-prospeccao-em-20241769552039464?classId=3471</v>
      </c>
      <c r="M83" s="150">
        <f>IFERROR(__xludf.DUMMYFUNCTION("""COMPUTED_VALUE"""),3.86)</f>
        <v>3.86</v>
      </c>
      <c r="N83" s="151" t="str">
        <f>IFERROR(__xludf.DUMMYFUNCTION("""COMPUTED_VALUE"""),"72. PipeLovers💚SDRs: ""Segmentos para focar sua prospecção em 2024"" com Carlos Campos (2023-12-20 08:05 GMT-3)")</f>
        <v>72. PipeLovers💚SDRs: "Segmentos para focar sua prospecção em 2024" com Carlos Campos (2023-12-20 08:05 GMT-3)</v>
      </c>
      <c r="O83" s="151" t="str">
        <f>IFERROR(__xludf.DUMMYFUNCTION("""COMPUTED_VALUE"""),"")</f>
        <v/>
      </c>
      <c r="P83" s="118">
        <f>IFERROR(__xludf.DUMMYFUNCTION("""COMPUTED_VALUE"""),45369.0)</f>
        <v>45369</v>
      </c>
      <c r="Q83" s="151"/>
    </row>
    <row r="84">
      <c r="A84" s="73"/>
      <c r="B84" s="209" t="str">
        <f>IFERROR(__xludf.DUMMYFUNCTION("""COMPUTED_VALUE"""),"Pré-Vendas (Prospecção)")</f>
        <v>Pré-Vendas (Prospecção)</v>
      </c>
      <c r="C84" s="157" t="str">
        <f>IFERROR(__xludf.DUMMYFUNCTION("""COMPUTED_VALUE"""),"Superando a barreira das secretarias executivas")</f>
        <v>Superando a barreira das secretarias executivas</v>
      </c>
      <c r="D84" s="104" t="str">
        <f>IFERROR(__xludf.DUMMYFUNCTION("""COMPUTED_VALUE"""),"Régis Faccini")</f>
        <v>Régis Faccini</v>
      </c>
      <c r="E84" s="228" t="str">
        <f>IFERROR(__xludf.DUMMYFUNCTION("""COMPUTED_VALUE"""),"CEO &amp; Co-founder")</f>
        <v>CEO &amp; Co-founder</v>
      </c>
      <c r="F84" s="228" t="str">
        <f>IFERROR(__xludf.DUMMYFUNCTION("""COMPUTED_VALUE"""),"Qualifiquei Leads")</f>
        <v>Qualifiquei Leads</v>
      </c>
      <c r="G84" s="229" t="str">
        <f>IFERROR(__xludf.DUMMYFUNCTION("""COMPUTED_VALUE"""),"https://www.linkedin.com/in/regisfaccini/")</f>
        <v>https://www.linkedin.com/in/regisfaccini/</v>
      </c>
      <c r="H84" s="228" t="str">
        <f>IFERROR(__xludf.DUMMYFUNCTION("""COMPUTED_VALUE"""),"Conhecimento Técnico")</f>
        <v>Conhecimento Técnico</v>
      </c>
      <c r="I84" s="228" t="str">
        <f>IFERROR(__xludf.DUMMYFUNCTION("""COMPUTED_VALUE"""),"Técnicas de Vendas")</f>
        <v>Técnicas de Vendas</v>
      </c>
      <c r="J84" s="228" t="str">
        <f>IFERROR(__xludf.DUMMYFUNCTION("""COMPUTED_VALUE"""),"Abordagem e Prospecção")</f>
        <v>Abordagem e Prospecção</v>
      </c>
      <c r="K84" s="166" t="str">
        <f>IFERROR(__xludf.DUMMYFUNCTION("""COMPUTED_VALUE"""),"https://universidade.pipelovers.net/m/lessons/superando-a-barreira-das-secretarias-executivas1769552039558?classId=3473")</f>
        <v>https://universidade.pipelovers.net/m/lessons/superando-a-barreira-das-secretarias-executivas1769552039558?classId=3473</v>
      </c>
      <c r="L84" s="115" t="str">
        <f>IFERROR(__xludf.DUMMYFUNCTION("""COMPUTED_VALUE"""),"https://universidade.pipelovers.net/m/lessons/superando-a-barreira-das-secretarias-executivas1769552039558?classId=3473")</f>
        <v>https://universidade.pipelovers.net/m/lessons/superando-a-barreira-das-secretarias-executivas1769552039558?classId=3473</v>
      </c>
      <c r="M84" s="150">
        <f>IFERROR(__xludf.DUMMYFUNCTION("""COMPUTED_VALUE"""),2.79)</f>
        <v>2.79</v>
      </c>
      <c r="N84" s="151" t="str">
        <f>IFERROR(__xludf.DUMMYFUNCTION("""COMPUTED_VALUE"""),"73. PipeLovers💚SDRs: ""Superando a barreira das secretarias executivas"" com Régis Faccini (2024-01-10 08:05 GMT-3)")</f>
        <v>73. PipeLovers💚SDRs: "Superando a barreira das secretarias executivas" com Régis Faccini (2024-01-10 08:05 GMT-3)</v>
      </c>
      <c r="O84" s="228" t="str">
        <f>IFERROR(__xludf.DUMMYFUNCTION("""COMPUTED_VALUE"""),"")</f>
        <v/>
      </c>
      <c r="P84" s="118">
        <f>IFERROR(__xludf.DUMMYFUNCTION("""COMPUTED_VALUE"""),45376.0)</f>
        <v>45376</v>
      </c>
      <c r="Q84" s="228"/>
    </row>
    <row r="85">
      <c r="A85" s="73"/>
      <c r="B85" s="209" t="str">
        <f>IFERROR(__xludf.DUMMYFUNCTION("""COMPUTED_VALUE"""),"Pré-Vendas (Prospecção)")</f>
        <v>Pré-Vendas (Prospecção)</v>
      </c>
      <c r="C85" s="216" t="str">
        <f>IFERROR(__xludf.DUMMYFUNCTION("""COMPUTED_VALUE"""),"Como montar seu mapa de desenvolvimento?")</f>
        <v>Como montar seu mapa de desenvolvimento?</v>
      </c>
      <c r="D85" s="119" t="str">
        <f>IFERROR(__xludf.DUMMYFUNCTION("""COMPUTED_VALUE"""),"Léo Camargo")</f>
        <v>Léo Camargo</v>
      </c>
      <c r="E85" s="151" t="str">
        <f>IFERROR(__xludf.DUMMYFUNCTION("""COMPUTED_VALUE"""),"Fundador e Mentor")</f>
        <v>Fundador e Mentor</v>
      </c>
      <c r="F85" s="151" t="str">
        <f>IFERROR(__xludf.DUMMYFUNCTION("""COMPUTED_VALUE"""),"Insellrs")</f>
        <v>Insellrs</v>
      </c>
      <c r="G85" s="207" t="str">
        <f>IFERROR(__xludf.DUMMYFUNCTION("""COMPUTED_VALUE"""),"https://www.linkedin.com/in/leoinsidesales/")</f>
        <v>https://www.linkedin.com/in/leoinsidesales/</v>
      </c>
      <c r="H85" s="151" t="str">
        <f>IFERROR(__xludf.DUMMYFUNCTION("""COMPUTED_VALUE"""),"Autodesenvolvimento")</f>
        <v>Autodesenvolvimento</v>
      </c>
      <c r="I85" s="151" t="str">
        <f>IFERROR(__xludf.DUMMYFUNCTION("""COMPUTED_VALUE"""),"Gestão de Tempo e da Informação")</f>
        <v>Gestão de Tempo e da Informação</v>
      </c>
      <c r="J85" s="151" t="str">
        <f>IFERROR(__xludf.DUMMYFUNCTION("""COMPUTED_VALUE"""),"Técnicas de Organização e Rotina")</f>
        <v>Técnicas de Organização e Rotina</v>
      </c>
      <c r="K85" s="114" t="str">
        <f>IFERROR(__xludf.DUMMYFUNCTION("""COMPUTED_VALUE"""),"https://universidade.pipelovers.net/m/lessons/como-montar-seu-mapa-de-desenvolvimento1769552039584?classId=3474")</f>
        <v>https://universidade.pipelovers.net/m/lessons/como-montar-seu-mapa-de-desenvolvimento1769552039584?classId=3474</v>
      </c>
      <c r="L85" s="115" t="str">
        <f>IFERROR(__xludf.DUMMYFUNCTION("""COMPUTED_VALUE"""),"https://universidade.pipelovers.net/m/lessons/como-montar-seu-mapa-de-desenvolvimento1769552039584?classId=3474")</f>
        <v>https://universidade.pipelovers.net/m/lessons/como-montar-seu-mapa-de-desenvolvimento1769552039584?classId=3474</v>
      </c>
      <c r="M85" s="150">
        <f>IFERROR(__xludf.DUMMYFUNCTION("""COMPUTED_VALUE"""),3.86)</f>
        <v>3.86</v>
      </c>
      <c r="N85" s="151" t="str">
        <f>IFERROR(__xludf.DUMMYFUNCTION("""COMPUTED_VALUE"""),"74. PipeLovers💚SDRs: ""Como montar seu mapa de desenvolvimento?"" com Léo Camargo  (2024-01-17 08:05 GMT-3)")</f>
        <v>74. PipeLovers💚SDRs: "Como montar seu mapa de desenvolvimento?" com Léo Camargo  (2024-01-17 08:05 GMT-3)</v>
      </c>
      <c r="O85" s="151" t="str">
        <f>IFERROR(__xludf.DUMMYFUNCTION("""COMPUTED_VALUE"""),"")</f>
        <v/>
      </c>
      <c r="P85" s="118">
        <f>IFERROR(__xludf.DUMMYFUNCTION("""COMPUTED_VALUE"""),45383.0)</f>
        <v>45383</v>
      </c>
      <c r="Q85" s="151"/>
    </row>
    <row r="86">
      <c r="A86" s="73"/>
      <c r="B86" s="209" t="str">
        <f>IFERROR(__xludf.DUMMYFUNCTION("""COMPUTED_VALUE"""),"Pré-Vendas (Prospecção)")</f>
        <v>Pré-Vendas (Prospecção)</v>
      </c>
      <c r="C86" s="119" t="str">
        <f>IFERROR(__xludf.DUMMYFUNCTION("""COMPUTED_VALUE"""),"Funil Social Selling para SDRs: Como gerar mais leads e ligações mornas a partir do LinkedIn")</f>
        <v>Funil Social Selling para SDRs: Como gerar mais leads e ligações mornas a partir do LinkedIn</v>
      </c>
      <c r="D86" s="104" t="str">
        <f>IFERROR(__xludf.DUMMYFUNCTION("""COMPUTED_VALUE"""),"Felipe Matheus")</f>
        <v>Felipe Matheus</v>
      </c>
      <c r="E86" s="228" t="str">
        <f>IFERROR(__xludf.DUMMYFUNCTION("""COMPUTED_VALUE"""),"Treinador e Mentor")</f>
        <v>Treinador e Mentor</v>
      </c>
      <c r="F86" s="228" t="str">
        <f>IFERROR(__xludf.DUMMYFUNCTION("""COMPUTED_VALUE"""),"FM Social Selling")</f>
        <v>FM Social Selling</v>
      </c>
      <c r="G86" s="229" t="str">
        <f>IFERROR(__xludf.DUMMYFUNCTION("""COMPUTED_VALUE"""),"https://www.linkedin.com/in/felipematheus-social-selling/")</f>
        <v>https://www.linkedin.com/in/felipematheus-social-selling/</v>
      </c>
      <c r="H86" s="228" t="str">
        <f>IFERROR(__xludf.DUMMYFUNCTION("""COMPUTED_VALUE"""),"Conhecimento Técnico")</f>
        <v>Conhecimento Técnico</v>
      </c>
      <c r="I86" s="228" t="str">
        <f>IFERROR(__xludf.DUMMYFUNCTION("""COMPUTED_VALUE"""),"Técnicas de Vendas")</f>
        <v>Técnicas de Vendas</v>
      </c>
      <c r="J86" s="228" t="str">
        <f>IFERROR(__xludf.DUMMYFUNCTION("""COMPUTED_VALUE"""),"Abordagem e Prospecção")</f>
        <v>Abordagem e Prospecção</v>
      </c>
      <c r="K86" s="128" t="str">
        <f>IFERROR(__xludf.DUMMYFUNCTION("""COMPUTED_VALUE"""),"https://universidade.pipelovers.net/m/lessons/funil-social-selling-para-sdrs-como-gerar-mais-leads-e-ligacoes-mornas-a-partir-do-linkedin1769552039621?classId=3485")</f>
        <v>https://universidade.pipelovers.net/m/lessons/funil-social-selling-para-sdrs-como-gerar-mais-leads-e-ligacoes-mornas-a-partir-do-linkedin1769552039621?classId=3485</v>
      </c>
      <c r="L86" s="115" t="str">
        <f>IFERROR(__xludf.DUMMYFUNCTION("""COMPUTED_VALUE"""),"https://universidade.pipelovers.net/m/lessons/funil-social-selling-para-sdrs-como-gerar-mais-leads-e-ligacoes-mornas-a-partir-do-linkedin1769552039621?classId=3485")</f>
        <v>https://universidade.pipelovers.net/m/lessons/funil-social-selling-para-sdrs-como-gerar-mais-leads-e-ligacoes-mornas-a-partir-do-linkedin1769552039621?classId=3485</v>
      </c>
      <c r="M86" s="150">
        <f>IFERROR(__xludf.DUMMYFUNCTION("""COMPUTED_VALUE"""),4.36)</f>
        <v>4.36</v>
      </c>
      <c r="N86" s="151" t="str">
        <f>IFERROR(__xludf.DUMMYFUNCTION("""COMPUTED_VALUE"""),"75. PipeLovers💚SDRs: ""Funil Social Selling para SDRs: Como gerar mais leads e ligações mornas a partir (2024-01-24 08:05 GMT-3)")</f>
        <v>75. PipeLovers💚SDRs: "Funil Social Selling para SDRs: Como gerar mais leads e ligações mornas a partir (2024-01-24 08:05 GMT-3)</v>
      </c>
      <c r="O86" s="228" t="str">
        <f>IFERROR(__xludf.DUMMYFUNCTION("""COMPUTED_VALUE"""),"")</f>
        <v/>
      </c>
      <c r="P86" s="118">
        <f>IFERROR(__xludf.DUMMYFUNCTION("""COMPUTED_VALUE"""),45390.0)</f>
        <v>45390</v>
      </c>
      <c r="Q86" s="228"/>
    </row>
    <row r="87">
      <c r="A87" s="73"/>
      <c r="B87" s="209" t="str">
        <f>IFERROR(__xludf.DUMMYFUNCTION("""COMPUTED_VALUE"""),"Pré-Vendas (Prospecção)")</f>
        <v>Pré-Vendas (Prospecção)</v>
      </c>
      <c r="C87" s="145" t="str">
        <f>IFERROR(__xludf.DUMMYFUNCTION("""COMPUTED_VALUE"""),"Gestão de marca pessoal para pré vendedores")</f>
        <v>Gestão de marca pessoal para pré vendedores</v>
      </c>
      <c r="D87" s="119" t="str">
        <f>IFERROR(__xludf.DUMMYFUNCTION("""COMPUTED_VALUE"""),"Igor Paixão")</f>
        <v>Igor Paixão</v>
      </c>
      <c r="E87" s="151" t="str">
        <f>IFERROR(__xludf.DUMMYFUNCTION("""COMPUTED_VALUE"""),"Partner &amp; Pre Sales Coordinator")</f>
        <v>Partner &amp; Pre Sales Coordinator</v>
      </c>
      <c r="F87" s="151" t="str">
        <f>IFERROR(__xludf.DUMMYFUNCTION("""COMPUTED_VALUE"""),"G4 Educação")</f>
        <v>G4 Educação</v>
      </c>
      <c r="G87" s="207" t="str">
        <f>IFERROR(__xludf.DUMMYFUNCTION("""COMPUTED_VALUE"""),"https://www.linkedin.com/in/igor-paixao?utm_source=share&amp;utm_campaign=share_via&amp;utm_content=profile&amp;utm_medium=ios_app")</f>
        <v>https://www.linkedin.com/in/igor-paixao?utm_source=share&amp;utm_campaign=share_via&amp;utm_content=profile&amp;utm_medium=ios_app</v>
      </c>
      <c r="H87" s="151" t="str">
        <f>IFERROR(__xludf.DUMMYFUNCTION("""COMPUTED_VALUE"""),"Relacionamento Interpessoal")</f>
        <v>Relacionamento Interpessoal</v>
      </c>
      <c r="I87" s="151" t="str">
        <f>IFERROR(__xludf.DUMMYFUNCTION("""COMPUTED_VALUE"""),"Liderança e Influência")</f>
        <v>Liderança e Influência</v>
      </c>
      <c r="J87" s="151" t="str">
        <f>IFERROR(__xludf.DUMMYFUNCTION("""COMPUTED_VALUE"""),"Credibilidade e Reputação")</f>
        <v>Credibilidade e Reputação</v>
      </c>
      <c r="K87" s="166" t="str">
        <f>IFERROR(__xludf.DUMMYFUNCTION("""COMPUTED_VALUE"""),"https://universidade.pipelovers.net/m/lessons/gestao-de-marca-pessoal-para-pre-vendedores1769552039648?classId=3486")</f>
        <v>https://universidade.pipelovers.net/m/lessons/gestao-de-marca-pessoal-para-pre-vendedores1769552039648?classId=3486</v>
      </c>
      <c r="L87" s="115" t="str">
        <f>IFERROR(__xludf.DUMMYFUNCTION("""COMPUTED_VALUE"""),"https://universidade.pipelovers.net/m/lessons/gestao-de-marca-pessoal-para-pre-vendedores1769552039648?classId=3486")</f>
        <v>https://universidade.pipelovers.net/m/lessons/gestao-de-marca-pessoal-para-pre-vendedores1769552039648?classId=3486</v>
      </c>
      <c r="M87" s="150">
        <f>IFERROR(__xludf.DUMMYFUNCTION("""COMPUTED_VALUE"""),3.14)</f>
        <v>3.14</v>
      </c>
      <c r="N87" s="151" t="str">
        <f>IFERROR(__xludf.DUMMYFUNCTION("""COMPUTED_VALUE"""),"76. PipeLovers💚Pré-Vendas: ""Gestão de marca pessoal para pré vendedores"" com Igor Paixão (2024-01-31 08:05 GMT-3)")</f>
        <v>76. PipeLovers💚Pré-Vendas: "Gestão de marca pessoal para pré vendedores" com Igor Paixão (2024-01-31 08:05 GMT-3)</v>
      </c>
      <c r="O87" s="151" t="str">
        <f>IFERROR(__xludf.DUMMYFUNCTION("""COMPUTED_VALUE"""),"")</f>
        <v/>
      </c>
      <c r="P87" s="118">
        <f>IFERROR(__xludf.DUMMYFUNCTION("""COMPUTED_VALUE"""),45397.0)</f>
        <v>45397</v>
      </c>
      <c r="Q87" s="151"/>
    </row>
    <row r="88">
      <c r="A88" s="73"/>
      <c r="B88" s="209" t="str">
        <f>IFERROR(__xludf.DUMMYFUNCTION("""COMPUTED_VALUE"""),"Pré-Vendas (Prospecção)")</f>
        <v>Pré-Vendas (Prospecção)</v>
      </c>
      <c r="C88" s="157" t="str">
        <f>IFERROR(__xludf.DUMMYFUNCTION("""COMPUTED_VALUE"""),"Como aproveitar a sobra de budget na prospecção?")</f>
        <v>Como aproveitar a sobra de budget na prospecção?</v>
      </c>
      <c r="D88" s="104" t="str">
        <f>IFERROR(__xludf.DUMMYFUNCTION("""COMPUTED_VALUE"""),"Rafael Portella")</f>
        <v>Rafael Portella</v>
      </c>
      <c r="E88" s="228" t="str">
        <f>IFERROR(__xludf.DUMMYFUNCTION("""COMPUTED_VALUE"""),"Head of Sales")</f>
        <v>Head of Sales</v>
      </c>
      <c r="F88" s="228" t="str">
        <f>IFERROR(__xludf.DUMMYFUNCTION("""COMPUTED_VALUE"""),"Hyper")</f>
        <v>Hyper</v>
      </c>
      <c r="G88" s="229" t="str">
        <f>IFERROR(__xludf.DUMMYFUNCTION("""COMPUTED_VALUE"""),"https://www.linkedin.com/in/portellarafael/")</f>
        <v>https://www.linkedin.com/in/portellarafael/</v>
      </c>
      <c r="H88" s="228" t="str">
        <f>IFERROR(__xludf.DUMMYFUNCTION("""COMPUTED_VALUE"""),"Conhecimento Técnico")</f>
        <v>Conhecimento Técnico</v>
      </c>
      <c r="I88" s="228" t="str">
        <f>IFERROR(__xludf.DUMMYFUNCTION("""COMPUTED_VALUE"""),"Técnicas de Vendas")</f>
        <v>Técnicas de Vendas</v>
      </c>
      <c r="J88" s="228" t="str">
        <f>IFERROR(__xludf.DUMMYFUNCTION("""COMPUTED_VALUE"""),"Abordagem e Prospecção")</f>
        <v>Abordagem e Prospecção</v>
      </c>
      <c r="K88" s="166" t="str">
        <f>IFERROR(__xludf.DUMMYFUNCTION("""COMPUTED_VALUE"""),"https://universidade.pipelovers.net/m/lessons/como-aproveitar-a-sobra-de-budget-na-prospeccao1769552039688?classId=3487")</f>
        <v>https://universidade.pipelovers.net/m/lessons/como-aproveitar-a-sobra-de-budget-na-prospeccao1769552039688?classId=3487</v>
      </c>
      <c r="L88" s="115" t="str">
        <f>IFERROR(__xludf.DUMMYFUNCTION("""COMPUTED_VALUE"""),"https://universidade.pipelovers.net/m/lessons/como-aproveitar-a-sobra-de-budget-na-prospeccao1769552039688?classId=3487")</f>
        <v>https://universidade.pipelovers.net/m/lessons/como-aproveitar-a-sobra-de-budget-na-prospeccao1769552039688?classId=3487</v>
      </c>
      <c r="M88" s="150">
        <f>IFERROR(__xludf.DUMMYFUNCTION("""COMPUTED_VALUE"""),1.0)</f>
        <v>1</v>
      </c>
      <c r="N88" s="151" t="str">
        <f>IFERROR(__xludf.DUMMYFUNCTION("""COMPUTED_VALUE"""),"77. PipeLovers💚SDRs: ""Como aproveitar a sobra de budget na prospecção?"" com Rafael Portella (2024-02-07 08:05 GMT-3)")</f>
        <v>77. PipeLovers💚SDRs: "Como aproveitar a sobra de budget na prospecção?" com Rafael Portella (2024-02-07 08:05 GMT-3)</v>
      </c>
      <c r="O88" s="228" t="str">
        <f>IFERROR(__xludf.DUMMYFUNCTION("""COMPUTED_VALUE"""),"")</f>
        <v/>
      </c>
      <c r="P88" s="118">
        <f>IFERROR(__xludf.DUMMYFUNCTION("""COMPUTED_VALUE"""),45404.0)</f>
        <v>45404</v>
      </c>
      <c r="Q88" s="228"/>
    </row>
    <row r="89">
      <c r="A89" s="73"/>
      <c r="B89" s="209" t="str">
        <f>IFERROR(__xludf.DUMMYFUNCTION("""COMPUTED_VALUE"""),"Pré-Vendas (Prospecção)")</f>
        <v>Pré-Vendas (Prospecção)</v>
      </c>
      <c r="C89" s="145" t="str">
        <f>IFERROR(__xludf.DUMMYFUNCTION("""COMPUTED_VALUE"""),"Preciso ser especialista no produto para saber prospectar?")</f>
        <v>Preciso ser especialista no produto para saber prospectar?</v>
      </c>
      <c r="D89" s="119" t="str">
        <f>IFERROR(__xludf.DUMMYFUNCTION("""COMPUTED_VALUE"""),"Clarissa Martins")</f>
        <v>Clarissa Martins</v>
      </c>
      <c r="E89" s="151" t="str">
        <f>IFERROR(__xludf.DUMMYFUNCTION("""COMPUTED_VALUE"""),"Superintendente de Novos Negócios")</f>
        <v>Superintendente de Novos Negócios</v>
      </c>
      <c r="F89" s="151" t="str">
        <f>IFERROR(__xludf.DUMMYFUNCTION("""COMPUTED_VALUE"""),"LG")</f>
        <v>LG</v>
      </c>
      <c r="G89" s="207" t="str">
        <f>IFERROR(__xludf.DUMMYFUNCTION("""COMPUTED_VALUE"""),"https://www.linkedin.com/in/clarissa-vilela-martins/")</f>
        <v>https://www.linkedin.com/in/clarissa-vilela-martins/</v>
      </c>
      <c r="H89" s="151" t="str">
        <f>IFERROR(__xludf.DUMMYFUNCTION("""COMPUTED_VALUE"""),"Visão de Negócios")</f>
        <v>Visão de Negócios</v>
      </c>
      <c r="I89" s="228" t="str">
        <f>IFERROR(__xludf.DUMMYFUNCTION("""COMPUTED_VALUE"""),"Conhecimento de Produto e Negócio")</f>
        <v>Conhecimento de Produto e Negócio</v>
      </c>
      <c r="J89" s="151" t="str">
        <f>IFERROR(__xludf.DUMMYFUNCTION("""COMPUTED_VALUE"""),"Jornada de Compra do Cliente")</f>
        <v>Jornada de Compra do Cliente</v>
      </c>
      <c r="K89" s="166" t="str">
        <f>IFERROR(__xludf.DUMMYFUNCTION("""COMPUTED_VALUE"""),"https://universidade.pipelovers.net/m/lessons/preciso-ser-especialista-no-produto-para-saber-prospectar1769552039716?classId=3488")</f>
        <v>https://universidade.pipelovers.net/m/lessons/preciso-ser-especialista-no-produto-para-saber-prospectar1769552039716?classId=3488</v>
      </c>
      <c r="L89" s="115" t="str">
        <f>IFERROR(__xludf.DUMMYFUNCTION("""COMPUTED_VALUE"""),"https://universidade.pipelovers.net/m/lessons/preciso-ser-especialista-no-produto-para-saber-prospectar1769552039716?classId=3488")</f>
        <v>https://universidade.pipelovers.net/m/lessons/preciso-ser-especialista-no-produto-para-saber-prospectar1769552039716?classId=3488</v>
      </c>
      <c r="M89" s="150">
        <f>IFERROR(__xludf.DUMMYFUNCTION("""COMPUTED_VALUE"""),3.5)</f>
        <v>3.5</v>
      </c>
      <c r="N89" s="151" t="str">
        <f>IFERROR(__xludf.DUMMYFUNCTION("""COMPUTED_VALUE"""),"78. PipeLovers💚SDRs: ""Preciso ser especialista no produto para saber prospectar?"" com Clarissa Martins (2024-02-21 08:05 GMT-3)")</f>
        <v>78. PipeLovers💚SDRs: "Preciso ser especialista no produto para saber prospectar?" com Clarissa Martins (2024-02-21 08:05 GMT-3)</v>
      </c>
      <c r="O89" s="151" t="str">
        <f>IFERROR(__xludf.DUMMYFUNCTION("""COMPUTED_VALUE"""),"")</f>
        <v/>
      </c>
      <c r="P89" s="118">
        <f>IFERROR(__xludf.DUMMYFUNCTION("""COMPUTED_VALUE"""),45411.0)</f>
        <v>45411</v>
      </c>
      <c r="Q89" s="151"/>
    </row>
    <row r="90">
      <c r="A90" s="73"/>
      <c r="B90" s="209" t="str">
        <f>IFERROR(__xludf.DUMMYFUNCTION("""COMPUTED_VALUE"""),"Pré-Vendas (Prospecção)")</f>
        <v>Pré-Vendas (Prospecção)</v>
      </c>
      <c r="C90" s="104" t="str">
        <f>IFERROR(__xludf.DUMMYFUNCTION("""COMPUTED_VALUE"""),"Diferenças de pré-vendas no Brasil e nos EUA")</f>
        <v>Diferenças de pré-vendas no Brasil e nos EUA</v>
      </c>
      <c r="D90" s="104" t="str">
        <f>IFERROR(__xludf.DUMMYFUNCTION("""COMPUTED_VALUE"""),"Marcello Torres")</f>
        <v>Marcello Torres</v>
      </c>
      <c r="E90" s="228" t="str">
        <f>IFERROR(__xludf.DUMMYFUNCTION("""COMPUTED_VALUE"""),"Head of Sales Development")</f>
        <v>Head of Sales Development</v>
      </c>
      <c r="F90" s="228" t="str">
        <f>IFERROR(__xludf.DUMMYFUNCTION("""COMPUTED_VALUE"""),"Linkedin")</f>
        <v>Linkedin</v>
      </c>
      <c r="G90" s="229" t="str">
        <f>IFERROR(__xludf.DUMMYFUNCTION("""COMPUTED_VALUE"""),"https://www.linkedin.com/in/marcellotorres/")</f>
        <v>https://www.linkedin.com/in/marcellotorres/</v>
      </c>
      <c r="H90" s="228" t="str">
        <f>IFERROR(__xludf.DUMMYFUNCTION("""COMPUTED_VALUE"""),"Visão de Negócios")</f>
        <v>Visão de Negócios</v>
      </c>
      <c r="I90" s="228" t="str">
        <f>IFERROR(__xludf.DUMMYFUNCTION("""COMPUTED_VALUE"""),"Tendências de Mercado")</f>
        <v>Tendências de Mercado</v>
      </c>
      <c r="J90" s="228" t="str">
        <f>IFERROR(__xludf.DUMMYFUNCTION("""COMPUTED_VALUE"""),"Cenário Internacional")</f>
        <v>Cenário Internacional</v>
      </c>
      <c r="K90" s="114" t="str">
        <f>IFERROR(__xludf.DUMMYFUNCTION("""COMPUTED_VALUE"""),"https://universidade.pipelovers.net/m/lessons/diferencas-de-pre-vendas-no-brasil-e-nos-eua1769552039741?classId=3492")</f>
        <v>https://universidade.pipelovers.net/m/lessons/diferencas-de-pre-vendas-no-brasil-e-nos-eua1769552039741?classId=3492</v>
      </c>
      <c r="L90" s="115" t="str">
        <f>IFERROR(__xludf.DUMMYFUNCTION("""COMPUTED_VALUE"""),"https://universidade.pipelovers.net/m/lessons/diferencas-de-pre-vendas-no-brasil-e-nos-eua1769552039741?classId=3492")</f>
        <v>https://universidade.pipelovers.net/m/lessons/diferencas-de-pre-vendas-no-brasil-e-nos-eua1769552039741?classId=3492</v>
      </c>
      <c r="M90" s="150">
        <f>IFERROR(__xludf.DUMMYFUNCTION("""COMPUTED_VALUE"""),4.64)</f>
        <v>4.64</v>
      </c>
      <c r="N90" s="151" t="str">
        <f>IFERROR(__xludf.DUMMYFUNCTION("""COMPUTED_VALUE"""),"79. PipeLovers💚SDRs: ""Diferenças de pré-vendas no Brasil e nos EUA"" com Marcello Torres (2024-02-28 18:36 GMT-3)")</f>
        <v>79. PipeLovers💚SDRs: "Diferenças de pré-vendas no Brasil e nos EUA" com Marcello Torres (2024-02-28 18:36 GMT-3)</v>
      </c>
      <c r="O90" s="228" t="str">
        <f>IFERROR(__xludf.DUMMYFUNCTION("""COMPUTED_VALUE"""),"")</f>
        <v/>
      </c>
      <c r="P90" s="118">
        <f>IFERROR(__xludf.DUMMYFUNCTION("""COMPUTED_VALUE"""),45418.0)</f>
        <v>45418</v>
      </c>
      <c r="Q90" s="228"/>
    </row>
    <row r="91">
      <c r="A91" s="73"/>
      <c r="B91" s="209" t="str">
        <f>IFERROR(__xludf.DUMMYFUNCTION("""COMPUTED_VALUE"""),"Pré-Vendas (Prospecção)")</f>
        <v>Pré-Vendas (Prospecção)</v>
      </c>
      <c r="C91" s="145" t="str">
        <f>IFERROR(__xludf.DUMMYFUNCTION("""COMPUTED_VALUE"""),"Contorno de objeções na prospecção B2B")</f>
        <v>Contorno de objeções na prospecção B2B</v>
      </c>
      <c r="D91" s="119" t="str">
        <f>IFERROR(__xludf.DUMMYFUNCTION("""COMPUTED_VALUE"""),"Jordete Braga")</f>
        <v>Jordete Braga</v>
      </c>
      <c r="E91" s="151" t="str">
        <f>IFERROR(__xludf.DUMMYFUNCTION("""COMPUTED_VALUE"""),"Sócia")</f>
        <v>Sócia</v>
      </c>
      <c r="F91" s="151" t="str">
        <f>IFERROR(__xludf.DUMMYFUNCTION("""COMPUTED_VALUE"""),"Owner Of Sales")</f>
        <v>Owner Of Sales</v>
      </c>
      <c r="G91" s="207" t="str">
        <f>IFERROR(__xludf.DUMMYFUNCTION("""COMPUTED_VALUE"""),"https://www.linkedin.com/in/jordetebraga/")</f>
        <v>https://www.linkedin.com/in/jordetebraga/</v>
      </c>
      <c r="H91" s="151" t="str">
        <f>IFERROR(__xludf.DUMMYFUNCTION("""COMPUTED_VALUE"""),"Conhecimento Técnico")</f>
        <v>Conhecimento Técnico</v>
      </c>
      <c r="I91" s="151" t="str">
        <f>IFERROR(__xludf.DUMMYFUNCTION("""COMPUTED_VALUE"""),"Técnicas de Vendas")</f>
        <v>Técnicas de Vendas</v>
      </c>
      <c r="J91" s="151" t="str">
        <f>IFERROR(__xludf.DUMMYFUNCTION("""COMPUTED_VALUE"""),"Contorno de Objeções")</f>
        <v>Contorno de Objeções</v>
      </c>
      <c r="K91" s="166" t="str">
        <f>IFERROR(__xludf.DUMMYFUNCTION("""COMPUTED_VALUE"""),"https://universidade.pipelovers.net/m/lessons/contorno-de-objecoes-na-prospeccao-b2b1769552039804?classId=3489")</f>
        <v>https://universidade.pipelovers.net/m/lessons/contorno-de-objecoes-na-prospeccao-b2b1769552039804?classId=3489</v>
      </c>
      <c r="L91" s="115" t="str">
        <f>IFERROR(__xludf.DUMMYFUNCTION("""COMPUTED_VALUE"""),"https://universidade.pipelovers.net/m/lessons/contorno-de-objecoes-na-prospeccao-b2b1769552039804?classId=3489")</f>
        <v>https://universidade.pipelovers.net/m/lessons/contorno-de-objecoes-na-prospeccao-b2b1769552039804?classId=3489</v>
      </c>
      <c r="M91" s="150">
        <f>IFERROR(__xludf.DUMMYFUNCTION("""COMPUTED_VALUE"""),3.5)</f>
        <v>3.5</v>
      </c>
      <c r="N91" s="151" t="str">
        <f>IFERROR(__xludf.DUMMYFUNCTION("""COMPUTED_VALUE"""),"80. PipeLovers💚SDRs: ""Contorno de objeções na prospecção B2B"" com Jordete Braga (2024-03-06 08:06 GMT-3)")</f>
        <v>80. PipeLovers💚SDRs: "Contorno de objeções na prospecção B2B" com Jordete Braga (2024-03-06 08:06 GMT-3)</v>
      </c>
      <c r="O91" s="151" t="str">
        <f>IFERROR(__xludf.DUMMYFUNCTION("""COMPUTED_VALUE"""),"")</f>
        <v/>
      </c>
      <c r="P91" s="118">
        <f>IFERROR(__xludf.DUMMYFUNCTION("""COMPUTED_VALUE"""),45425.0)</f>
        <v>45425</v>
      </c>
      <c r="Q91" s="151"/>
    </row>
    <row r="92" hidden="1">
      <c r="A92" s="73"/>
      <c r="B92" s="209" t="str">
        <f>IFERROR(__xludf.DUMMYFUNCTION("""COMPUTED_VALUE"""),"Pré-Vendas (Prospecção)")</f>
        <v>Pré-Vendas (Prospecção)</v>
      </c>
      <c r="C92" s="157" t="str">
        <f>IFERROR(__xludf.DUMMYFUNCTION("""COMPUTED_VALUE"""),"Técnicas de Cold Call para prospecção ativa")</f>
        <v>Técnicas de Cold Call para prospecção ativa</v>
      </c>
      <c r="D92" s="104" t="str">
        <f>IFERROR(__xludf.DUMMYFUNCTION("""COMPUTED_VALUE"""),"Thiago Jacomo")</f>
        <v>Thiago Jacomo</v>
      </c>
      <c r="E92" s="228" t="str">
        <f>IFERROR(__xludf.DUMMYFUNCTION("""COMPUTED_VALUE"""),"Founder")</f>
        <v>Founder</v>
      </c>
      <c r="F92" s="228" t="str">
        <f>IFERROR(__xludf.DUMMYFUNCTION("""COMPUTED_VALUE"""),"TMJ Consultoria Comercial e Consultor Certificado na Receita Previsível")</f>
        <v>TMJ Consultoria Comercial e Consultor Certificado na Receita Previsível</v>
      </c>
      <c r="G92" s="229" t="str">
        <f>IFERROR(__xludf.DUMMYFUNCTION("""COMPUTED_VALUE"""),"https://www.linkedin.com/in/thiagojacomo/")</f>
        <v>https://www.linkedin.com/in/thiagojacomo/</v>
      </c>
      <c r="H92" s="228" t="str">
        <f>IFERROR(__xludf.DUMMYFUNCTION("""COMPUTED_VALUE"""),"Conhecimento Técnico")</f>
        <v>Conhecimento Técnico</v>
      </c>
      <c r="I92" s="228" t="str">
        <f>IFERROR(__xludf.DUMMYFUNCTION("""COMPUTED_VALUE"""),"Técnicas de Vendas")</f>
        <v>Técnicas de Vendas</v>
      </c>
      <c r="J92" s="228" t="str">
        <f>IFERROR(__xludf.DUMMYFUNCTION("""COMPUTED_VALUE"""),"Abordagem e Prospecção")</f>
        <v>Abordagem e Prospecção</v>
      </c>
      <c r="K92" s="166" t="str">
        <f>IFERROR(__xludf.DUMMYFUNCTION("""COMPUTED_VALUE"""),"https://universidade.pipelovers.net/m/lessons/tecnicas-de-cold-call-para-prospeccao-ativa1769552039776?classId=3497")</f>
        <v>https://universidade.pipelovers.net/m/lessons/tecnicas-de-cold-call-para-prospeccao-ativa1769552039776?classId=3497</v>
      </c>
      <c r="L92" s="115" t="str">
        <f>IFERROR(__xludf.DUMMYFUNCTION("""COMPUTED_VALUE"""),"https://universidade.pipelovers.net/m/lessons/tecnicas-de-cold-call-para-prospeccao-ativa1769552039776?classId=3497")</f>
        <v>https://universidade.pipelovers.net/m/lessons/tecnicas-de-cold-call-para-prospeccao-ativa1769552039776?classId=3497</v>
      </c>
      <c r="M92" s="150">
        <f>IFERROR(__xludf.DUMMYFUNCTION("""COMPUTED_VALUE"""),1.0)</f>
        <v>1</v>
      </c>
      <c r="N92" s="151" t="str">
        <f>IFERROR(__xludf.DUMMYFUNCTION("""COMPUTED_VALUE"""),"81. PipeLovers💚SDRs: ""Técnicas de Cold Call para prospecção ativa"" com Thiago Jacomo (2024-03-13 08:06 GMT-3)")</f>
        <v>81. PipeLovers💚SDRs: "Técnicas de Cold Call para prospecção ativa" com Thiago Jacomo (2024-03-13 08:06 GMT-3)</v>
      </c>
      <c r="O92" s="228" t="str">
        <f>IFERROR(__xludf.DUMMYFUNCTION("""COMPUTED_VALUE"""),"")</f>
        <v/>
      </c>
      <c r="P92" s="118">
        <f>IFERROR(__xludf.DUMMYFUNCTION("""COMPUTED_VALUE"""),45432.0)</f>
        <v>45432</v>
      </c>
      <c r="Q92" s="228"/>
    </row>
    <row r="93">
      <c r="A93" s="73"/>
      <c r="B93" s="209" t="str">
        <f>IFERROR(__xludf.DUMMYFUNCTION("""COMPUTED_VALUE"""),"Pré-Vendas (Prospecção)")</f>
        <v>Pré-Vendas (Prospecção)</v>
      </c>
      <c r="C93" s="216" t="str">
        <f>IFERROR(__xludf.DUMMYFUNCTION("""COMPUTED_VALUE"""),"O impacto de soluções de sales engagement na produtividade")</f>
        <v>O impacto de soluções de sales engagement na produtividade</v>
      </c>
      <c r="D93" s="119" t="str">
        <f>IFERROR(__xludf.DUMMYFUNCTION("""COMPUTED_VALUE"""),"Rui Aviz")</f>
        <v>Rui Aviz</v>
      </c>
      <c r="E93" s="151" t="str">
        <f>IFERROR(__xludf.DUMMYFUNCTION("""COMPUTED_VALUE"""),"Head of Sales")</f>
        <v>Head of Sales</v>
      </c>
      <c r="F93" s="151" t="str">
        <f>IFERROR(__xludf.DUMMYFUNCTION("""COMPUTED_VALUE"""),"Meetime")</f>
        <v>Meetime</v>
      </c>
      <c r="G93" s="207" t="str">
        <f>IFERROR(__xludf.DUMMYFUNCTION("""COMPUTED_VALUE"""),"https://www.linkedin.com/in/ruiaviz/")</f>
        <v>https://www.linkedin.com/in/ruiaviz/</v>
      </c>
      <c r="H93" s="151" t="str">
        <f>IFERROR(__xludf.DUMMYFUNCTION("""COMPUTED_VALUE"""),"Conhecimento Técnico")</f>
        <v>Conhecimento Técnico</v>
      </c>
      <c r="I93" s="151" t="str">
        <f>IFERROR(__xludf.DUMMYFUNCTION("""COMPUTED_VALUE"""),"Gestão de Vendas")</f>
        <v>Gestão de Vendas</v>
      </c>
      <c r="J93" s="151" t="str">
        <f>IFERROR(__xludf.DUMMYFUNCTION("""COMPUTED_VALUE"""),"Ferramentas de Vendas")</f>
        <v>Ferramentas de Vendas</v>
      </c>
      <c r="K93" s="128" t="str">
        <f>IFERROR(__xludf.DUMMYFUNCTION("""COMPUTED_VALUE"""),"https://universidade.pipelovers.net/m/lessons/o-impacto-de-solucoes-de-sales-engagement-na-produtividade1769552039831?classId=3498")</f>
        <v>https://universidade.pipelovers.net/m/lessons/o-impacto-de-solucoes-de-sales-engagement-na-produtividade1769552039831?classId=3498</v>
      </c>
      <c r="L93" s="115" t="str">
        <f>IFERROR(__xludf.DUMMYFUNCTION("""COMPUTED_VALUE"""),"https://universidade.pipelovers.net/m/lessons/o-impacto-de-solucoes-de-sales-engagement-na-produtividade1769552039831?classId=3498")</f>
        <v>https://universidade.pipelovers.net/m/lessons/o-impacto-de-solucoes-de-sales-engagement-na-produtividade1769552039831?classId=3498</v>
      </c>
      <c r="M93" s="150">
        <f>IFERROR(__xludf.DUMMYFUNCTION("""COMPUTED_VALUE"""),4.21)</f>
        <v>4.21</v>
      </c>
      <c r="N93" s="151" t="str">
        <f>IFERROR(__xludf.DUMMYFUNCTION("""COMPUTED_VALUE"""),"82. PipeLovers💚SDRs: ""O impacto de soluções de sales engagement na produtividade"" com Rui Aviz (2024-03-20 08:04 GMT-3)")</f>
        <v>82. PipeLovers💚SDRs: "O impacto de soluções de sales engagement na produtividade" com Rui Aviz (2024-03-20 08:04 GMT-3)</v>
      </c>
      <c r="O93" s="151" t="str">
        <f>IFERROR(__xludf.DUMMYFUNCTION("""COMPUTED_VALUE"""),"")</f>
        <v/>
      </c>
      <c r="P93" s="118">
        <f>IFERROR(__xludf.DUMMYFUNCTION("""COMPUTED_VALUE"""),45439.0)</f>
        <v>45439</v>
      </c>
      <c r="Q93" s="151"/>
    </row>
    <row r="94">
      <c r="A94" s="73"/>
      <c r="B94" s="209" t="str">
        <f>IFERROR(__xludf.DUMMYFUNCTION("""COMPUTED_VALUE"""),"Pré-Vendas (Prospecção)")</f>
        <v>Pré-Vendas (Prospecção)</v>
      </c>
      <c r="C94" s="157" t="str">
        <f>IFERROR(__xludf.DUMMYFUNCTION("""COMPUTED_VALUE"""),"Abordagens de prospecção para o RH")</f>
        <v>Abordagens de prospecção para o RH</v>
      </c>
      <c r="D94" s="104" t="str">
        <f>IFERROR(__xludf.DUMMYFUNCTION("""COMPUTED_VALUE"""),"Vitor Hugo Lourenço")</f>
        <v>Vitor Hugo Lourenço</v>
      </c>
      <c r="E94" s="228" t="str">
        <f>IFERROR(__xludf.DUMMYFUNCTION("""COMPUTED_VALUE"""),"Head of Sales")</f>
        <v>Head of Sales</v>
      </c>
      <c r="F94" s="228" t="str">
        <f>IFERROR(__xludf.DUMMYFUNCTION("""COMPUTED_VALUE"""),"Bettha")</f>
        <v>Bettha</v>
      </c>
      <c r="G94" s="229" t="str">
        <f>IFERROR(__xludf.DUMMYFUNCTION("""COMPUTED_VALUE"""),"https://www.linkedin.com/in/vitorhlourenco/")</f>
        <v>https://www.linkedin.com/in/vitorhlourenco/</v>
      </c>
      <c r="H94" s="228" t="str">
        <f>IFERROR(__xludf.DUMMYFUNCTION("""COMPUTED_VALUE"""),"Visão de Negócios")</f>
        <v>Visão de Negócios</v>
      </c>
      <c r="I94" s="228" t="str">
        <f>IFERROR(__xludf.DUMMYFUNCTION("""COMPUTED_VALUE"""),"Tendências de Mercado")</f>
        <v>Tendências de Mercado</v>
      </c>
      <c r="J94" s="228" t="str">
        <f>IFERROR(__xludf.DUMMYFUNCTION("""COMPUTED_VALUE"""),"Perfil do Comprador B2B")</f>
        <v>Perfil do Comprador B2B</v>
      </c>
      <c r="K94" s="166" t="str">
        <f>IFERROR(__xludf.DUMMYFUNCTION("""COMPUTED_VALUE"""),"https://universidade.pipelovers.net/m/lessons/abordagens-de-prospeccao-para-o-rh1769552039856?classId=3500")</f>
        <v>https://universidade.pipelovers.net/m/lessons/abordagens-de-prospeccao-para-o-rh1769552039856?classId=3500</v>
      </c>
      <c r="L94" s="115" t="str">
        <f>IFERROR(__xludf.DUMMYFUNCTION("""COMPUTED_VALUE"""),"https://universidade.pipelovers.net/m/lessons/abordagens-de-prospeccao-para-o-rh1769552039856?classId=3500")</f>
        <v>https://universidade.pipelovers.net/m/lessons/abordagens-de-prospeccao-para-o-rh1769552039856?classId=3500</v>
      </c>
      <c r="M94" s="150">
        <f>IFERROR(__xludf.DUMMYFUNCTION("""COMPUTED_VALUE"""),1.0)</f>
        <v>1</v>
      </c>
      <c r="N94" s="151" t="str">
        <f>IFERROR(__xludf.DUMMYFUNCTION("""COMPUTED_VALUE"""),"83. PipeLovers💚SDRs: ""Abordagens de prospecção para o RH"" com Vitor Hugo Lourenço (2024-04-03 08:06 GMT-3)")</f>
        <v>83. PipeLovers💚SDRs: "Abordagens de prospecção para o RH" com Vitor Hugo Lourenço (2024-04-03 08:06 GMT-3)</v>
      </c>
      <c r="O94" s="228" t="str">
        <f>IFERROR(__xludf.DUMMYFUNCTION("""COMPUTED_VALUE"""),"")</f>
        <v/>
      </c>
      <c r="P94" s="118">
        <f>IFERROR(__xludf.DUMMYFUNCTION("""COMPUTED_VALUE"""),45446.0)</f>
        <v>45446</v>
      </c>
      <c r="Q94" s="228"/>
    </row>
    <row r="95">
      <c r="A95" s="73"/>
      <c r="B95" s="209" t="str">
        <f>IFERROR(__xludf.DUMMYFUNCTION("""COMPUTED_VALUE"""),"Pré-Vendas (Prospecção)")</f>
        <v>Pré-Vendas (Prospecção)</v>
      </c>
      <c r="C95" s="104" t="str">
        <f>IFERROR(__xludf.DUMMYFUNCTION("""COMPUTED_VALUE"""),"Construção (e evolução) de cadências de prospecção ativa")</f>
        <v>Construção (e evolução) de cadências de prospecção ativa</v>
      </c>
      <c r="D95" s="119" t="str">
        <f>IFERROR(__xludf.DUMMYFUNCTION("""COMPUTED_VALUE"""),"Samanta Lopes")</f>
        <v>Samanta Lopes</v>
      </c>
      <c r="E95" s="151" t="str">
        <f>IFERROR(__xludf.DUMMYFUNCTION("""COMPUTED_VALUE"""),"-")</f>
        <v>-</v>
      </c>
      <c r="F95" s="151" t="str">
        <f>IFERROR(__xludf.DUMMYFUNCTION("""COMPUTED_VALUE"""),"-")</f>
        <v>-</v>
      </c>
      <c r="G95" s="207" t="str">
        <f>IFERROR(__xludf.DUMMYFUNCTION("""COMPUTED_VALUE"""),"https://www.linkedin.com/in/samantalopesvieira/")</f>
        <v>https://www.linkedin.com/in/samantalopesvieira/</v>
      </c>
      <c r="H95" s="151" t="str">
        <f>IFERROR(__xludf.DUMMYFUNCTION("""COMPUTED_VALUE"""),"Conhecimento Técnico")</f>
        <v>Conhecimento Técnico</v>
      </c>
      <c r="I95" s="151" t="str">
        <f>IFERROR(__xludf.DUMMYFUNCTION("""COMPUTED_VALUE"""),"Técnicas de Vendas")</f>
        <v>Técnicas de Vendas</v>
      </c>
      <c r="J95" s="151" t="str">
        <f>IFERROR(__xludf.DUMMYFUNCTION("""COMPUTED_VALUE"""),"Abordagem e Prospecção")</f>
        <v>Abordagem e Prospecção</v>
      </c>
      <c r="K95" s="114" t="str">
        <f>IFERROR(__xludf.DUMMYFUNCTION("""COMPUTED_VALUE"""),"https://universidade.pipelovers.net/m/lessons/construcao-e-evolucao-de-cadencias-de-prospeccao-ativa1769552039882?classId=3502")</f>
        <v>https://universidade.pipelovers.net/m/lessons/construcao-e-evolucao-de-cadencias-de-prospeccao-ativa1769552039882?classId=3502</v>
      </c>
      <c r="L95" s="115" t="str">
        <f>IFERROR(__xludf.DUMMYFUNCTION("""COMPUTED_VALUE"""),"https://universidade.pipelovers.net/m/lessons/construcao-e-evolucao-de-cadencias-de-prospeccao-ativa1769552039882?classId=3502")</f>
        <v>https://universidade.pipelovers.net/m/lessons/construcao-e-evolucao-de-cadencias-de-prospeccao-ativa1769552039882?classId=3502</v>
      </c>
      <c r="M95" s="150">
        <f>IFERROR(__xludf.DUMMYFUNCTION("""COMPUTED_VALUE"""),4.86)</f>
        <v>4.86</v>
      </c>
      <c r="N95" s="151" t="str">
        <f>IFERROR(__xludf.DUMMYFUNCTION("""COMPUTED_VALUE"""),"84. PipeLovers💚SDRs: ""Construção (e evolução) de cadências ativa"" com Samanta Lopes (2024-04-10 08:04 GMT-3)")</f>
        <v>84. PipeLovers💚SDRs: "Construção (e evolução) de cadências ativa" com Samanta Lopes (2024-04-10 08:04 GMT-3)</v>
      </c>
      <c r="O95" s="151" t="str">
        <f>IFERROR(__xludf.DUMMYFUNCTION("""COMPUTED_VALUE"""),"")</f>
        <v/>
      </c>
      <c r="P95" s="118">
        <f>IFERROR(__xludf.DUMMYFUNCTION("""COMPUTED_VALUE"""),45453.0)</f>
        <v>45453</v>
      </c>
      <c r="Q95" s="151"/>
    </row>
    <row r="96">
      <c r="A96" s="73"/>
      <c r="B96" s="209" t="str">
        <f>IFERROR(__xludf.DUMMYFUNCTION("""COMPUTED_VALUE"""),"Pré-Vendas (Prospecção)")</f>
        <v>Pré-Vendas (Prospecção)</v>
      </c>
      <c r="C96" s="119" t="str">
        <f>IFERROR(__xludf.DUMMYFUNCTION("""COMPUTED_VALUE"""),"Mapeando Contas Enterprise e entendendo o processo de compra")</f>
        <v>Mapeando Contas Enterprise e entendendo o processo de compra</v>
      </c>
      <c r="D96" s="104" t="str">
        <f>IFERROR(__xludf.DUMMYFUNCTION("""COMPUTED_VALUE"""),"Luiz Favoretto")</f>
        <v>Luiz Favoretto</v>
      </c>
      <c r="E96" s="228" t="str">
        <f>IFERROR(__xludf.DUMMYFUNCTION("""COMPUTED_VALUE"""),"Sales Coordinator LATAM")</f>
        <v>Sales Coordinator LATAM</v>
      </c>
      <c r="F96" s="228" t="str">
        <f>IFERROR(__xludf.DUMMYFUNCTION("""COMPUTED_VALUE"""),"Zenvia")</f>
        <v>Zenvia</v>
      </c>
      <c r="G96" s="229" t="str">
        <f>IFERROR(__xludf.DUMMYFUNCTION("""COMPUTED_VALUE"""),"https://www.linkedin.com/in/luiz-favoretto-28415397/overlay/photo/")</f>
        <v>https://www.linkedin.com/in/luiz-favoretto-28415397/overlay/photo/</v>
      </c>
      <c r="H96" s="228" t="str">
        <f>IFERROR(__xludf.DUMMYFUNCTION("""COMPUTED_VALUE"""),"Conhecimento Técnico")</f>
        <v>Conhecimento Técnico</v>
      </c>
      <c r="I96" s="228" t="str">
        <f>IFERROR(__xludf.DUMMYFUNCTION("""COMPUTED_VALUE"""),"Técnicas de Vendas")</f>
        <v>Técnicas de Vendas</v>
      </c>
      <c r="J96" s="228" t="str">
        <f>IFERROR(__xludf.DUMMYFUNCTION("""COMPUTED_VALUE"""),"Qualificação e Entendimento da Dor")</f>
        <v>Qualificação e Entendimento da Dor</v>
      </c>
      <c r="K96" s="128" t="str">
        <f>IFERROR(__xludf.DUMMYFUNCTION("""COMPUTED_VALUE"""),"https://universidade.pipelovers.net/m/lessons/mapeando-contas-enterprise-e-entendendo-o-processo-de-compra1769552039932?classId=3503")</f>
        <v>https://universidade.pipelovers.net/m/lessons/mapeando-contas-enterprise-e-entendendo-o-processo-de-compra1769552039932?classId=3503</v>
      </c>
      <c r="L96" s="115" t="str">
        <f>IFERROR(__xludf.DUMMYFUNCTION("""COMPUTED_VALUE"""),"https://universidade.pipelovers.net/m/lessons/mapeando-contas-enterprise-e-entendendo-o-processo-de-compra1769552039932?classId=3503")</f>
        <v>https://universidade.pipelovers.net/m/lessons/mapeando-contas-enterprise-e-entendendo-o-processo-de-compra1769552039932?classId=3503</v>
      </c>
      <c r="M96" s="150">
        <f>IFERROR(__xludf.DUMMYFUNCTION("""COMPUTED_VALUE"""),3.86)</f>
        <v>3.86</v>
      </c>
      <c r="N96" s="151" t="str">
        <f>IFERROR(__xludf.DUMMYFUNCTION("""COMPUTED_VALUE"""),"85. PipeLovers💚SDRs: ""Mapeando Contas Enterprise e entendendo o processo de compra"" com Luiz Favoretto (2024-04-17 08:05 GMT-3)")</f>
        <v>85. PipeLovers💚SDRs: "Mapeando Contas Enterprise e entendendo o processo de compra" com Luiz Favoretto (2024-04-17 08:05 GMT-3)</v>
      </c>
      <c r="O96" s="228" t="str">
        <f>IFERROR(__xludf.DUMMYFUNCTION("""COMPUTED_VALUE"""),"")</f>
        <v/>
      </c>
      <c r="P96" s="118">
        <f>IFERROR(__xludf.DUMMYFUNCTION("""COMPUTED_VALUE"""),45460.0)</f>
        <v>45460</v>
      </c>
      <c r="Q96" s="228"/>
    </row>
    <row r="97">
      <c r="A97" s="73"/>
      <c r="B97" s="209" t="str">
        <f>IFERROR(__xludf.DUMMYFUNCTION("""COMPUTED_VALUE"""),"Pré-Vendas (Prospecção)")</f>
        <v>Pré-Vendas (Prospecção)</v>
      </c>
      <c r="C97" s="181" t="str">
        <f>IFERROR(__xludf.DUMMYFUNCTION("""COMPUTED_VALUE"""),"Retomada de Leads Perdidos")</f>
        <v>Retomada de Leads Perdidos</v>
      </c>
      <c r="D97" s="119" t="str">
        <f>IFERROR(__xludf.DUMMYFUNCTION("""COMPUTED_VALUE"""),"Lucas Axel")</f>
        <v>Lucas Axel</v>
      </c>
      <c r="E97" s="151" t="str">
        <f>IFERROR(__xludf.DUMMYFUNCTION("""COMPUTED_VALUE"""),"Coordenador de Pré-Vendas")</f>
        <v>Coordenador de Pré-Vendas</v>
      </c>
      <c r="F97" s="151" t="str">
        <f>IFERROR(__xludf.DUMMYFUNCTION("""COMPUTED_VALUE"""),"Zoho CRM")</f>
        <v>Zoho CRM</v>
      </c>
      <c r="G97" s="207" t="str">
        <f>IFERROR(__xludf.DUMMYFUNCTION("""COMPUTED_VALUE"""),"https://www.linkedin.com/in/lucas-axel-7b0321153/")</f>
        <v>https://www.linkedin.com/in/lucas-axel-7b0321153/</v>
      </c>
      <c r="H97" s="151" t="str">
        <f>IFERROR(__xludf.DUMMYFUNCTION("""COMPUTED_VALUE"""),"Conhecimento Técnico")</f>
        <v>Conhecimento Técnico</v>
      </c>
      <c r="I97" s="151" t="str">
        <f>IFERROR(__xludf.DUMMYFUNCTION("""COMPUTED_VALUE"""),"Técnicas de Vendas")</f>
        <v>Técnicas de Vendas</v>
      </c>
      <c r="J97" s="151" t="str">
        <f>IFERROR(__xludf.DUMMYFUNCTION("""COMPUTED_VALUE"""),"Abordagem e Prospecção")</f>
        <v>Abordagem e Prospecção</v>
      </c>
      <c r="K97" s="166" t="str">
        <f>IFERROR(__xludf.DUMMYFUNCTION("""COMPUTED_VALUE"""),"https://universidade.pipelovers.net/m/lessons/retomada-de-leads-perdidos1769552039907?classId=3504")</f>
        <v>https://universidade.pipelovers.net/m/lessons/retomada-de-leads-perdidos1769552039907?classId=3504</v>
      </c>
      <c r="L97" s="115" t="str">
        <f>IFERROR(__xludf.DUMMYFUNCTION("""COMPUTED_VALUE"""),"https://universidade.pipelovers.net/m/lessons/retomada-de-leads-perdidos1769552039907?classId=3504")</f>
        <v>https://universidade.pipelovers.net/m/lessons/retomada-de-leads-perdidos1769552039907?classId=3504</v>
      </c>
      <c r="M97" s="150">
        <f>IFERROR(__xludf.DUMMYFUNCTION("""COMPUTED_VALUE"""),3.36)</f>
        <v>3.36</v>
      </c>
      <c r="N97" s="151" t="str">
        <f>IFERROR(__xludf.DUMMYFUNCTION("""COMPUTED_VALUE"""),"86. PipeLovers💚SDRs: "" Retomada de Leads Perdidos"" com Lucas Axel (2024-04-24 08:05 GMT-3)")</f>
        <v>86. PipeLovers💚SDRs: " Retomada de Leads Perdidos" com Lucas Axel (2024-04-24 08:05 GMT-3)</v>
      </c>
      <c r="O97" s="151" t="str">
        <f>IFERROR(__xludf.DUMMYFUNCTION("""COMPUTED_VALUE"""),"")</f>
        <v/>
      </c>
      <c r="P97" s="118">
        <f>IFERROR(__xludf.DUMMYFUNCTION("""COMPUTED_VALUE"""),45467.0)</f>
        <v>45467</v>
      </c>
      <c r="Q97" s="151"/>
    </row>
    <row r="98">
      <c r="A98" s="73"/>
      <c r="B98" s="209" t="str">
        <f>IFERROR(__xludf.DUMMYFUNCTION("""COMPUTED_VALUE"""),"Pré-Vendas (Prospecção)")</f>
        <v>Pré-Vendas (Prospecção)</v>
      </c>
      <c r="C98" s="104" t="str">
        <f>IFERROR(__xludf.DUMMYFUNCTION("""COMPUTED_VALUE"""),"Como prospectar a nova geração de decisores")</f>
        <v>Como prospectar a nova geração de decisores</v>
      </c>
      <c r="D98" s="104" t="str">
        <f>IFERROR(__xludf.DUMMYFUNCTION("""COMPUTED_VALUE"""),"Fernanda Guidolin")</f>
        <v>Fernanda Guidolin</v>
      </c>
      <c r="E98" s="228" t="str">
        <f>IFERROR(__xludf.DUMMYFUNCTION("""COMPUTED_VALUE"""),"Coordenadora  de Pré-Vendas")</f>
        <v>Coordenadora  de Pré-Vendas</v>
      </c>
      <c r="F98" s="228" t="str">
        <f>IFERROR(__xludf.DUMMYFUNCTION("""COMPUTED_VALUE"""),"Serasa Experian")</f>
        <v>Serasa Experian</v>
      </c>
      <c r="G98" s="229" t="str">
        <f>IFERROR(__xludf.DUMMYFUNCTION("""COMPUTED_VALUE"""),"https://www.linkedin.com/in/fernanda-guidolin-40a3b4156/")</f>
        <v>https://www.linkedin.com/in/fernanda-guidolin-40a3b4156/</v>
      </c>
      <c r="H98" s="228" t="str">
        <f>IFERROR(__xludf.DUMMYFUNCTION("""COMPUTED_VALUE"""),"Visão de Negócios")</f>
        <v>Visão de Negócios</v>
      </c>
      <c r="I98" s="228" t="str">
        <f>IFERROR(__xludf.DUMMYFUNCTION("""COMPUTED_VALUE"""),"Tendências de Mercado")</f>
        <v>Tendências de Mercado</v>
      </c>
      <c r="J98" s="228" t="str">
        <f>IFERROR(__xludf.DUMMYFUNCTION("""COMPUTED_VALUE"""),"Perfil do Comprador B2B")</f>
        <v>Perfil do Comprador B2B</v>
      </c>
      <c r="K98" s="114" t="str">
        <f>IFERROR(__xludf.DUMMYFUNCTION("""COMPUTED_VALUE"""),"https://universidade.pipelovers.net/m/lessons/como-prospectar-a-nova-geracao-de-decisores1769552039958?classId=3505")</f>
        <v>https://universidade.pipelovers.net/m/lessons/como-prospectar-a-nova-geracao-de-decisores1769552039958?classId=3505</v>
      </c>
      <c r="L98" s="115" t="str">
        <f>IFERROR(__xludf.DUMMYFUNCTION("""COMPUTED_VALUE"""),"https://universidade.pipelovers.net/m/lessons/como-prospectar-a-nova-geracao-de-decisores1769552039958?classId=3505")</f>
        <v>https://universidade.pipelovers.net/m/lessons/como-prospectar-a-nova-geracao-de-decisores1769552039958?classId=3505</v>
      </c>
      <c r="M98" s="150">
        <f>IFERROR(__xludf.DUMMYFUNCTION("""COMPUTED_VALUE"""),4.5)</f>
        <v>4.5</v>
      </c>
      <c r="N98" s="151" t="str">
        <f>IFERROR(__xludf.DUMMYFUNCTION("""COMPUTED_VALUE"""),"87. PipeLovers💚SDRs: ""Como prospectar a nova geração de decisores"" com Fernanda Guidolin (2024-05-02 09:06 GMT-3)")</f>
        <v>87. PipeLovers💚SDRs: "Como prospectar a nova geração de decisores" com Fernanda Guidolin (2024-05-02 09:06 GMT-3)</v>
      </c>
      <c r="O98" s="228" t="str">
        <f>IFERROR(__xludf.DUMMYFUNCTION("""COMPUTED_VALUE"""),"")</f>
        <v/>
      </c>
      <c r="P98" s="118">
        <f>IFERROR(__xludf.DUMMYFUNCTION("""COMPUTED_VALUE"""),45474.0)</f>
        <v>45474</v>
      </c>
      <c r="Q98" s="228"/>
    </row>
    <row r="99">
      <c r="A99" s="73"/>
      <c r="B99" s="209" t="str">
        <f>IFERROR(__xludf.DUMMYFUNCTION("""COMPUTED_VALUE"""),"Pré-Vendas (Prospecção)")</f>
        <v>Pré-Vendas (Prospecção)</v>
      </c>
      <c r="C99" s="119" t="str">
        <f>IFERROR(__xludf.DUMMYFUNCTION("""COMPUTED_VALUE"""),"Reduzindo No-show na prospecção outbound")</f>
        <v>Reduzindo No-show na prospecção outbound</v>
      </c>
      <c r="D99" s="119" t="str">
        <f>IFERROR(__xludf.DUMMYFUNCTION("""COMPUTED_VALUE"""),"Sharon Santos")</f>
        <v>Sharon Santos</v>
      </c>
      <c r="E99" s="151" t="str">
        <f>IFERROR(__xludf.DUMMYFUNCTION("""COMPUTED_VALUE"""),"Fundadora")</f>
        <v>Fundadora</v>
      </c>
      <c r="F99" s="151" t="str">
        <f>IFERROR(__xludf.DUMMYFUNCTION("""COMPUTED_VALUE"""),"Converte Inteligencia de Vendas")</f>
        <v>Converte Inteligencia de Vendas</v>
      </c>
      <c r="G99" s="207" t="str">
        <f>IFERROR(__xludf.DUMMYFUNCTION("""COMPUTED_VALUE"""),"https://www.linkedin.com/in/sharon-santos-783944184/?utm_source=share&amp;utm_campaign=share_via&amp;utm_content=profile&amp;utm_medium=ios_app")</f>
        <v>https://www.linkedin.com/in/sharon-santos-783944184/?utm_source=share&amp;utm_campaign=share_via&amp;utm_content=profile&amp;utm_medium=ios_app</v>
      </c>
      <c r="H99" s="151" t="str">
        <f>IFERROR(__xludf.DUMMYFUNCTION("""COMPUTED_VALUE"""),"Conhecimento Técnico")</f>
        <v>Conhecimento Técnico</v>
      </c>
      <c r="I99" s="151" t="str">
        <f>IFERROR(__xludf.DUMMYFUNCTION("""COMPUTED_VALUE"""),"Técnicas de Vendas")</f>
        <v>Técnicas de Vendas</v>
      </c>
      <c r="J99" s="151" t="str">
        <f>IFERROR(__xludf.DUMMYFUNCTION("""COMPUTED_VALUE"""),"Abordagem e Prospecção")</f>
        <v>Abordagem e Prospecção</v>
      </c>
      <c r="K99" s="128" t="str">
        <f>IFERROR(__xludf.DUMMYFUNCTION("""COMPUTED_VALUE"""),"https://universidade.pipelovers.net/m/lessons/reduzindo-no-show-na-prospeccao-outbound1769552040033?classId=3507")</f>
        <v>https://universidade.pipelovers.net/m/lessons/reduzindo-no-show-na-prospeccao-outbound1769552040033?classId=3507</v>
      </c>
      <c r="L99" s="115" t="str">
        <f>IFERROR(__xludf.DUMMYFUNCTION("""COMPUTED_VALUE"""),"https://universidade.pipelovers.net/m/lessons/reduzindo-no-show-na-prospeccao-outbound1769552040033?classId=3507")</f>
        <v>https://universidade.pipelovers.net/m/lessons/reduzindo-no-show-na-prospeccao-outbound1769552040033?classId=3507</v>
      </c>
      <c r="M99" s="150">
        <f>IFERROR(__xludf.DUMMYFUNCTION("""COMPUTED_VALUE"""),4.0)</f>
        <v>4</v>
      </c>
      <c r="N99" s="151" t="str">
        <f>IFERROR(__xludf.DUMMYFUNCTION("""COMPUTED_VALUE"""),"88. PipeLovers💚SDRs: ""Reduzindo No-show na prospecção outbound"" com Sharon Santos (2024-05-08 08:06 GMT-3)")</f>
        <v>88. PipeLovers💚SDRs: "Reduzindo No-show na prospecção outbound" com Sharon Santos (2024-05-08 08:06 GMT-3)</v>
      </c>
      <c r="O99" s="151" t="str">
        <f>IFERROR(__xludf.DUMMYFUNCTION("""COMPUTED_VALUE"""),"")</f>
        <v/>
      </c>
      <c r="P99" s="118">
        <f>IFERROR(__xludf.DUMMYFUNCTION("""COMPUTED_VALUE"""),45481.0)</f>
        <v>45481</v>
      </c>
      <c r="Q99" s="151"/>
    </row>
    <row r="100">
      <c r="A100" s="73"/>
      <c r="B100" s="209" t="str">
        <f>IFERROR(__xludf.DUMMYFUNCTION("""COMPUTED_VALUE"""),"Pré-Vendas (Prospecção)")</f>
        <v>Pré-Vendas (Prospecção)</v>
      </c>
      <c r="C100" s="104" t="str">
        <f>IFERROR(__xludf.DUMMYFUNCTION("""COMPUTED_VALUE"""),"Estratégias para aumentar a produtividade na prospecção")</f>
        <v>Estratégias para aumentar a produtividade na prospecção</v>
      </c>
      <c r="D100" s="104" t="str">
        <f>IFERROR(__xludf.DUMMYFUNCTION("""COMPUTED_VALUE"""),"Felipe Traina")</f>
        <v>Felipe Traina</v>
      </c>
      <c r="E100" s="228" t="str">
        <f>IFERROR(__xludf.DUMMYFUNCTION("""COMPUTED_VALUE"""),"CEO")</f>
        <v>CEO</v>
      </c>
      <c r="F100" s="228" t="str">
        <f>IFERROR(__xludf.DUMMYFUNCTION("""COMPUTED_VALUE"""),"Salestime")</f>
        <v>Salestime</v>
      </c>
      <c r="G100" s="229" t="str">
        <f>IFERROR(__xludf.DUMMYFUNCTION("""COMPUTED_VALUE"""),"https://www.linkedin.com/in/felipe-traina/")</f>
        <v>https://www.linkedin.com/in/felipe-traina/</v>
      </c>
      <c r="H100" s="228" t="str">
        <f>IFERROR(__xludf.DUMMYFUNCTION("""COMPUTED_VALUE"""),"Conhecimento Técnico")</f>
        <v>Conhecimento Técnico</v>
      </c>
      <c r="I100" s="228" t="str">
        <f>IFERROR(__xludf.DUMMYFUNCTION("""COMPUTED_VALUE"""),"Gestão de Vendas")</f>
        <v>Gestão de Vendas</v>
      </c>
      <c r="J100" s="228" t="str">
        <f>IFERROR(__xludf.DUMMYFUNCTION("""COMPUTED_VALUE"""),"Ferramentas de Vendas")</f>
        <v>Ferramentas de Vendas</v>
      </c>
      <c r="K100" s="114" t="str">
        <f>IFERROR(__xludf.DUMMYFUNCTION("""COMPUTED_VALUE"""),"https://universidade.pipelovers.net/m/lessons/estrategias-para-aumentar-a-produtividade-na-prospeccao1769552040074?classId=3506")</f>
        <v>https://universidade.pipelovers.net/m/lessons/estrategias-para-aumentar-a-produtividade-na-prospeccao1769552040074?classId=3506</v>
      </c>
      <c r="L100" s="115" t="str">
        <f>IFERROR(__xludf.DUMMYFUNCTION("""COMPUTED_VALUE"""),"https://universidade.pipelovers.net/m/lessons/estrategias-para-aumentar-a-produtividade-na-prospeccao1769552040074?classId=3506")</f>
        <v>https://universidade.pipelovers.net/m/lessons/estrategias-para-aumentar-a-produtividade-na-prospeccao1769552040074?classId=3506</v>
      </c>
      <c r="M100" s="150">
        <f>IFERROR(__xludf.DUMMYFUNCTION("""COMPUTED_VALUE"""),4.0)</f>
        <v>4</v>
      </c>
      <c r="N100" s="151" t="str">
        <f>IFERROR(__xludf.DUMMYFUNCTION("""COMPUTED_VALUE"""),"89. PipeLovers💚SDRs: ""Estratégias para aumentar a produtividade na prospecção"" com Felipe Traina (2024-05-15 08:05 GMT-3)")</f>
        <v>89. PipeLovers💚SDRs: "Estratégias para aumentar a produtividade na prospecção" com Felipe Traina (2024-05-15 08:05 GMT-3)</v>
      </c>
      <c r="O100" s="228" t="str">
        <f>IFERROR(__xludf.DUMMYFUNCTION("""COMPUTED_VALUE"""),"")</f>
        <v/>
      </c>
      <c r="P100" s="118">
        <f>IFERROR(__xludf.DUMMYFUNCTION("""COMPUTED_VALUE"""),45488.0)</f>
        <v>45488</v>
      </c>
      <c r="Q100" s="228"/>
    </row>
    <row r="101">
      <c r="A101" s="73"/>
      <c r="B101" s="209" t="str">
        <f>IFERROR(__xludf.DUMMYFUNCTION("""COMPUTED_VALUE"""),"Pré-Vendas (Prospecção)")</f>
        <v>Pré-Vendas (Prospecção)</v>
      </c>
      <c r="C101" s="216" t="str">
        <f>IFERROR(__xludf.DUMMYFUNCTION("""COMPUTED_VALUE"""),"Como um assistente de AI pode ajudar o pré-vendedor")</f>
        <v>Como um assistente de AI pode ajudar o pré-vendedor</v>
      </c>
      <c r="D101" s="119" t="str">
        <f>IFERROR(__xludf.DUMMYFUNCTION("""COMPUTED_VALUE"""),"Lilian Lopes")</f>
        <v>Lilian Lopes</v>
      </c>
      <c r="E101" s="151" t="str">
        <f>IFERROR(__xludf.DUMMYFUNCTION("""COMPUTED_VALUE"""),"Co-founder")</f>
        <v>Co-founder</v>
      </c>
      <c r="F101" s="151" t="str">
        <f>IFERROR(__xludf.DUMMYFUNCTION("""COMPUTED_VALUE"""),"SalesBud")</f>
        <v>SalesBud</v>
      </c>
      <c r="G101" s="207" t="str">
        <f>IFERROR(__xludf.DUMMYFUNCTION("""COMPUTED_VALUE"""),"https://www.linkedin.com/in/lilian-lopes-642a49144/")</f>
        <v>https://www.linkedin.com/in/lilian-lopes-642a49144/</v>
      </c>
      <c r="H101" s="151" t="str">
        <f>IFERROR(__xludf.DUMMYFUNCTION("""COMPUTED_VALUE"""),"Conhecimento Técnico")</f>
        <v>Conhecimento Técnico</v>
      </c>
      <c r="I101" s="151" t="str">
        <f>IFERROR(__xludf.DUMMYFUNCTION("""COMPUTED_VALUE"""),"Gestão de Vendas")</f>
        <v>Gestão de Vendas</v>
      </c>
      <c r="J101" s="151" t="str">
        <f>IFERROR(__xludf.DUMMYFUNCTION("""COMPUTED_VALUE"""),"Ferramentas de Vendas")</f>
        <v>Ferramentas de Vendas</v>
      </c>
      <c r="K101" s="128" t="str">
        <f>IFERROR(__xludf.DUMMYFUNCTION("""COMPUTED_VALUE"""),"https://universidade.pipelovers.net/m/lessons/como-um-assistente-de-ai-pode-ajudar-o-pre-vendedor1769552042841?classId=3508")</f>
        <v>https://universidade.pipelovers.net/m/lessons/como-um-assistente-de-ai-pode-ajudar-o-pre-vendedor1769552042841?classId=3508</v>
      </c>
      <c r="L101" s="115" t="str">
        <f>IFERROR(__xludf.DUMMYFUNCTION("""COMPUTED_VALUE"""),"https://universidade.pipelovers.net/m/lessons/como-um-assistente-de-ai-pode-ajudar-o-pre-vendedor1769552042841?classId=3508")</f>
        <v>https://universidade.pipelovers.net/m/lessons/como-um-assistente-de-ai-pode-ajudar-o-pre-vendedor1769552042841?classId=3508</v>
      </c>
      <c r="M101" s="150">
        <f>IFERROR(__xludf.DUMMYFUNCTION("""COMPUTED_VALUE"""),4.36)</f>
        <v>4.36</v>
      </c>
      <c r="N101" s="151" t="str">
        <f>IFERROR(__xludf.DUMMYFUNCTION("""COMPUTED_VALUE"""),"90. PipeLovers💚SDRs: ""Como um assistente de AI pode ajudar o pré-vendedor"" com Lilian Lopes (2024-05-22 08:04 GMT-3)")</f>
        <v>90. PipeLovers💚SDRs: "Como um assistente de AI pode ajudar o pré-vendedor" com Lilian Lopes (2024-05-22 08:04 GMT-3)</v>
      </c>
      <c r="O101" s="151" t="str">
        <f>IFERROR(__xludf.DUMMYFUNCTION("""COMPUTED_VALUE"""),"")</f>
        <v/>
      </c>
      <c r="P101" s="118">
        <f>IFERROR(__xludf.DUMMYFUNCTION("""COMPUTED_VALUE"""),45495.0)</f>
        <v>45495</v>
      </c>
      <c r="Q101" s="151"/>
    </row>
    <row r="102">
      <c r="A102" s="73"/>
      <c r="B102" s="209" t="str">
        <f>IFERROR(__xludf.DUMMYFUNCTION("""COMPUTED_VALUE"""),"Pré-Vendas (Prospecção)")</f>
        <v>Pré-Vendas (Prospecção)</v>
      </c>
      <c r="C102" s="104" t="str">
        <f>IFERROR(__xludf.DUMMYFUNCTION("""COMPUTED_VALUE"""),"Otimizando o Fluxo de Contato com Leads")</f>
        <v>Otimizando o Fluxo de Contato com Leads</v>
      </c>
      <c r="D102" s="104" t="str">
        <f>IFERROR(__xludf.DUMMYFUNCTION("""COMPUTED_VALUE"""),"Myrian Mourão")</f>
        <v>Myrian Mourão</v>
      </c>
      <c r="E102" s="228" t="str">
        <f>IFERROR(__xludf.DUMMYFUNCTION("""COMPUTED_VALUE"""),"Founder")</f>
        <v>Founder</v>
      </c>
      <c r="F102" s="228" t="str">
        <f>IFERROR(__xludf.DUMMYFUNCTION("""COMPUTED_VALUE"""),"Myrian Consultoria e Treinamentos")</f>
        <v>Myrian Consultoria e Treinamentos</v>
      </c>
      <c r="G102" s="229" t="str">
        <f>IFERROR(__xludf.DUMMYFUNCTION("""COMPUTED_VALUE"""),"https://www.linkedin.com/in/myrianmourao/")</f>
        <v>https://www.linkedin.com/in/myrianmourao/</v>
      </c>
      <c r="H102" s="228" t="str">
        <f>IFERROR(__xludf.DUMMYFUNCTION("""COMPUTED_VALUE"""),"Conhecimento Técnico")</f>
        <v>Conhecimento Técnico</v>
      </c>
      <c r="I102" s="228" t="str">
        <f>IFERROR(__xludf.DUMMYFUNCTION("""COMPUTED_VALUE"""),"Técnicas de Vendas")</f>
        <v>Técnicas de Vendas</v>
      </c>
      <c r="J102" s="228" t="str">
        <f>IFERROR(__xludf.DUMMYFUNCTION("""COMPUTED_VALUE"""),"Abordagem e Prospecção")</f>
        <v>Abordagem e Prospecção</v>
      </c>
      <c r="K102" s="114" t="str">
        <f>IFERROR(__xludf.DUMMYFUNCTION("""COMPUTED_VALUE"""),"https://universidade.pipelovers.net/m/lessons/otimizando-o-fluxo-de-contato-com-leads1769552042897?classId=3509")</f>
        <v>https://universidade.pipelovers.net/m/lessons/otimizando-o-fluxo-de-contato-com-leads1769552042897?classId=3509</v>
      </c>
      <c r="L102" s="115" t="str">
        <f>IFERROR(__xludf.DUMMYFUNCTION("""COMPUTED_VALUE"""),"https://universidade.pipelovers.net/m/lessons/otimizando-o-fluxo-de-contato-com-leads1769552042897?classId=3509")</f>
        <v>https://universidade.pipelovers.net/m/lessons/otimizando-o-fluxo-de-contato-com-leads1769552042897?classId=3509</v>
      </c>
      <c r="M102" s="150">
        <f>IFERROR(__xludf.DUMMYFUNCTION("""COMPUTED_VALUE"""),4.43)</f>
        <v>4.43</v>
      </c>
      <c r="N102" s="151" t="str">
        <f>IFERROR(__xludf.DUMMYFUNCTION("""COMPUTED_VALUE"""),"91. PipeLovers💚SDRs: ""Otimizando o Fluxo de Contato com Leads"" com Myrian Mourão  (2024-05-29 08:05 GMT-3)")</f>
        <v>91. PipeLovers💚SDRs: "Otimizando o Fluxo de Contato com Leads" com Myrian Mourão  (2024-05-29 08:05 GMT-3)</v>
      </c>
      <c r="O102" s="228" t="str">
        <f>IFERROR(__xludf.DUMMYFUNCTION("""COMPUTED_VALUE"""),"")</f>
        <v/>
      </c>
      <c r="P102" s="118">
        <f>IFERROR(__xludf.DUMMYFUNCTION("""COMPUTED_VALUE"""),45502.0)</f>
        <v>45502</v>
      </c>
      <c r="Q102" s="228"/>
    </row>
    <row r="103">
      <c r="A103" s="73"/>
      <c r="B103" s="209" t="str">
        <f>IFERROR(__xludf.DUMMYFUNCTION("""COMPUTED_VALUE"""),"Pré-Vendas (Prospecção)")</f>
        <v>Pré-Vendas (Prospecção)</v>
      </c>
      <c r="C103" s="119" t="str">
        <f>IFERROR(__xludf.DUMMYFUNCTION("""COMPUTED_VALUE"""),"Transformar objeções em oportunidades")</f>
        <v>Transformar objeções em oportunidades</v>
      </c>
      <c r="D103" s="119" t="str">
        <f>IFERROR(__xludf.DUMMYFUNCTION("""COMPUTED_VALUE"""),"Winnicius Cunha")</f>
        <v>Winnicius Cunha</v>
      </c>
      <c r="E103" s="151" t="str">
        <f>IFERROR(__xludf.DUMMYFUNCTION("""COMPUTED_VALUE"""),"Fundador")</f>
        <v>Fundador</v>
      </c>
      <c r="F103" s="151" t="str">
        <f>IFERROR(__xludf.DUMMYFUNCTION("""COMPUTED_VALUE"""),"Prospecção Academy")</f>
        <v>Prospecção Academy</v>
      </c>
      <c r="G103" s="207" t="str">
        <f>IFERROR(__xludf.DUMMYFUNCTION("""COMPUTED_VALUE"""),"https://www.linkedin.com/in/winnicius-cunha/")</f>
        <v>https://www.linkedin.com/in/winnicius-cunha/</v>
      </c>
      <c r="H103" s="151" t="str">
        <f>IFERROR(__xludf.DUMMYFUNCTION("""COMPUTED_VALUE"""),"Conhecimento Técnico")</f>
        <v>Conhecimento Técnico</v>
      </c>
      <c r="I103" s="151" t="str">
        <f>IFERROR(__xludf.DUMMYFUNCTION("""COMPUTED_VALUE"""),"Técnicas de Vendas")</f>
        <v>Técnicas de Vendas</v>
      </c>
      <c r="J103" s="151" t="str">
        <f>IFERROR(__xludf.DUMMYFUNCTION("""COMPUTED_VALUE"""),"Contorno de Objeções")</f>
        <v>Contorno de Objeções</v>
      </c>
      <c r="K103" s="128" t="str">
        <f>IFERROR(__xludf.DUMMYFUNCTION("""COMPUTED_VALUE"""),"https://universidade.pipelovers.net/m/lessons/transformar-objecoes-em-oportunidades1769552042964?classId=3510")</f>
        <v>https://universidade.pipelovers.net/m/lessons/transformar-objecoes-em-oportunidades1769552042964?classId=3510</v>
      </c>
      <c r="L103" s="115" t="str">
        <f>IFERROR(__xludf.DUMMYFUNCTION("""COMPUTED_VALUE"""),"https://universidade.pipelovers.net/m/lessons/transformar-objecoes-em-oportunidades1769552042964?classId=3510")</f>
        <v>https://universidade.pipelovers.net/m/lessons/transformar-objecoes-em-oportunidades1769552042964?classId=3510</v>
      </c>
      <c r="M103" s="150">
        <f>IFERROR(__xludf.DUMMYFUNCTION("""COMPUTED_VALUE"""),3.86)</f>
        <v>3.86</v>
      </c>
      <c r="N103" s="151" t="str">
        <f>IFERROR(__xludf.DUMMYFUNCTION("""COMPUTED_VALUE"""),"92. PipeLovers💚SDRs: ""Transformar objeções em oportunidades"" com Winnicius Cunha (2024-06-03 13:05 GMT-3)")</f>
        <v>92. PipeLovers💚SDRs: "Transformar objeções em oportunidades" com Winnicius Cunha (2024-06-03 13:05 GMT-3)</v>
      </c>
      <c r="O103" s="151" t="str">
        <f>IFERROR(__xludf.DUMMYFUNCTION("""COMPUTED_VALUE"""),"")</f>
        <v/>
      </c>
      <c r="P103" s="118">
        <f>IFERROR(__xludf.DUMMYFUNCTION("""COMPUTED_VALUE"""),45509.0)</f>
        <v>45509</v>
      </c>
      <c r="Q103" s="151"/>
    </row>
    <row r="104">
      <c r="A104" s="73"/>
      <c r="B104" s="209" t="str">
        <f>IFERROR(__xludf.DUMMYFUNCTION("""COMPUTED_VALUE"""),"Pré-Vendas (Prospecção)")</f>
        <v>Pré-Vendas (Prospecção)</v>
      </c>
      <c r="C104" s="268" t="str">
        <f>IFERROR(__xludf.DUMMYFUNCTION("""COMPUTED_VALUE"""),"Melhores práticas de ""Role Play"" para pré-vendedores")</f>
        <v>Melhores práticas de "Role Play" para pré-vendedores</v>
      </c>
      <c r="D104" s="104" t="str">
        <f>IFERROR(__xludf.DUMMYFUNCTION("""COMPUTED_VALUE"""),"Renata Mayer")</f>
        <v>Renata Mayer</v>
      </c>
      <c r="E104" s="228" t="str">
        <f>IFERROR(__xludf.DUMMYFUNCTION("""COMPUTED_VALUE"""),"Coordenadora de Pré-Vendas")</f>
        <v>Coordenadora de Pré-Vendas</v>
      </c>
      <c r="F104" s="228" t="str">
        <f>IFERROR(__xludf.DUMMYFUNCTION("""COMPUTED_VALUE"""),"Octadesk")</f>
        <v>Octadesk</v>
      </c>
      <c r="G104" s="270" t="str">
        <f>IFERROR(__xludf.DUMMYFUNCTION("""COMPUTED_VALUE"""),"https://www.linkedin.com/in/renatamayer/")</f>
        <v>https://www.linkedin.com/in/renatamayer/</v>
      </c>
      <c r="H104" s="228" t="str">
        <f>IFERROR(__xludf.DUMMYFUNCTION("""COMPUTED_VALUE"""),"Conhecimento Técnico")</f>
        <v>Conhecimento Técnico</v>
      </c>
      <c r="I104" s="228" t="str">
        <f>IFERROR(__xludf.DUMMYFUNCTION("""COMPUTED_VALUE"""),"Gestão de Vendas")</f>
        <v>Gestão de Vendas</v>
      </c>
      <c r="J104" s="228" t="str">
        <f>IFERROR(__xludf.DUMMYFUNCTION("""COMPUTED_VALUE"""),"Rotinas e Rituais")</f>
        <v>Rotinas e Rituais</v>
      </c>
      <c r="K104" s="273" t="str">
        <f>IFERROR(__xludf.DUMMYFUNCTION("""COMPUTED_VALUE"""),"https://universidade.pipelovers.net/m/lessons/melhores-praticas-de-role-play-para-pre-vendedores1769552043115?classId=3511")</f>
        <v>https://universidade.pipelovers.net/m/lessons/melhores-praticas-de-role-play-para-pre-vendedores1769552043115?classId=3511</v>
      </c>
      <c r="L104" s="115" t="str">
        <f>IFERROR(__xludf.DUMMYFUNCTION("""COMPUTED_VALUE"""),"https://universidade.pipelovers.net/m/lessons/melhores-praticas-de-role-play-para-pre-vendedores1769552043115?classId=3511")</f>
        <v>https://universidade.pipelovers.net/m/lessons/melhores-praticas-de-role-play-para-pre-vendedores1769552043115?classId=3511</v>
      </c>
      <c r="M104" s="150">
        <f>IFERROR(__xludf.DUMMYFUNCTION("""COMPUTED_VALUE"""),4.21)</f>
        <v>4.21</v>
      </c>
      <c r="N104" s="151" t="str">
        <f>IFERROR(__xludf.DUMMYFUNCTION("""COMPUTED_VALUE"""),"93. PipeLovers💚SDRs: ""Melhores práticas de ""Role Play"" para pré-vendedores"" com Renata Mayer (2024-06-13 14:04 GMT-3)")</f>
        <v>93. PipeLovers💚SDRs: "Melhores práticas de "Role Play" para pré-vendedores" com Renata Mayer (2024-06-13 14:04 GMT-3)</v>
      </c>
      <c r="O104" s="228" t="str">
        <f>IFERROR(__xludf.DUMMYFUNCTION("""COMPUTED_VALUE"""),"")</f>
        <v/>
      </c>
      <c r="P104" s="118">
        <f>IFERROR(__xludf.DUMMYFUNCTION("""COMPUTED_VALUE"""),45516.0)</f>
        <v>45516</v>
      </c>
      <c r="Q104" s="228"/>
    </row>
    <row r="105">
      <c r="A105" s="73"/>
      <c r="B105" s="209" t="str">
        <f>IFERROR(__xludf.DUMMYFUNCTION("""COMPUTED_VALUE"""),"Pré-Vendas (Prospecção)")</f>
        <v>Pré-Vendas (Prospecção)</v>
      </c>
      <c r="C105" s="216" t="str">
        <f>IFERROR(__xludf.DUMMYFUNCTION("""COMPUTED_VALUE"""),"Como encantar, engajar e converter através do WhatsApp")</f>
        <v>Como encantar, engajar e converter através do WhatsApp</v>
      </c>
      <c r="D105" s="119" t="str">
        <f>IFERROR(__xludf.DUMMYFUNCTION("""COMPUTED_VALUE"""),"Jessica Bosco")</f>
        <v>Jessica Bosco</v>
      </c>
      <c r="E105" s="151" t="str">
        <f>IFERROR(__xludf.DUMMYFUNCTION("""COMPUTED_VALUE"""),"Co-founder")</f>
        <v>Co-founder</v>
      </c>
      <c r="F105" s="151" t="str">
        <f>IFERROR(__xludf.DUMMYFUNCTION("""COMPUTED_VALUE"""),"Academia Rapport")</f>
        <v>Academia Rapport</v>
      </c>
      <c r="G105" s="274" t="str">
        <f>IFERROR(__xludf.DUMMYFUNCTION("""COMPUTED_VALUE"""),"https://www.linkedin.com/in/jessicabosco/")</f>
        <v>https://www.linkedin.com/in/jessicabosco/</v>
      </c>
      <c r="H105" s="151" t="str">
        <f>IFERROR(__xludf.DUMMYFUNCTION("""COMPUTED_VALUE"""),"Relacionamento Interpessoal")</f>
        <v>Relacionamento Interpessoal</v>
      </c>
      <c r="I105" s="151" t="str">
        <f>IFERROR(__xludf.DUMMYFUNCTION("""COMPUTED_VALUE"""),"Comunicação e Relacionamento")</f>
        <v>Comunicação e Relacionamento</v>
      </c>
      <c r="J105" s="151" t="str">
        <f>IFERROR(__xludf.DUMMYFUNCTION("""COMPUTED_VALUE"""),"Comunicação Virtual")</f>
        <v>Comunicação Virtual</v>
      </c>
      <c r="K105" s="275" t="str">
        <f>IFERROR(__xludf.DUMMYFUNCTION("""COMPUTED_VALUE"""),"https://universidade.pipelovers.net/m/lessons/como-encantar-engajar-e-converter-atraves-do-whatsapp1769552043024?classId=3512")</f>
        <v>https://universidade.pipelovers.net/m/lessons/como-encantar-engajar-e-converter-atraves-do-whatsapp1769552043024?classId=3512</v>
      </c>
      <c r="L105" s="115" t="str">
        <f>IFERROR(__xludf.DUMMYFUNCTION("""COMPUTED_VALUE"""),"https://universidade.pipelovers.net/m/lessons/como-encantar-engajar-e-converter-atraves-do-whatsapp1769552043024?classId=3512")</f>
        <v>https://universidade.pipelovers.net/m/lessons/como-encantar-engajar-e-converter-atraves-do-whatsapp1769552043024?classId=3512</v>
      </c>
      <c r="M105" s="150">
        <f>IFERROR(__xludf.DUMMYFUNCTION("""COMPUTED_VALUE"""),4.71)</f>
        <v>4.71</v>
      </c>
      <c r="N105" s="151" t="str">
        <f>IFERROR(__xludf.DUMMYFUNCTION("""COMPUTED_VALUE"""),"94. PipeLovers💚SDRs: ""Como encantar, engajar e converter através do WhatsApp"" com Jessica Bosco (2024-06-17 13:05 GMT-3)")</f>
        <v>94. PipeLovers💚SDRs: "Como encantar, engajar e converter através do WhatsApp" com Jessica Bosco (2024-06-17 13:05 GMT-3)</v>
      </c>
      <c r="O105" s="151" t="str">
        <f>IFERROR(__xludf.DUMMYFUNCTION("""COMPUTED_VALUE"""),"")</f>
        <v/>
      </c>
      <c r="P105" s="118">
        <f>IFERROR(__xludf.DUMMYFUNCTION("""COMPUTED_VALUE"""),45523.0)</f>
        <v>45523</v>
      </c>
      <c r="Q105" s="151"/>
    </row>
    <row r="106">
      <c r="A106" s="73"/>
      <c r="B106" s="209" t="str">
        <f>IFERROR(__xludf.DUMMYFUNCTION("""COMPUTED_VALUE"""),"Pré-Vendas (Prospecção)")</f>
        <v>Pré-Vendas (Prospecção)</v>
      </c>
      <c r="C106" s="268" t="str">
        <f>IFERROR(__xludf.DUMMYFUNCTION("""COMPUTED_VALUE"""),"Colaboração entre pré-vendas e vendas para conquistar grandes contas")</f>
        <v>Colaboração entre pré-vendas e vendas para conquistar grandes contas</v>
      </c>
      <c r="D106" s="157" t="str">
        <f>IFERROR(__xludf.DUMMYFUNCTION("""COMPUTED_VALUE"""),"Thaynara Brito                          Manuel Pereira")</f>
        <v>Thaynara Brito                          Manuel Pereira</v>
      </c>
      <c r="E106" s="110" t="str">
        <f>IFERROR(__xludf.DUMMYFUNCTION("""COMPUTED_VALUE"""),"Sales Development Representative 
Account Executive")</f>
        <v>Sales Development Representative 
Account Executive</v>
      </c>
      <c r="F106" s="110" t="str">
        <f>IFERROR(__xludf.DUMMYFUNCTION("""COMPUTED_VALUE"""),"TotalPass ")</f>
        <v>TotalPass </v>
      </c>
      <c r="G106" s="110" t="str">
        <f>IFERROR(__xludf.DUMMYFUNCTION("""COMPUTED_VALUE"""),"https://www.linkedin.com/in/thaynara-campos-brito14182310/.  https://www.linkedin.com/in/manuelpereira-mfp/")</f>
        <v>https://www.linkedin.com/in/thaynara-campos-brito14182310/.  https://www.linkedin.com/in/manuelpereira-mfp/</v>
      </c>
      <c r="H106" s="110" t="str">
        <f>IFERROR(__xludf.DUMMYFUNCTION("""COMPUTED_VALUE"""),"Relacionamento Interpessoal")</f>
        <v>Relacionamento Interpessoal</v>
      </c>
      <c r="I106" s="110" t="str">
        <f>IFERROR(__xludf.DUMMYFUNCTION("""COMPUTED_VALUE"""),"Comunicação e Relacionamento")</f>
        <v>Comunicação e Relacionamento</v>
      </c>
      <c r="J106" s="110" t="str">
        <f>IFERROR(__xludf.DUMMYFUNCTION("""COMPUTED_VALUE"""),"Stakeholder Management")</f>
        <v>Stakeholder Management</v>
      </c>
      <c r="K106" s="273" t="str">
        <f>IFERROR(__xludf.DUMMYFUNCTION("""COMPUTED_VALUE"""),"https://universidade.pipelovers.net/m/lessons/colaboracao-entre-pre-vendas-e-vendas-para-conquistar-grandes-contas1769552043185?classId=3513")</f>
        <v>https://universidade.pipelovers.net/m/lessons/colaboracao-entre-pre-vendas-e-vendas-para-conquistar-grandes-contas1769552043185?classId=3513</v>
      </c>
      <c r="L106" s="115" t="str">
        <f>IFERROR(__xludf.DUMMYFUNCTION("""COMPUTED_VALUE"""),"https://universidade.pipelovers.net/m/lessons/colaboracao-entre-pre-vendas-e-vendas-para-conquistar-grandes-contas1769552043185?classId=3513")</f>
        <v>https://universidade.pipelovers.net/m/lessons/colaboracao-entre-pre-vendas-e-vendas-para-conquistar-grandes-contas1769552043185?classId=3513</v>
      </c>
      <c r="M106" s="117">
        <f>IFERROR(__xludf.DUMMYFUNCTION("""COMPUTED_VALUE"""),4.57)</f>
        <v>4.57</v>
      </c>
      <c r="N106" s="110" t="str">
        <f>IFERROR(__xludf.DUMMYFUNCTION("""COMPUTED_VALUE"""),"95. PipeLovers💚SDRs: ""Colaboração entre pré-vendas e vendas para conquistar grandes contas"" com Thay e (2024-07-01 13:04 GMT-3)")</f>
        <v>95. PipeLovers💚SDRs: "Colaboração entre pré-vendas e vendas para conquistar grandes contas" com Thay e (2024-07-01 13:04 GMT-3)</v>
      </c>
      <c r="O106" s="110" t="str">
        <f>IFERROR(__xludf.DUMMYFUNCTION("""COMPUTED_VALUE"""),"")</f>
        <v/>
      </c>
      <c r="P106" s="118">
        <f>IFERROR(__xludf.DUMMYFUNCTION("""COMPUTED_VALUE"""),45530.0)</f>
        <v>45530</v>
      </c>
      <c r="Q106" s="110"/>
    </row>
    <row r="107">
      <c r="A107" s="73"/>
      <c r="B107" s="209" t="str">
        <f>IFERROR(__xludf.DUMMYFUNCTION("""COMPUTED_VALUE"""),"Pré-Vendas (Prospecção)")</f>
        <v>Pré-Vendas (Prospecção)</v>
      </c>
      <c r="C107" s="279" t="str">
        <f>IFERROR(__xludf.DUMMYFUNCTION("""COMPUTED_VALUE"""),"Best Sellers - Receita Previsível")</f>
        <v>Best Sellers - Receita Previsível</v>
      </c>
      <c r="D107" s="119" t="str">
        <f>IFERROR(__xludf.DUMMYFUNCTION("""COMPUTED_VALUE"""),"Aaron Ross")</f>
        <v>Aaron Ross</v>
      </c>
      <c r="E107" s="110" t="str">
        <f>IFERROR(__xludf.DUMMYFUNCTION("""COMPUTED_VALUE"""),"Autor do livro “Receita Previsível”")</f>
        <v>Autor do livro “Receita Previsível”</v>
      </c>
      <c r="F107" s="105"/>
      <c r="G107" s="280" t="str">
        <f>IFERROR(__xludf.DUMMYFUNCTION("""COMPUTED_VALUE"""),"https://www.linkedin.com/in/aaronross/")</f>
        <v>https://www.linkedin.com/in/aaronross/</v>
      </c>
      <c r="H107" s="110" t="str">
        <f>IFERROR(__xludf.DUMMYFUNCTION("""COMPUTED_VALUE"""),"Autodesenvolvimento")</f>
        <v>Autodesenvolvimento</v>
      </c>
      <c r="I107" s="110" t="str">
        <f>IFERROR(__xludf.DUMMYFUNCTION("""COMPUTED_VALUE"""),"Aprendizado Ativo")</f>
        <v>Aprendizado Ativo</v>
      </c>
      <c r="J107" s="110" t="str">
        <f>IFERROR(__xludf.DUMMYFUNCTION("""COMPUTED_VALUE"""),"Benchmarking")</f>
        <v>Benchmarking</v>
      </c>
      <c r="K107" s="281" t="str">
        <f>IFERROR(__xludf.DUMMYFUNCTION("""COMPUTED_VALUE"""),"https://universidade.pipelovers.net/aulas/bestsellers-1775504294126")</f>
        <v>https://universidade.pipelovers.net/aulas/bestsellers-1775504294126</v>
      </c>
      <c r="L107" s="115" t="str">
        <f>IFERROR(__xludf.DUMMYFUNCTION("""COMPUTED_VALUE"""),"https://universidade.pipelovers.net/aulas/bestsellers-1775504294126")</f>
        <v>https://universidade.pipelovers.net/aulas/bestsellers-1775504294126</v>
      </c>
      <c r="M107" s="150">
        <f>IFERROR(__xludf.DUMMYFUNCTION("""COMPUTED_VALUE"""),4.57)</f>
        <v>4.57</v>
      </c>
      <c r="N107" s="151" t="str">
        <f>IFERROR(__xludf.DUMMYFUNCTION("""COMPUTED_VALUE"""),"96. BEST SELLERS - RECEITA PREVISÍVEL .mp4")</f>
        <v>96. BEST SELLERS - RECEITA PREVISÍVEL .mp4</v>
      </c>
      <c r="O107" s="110" t="str">
        <f>IFERROR(__xludf.DUMMYFUNCTION("""COMPUTED_VALUE"""),"")</f>
        <v/>
      </c>
      <c r="P107" s="118">
        <f>IFERROR(__xludf.DUMMYFUNCTION("""COMPUTED_VALUE"""),45537.0)</f>
        <v>45537</v>
      </c>
      <c r="Q107" s="110"/>
    </row>
    <row r="108">
      <c r="A108" s="73"/>
      <c r="B108" s="209" t="str">
        <f>IFERROR(__xludf.DUMMYFUNCTION("""COMPUTED_VALUE"""),"Pré-Vendas (Prospecção)")</f>
        <v>Pré-Vendas (Prospecção)</v>
      </c>
      <c r="C108" s="216" t="str">
        <f>IFERROR(__xludf.DUMMYFUNCTION("""COMPUTED_VALUE"""),"Como realizar testes A/B  para maximizar resultados")</f>
        <v>Como realizar testes A/B  para maximizar resultados</v>
      </c>
      <c r="D108" s="104" t="str">
        <f>IFERROR(__xludf.DUMMYFUNCTION("""COMPUTED_VALUE"""),"Otavio Borba")</f>
        <v>Otavio Borba</v>
      </c>
      <c r="E108" s="110" t="str">
        <f>IFERROR(__xludf.DUMMYFUNCTION("""COMPUTED_VALUE"""),"Diretor de Planejamento Estratégico")</f>
        <v>Diretor de Planejamento Estratégico</v>
      </c>
      <c r="F108" s="110" t="str">
        <f>IFERROR(__xludf.DUMMYFUNCTION("""COMPUTED_VALUE"""),"CV CRM (Grupo Softplan)")</f>
        <v>CV CRM (Grupo Softplan)</v>
      </c>
      <c r="G108" s="280" t="str">
        <f>IFERROR(__xludf.DUMMYFUNCTION("""COMPUTED_VALUE"""),"https://www.linkedin.com/in/otavioborba/")</f>
        <v>https://www.linkedin.com/in/otavioborba/</v>
      </c>
      <c r="H108" s="110" t="str">
        <f>IFERROR(__xludf.DUMMYFUNCTION("""COMPUTED_VALUE"""),"Conhecimento Técnico")</f>
        <v>Conhecimento Técnico</v>
      </c>
      <c r="I108" s="110" t="str">
        <f>IFERROR(__xludf.DUMMYFUNCTION("""COMPUTED_VALUE"""),"Pensamento Crítico")</f>
        <v>Pensamento Crítico</v>
      </c>
      <c r="J108" s="110" t="str">
        <f>IFERROR(__xludf.DUMMYFUNCTION("""COMPUTED_VALUE"""),"Métricas de Funil")</f>
        <v>Métricas de Funil</v>
      </c>
      <c r="K108" s="282" t="str">
        <f>IFERROR(__xludf.DUMMYFUNCTION("""COMPUTED_VALUE"""),"https://universidade.pipelovers.net/aulas/como-realizar-testes-ab-para-maximizar-resultados-1775074847289")</f>
        <v>https://universidade.pipelovers.net/aulas/como-realizar-testes-ab-para-maximizar-resultados-1775074847289</v>
      </c>
      <c r="L108" s="148" t="str">
        <f>IFERROR(__xludf.DUMMYFUNCTION("""COMPUTED_VALUE"""),"https://universidade.pipelovers.net/aulas/como-realizar-testes-ab-para-maximizar-resultados-1775074847289")</f>
        <v>https://universidade.pipelovers.net/aulas/como-realizar-testes-ab-para-maximizar-resultados-1775074847289</v>
      </c>
      <c r="M108" s="117">
        <f>IFERROR(__xludf.DUMMYFUNCTION("""COMPUTED_VALUE"""),4.0)</f>
        <v>4</v>
      </c>
      <c r="N108" s="110" t="str">
        <f>IFERROR(__xludf.DUMMYFUNCTION("""COMPUTED_VALUE"""),"97. PipeLovers💚SDRs: ""Como realizar testes A/B  para maximizar resultados"" com Otavio Borba (2024-07-15 13:06 GMT-3)")</f>
        <v>97. PipeLovers💚SDRs: "Como realizar testes A/B  para maximizar resultados" com Otavio Borba (2024-07-15 13:06 GMT-3)</v>
      </c>
      <c r="O108" s="110" t="str">
        <f>IFERROR(__xludf.DUMMYFUNCTION("""COMPUTED_VALUE"""),"")</f>
        <v/>
      </c>
      <c r="P108" s="118">
        <f>IFERROR(__xludf.DUMMYFUNCTION("""COMPUTED_VALUE"""),45544.0)</f>
        <v>45544</v>
      </c>
      <c r="Q108" s="110"/>
    </row>
    <row r="109">
      <c r="A109" s="73"/>
      <c r="B109" s="209" t="str">
        <f>IFERROR(__xludf.DUMMYFUNCTION("""COMPUTED_VALUE"""),"Pré-Vendas (Prospecção)")</f>
        <v>Pré-Vendas (Prospecção)</v>
      </c>
      <c r="C109" s="268" t="str">
        <f>IFERROR(__xludf.DUMMYFUNCTION("""COMPUTED_VALUE"""),"Planejamento de atividades diárias para maximizar a qualificação de leads")</f>
        <v>Planejamento de atividades diárias para maximizar a qualificação de leads</v>
      </c>
      <c r="D109" s="119" t="str">
        <f>IFERROR(__xludf.DUMMYFUNCTION("""COMPUTED_VALUE"""),"Brunna Lima")</f>
        <v>Brunna Lima</v>
      </c>
      <c r="E109" s="110" t="str">
        <f>IFERROR(__xludf.DUMMYFUNCTION("""COMPUTED_VALUE"""),"Coordenadora de Outbound")</f>
        <v>Coordenadora de Outbound</v>
      </c>
      <c r="F109" s="110" t="str">
        <f>IFERROR(__xludf.DUMMYFUNCTION("""COMPUTED_VALUE"""),"Conta simples")</f>
        <v>Conta simples</v>
      </c>
      <c r="G109" s="122" t="str">
        <f>IFERROR(__xludf.DUMMYFUNCTION("""COMPUTED_VALUE"""),"https://www.linkedin.com/in/brunnatheobaldo/")</f>
        <v>https://www.linkedin.com/in/brunnatheobaldo/</v>
      </c>
      <c r="H109" s="110" t="str">
        <f>IFERROR(__xludf.DUMMYFUNCTION("""COMPUTED_VALUE"""),"Autodesenvolvimento")</f>
        <v>Autodesenvolvimento</v>
      </c>
      <c r="I109" s="110" t="str">
        <f>IFERROR(__xludf.DUMMYFUNCTION("""COMPUTED_VALUE"""),"Gestão de Tempo e da Informação")</f>
        <v>Gestão de Tempo e da Informação</v>
      </c>
      <c r="J109" s="110" t="str">
        <f>IFERROR(__xludf.DUMMYFUNCTION("""COMPUTED_VALUE"""),"Priorização de Atividades")</f>
        <v>Priorização de Atividades</v>
      </c>
      <c r="K109" s="273" t="str">
        <f>IFERROR(__xludf.DUMMYFUNCTION("""COMPUTED_VALUE"""),"https://universidade.pipelovers.net/m/lessons/planejamento-de-atividades-diarias-para-maximizar-a-qualificacao-de-leads1769552046272?classId=3516")</f>
        <v>https://universidade.pipelovers.net/m/lessons/planejamento-de-atividades-diarias-para-maximizar-a-qualificacao-de-leads1769552046272?classId=3516</v>
      </c>
      <c r="L109" s="115" t="str">
        <f>IFERROR(__xludf.DUMMYFUNCTION("""COMPUTED_VALUE"""),"https://universidade.pipelovers.net/m/lessons/planejamento-de-atividades-diarias-para-maximizar-a-qualificacao-de-leads1769552046272?classId=3516")</f>
        <v>https://universidade.pipelovers.net/m/lessons/planejamento-de-atividades-diarias-para-maximizar-a-qualificacao-de-leads1769552046272?classId=3516</v>
      </c>
      <c r="M109" s="117">
        <f>IFERROR(__xludf.DUMMYFUNCTION("""COMPUTED_VALUE"""),4.0)</f>
        <v>4</v>
      </c>
      <c r="N109" s="110" t="str">
        <f>IFERROR(__xludf.DUMMYFUNCTION("""COMPUTED_VALUE"""),"98. PipeLovers💚SDRs: ""Planejamento de atividades diárias para maximizar a qualificação de leads"" com B (2024-07-22 13:05 GMT-3)")</f>
        <v>98. PipeLovers💚SDRs: "Planejamento de atividades diárias para maximizar a qualificação de leads" com B (2024-07-22 13:05 GMT-3)</v>
      </c>
      <c r="O109" s="110" t="str">
        <f>IFERROR(__xludf.DUMMYFUNCTION("""COMPUTED_VALUE"""),"")</f>
        <v/>
      </c>
      <c r="P109" s="118">
        <f>IFERROR(__xludf.DUMMYFUNCTION("""COMPUTED_VALUE"""),45551.0)</f>
        <v>45551</v>
      </c>
      <c r="Q109" s="110"/>
    </row>
    <row r="110">
      <c r="A110" s="73"/>
      <c r="B110" s="209" t="str">
        <f>IFERROR(__xludf.DUMMYFUNCTION("""COMPUTED_VALUE"""),"Pré-Vendas (Prospecção)")</f>
        <v>Pré-Vendas (Prospecção)</v>
      </c>
      <c r="C110" s="216" t="str">
        <f>IFERROR(__xludf.DUMMYFUNCTION("""COMPUTED_VALUE"""),"Aumentando a qualidade dos dados em bases de prospecção")</f>
        <v>Aumentando a qualidade dos dados em bases de prospecção</v>
      </c>
      <c r="D110" s="104" t="str">
        <f>IFERROR(__xludf.DUMMYFUNCTION("""COMPUTED_VALUE"""),"Paulo Krieser")</f>
        <v>Paulo Krieser</v>
      </c>
      <c r="E110" s="110" t="str">
        <f>IFERROR(__xludf.DUMMYFUNCTION("""COMPUTED_VALUE"""),"CEO")</f>
        <v>CEO</v>
      </c>
      <c r="F110" s="110" t="str">
        <f>IFERROR(__xludf.DUMMYFUNCTION("""COMPUTED_VALUE"""),"Econodata")</f>
        <v>Econodata</v>
      </c>
      <c r="G110" s="122" t="str">
        <f>IFERROR(__xludf.DUMMYFUNCTION("""COMPUTED_VALUE"""),"https://www.linkedin.com/in/pauloaakrieser/")</f>
        <v>https://www.linkedin.com/in/pauloaakrieser/</v>
      </c>
      <c r="H110" s="110" t="str">
        <f>IFERROR(__xludf.DUMMYFUNCTION("""COMPUTED_VALUE"""),"Conhecimento Técnico")</f>
        <v>Conhecimento Técnico</v>
      </c>
      <c r="I110" s="110" t="str">
        <f>IFERROR(__xludf.DUMMYFUNCTION("""COMPUTED_VALUE"""),"Gestão de Vendas")</f>
        <v>Gestão de Vendas</v>
      </c>
      <c r="J110" s="110" t="str">
        <f>IFERROR(__xludf.DUMMYFUNCTION("""COMPUTED_VALUE"""),"Rotinas e Rituais")</f>
        <v>Rotinas e Rituais</v>
      </c>
      <c r="K110" s="275" t="str">
        <f>IFERROR(__xludf.DUMMYFUNCTION("""COMPUTED_VALUE"""),"https://universidade.pipelovers.net/m/lessons/aumentando-a-qualidade-dos-dados-em-bases-de-prospeccao1769552046304?classId=3517")</f>
        <v>https://universidade.pipelovers.net/m/lessons/aumentando-a-qualidade-dos-dados-em-bases-de-prospeccao1769552046304?classId=3517</v>
      </c>
      <c r="L110" s="115" t="str">
        <f>IFERROR(__xludf.DUMMYFUNCTION("""COMPUTED_VALUE"""),"https://universidade.pipelovers.net/m/lessons/aumentando-a-qualidade-dos-dados-em-bases-de-prospeccao1769552046304?classId=3517")</f>
        <v>https://universidade.pipelovers.net/m/lessons/aumentando-a-qualidade-dos-dados-em-bases-de-prospeccao1769552046304?classId=3517</v>
      </c>
      <c r="M110" s="117">
        <f>IFERROR(__xludf.DUMMYFUNCTION("""COMPUTED_VALUE"""),3.71)</f>
        <v>3.71</v>
      </c>
      <c r="N110" s="110" t="str">
        <f>IFERROR(__xludf.DUMMYFUNCTION("""COMPUTED_VALUE"""),"99. PipeLovers💚SDRs: ""Aumentando a qualidade dos dados em bases de prospecção"" com Paulo Krieser (2024-07-29 13:04 GMT-3)")</f>
        <v>99. PipeLovers💚SDRs: "Aumentando a qualidade dos dados em bases de prospecção" com Paulo Krieser (2024-07-29 13:04 GMT-3)</v>
      </c>
      <c r="O110" s="110" t="str">
        <f>IFERROR(__xludf.DUMMYFUNCTION("""COMPUTED_VALUE"""),"")</f>
        <v/>
      </c>
      <c r="P110" s="118">
        <f>IFERROR(__xludf.DUMMYFUNCTION("""COMPUTED_VALUE"""),45558.0)</f>
        <v>45558</v>
      </c>
      <c r="Q110" s="110"/>
    </row>
    <row r="111">
      <c r="A111" s="73"/>
      <c r="B111" s="209" t="str">
        <f>IFERROR(__xludf.DUMMYFUNCTION("""COMPUTED_VALUE"""),"Pré-Vendas (Prospecção)")</f>
        <v>Pré-Vendas (Prospecção)</v>
      </c>
      <c r="C111" s="268" t="str">
        <f>IFERROR(__xludf.DUMMYFUNCTION("""COMPUTED_VALUE"""),"Convertendo indicações em oportunidades")</f>
        <v>Convertendo indicações em oportunidades</v>
      </c>
      <c r="D111" s="119" t="str">
        <f>IFERROR(__xludf.DUMMYFUNCTION("""COMPUTED_VALUE"""),"Gabriel Brasil")</f>
        <v>Gabriel Brasil</v>
      </c>
      <c r="E111" s="110" t="str">
        <f>IFERROR(__xludf.DUMMYFUNCTION("""COMPUTED_VALUE"""),"Head of Revenue")</f>
        <v>Head of Revenue</v>
      </c>
      <c r="F111" s="110" t="str">
        <f>IFERROR(__xludf.DUMMYFUNCTION("""COMPUTED_VALUE"""),"PipeLovers")</f>
        <v>PipeLovers</v>
      </c>
      <c r="G111" s="122" t="str">
        <f>IFERROR(__xludf.DUMMYFUNCTION("""COMPUTED_VALUE"""),"https://www.linkedin.com/in/gabriel-sbrasil/")</f>
        <v>https://www.linkedin.com/in/gabriel-sbrasil/</v>
      </c>
      <c r="H111" s="110" t="str">
        <f>IFERROR(__xludf.DUMMYFUNCTION("""COMPUTED_VALUE"""),"Conhecimento Técnico")</f>
        <v>Conhecimento Técnico</v>
      </c>
      <c r="I111" s="110" t="str">
        <f>IFERROR(__xludf.DUMMYFUNCTION("""COMPUTED_VALUE"""),"Técnicas de Vendas")</f>
        <v>Técnicas de Vendas</v>
      </c>
      <c r="J111" s="110" t="str">
        <f>IFERROR(__xludf.DUMMYFUNCTION("""COMPUTED_VALUE"""),"Abordagem e Prospecção")</f>
        <v>Abordagem e Prospecção</v>
      </c>
      <c r="K111" s="273" t="str">
        <f>IFERROR(__xludf.DUMMYFUNCTION("""COMPUTED_VALUE"""),"https://universidade.pipelovers.net/m/lessons/convertendo-indicacoes-em-oportunidades1769552046336?classId=3518")</f>
        <v>https://universidade.pipelovers.net/m/lessons/convertendo-indicacoes-em-oportunidades1769552046336?classId=3518</v>
      </c>
      <c r="L111" s="115" t="str">
        <f>IFERROR(__xludf.DUMMYFUNCTION("""COMPUTED_VALUE"""),"https://universidade.pipelovers.net/m/lessons/convertendo-indicacoes-em-oportunidades1769552046336?classId=3518")</f>
        <v>https://universidade.pipelovers.net/m/lessons/convertendo-indicacoes-em-oportunidades1769552046336?classId=3518</v>
      </c>
      <c r="M111" s="117">
        <f>IFERROR(__xludf.DUMMYFUNCTION("""COMPUTED_VALUE"""),4.86)</f>
        <v>4.86</v>
      </c>
      <c r="N111" s="110" t="str">
        <f>IFERROR(__xludf.DUMMYFUNCTION("""COMPUTED_VALUE"""),"100.PipeLovers💚SDRs: ""Convertendo indicações em oportunidades"" com Gabriel Brasil (2024-08-05 13:04 GMT-3)")</f>
        <v>100.PipeLovers💚SDRs: "Convertendo indicações em oportunidades" com Gabriel Brasil (2024-08-05 13:04 GMT-3)</v>
      </c>
      <c r="O111" s="110" t="str">
        <f>IFERROR(__xludf.DUMMYFUNCTION("""COMPUTED_VALUE"""),"")</f>
        <v/>
      </c>
      <c r="P111" s="118">
        <f>IFERROR(__xludf.DUMMYFUNCTION("""COMPUTED_VALUE"""),45565.0)</f>
        <v>45565</v>
      </c>
      <c r="Q111" s="110"/>
    </row>
    <row r="112">
      <c r="A112" s="73"/>
      <c r="B112" s="209" t="str">
        <f>IFERROR(__xludf.DUMMYFUNCTION("""COMPUTED_VALUE"""),"Pré-Vendas (Prospecção)")</f>
        <v>Pré-Vendas (Prospecção)</v>
      </c>
      <c r="C112" s="216" t="str">
        <f>IFERROR(__xludf.DUMMYFUNCTION("""COMPUTED_VALUE"""),"Maximizando o potencial do e-mail")</f>
        <v>Maximizando o potencial do e-mail</v>
      </c>
      <c r="D112" s="104" t="str">
        <f>IFERROR(__xludf.DUMMYFUNCTION("""COMPUTED_VALUE"""),"Denise Ozaki")</f>
        <v>Denise Ozaki</v>
      </c>
      <c r="E112" s="110" t="str">
        <f>IFERROR(__xludf.DUMMYFUNCTION("""COMPUTED_VALUE"""),"Head de Marketing e Branding ")</f>
        <v>Head de Marketing e Branding </v>
      </c>
      <c r="F112" s="110" t="str">
        <f>IFERROR(__xludf.DUMMYFUNCTION("""COMPUTED_VALUE"""),"Picsel")</f>
        <v>Picsel</v>
      </c>
      <c r="G112" s="122" t="str">
        <f>IFERROR(__xludf.DUMMYFUNCTION("""COMPUTED_VALUE"""),"https://www.linkedin.com/in/denise-ozaki/")</f>
        <v>https://www.linkedin.com/in/denise-ozaki/</v>
      </c>
      <c r="H112" s="110" t="str">
        <f>IFERROR(__xludf.DUMMYFUNCTION("""COMPUTED_VALUE"""),"Conhecimento Técnico")</f>
        <v>Conhecimento Técnico</v>
      </c>
      <c r="I112" s="110" t="str">
        <f>IFERROR(__xludf.DUMMYFUNCTION("""COMPUTED_VALUE"""),"Técnicas de Vendas")</f>
        <v>Técnicas de Vendas</v>
      </c>
      <c r="J112" s="110" t="str">
        <f>IFERROR(__xludf.DUMMYFUNCTION("""COMPUTED_VALUE"""),"Abordagem e Prospecção")</f>
        <v>Abordagem e Prospecção</v>
      </c>
      <c r="K112" s="275" t="str">
        <f>IFERROR(__xludf.DUMMYFUNCTION("""COMPUTED_VALUE"""),"https://universidade.pipelovers.net/m/lessons/maximizando-o-potencial-do-e-mail1769552046385?classId=3519")</f>
        <v>https://universidade.pipelovers.net/m/lessons/maximizando-o-potencial-do-e-mail1769552046385?classId=3519</v>
      </c>
      <c r="L112" s="115" t="str">
        <f>IFERROR(__xludf.DUMMYFUNCTION("""COMPUTED_VALUE"""),"https://universidade.pipelovers.net/m/lessons/maximizando-o-potencial-do-e-mail1769552046385?classId=3519")</f>
        <v>https://universidade.pipelovers.net/m/lessons/maximizando-o-potencial-do-e-mail1769552046385?classId=3519</v>
      </c>
      <c r="M112" s="117">
        <f>IFERROR(__xludf.DUMMYFUNCTION("""COMPUTED_VALUE"""),4.5)</f>
        <v>4.5</v>
      </c>
      <c r="N112" s="110" t="str">
        <f>IFERROR(__xludf.DUMMYFUNCTION("""COMPUTED_VALUE"""),"101. PipeLovers💚SDRs: ""Maximizando o potencial do e-mail"" com Denise Ozaki (2024-08-12 13:05 GMT-3)")</f>
        <v>101. PipeLovers💚SDRs: "Maximizando o potencial do e-mail" com Denise Ozaki (2024-08-12 13:05 GMT-3)</v>
      </c>
      <c r="O112" s="110" t="str">
        <f>IFERROR(__xludf.DUMMYFUNCTION("""COMPUTED_VALUE"""),"")</f>
        <v/>
      </c>
      <c r="P112" s="118">
        <f>IFERROR(__xludf.DUMMYFUNCTION("""COMPUTED_VALUE"""),45572.0)</f>
        <v>45572</v>
      </c>
      <c r="Q112" s="110"/>
    </row>
    <row r="113">
      <c r="A113" s="73"/>
      <c r="B113" s="209" t="str">
        <f>IFERROR(__xludf.DUMMYFUNCTION("""COMPUTED_VALUE"""),"Pré-Vendas (Prospecção)")</f>
        <v>Pré-Vendas (Prospecção)</v>
      </c>
      <c r="C113" s="288" t="str">
        <f>IFERROR(__xludf.DUMMYFUNCTION("""COMPUTED_VALUE"""),"Rotinas de autoavaliação de performance de pre-vendedores")</f>
        <v>Rotinas de autoavaliação de performance de pre-vendedores</v>
      </c>
      <c r="D113" s="289" t="str">
        <f>IFERROR(__xludf.DUMMYFUNCTION("""COMPUTED_VALUE"""),"Danndhara Anacleto")</f>
        <v>Danndhara Anacleto</v>
      </c>
      <c r="E113" s="218" t="str">
        <f>IFERROR(__xludf.DUMMYFUNCTION("""COMPUTED_VALUE"""),"Head of Sales and Business Development")</f>
        <v>Head of Sales and Business Development</v>
      </c>
      <c r="F113" s="218" t="str">
        <f>IFERROR(__xludf.DUMMYFUNCTION("""COMPUTED_VALUE"""),"Syngoo")</f>
        <v>Syngoo</v>
      </c>
      <c r="G113" s="219" t="str">
        <f>IFERROR(__xludf.DUMMYFUNCTION("""COMPUTED_VALUE"""),"https://www.linkedin.com/in/danndhara/")</f>
        <v>https://www.linkedin.com/in/danndhara/</v>
      </c>
      <c r="H113" s="218" t="str">
        <f>IFERROR(__xludf.DUMMYFUNCTION("""COMPUTED_VALUE"""),"Conhecimento Técnico")</f>
        <v>Conhecimento Técnico</v>
      </c>
      <c r="I113" s="218" t="str">
        <f>IFERROR(__xludf.DUMMYFUNCTION("""COMPUTED_VALUE"""),"Gestão de Vendas")</f>
        <v>Gestão de Vendas</v>
      </c>
      <c r="J113" s="218" t="str">
        <f>IFERROR(__xludf.DUMMYFUNCTION("""COMPUTED_VALUE"""),"Rotinas e Rituais")</f>
        <v>Rotinas e Rituais</v>
      </c>
      <c r="K113" s="281" t="str">
        <f>IFERROR(__xludf.DUMMYFUNCTION("""COMPUTED_VALUE"""),"https://universidade.pipelovers.net/m/lessons/rotinas-de-autoavaliacao-de-performance-de-pre-vendedores1769552046415?classId=3520")</f>
        <v>https://universidade.pipelovers.net/m/lessons/rotinas-de-autoavaliacao-de-performance-de-pre-vendedores1769552046415?classId=3520</v>
      </c>
      <c r="L113" s="115" t="str">
        <f>IFERROR(__xludf.DUMMYFUNCTION("""COMPUTED_VALUE"""),"https://universidade.pipelovers.net/m/lessons/rotinas-de-autoavaliacao-de-performance-de-pre-vendedores1769552046415?classId=3520")</f>
        <v>https://universidade.pipelovers.net/m/lessons/rotinas-de-autoavaliacao-de-performance-de-pre-vendedores1769552046415?classId=3520</v>
      </c>
      <c r="M113" s="292">
        <f>IFERROR(__xludf.DUMMYFUNCTION("""COMPUTED_VALUE"""),3.71)</f>
        <v>3.71</v>
      </c>
      <c r="N113" s="293" t="str">
        <f>IFERROR(__xludf.DUMMYFUNCTION("""COMPUTED_VALUE"""),"102. PipeLovers💚SDRs: ""Rotinas de autoavaliação de performance de pre-vendedores"" com Danndhara Anaclet (2024-08-19 13:04 GMT-3)")</f>
        <v>102. PipeLovers💚SDRs: "Rotinas de autoavaliação de performance de pre-vendedores" com Danndhara Anaclet (2024-08-19 13:04 GMT-3)</v>
      </c>
      <c r="O113" s="294" t="str">
        <f>IFERROR(__xludf.DUMMYFUNCTION("""COMPUTED_VALUE"""),"")</f>
        <v/>
      </c>
      <c r="P113" s="118">
        <f>IFERROR(__xludf.DUMMYFUNCTION("""COMPUTED_VALUE"""),45579.0)</f>
        <v>45579</v>
      </c>
      <c r="Q113" s="294"/>
    </row>
    <row r="114">
      <c r="A114" s="73"/>
      <c r="B114" s="209" t="str">
        <f>IFERROR(__xludf.DUMMYFUNCTION("""COMPUTED_VALUE"""),"Pré-Vendas (Prospecção)")</f>
        <v>Pré-Vendas (Prospecção)</v>
      </c>
      <c r="C114" s="268" t="str">
        <f>IFERROR(__xludf.DUMMYFUNCTION("""COMPUTED_VALUE"""),"Como usar os gatilhos mentais a seu favor")</f>
        <v>Como usar os gatilhos mentais a seu favor</v>
      </c>
      <c r="D114" s="296" t="str">
        <f>IFERROR(__xludf.DUMMYFUNCTION("""COMPUTED_VALUE"""),"Paula Olaf")</f>
        <v>Paula Olaf</v>
      </c>
      <c r="E114" s="218" t="str">
        <f>IFERROR(__xludf.DUMMYFUNCTION("""COMPUTED_VALUE"""),"Fundadora")</f>
        <v>Fundadora</v>
      </c>
      <c r="F114" s="218" t="str">
        <f>IFERROR(__xludf.DUMMYFUNCTION("""COMPUTED_VALUE"""),"Fábrica de SDR")</f>
        <v>Fábrica de SDR</v>
      </c>
      <c r="G114" s="219" t="str">
        <f>IFERROR(__xludf.DUMMYFUNCTION("""COMPUTED_VALUE"""),"https://www.linkedin.com/in/paulaolaf/")</f>
        <v>https://www.linkedin.com/in/paulaolaf/</v>
      </c>
      <c r="H114" s="218" t="str">
        <f>IFERROR(__xludf.DUMMYFUNCTION("""COMPUTED_VALUE"""),"Relacionamento Interpessoal")</f>
        <v>Relacionamento Interpessoal</v>
      </c>
      <c r="I114" s="218" t="str">
        <f>IFERROR(__xludf.DUMMYFUNCTION("""COMPUTED_VALUE"""),"Comunicação e Relacionamento")</f>
        <v>Comunicação e Relacionamento</v>
      </c>
      <c r="J114" s="218" t="str">
        <f>IFERROR(__xludf.DUMMYFUNCTION("""COMPUTED_VALUE"""),"Tecnicas de Rapport")</f>
        <v>Tecnicas de Rapport</v>
      </c>
      <c r="K114" s="273" t="str">
        <f>IFERROR(__xludf.DUMMYFUNCTION("""COMPUTED_VALUE"""),"https://universidade.pipelovers.net/m/lessons/como-usar-os-gatilhos-mentais-a-seu-favor1769552046459?classId=3521")</f>
        <v>https://universidade.pipelovers.net/m/lessons/como-usar-os-gatilhos-mentais-a-seu-favor1769552046459?classId=3521</v>
      </c>
      <c r="L114" s="115" t="str">
        <f>IFERROR(__xludf.DUMMYFUNCTION("""COMPUTED_VALUE"""),"https://universidade.pipelovers.net/m/lessons/como-usar-os-gatilhos-mentais-a-seu-favor1769552046459?classId=3521")</f>
        <v>https://universidade.pipelovers.net/m/lessons/como-usar-os-gatilhos-mentais-a-seu-favor1769552046459?classId=3521</v>
      </c>
      <c r="M114" s="292">
        <f>IFERROR(__xludf.DUMMYFUNCTION("""COMPUTED_VALUE"""),4.0)</f>
        <v>4</v>
      </c>
      <c r="N114" s="293" t="str">
        <f>IFERROR(__xludf.DUMMYFUNCTION("""COMPUTED_VALUE"""),"103. PipeLovers💚SDRs: ""Como usar os gatilhos mentais a seu favor"" com Paula Olaf – 2024/08/26 12:52 BRT – Recording")</f>
        <v>103. PipeLovers💚SDRs: "Como usar os gatilhos mentais a seu favor" com Paula Olaf – 2024/08/26 12:52 BRT – Recording</v>
      </c>
      <c r="O114" s="294" t="str">
        <f>IFERROR(__xludf.DUMMYFUNCTION("""COMPUTED_VALUE"""),"")</f>
        <v/>
      </c>
      <c r="P114" s="118">
        <f>IFERROR(__xludf.DUMMYFUNCTION("""COMPUTED_VALUE"""),45586.0)</f>
        <v>45586</v>
      </c>
      <c r="Q114" s="294"/>
    </row>
    <row r="115">
      <c r="A115" s="73"/>
      <c r="B115" s="209" t="str">
        <f>IFERROR(__xludf.DUMMYFUNCTION("""COMPUTED_VALUE"""),"Pré-Vendas (Prospecção)")</f>
        <v>Pré-Vendas (Prospecção)</v>
      </c>
      <c r="C115" s="216" t="str">
        <f>IFERROR(__xludf.DUMMYFUNCTION("""COMPUTED_VALUE"""),"Ascensão de SDR a gestor")</f>
        <v>Ascensão de SDR a gestor</v>
      </c>
      <c r="D115" s="289" t="str">
        <f>IFERROR(__xludf.DUMMYFUNCTION("""COMPUTED_VALUE"""),"Elen Lima")</f>
        <v>Elen Lima</v>
      </c>
      <c r="E115" s="218" t="str">
        <f>IFERROR(__xludf.DUMMYFUNCTION("""COMPUTED_VALUE"""),"Head Customer Success &amp; CRM")</f>
        <v>Head Customer Success &amp; CRM</v>
      </c>
      <c r="F115" s="218" t="str">
        <f>IFERROR(__xludf.DUMMYFUNCTION("""COMPUTED_VALUE"""),"Loft")</f>
        <v>Loft</v>
      </c>
      <c r="G115" s="219" t="str">
        <f>IFERROR(__xludf.DUMMYFUNCTION("""COMPUTED_VALUE"""),"https://www.linkedin.com/in/elen-lima/")</f>
        <v>https://www.linkedin.com/in/elen-lima/</v>
      </c>
      <c r="H115" s="218" t="str">
        <f>IFERROR(__xludf.DUMMYFUNCTION("""COMPUTED_VALUE"""),"Relacionamento Interpessoal")</f>
        <v>Relacionamento Interpessoal</v>
      </c>
      <c r="I115" s="218" t="str">
        <f>IFERROR(__xludf.DUMMYFUNCTION("""COMPUTED_VALUE"""),"Liderança e Influência")</f>
        <v>Liderança e Influência</v>
      </c>
      <c r="J115" s="218" t="str">
        <f>IFERROR(__xludf.DUMMYFUNCTION("""COMPUTED_VALUE"""),"Mentoria e Desenvolvimento de Talentos")</f>
        <v>Mentoria e Desenvolvimento de Talentos</v>
      </c>
      <c r="K115" s="275" t="str">
        <f>IFERROR(__xludf.DUMMYFUNCTION("""COMPUTED_VALUE"""),"https://universidade.pipelovers.net/m/lessons/ascensao-de-sdr-a-gestor1769552059566?classId=3522")</f>
        <v>https://universidade.pipelovers.net/m/lessons/ascensao-de-sdr-a-gestor1769552059566?classId=3522</v>
      </c>
      <c r="L115" s="115" t="str">
        <f>IFERROR(__xludf.DUMMYFUNCTION("""COMPUTED_VALUE"""),"https://universidade.pipelovers.net/m/lessons/ascensao-de-sdr-a-gestor1769552059566?classId=3522")</f>
        <v>https://universidade.pipelovers.net/m/lessons/ascensao-de-sdr-a-gestor1769552059566?classId=3522</v>
      </c>
      <c r="M115" s="292">
        <f>IFERROR(__xludf.DUMMYFUNCTION("""COMPUTED_VALUE"""),4.0)</f>
        <v>4</v>
      </c>
      <c r="N115" s="293" t="str">
        <f>IFERROR(__xludf.DUMMYFUNCTION("""COMPUTED_VALUE"""),"104. PipeLovers💚SDRs: ""Ascensão de SDR a gestor"" com Elen Lima – 2024/09/02 12:52 BRT – Recording")</f>
        <v>104. PipeLovers💚SDRs: "Ascensão de SDR a gestor" com Elen Lima – 2024/09/02 12:52 BRT – Recording</v>
      </c>
      <c r="O115" s="294" t="str">
        <f>IFERROR(__xludf.DUMMYFUNCTION("""COMPUTED_VALUE"""),"")</f>
        <v/>
      </c>
      <c r="P115" s="118">
        <f>IFERROR(__xludf.DUMMYFUNCTION("""COMPUTED_VALUE"""),45593.0)</f>
        <v>45593</v>
      </c>
      <c r="Q115" s="294"/>
    </row>
    <row r="116">
      <c r="A116" s="73"/>
      <c r="B116" s="209" t="str">
        <f>IFERROR(__xludf.DUMMYFUNCTION("""COMPUTED_VALUE"""),"Pré-Vendas (Prospecção)")</f>
        <v>Pré-Vendas (Prospecção)</v>
      </c>
      <c r="C116" s="300" t="str">
        <f>IFERROR(__xludf.DUMMYFUNCTION("""COMPUTED_VALUE"""),"Personalizando pitches para diferentes segmentos")</f>
        <v>Personalizando pitches para diferentes segmentos</v>
      </c>
      <c r="D116" s="296" t="str">
        <f>IFERROR(__xludf.DUMMYFUNCTION("""COMPUTED_VALUE"""),"Camely Rabelo")</f>
        <v>Camely Rabelo</v>
      </c>
      <c r="E116" s="218" t="str">
        <f>IFERROR(__xludf.DUMMYFUNCTION("""COMPUTED_VALUE"""),"Co-Founder")</f>
        <v>Co-Founder</v>
      </c>
      <c r="F116" s="218" t="str">
        <f>IFERROR(__xludf.DUMMYFUNCTION("""COMPUTED_VALUE"""),"Escola Exchange")</f>
        <v>Escola Exchange</v>
      </c>
      <c r="G116" s="219" t="str">
        <f>IFERROR(__xludf.DUMMYFUNCTION("""COMPUTED_VALUE"""),"https://www.linkedin.com/in/camelyrabelo/")</f>
        <v>https://www.linkedin.com/in/camelyrabelo/</v>
      </c>
      <c r="H116" s="218" t="str">
        <f>IFERROR(__xludf.DUMMYFUNCTION("""COMPUTED_VALUE"""),"Conhecimento Técnico")</f>
        <v>Conhecimento Técnico</v>
      </c>
      <c r="I116" s="218" t="str">
        <f>IFERROR(__xludf.DUMMYFUNCTION("""COMPUTED_VALUE"""),"Técnicas de Vendas")</f>
        <v>Técnicas de Vendas</v>
      </c>
      <c r="J116" s="218" t="str">
        <f>IFERROR(__xludf.DUMMYFUNCTION("""COMPUTED_VALUE"""),"Pitch Comercial")</f>
        <v>Pitch Comercial</v>
      </c>
      <c r="K116" s="301" t="str">
        <f>IFERROR(__xludf.DUMMYFUNCTION("""COMPUTED_VALUE"""),"https://universidade.pipelovers.net/m/lessons/personalizando-pitches-para-diferentes-segmentos1769552059893?classId=3523")</f>
        <v>https://universidade.pipelovers.net/m/lessons/personalizando-pitches-para-diferentes-segmentos1769552059893?classId=3523</v>
      </c>
      <c r="L116" s="115" t="str">
        <f>IFERROR(__xludf.DUMMYFUNCTION("""COMPUTED_VALUE"""),"https://universidade.pipelovers.net/m/lessons/personalizando-pitches-para-diferentes-segmentos1769552059893?classId=3523")</f>
        <v>https://universidade.pipelovers.net/m/lessons/personalizando-pitches-para-diferentes-segmentos1769552059893?classId=3523</v>
      </c>
      <c r="M116" s="292">
        <f>IFERROR(__xludf.DUMMYFUNCTION("""COMPUTED_VALUE"""),4.36)</f>
        <v>4.36</v>
      </c>
      <c r="N116" s="293" t="str">
        <f>IFERROR(__xludf.DUMMYFUNCTION("""COMPUTED_VALUE"""),"105. PipeLovers💚SDRs: ""Personaliozando pitches para diferentes segmentos "" com Camely Rabelo – 2024/09/09 12:53 BRT – Recording")</f>
        <v>105. PipeLovers💚SDRs: "Personaliozando pitches para diferentes segmentos " com Camely Rabelo – 2024/09/09 12:53 BRT – Recording</v>
      </c>
      <c r="O116" s="294" t="str">
        <f>IFERROR(__xludf.DUMMYFUNCTION("""COMPUTED_VALUE"""),"")</f>
        <v/>
      </c>
      <c r="P116" s="118">
        <f>IFERROR(__xludf.DUMMYFUNCTION("""COMPUTED_VALUE"""),45600.0)</f>
        <v>45600</v>
      </c>
      <c r="Q116" s="294"/>
    </row>
    <row r="117">
      <c r="A117" s="73"/>
      <c r="B117" s="209" t="str">
        <f>IFERROR(__xludf.DUMMYFUNCTION("""COMPUTED_VALUE"""),"Pré-Vendas (Prospecção)")</f>
        <v>Pré-Vendas (Prospecção)</v>
      </c>
      <c r="C117" s="216" t="str">
        <f>IFERROR(__xludf.DUMMYFUNCTION("""COMPUTED_VALUE"""),"Principais indicadores na área de pre-vendas")</f>
        <v>Principais indicadores na área de pre-vendas</v>
      </c>
      <c r="D117" s="302" t="str">
        <f>IFERROR(__xludf.DUMMYFUNCTION("""COMPUTED_VALUE"""),"Karyn Souza")</f>
        <v>Karyn Souza</v>
      </c>
      <c r="E117" s="303" t="str">
        <f>IFERROR(__xludf.DUMMYFUNCTION("""COMPUTED_VALUE"""),"Fundadora")</f>
        <v>Fundadora</v>
      </c>
      <c r="F117" s="303" t="str">
        <f>IFERROR(__xludf.DUMMYFUNCTION("""COMPUTED_VALUE"""),"2DOTS")</f>
        <v>2DOTS</v>
      </c>
      <c r="G117" s="305" t="str">
        <f>IFERROR(__xludf.DUMMYFUNCTION("""COMPUTED_VALUE"""),"https://www.linkedin.com/in/karyndesouza/")</f>
        <v>https://www.linkedin.com/in/karyndesouza/</v>
      </c>
      <c r="H117" s="303" t="str">
        <f>IFERROR(__xludf.DUMMYFUNCTION("""COMPUTED_VALUE"""),"Conhecimento Técnico")</f>
        <v>Conhecimento Técnico</v>
      </c>
      <c r="I117" s="303" t="str">
        <f>IFERROR(__xludf.DUMMYFUNCTION("""COMPUTED_VALUE"""),"Pensamento Crítico")</f>
        <v>Pensamento Crítico</v>
      </c>
      <c r="J117" s="303" t="str">
        <f>IFERROR(__xludf.DUMMYFUNCTION("""COMPUTED_VALUE"""),"Métricas de Funil")</f>
        <v>Métricas de Funil</v>
      </c>
      <c r="K117" s="275" t="str">
        <f>IFERROR(__xludf.DUMMYFUNCTION("""COMPUTED_VALUE"""),"https://universidade.pipelovers.net/m/lessons/principais-indicadores-na-area-de-pre-vendas1769552059975?classId=3524")</f>
        <v>https://universidade.pipelovers.net/m/lessons/principais-indicadores-na-area-de-pre-vendas1769552059975?classId=3524</v>
      </c>
      <c r="L117" s="115" t="str">
        <f>IFERROR(__xludf.DUMMYFUNCTION("""COMPUTED_VALUE"""),"https://universidade.pipelovers.net/m/lessons/principais-indicadores-na-area-de-pre-vendas1769552059975?classId=3524")</f>
        <v>https://universidade.pipelovers.net/m/lessons/principais-indicadores-na-area-de-pre-vendas1769552059975?classId=3524</v>
      </c>
      <c r="M117" s="292">
        <f>IFERROR(__xludf.DUMMYFUNCTION("""COMPUTED_VALUE"""),3.86)</f>
        <v>3.86</v>
      </c>
      <c r="N117" s="293" t="str">
        <f>IFERROR(__xludf.DUMMYFUNCTION("""COMPUTED_VALUE"""),"106. PipeLovers💚SDRs: ""Principais indicadores na área de pre-vendas"" com Karyn Souza – 2024/09/16 12:55 BRT – Recording")</f>
        <v>106. PipeLovers💚SDRs: "Principais indicadores na área de pre-vendas" com Karyn Souza – 2024/09/16 12:55 BRT – Recording</v>
      </c>
      <c r="O117" s="306" t="str">
        <f>IFERROR(__xludf.DUMMYFUNCTION("""COMPUTED_VALUE"""),"")</f>
        <v/>
      </c>
      <c r="P117" s="118">
        <f>IFERROR(__xludf.DUMMYFUNCTION("""COMPUTED_VALUE"""),45607.0)</f>
        <v>45607</v>
      </c>
      <c r="Q117" s="306"/>
    </row>
    <row r="118">
      <c r="A118" s="73"/>
      <c r="B118" s="209" t="str">
        <f>IFERROR(__xludf.DUMMYFUNCTION("""COMPUTED_VALUE"""),"Pré-Vendas (Prospecção)")</f>
        <v>Pré-Vendas (Prospecção)</v>
      </c>
      <c r="C118" s="307" t="str">
        <f>IFERROR(__xludf.DUMMYFUNCTION("""COMPUTED_VALUE"""),"Abertura de oportunidades através de contatos operacionais")</f>
        <v>Abertura de oportunidades através de contatos operacionais</v>
      </c>
      <c r="D118" s="296" t="str">
        <f>IFERROR(__xludf.DUMMYFUNCTION("""COMPUTED_VALUE"""),"Oliver Fernandes")</f>
        <v>Oliver Fernandes</v>
      </c>
      <c r="E118" s="218" t="str">
        <f>IFERROR(__xludf.DUMMYFUNCTION("""COMPUTED_VALUE"""),"Mid Market Sales Manager &amp; Head of BDR")</f>
        <v>Mid Market Sales Manager &amp; Head of BDR</v>
      </c>
      <c r="F118" s="218" t="str">
        <f>IFERROR(__xludf.DUMMYFUNCTION("""COMPUTED_VALUE"""),"Uber")</f>
        <v>Uber</v>
      </c>
      <c r="G118" s="219" t="str">
        <f>IFERROR(__xludf.DUMMYFUNCTION("""COMPUTED_VALUE"""),"https://www.linkedin.com/in/fernandesoliver/")</f>
        <v>https://www.linkedin.com/in/fernandesoliver/</v>
      </c>
      <c r="H118" s="218" t="str">
        <f>IFERROR(__xludf.DUMMYFUNCTION("""COMPUTED_VALUE"""),"Conhecimento Técnico")</f>
        <v>Conhecimento Técnico</v>
      </c>
      <c r="I118" s="218" t="str">
        <f>IFERROR(__xludf.DUMMYFUNCTION("""COMPUTED_VALUE"""),"Técnicas de Vendas")</f>
        <v>Técnicas de Vendas</v>
      </c>
      <c r="J118" s="218" t="str">
        <f>IFERROR(__xludf.DUMMYFUNCTION("""COMPUTED_VALUE"""),"Abordagem e Prospecção")</f>
        <v>Abordagem e Prospecção</v>
      </c>
      <c r="K118" s="301" t="str">
        <f>IFERROR(__xludf.DUMMYFUNCTION("""COMPUTED_VALUE"""),"https://universidade.pipelovers.net/m/lessons/abertura-de-oportunidades-atraves-de-contatos-operacionais1769552059926?classId=3525")</f>
        <v>https://universidade.pipelovers.net/m/lessons/abertura-de-oportunidades-atraves-de-contatos-operacionais1769552059926?classId=3525</v>
      </c>
      <c r="L118" s="115" t="str">
        <f>IFERROR(__xludf.DUMMYFUNCTION("""COMPUTED_VALUE"""),"https://universidade.pipelovers.net/m/lessons/abertura-de-oportunidades-atraves-de-contatos-operacionais1769552059926?classId=3525")</f>
        <v>https://universidade.pipelovers.net/m/lessons/abertura-de-oportunidades-atraves-de-contatos-operacionais1769552059926?classId=3525</v>
      </c>
      <c r="M118" s="292">
        <f>IFERROR(__xludf.DUMMYFUNCTION("""COMPUTED_VALUE"""),4.0)</f>
        <v>4</v>
      </c>
      <c r="N118" s="293" t="str">
        <f>IFERROR(__xludf.DUMMYFUNCTION("""COMPUTED_VALUE"""),"107. PipeLovers💚SDRs: ""Abertura de oportunidades através de contatos operacionais"" com Oliver Fernandes – 2024/09/30 12:47 BRT – Recording")</f>
        <v>107. PipeLovers💚SDRs: "Abertura de oportunidades através de contatos operacionais" com Oliver Fernandes – 2024/09/30 12:47 BRT – Recording</v>
      </c>
      <c r="O118" s="294" t="str">
        <f>IFERROR(__xludf.DUMMYFUNCTION("""COMPUTED_VALUE"""),"")</f>
        <v/>
      </c>
      <c r="P118" s="118">
        <f>IFERROR(__xludf.DUMMYFUNCTION("""COMPUTED_VALUE"""),45614.0)</f>
        <v>45614</v>
      </c>
      <c r="Q118" s="294"/>
    </row>
    <row r="119">
      <c r="A119" s="73"/>
      <c r="B119" s="209" t="str">
        <f>IFERROR(__xludf.DUMMYFUNCTION("""COMPUTED_VALUE"""),"Pré-Vendas (Prospecção)")</f>
        <v>Pré-Vendas (Prospecção)</v>
      </c>
      <c r="C119" s="311" t="str">
        <f>IFERROR(__xludf.DUMMYFUNCTION("""COMPUTED_VALUE"""),"Mapeando o comportamento de diferentes consumidores")</f>
        <v>Mapeando o comportamento de diferentes consumidores</v>
      </c>
      <c r="D119" s="289" t="str">
        <f>IFERROR(__xludf.DUMMYFUNCTION("""COMPUTED_VALUE"""),"Augusto Canabrava")</f>
        <v>Augusto Canabrava</v>
      </c>
      <c r="E119" s="218" t="str">
        <f>IFERROR(__xludf.DUMMYFUNCTION("""COMPUTED_VALUE"""),"Head de Desenvolvimento de Negócios")</f>
        <v>Head de Desenvolvimento de Negócios</v>
      </c>
      <c r="F119" s="218" t="str">
        <f>IFERROR(__xludf.DUMMYFUNCTION("""COMPUTED_VALUE"""),"Sales Box")</f>
        <v>Sales Box</v>
      </c>
      <c r="G119" s="219" t="str">
        <f>IFERROR(__xludf.DUMMYFUNCTION("""COMPUTED_VALUE"""),"https://www.linkedin.com/in/acanabrava/")</f>
        <v>https://www.linkedin.com/in/acanabrava/</v>
      </c>
      <c r="H119" s="218" t="str">
        <f>IFERROR(__xludf.DUMMYFUNCTION("""COMPUTED_VALUE"""),"Visão de Negócios")</f>
        <v>Visão de Negócios</v>
      </c>
      <c r="I119" s="218" t="str">
        <f>IFERROR(__xludf.DUMMYFUNCTION("""COMPUTED_VALUE"""),"Tendências de Mercado")</f>
        <v>Tendências de Mercado</v>
      </c>
      <c r="J119" s="218" t="str">
        <f>IFERROR(__xludf.DUMMYFUNCTION("""COMPUTED_VALUE"""),"Perfil do Comprador B2B")</f>
        <v>Perfil do Comprador B2B</v>
      </c>
      <c r="K119" s="281" t="str">
        <f>IFERROR(__xludf.DUMMYFUNCTION("""COMPUTED_VALUE"""),"https://universidade.pipelovers.net/m/lessons/mapeando-o-comportamento-de-diferentes-consumidores1769552060000?classId=3526")</f>
        <v>https://universidade.pipelovers.net/m/lessons/mapeando-o-comportamento-de-diferentes-consumidores1769552060000?classId=3526</v>
      </c>
      <c r="L119" s="115" t="str">
        <f>IFERROR(__xludf.DUMMYFUNCTION("""COMPUTED_VALUE"""),"https://universidade.pipelovers.net/m/lessons/mapeando-o-comportamento-de-diferentes-consumidores1769552060000?classId=3526")</f>
        <v>https://universidade.pipelovers.net/m/lessons/mapeando-o-comportamento-de-diferentes-consumidores1769552060000?classId=3526</v>
      </c>
      <c r="M119" s="292">
        <f>IFERROR(__xludf.DUMMYFUNCTION("""COMPUTED_VALUE"""),3.64)</f>
        <v>3.64</v>
      </c>
      <c r="N119" s="293" t="str">
        <f>IFERROR(__xludf.DUMMYFUNCTION("""COMPUTED_VALUE"""),"108. PipeLovers💚SDRs: ""Mapeando o comportamento de diferentes consumidores"" com Augusto Canabrava – 2024/10/07 12:54 BRT – Recording")</f>
        <v>108. PipeLovers💚SDRs: "Mapeando o comportamento de diferentes consumidores" com Augusto Canabrava – 2024/10/07 12:54 BRT – Recording</v>
      </c>
      <c r="O119" s="294" t="str">
        <f>IFERROR(__xludf.DUMMYFUNCTION("""COMPUTED_VALUE"""),"")</f>
        <v/>
      </c>
      <c r="P119" s="118">
        <f>IFERROR(__xludf.DUMMYFUNCTION("""COMPUTED_VALUE"""),45621.0)</f>
        <v>45621</v>
      </c>
      <c r="Q119" s="294"/>
    </row>
    <row r="120">
      <c r="A120" s="73"/>
      <c r="B120" s="209" t="str">
        <f>IFERROR(__xludf.DUMMYFUNCTION("""COMPUTED_VALUE"""),"Pré-Vendas (Prospecção)")</f>
        <v>Pré-Vendas (Prospecção)</v>
      </c>
      <c r="C120" s="216" t="str">
        <f>IFERROR(__xludf.DUMMYFUNCTION("""COMPUTED_VALUE"""),"Como receber e responder ao feedback dos líderes")</f>
        <v>Como receber e responder ao feedback dos líderes</v>
      </c>
      <c r="D120" s="296" t="str">
        <f>IFERROR(__xludf.DUMMYFUNCTION("""COMPUTED_VALUE"""),"Paula Coscarelli")</f>
        <v>Paula Coscarelli</v>
      </c>
      <c r="E120" s="218" t="str">
        <f>IFERROR(__xludf.DUMMYFUNCTION("""COMPUTED_VALUE"""),"Founder")</f>
        <v>Founder</v>
      </c>
      <c r="F120" s="218" t="str">
        <f>IFERROR(__xludf.DUMMYFUNCTION("""COMPUTED_VALUE"""),"WeLeaders")</f>
        <v>WeLeaders</v>
      </c>
      <c r="G120" s="219" t="str">
        <f>IFERROR(__xludf.DUMMYFUNCTION("""COMPUTED_VALUE"""),"https://www.linkedin.com/in/paula-coscarelli/")</f>
        <v>https://www.linkedin.com/in/paula-coscarelli/</v>
      </c>
      <c r="H120" s="218" t="str">
        <f>IFERROR(__xludf.DUMMYFUNCTION("""COMPUTED_VALUE"""),"Relacionamento Interpessoal")</f>
        <v>Relacionamento Interpessoal</v>
      </c>
      <c r="I120" s="218" t="str">
        <f>IFERROR(__xludf.DUMMYFUNCTION("""COMPUTED_VALUE"""),"Comunicação e Relacionamento")</f>
        <v>Comunicação e Relacionamento</v>
      </c>
      <c r="J120" s="218" t="str">
        <f>IFERROR(__xludf.DUMMYFUNCTION("""COMPUTED_VALUE"""),"Dar e Receber Feedbacks")</f>
        <v>Dar e Receber Feedbacks</v>
      </c>
      <c r="K120" s="275" t="str">
        <f>IFERROR(__xludf.DUMMYFUNCTION("""COMPUTED_VALUE"""),"https://universidade.pipelovers.net/m/lessons/como-receber-e-responder-ao-feedback-dos-lideres1769552060036?classId=3527")</f>
        <v>https://universidade.pipelovers.net/m/lessons/como-receber-e-responder-ao-feedback-dos-lideres1769552060036?classId=3527</v>
      </c>
      <c r="L120" s="115" t="str">
        <f>IFERROR(__xludf.DUMMYFUNCTION("""COMPUTED_VALUE"""),"https://universidade.pipelovers.net/m/lessons/como-receber-e-responder-ao-feedback-dos-lideres1769552060036?classId=3527")</f>
        <v>https://universidade.pipelovers.net/m/lessons/como-receber-e-responder-ao-feedback-dos-lideres1769552060036?classId=3527</v>
      </c>
      <c r="M120" s="292">
        <f>IFERROR(__xludf.DUMMYFUNCTION("""COMPUTED_VALUE"""),4.0)</f>
        <v>4</v>
      </c>
      <c r="N120" s="293" t="str">
        <f>IFERROR(__xludf.DUMMYFUNCTION("""COMPUTED_VALUE"""),"109. PipeLovers💚SDRs: ""Como receber e responder ao feedback dos líderes"" com Paula Coscarelli – 2024/10/14 12:50 BRT – Recording")</f>
        <v>109. PipeLovers💚SDRs: "Como receber e responder ao feedback dos líderes" com Paula Coscarelli – 2024/10/14 12:50 BRT – Recording</v>
      </c>
      <c r="O120" s="294" t="str">
        <f>IFERROR(__xludf.DUMMYFUNCTION("""COMPUTED_VALUE"""),"")</f>
        <v/>
      </c>
      <c r="P120" s="118">
        <f>IFERROR(__xludf.DUMMYFUNCTION("""COMPUTED_VALUE"""),45628.0)</f>
        <v>45628</v>
      </c>
      <c r="Q120" s="294"/>
    </row>
    <row r="121">
      <c r="A121" s="73"/>
      <c r="B121" s="209" t="str">
        <f>IFERROR(__xludf.DUMMYFUNCTION("""COMPUTED_VALUE"""),"Pré-Vendas (Prospecção)")</f>
        <v>Pré-Vendas (Prospecção)</v>
      </c>
      <c r="C121" s="268" t="str">
        <f>IFERROR(__xludf.DUMMYFUNCTION("""COMPUTED_VALUE"""),"Ciência para validação de mensagens de prospecção")</f>
        <v>Ciência para validação de mensagens de prospecção</v>
      </c>
      <c r="D121" s="289" t="str">
        <f>IFERROR(__xludf.DUMMYFUNCTION("""COMPUTED_VALUE"""),"Kayuá Freitas")</f>
        <v>Kayuá Freitas</v>
      </c>
      <c r="E121" s="218" t="str">
        <f>IFERROR(__xludf.DUMMYFUNCTION("""COMPUTED_VALUE"""),"Sócio")</f>
        <v>Sócio</v>
      </c>
      <c r="F121" s="218" t="str">
        <f>IFERROR(__xludf.DUMMYFUNCTION("""COMPUTED_VALUE"""),"Meetz")</f>
        <v>Meetz</v>
      </c>
      <c r="G121" s="219" t="str">
        <f>IFERROR(__xludf.DUMMYFUNCTION("""COMPUTED_VALUE"""),"https://www.linkedin.com/in/kayua/")</f>
        <v>https://www.linkedin.com/in/kayua/</v>
      </c>
      <c r="H121" s="218" t="str">
        <f>IFERROR(__xludf.DUMMYFUNCTION("""COMPUTED_VALUE"""),"Conhecimento Técnico")</f>
        <v>Conhecimento Técnico</v>
      </c>
      <c r="I121" s="218" t="str">
        <f>IFERROR(__xludf.DUMMYFUNCTION("""COMPUTED_VALUE"""),"Pensamento Crítico")</f>
        <v>Pensamento Crítico</v>
      </c>
      <c r="J121" s="218" t="str">
        <f>IFERROR(__xludf.DUMMYFUNCTION("""COMPUTED_VALUE"""),"Métricas de Funil")</f>
        <v>Métricas de Funil</v>
      </c>
      <c r="K121" s="273" t="str">
        <f>IFERROR(__xludf.DUMMYFUNCTION("""COMPUTED_VALUE"""),"https://universidade.pipelovers.net/m/lessons/ciencia-para-validacao-de-mensagens-de-prospeccao1769552060064?classId=3528")</f>
        <v>https://universidade.pipelovers.net/m/lessons/ciencia-para-validacao-de-mensagens-de-prospeccao1769552060064?classId=3528</v>
      </c>
      <c r="L121" s="115" t="str">
        <f>IFERROR(__xludf.DUMMYFUNCTION("""COMPUTED_VALUE"""),"https://universidade.pipelovers.net/m/lessons/ciencia-para-validacao-de-mensagens-de-prospeccao1769552060064?classId=3528")</f>
        <v>https://universidade.pipelovers.net/m/lessons/ciencia-para-validacao-de-mensagens-de-prospeccao1769552060064?classId=3528</v>
      </c>
      <c r="M121" s="292">
        <f>IFERROR(__xludf.DUMMYFUNCTION("""COMPUTED_VALUE"""),3.64)</f>
        <v>3.64</v>
      </c>
      <c r="N121" s="293" t="str">
        <f>IFERROR(__xludf.DUMMYFUNCTION("""COMPUTED_VALUE"""),"110. PipeLovers💚SDRs: ""Ciência para validação de mensagens de prospecção"" com Kayuá Freitas – 2024/10/21 13:20 BRT – Recording")</f>
        <v>110. PipeLovers💚SDRs: "Ciência para validação de mensagens de prospecção" com Kayuá Freitas – 2024/10/21 13:20 BRT – Recording</v>
      </c>
      <c r="O121" s="294" t="str">
        <f>IFERROR(__xludf.DUMMYFUNCTION("""COMPUTED_VALUE"""),"")</f>
        <v/>
      </c>
      <c r="P121" s="118">
        <f>IFERROR(__xludf.DUMMYFUNCTION("""COMPUTED_VALUE"""),45635.0)</f>
        <v>45635</v>
      </c>
      <c r="Q121" s="294"/>
    </row>
    <row r="122">
      <c r="A122" s="73"/>
      <c r="B122" s="209" t="str">
        <f>IFERROR(__xludf.DUMMYFUNCTION("""COMPUTED_VALUE"""),"Pré-Vendas (Prospecção)")</f>
        <v>Pré-Vendas (Prospecção)</v>
      </c>
      <c r="C122" s="216" t="str">
        <f>IFERROR(__xludf.DUMMYFUNCTION("""COMPUTED_VALUE"""),"Prospectando o segmento de manufatura")</f>
        <v>Prospectando o segmento de manufatura</v>
      </c>
      <c r="D122" s="296" t="str">
        <f>IFERROR(__xludf.DUMMYFUNCTION("""COMPUTED_VALUE"""),"Paula Yunes")</f>
        <v>Paula Yunes</v>
      </c>
      <c r="E122" s="218" t="str">
        <f>IFERROR(__xludf.DUMMYFUNCTION("""COMPUTED_VALUE"""),"CEO")</f>
        <v>CEO</v>
      </c>
      <c r="F122" s="218" t="str">
        <f>IFERROR(__xludf.DUMMYFUNCTION("""COMPUTED_VALUE"""),"Grupo Polipack")</f>
        <v>Grupo Polipack</v>
      </c>
      <c r="G122" s="219" t="str">
        <f>IFERROR(__xludf.DUMMYFUNCTION("""COMPUTED_VALUE"""),"https://www.linkedin.com/in/paula-yunes-629b5ba2/")</f>
        <v>https://www.linkedin.com/in/paula-yunes-629b5ba2/</v>
      </c>
      <c r="H122" s="218" t="str">
        <f>IFERROR(__xludf.DUMMYFUNCTION("""COMPUTED_VALUE"""),"Visão de Negócios")</f>
        <v>Visão de Negócios</v>
      </c>
      <c r="I122" s="218" t="str">
        <f>IFERROR(__xludf.DUMMYFUNCTION("""COMPUTED_VALUE"""),"Tendências de Mercado")</f>
        <v>Tendências de Mercado</v>
      </c>
      <c r="J122" s="218" t="str">
        <f>IFERROR(__xludf.DUMMYFUNCTION("""COMPUTED_VALUE"""),"Perfil do Comprador B2B")</f>
        <v>Perfil do Comprador B2B</v>
      </c>
      <c r="K122" s="275" t="str">
        <f>IFERROR(__xludf.DUMMYFUNCTION("""COMPUTED_VALUE"""),"https://universidade.pipelovers.net/m/lessons/prospectando-o-segmento-de-manufatura1769552060103?classId=3542")</f>
        <v>https://universidade.pipelovers.net/m/lessons/prospectando-o-segmento-de-manufatura1769552060103?classId=3542</v>
      </c>
      <c r="L122" s="115" t="str">
        <f>IFERROR(__xludf.DUMMYFUNCTION("""COMPUTED_VALUE"""),"https://universidade.pipelovers.net/m/lessons/prospectando-o-segmento-de-manufatura1769552060103?classId=3542")</f>
        <v>https://universidade.pipelovers.net/m/lessons/prospectando-o-segmento-de-manufatura1769552060103?classId=3542</v>
      </c>
      <c r="M122" s="292">
        <f>IFERROR(__xludf.DUMMYFUNCTION("""COMPUTED_VALUE"""),3.64)</f>
        <v>3.64</v>
      </c>
      <c r="N122" s="293" t="str">
        <f>IFERROR(__xludf.DUMMYFUNCTION("""COMPUTED_VALUE"""),"111. PipeLovers💚SDRs: ""Prospectando o segmento de manufatura"" com Paula Yunes – 2024/10/28 12:50 BRT – Recording")</f>
        <v>111. PipeLovers💚SDRs: "Prospectando o segmento de manufatura" com Paula Yunes – 2024/10/28 12:50 BRT – Recording</v>
      </c>
      <c r="O122" s="294" t="str">
        <f>IFERROR(__xludf.DUMMYFUNCTION("""COMPUTED_VALUE"""),"")</f>
        <v/>
      </c>
      <c r="P122" s="118">
        <f>IFERROR(__xludf.DUMMYFUNCTION("""COMPUTED_VALUE"""),45642.0)</f>
        <v>45642</v>
      </c>
      <c r="Q122" s="294"/>
    </row>
    <row r="123">
      <c r="A123" s="73"/>
      <c r="B123" s="209" t="str">
        <f>IFERROR(__xludf.DUMMYFUNCTION("""COMPUTED_VALUE"""),"Pré-Vendas (Prospecção)")</f>
        <v>Pré-Vendas (Prospecção)</v>
      </c>
      <c r="C123" s="216" t="str">
        <f>IFERROR(__xludf.DUMMYFUNCTION("""COMPUTED_VALUE"""),"RD Summit 2024 : Níveis de Maturidade em vendas B2B")</f>
        <v>RD Summit 2024 : Níveis de Maturidade em vendas B2B</v>
      </c>
      <c r="D123" s="289" t="str">
        <f>IFERROR(__xludf.DUMMYFUNCTION("""COMPUTED_VALUE"""),"Gustavo Pagotto")</f>
        <v>Gustavo Pagotto</v>
      </c>
      <c r="E123" s="218" t="str">
        <f>IFERROR(__xludf.DUMMYFUNCTION("""COMPUTED_VALUE"""),"Fundador")</f>
        <v>Fundador</v>
      </c>
      <c r="F123" s="218" t="str">
        <f>IFERROR(__xludf.DUMMYFUNCTION("""COMPUTED_VALUE"""),"PipeLovers")</f>
        <v>PipeLovers</v>
      </c>
      <c r="G123" s="219" t="str">
        <f>IFERROR(__xludf.DUMMYFUNCTION("""COMPUTED_VALUE"""),"https://www.linkedin.com/in/gpagotto/")</f>
        <v>https://www.linkedin.com/in/gpagotto/</v>
      </c>
      <c r="H123" s="218" t="str">
        <f>IFERROR(__xludf.DUMMYFUNCTION("""COMPUTED_VALUE"""),"Autodesenvolvimento")</f>
        <v>Autodesenvolvimento</v>
      </c>
      <c r="I123" s="218" t="str">
        <f>IFERROR(__xludf.DUMMYFUNCTION("""COMPUTED_VALUE"""),"Aprendizado Ativo")</f>
        <v>Aprendizado Ativo</v>
      </c>
      <c r="J123" s="218" t="str">
        <f>IFERROR(__xludf.DUMMYFUNCTION("""COMPUTED_VALUE"""),"Benchmarking")</f>
        <v>Benchmarking</v>
      </c>
      <c r="K123" s="273" t="str">
        <f>IFERROR(__xludf.DUMMYFUNCTION("""COMPUTED_VALUE"""),"https://universidade.pipelovers.net/m/lessons/rd-summit-2024-niveis-de-maturidade-em-vendas-b2b1769552060152?classId=3026")</f>
        <v>https://universidade.pipelovers.net/m/lessons/rd-summit-2024-niveis-de-maturidade-em-vendas-b2b1769552060152?classId=3026</v>
      </c>
      <c r="L123" s="115" t="str">
        <f>IFERROR(__xludf.DUMMYFUNCTION("""COMPUTED_VALUE"""),"https://universidade.pipelovers.net/m/lessons/rd-summit-2024-niveis-de-maturidade-em-vendas-b2b1769552060152?classId=3026")</f>
        <v>https://universidade.pipelovers.net/m/lessons/rd-summit-2024-niveis-de-maturidade-em-vendas-b2b1769552060152?classId=3026</v>
      </c>
      <c r="M123" s="292">
        <f>IFERROR(__xludf.DUMMYFUNCTION("""COMPUTED_VALUE"""),5.0)</f>
        <v>5</v>
      </c>
      <c r="N123" s="293" t="str">
        <f>IFERROR(__xludf.DUMMYFUNCTION("""COMPUTED_VALUE"""),"112.PipeLovers 🤍: ""Palestra RD Summit 2024 "" com Gustavo Pagotto – 2024/11/05 07:46 BRT – Recording")</f>
        <v>112.PipeLovers 🤍: "Palestra RD Summit 2024 " com Gustavo Pagotto – 2024/11/05 07:46 BRT – Recording</v>
      </c>
      <c r="O123" s="294" t="str">
        <f>IFERROR(__xludf.DUMMYFUNCTION("""COMPUTED_VALUE"""),"")</f>
        <v/>
      </c>
      <c r="P123" s="118">
        <f>IFERROR(__xludf.DUMMYFUNCTION("""COMPUTED_VALUE"""),45649.0)</f>
        <v>45649</v>
      </c>
      <c r="Q123" s="294"/>
    </row>
    <row r="124">
      <c r="A124" s="73"/>
      <c r="B124" s="209" t="str">
        <f>IFERROR(__xludf.DUMMYFUNCTION("""COMPUTED_VALUE"""),"Pré-Vendas (Prospecção)")</f>
        <v>Pré-Vendas (Prospecção)</v>
      </c>
      <c r="C124" s="300" t="str">
        <f>IFERROR(__xludf.DUMMYFUNCTION("""COMPUTED_VALUE"""),"Mapeando e contornando objeções com IA")</f>
        <v>Mapeando e contornando objeções com IA</v>
      </c>
      <c r="D124" s="296" t="str">
        <f>IFERROR(__xludf.DUMMYFUNCTION("""COMPUTED_VALUE"""),"Hugo Nascimento")</f>
        <v>Hugo Nascimento</v>
      </c>
      <c r="E124" s="218" t="str">
        <f>IFERROR(__xludf.DUMMYFUNCTION("""COMPUTED_VALUE"""),"CEO")</f>
        <v>CEO</v>
      </c>
      <c r="F124" s="218" t="str">
        <f>IFERROR(__xludf.DUMMYFUNCTION("""COMPUTED_VALUE"""),"Eva Copilot")</f>
        <v>Eva Copilot</v>
      </c>
      <c r="G124" s="219" t="str">
        <f>IFERROR(__xludf.DUMMYFUNCTION("""COMPUTED_VALUE"""),"https://www.linkedin.com/in/hugosoaresnascimento/")</f>
        <v>https://www.linkedin.com/in/hugosoaresnascimento/</v>
      </c>
      <c r="H124" s="218" t="str">
        <f>IFERROR(__xludf.DUMMYFUNCTION("""COMPUTED_VALUE"""),"Conhecimento Técnico")</f>
        <v>Conhecimento Técnico</v>
      </c>
      <c r="I124" s="218" t="str">
        <f>IFERROR(__xludf.DUMMYFUNCTION("""COMPUTED_VALUE"""),"Técnicas de Vendas")</f>
        <v>Técnicas de Vendas</v>
      </c>
      <c r="J124" s="218" t="str">
        <f>IFERROR(__xludf.DUMMYFUNCTION("""COMPUTED_VALUE"""),"Contorno de Objeções")</f>
        <v>Contorno de Objeções</v>
      </c>
      <c r="K124" s="301" t="str">
        <f>IFERROR(__xludf.DUMMYFUNCTION("""COMPUTED_VALUE"""),"https://universidade.pipelovers.net/m/lessons/mapeando-e-contornando-objecoes-com-ia1769552060177?classId=3543")</f>
        <v>https://universidade.pipelovers.net/m/lessons/mapeando-e-contornando-objecoes-com-ia1769552060177?classId=3543</v>
      </c>
      <c r="L124" s="115" t="str">
        <f>IFERROR(__xludf.DUMMYFUNCTION("""COMPUTED_VALUE"""),"https://universidade.pipelovers.net/m/lessons/mapeando-e-contornando-objecoes-com-ia1769552060177?classId=3543")</f>
        <v>https://universidade.pipelovers.net/m/lessons/mapeando-e-contornando-objecoes-com-ia1769552060177?classId=3543</v>
      </c>
      <c r="M124" s="292">
        <f>IFERROR(__xludf.DUMMYFUNCTION("""COMPUTED_VALUE"""),3.21)</f>
        <v>3.21</v>
      </c>
      <c r="N124" s="293" t="str">
        <f>IFERROR(__xludf.DUMMYFUNCTION("""COMPUTED_VALUE"""),"113. PipeLovers💚SDRs: ""Mapeando e contornando objeções com IA"" com Hugo Nascimento – 2024/11/11 12:46 ")</f>
        <v>113. PipeLovers💚SDRs: "Mapeando e contornando objeções com IA" com Hugo Nascimento – 2024/11/11 12:46 </v>
      </c>
      <c r="O124" s="294" t="str">
        <f>IFERROR(__xludf.DUMMYFUNCTION("""COMPUTED_VALUE"""),"")</f>
        <v/>
      </c>
      <c r="P124" s="118">
        <f>IFERROR(__xludf.DUMMYFUNCTION("""COMPUTED_VALUE"""),45656.0)</f>
        <v>45656</v>
      </c>
      <c r="Q124" s="294"/>
    </row>
    <row r="125">
      <c r="A125" s="73"/>
      <c r="B125" s="209" t="str">
        <f>IFERROR(__xludf.DUMMYFUNCTION("""COMPUTED_VALUE"""),"Pré-Vendas (Prospecção)")</f>
        <v>Pré-Vendas (Prospecção)</v>
      </c>
      <c r="C125" s="216" t="str">
        <f>IFERROR(__xludf.DUMMYFUNCTION("""COMPUTED_VALUE"""),"Como Big Data pode ser um aliado em pré-vendas")</f>
        <v>Como Big Data pode ser um aliado em pré-vendas</v>
      </c>
      <c r="D125" s="289" t="str">
        <f>IFERROR(__xludf.DUMMYFUNCTION("""COMPUTED_VALUE"""),"Kesley Barros")</f>
        <v>Kesley Barros</v>
      </c>
      <c r="E125" s="218" t="str">
        <f>IFERROR(__xludf.DUMMYFUNCTION("""COMPUTED_VALUE"""),"Head of Sales")</f>
        <v>Head of Sales</v>
      </c>
      <c r="F125" s="218" t="str">
        <f>IFERROR(__xludf.DUMMYFUNCTION("""COMPUTED_VALUE"""),"Ramper")</f>
        <v>Ramper</v>
      </c>
      <c r="G125" s="219" t="str">
        <f>IFERROR(__xludf.DUMMYFUNCTION("""COMPUTED_VALUE"""),"https://www.linkedin.com/in/kesleybarros/")</f>
        <v>https://www.linkedin.com/in/kesleybarros/</v>
      </c>
      <c r="H125" s="218" t="str">
        <f>IFERROR(__xludf.DUMMYFUNCTION("""COMPUTED_VALUE"""),"Visão de Negócios")</f>
        <v>Visão de Negócios</v>
      </c>
      <c r="I125" s="218" t="str">
        <f>IFERROR(__xludf.DUMMYFUNCTION("""COMPUTED_VALUE"""),"Tendências de Mercado")</f>
        <v>Tendências de Mercado</v>
      </c>
      <c r="J125" s="218" t="str">
        <f>IFERROR(__xludf.DUMMYFUNCTION("""COMPUTED_VALUE"""),"Inovações Tecnológicas")</f>
        <v>Inovações Tecnológicas</v>
      </c>
      <c r="K125" s="275" t="str">
        <f>IFERROR(__xludf.DUMMYFUNCTION("""COMPUTED_VALUE"""),"https://universidade.pipelovers.net/m/lessons/como-big-data-pode-ser-um-aliado-em-pre-vendas1769552060261?classId=3544")</f>
        <v>https://universidade.pipelovers.net/m/lessons/como-big-data-pode-ser-um-aliado-em-pre-vendas1769552060261?classId=3544</v>
      </c>
      <c r="L125" s="115" t="str">
        <f>IFERROR(__xludf.DUMMYFUNCTION("""COMPUTED_VALUE"""),"https://universidade.pipelovers.net/m/lessons/como-big-data-pode-ser-um-aliado-em-pre-vendas1769552060261?classId=3544")</f>
        <v>https://universidade.pipelovers.net/m/lessons/como-big-data-pode-ser-um-aliado-em-pre-vendas1769552060261?classId=3544</v>
      </c>
      <c r="M125" s="292">
        <f>IFERROR(__xludf.DUMMYFUNCTION("""COMPUTED_VALUE"""),3.86)</f>
        <v>3.86</v>
      </c>
      <c r="N125" s="293" t="str">
        <f>IFERROR(__xludf.DUMMYFUNCTION("""COMPUTED_VALUE"""),"114. PipeLovers💚SDRs: ""Como Big Data pode ser um aliado de pré-vendas"" com Kesley Barros - 2024/11/18 12:45 GMT-03:00 - Recording")</f>
        <v>114. PipeLovers💚SDRs: "Como Big Data pode ser um aliado de pré-vendas" com Kesley Barros - 2024/11/18 12:45 GMT-03:00 - Recording</v>
      </c>
      <c r="O125" s="294" t="str">
        <f>IFERROR(__xludf.DUMMYFUNCTION("""COMPUTED_VALUE"""),"")</f>
        <v/>
      </c>
      <c r="P125" s="118">
        <f>IFERROR(__xludf.DUMMYFUNCTION("""COMPUTED_VALUE"""),45663.0)</f>
        <v>45663</v>
      </c>
      <c r="Q125" s="294"/>
    </row>
    <row r="126">
      <c r="A126" s="73"/>
      <c r="B126" s="209" t="str">
        <f>IFERROR(__xludf.DUMMYFUNCTION("""COMPUTED_VALUE"""),"Pré-Vendas (Prospecção)")</f>
        <v>Pré-Vendas (Prospecção)</v>
      </c>
      <c r="C126" s="268" t="str">
        <f>IFERROR(__xludf.DUMMYFUNCTION("""COMPUTED_VALUE"""),"Primeira impressão na prospecção: O impacto da imagem profissional")</f>
        <v>Primeira impressão na prospecção: O impacto da imagem profissional</v>
      </c>
      <c r="D126" s="104" t="str">
        <f>IFERROR(__xludf.DUMMYFUNCTION("""COMPUTED_VALUE"""),"Gabriela Mafra")</f>
        <v>Gabriela Mafra</v>
      </c>
      <c r="E126" s="218" t="str">
        <f>IFERROR(__xludf.DUMMYFUNCTION("""COMPUTED_VALUE"""),"Consultora de Imagem e Stylist")</f>
        <v>Consultora de Imagem e Stylist</v>
      </c>
      <c r="F126" s="218"/>
      <c r="G126" s="218" t="str">
        <f>IFERROR(__xludf.DUMMYFUNCTION("""COMPUTED_VALUE"""),"- ")</f>
        <v>- </v>
      </c>
      <c r="H126" s="218" t="str">
        <f>IFERROR(__xludf.DUMMYFUNCTION("""COMPUTED_VALUE"""),"Relacionamento Interpessoal")</f>
        <v>Relacionamento Interpessoal</v>
      </c>
      <c r="I126" s="218" t="str">
        <f>IFERROR(__xludf.DUMMYFUNCTION("""COMPUTED_VALUE"""),"Comunicação e Relacionamento")</f>
        <v>Comunicação e Relacionamento</v>
      </c>
      <c r="J126" s="218" t="str">
        <f>IFERROR(__xludf.DUMMYFUNCTION("""COMPUTED_VALUE"""),"Tecnicas de Rapport")</f>
        <v>Tecnicas de Rapport</v>
      </c>
      <c r="K126" s="273" t="str">
        <f>IFERROR(__xludf.DUMMYFUNCTION("""COMPUTED_VALUE"""),"https://universidade.pipelovers.net/m/lessons/primeira-impressao-na-prospeccao-o-impacto-da-imagem-profissional1769552060299?classId=3546")</f>
        <v>https://universidade.pipelovers.net/m/lessons/primeira-impressao-na-prospeccao-o-impacto-da-imagem-profissional1769552060299?classId=3546</v>
      </c>
      <c r="L126" s="115" t="str">
        <f>IFERROR(__xludf.DUMMYFUNCTION("""COMPUTED_VALUE"""),"https://universidade.pipelovers.net/m/lessons/primeira-impressao-na-prospeccao-o-impacto-da-imagem-profissional1769552060299?classId=3546")</f>
        <v>https://universidade.pipelovers.net/m/lessons/primeira-impressao-na-prospeccao-o-impacto-da-imagem-profissional1769552060299?classId=3546</v>
      </c>
      <c r="M126" s="292">
        <f>IFERROR(__xludf.DUMMYFUNCTION("""COMPUTED_VALUE"""),3.79)</f>
        <v>3.79</v>
      </c>
      <c r="N126" s="293" t="str">
        <f>IFERROR(__xludf.DUMMYFUNCTION("""COMPUTED_VALUE"""),"115. PipeLovers💚SDRs: ""Primeira impressão na prospecção: O impacto da imagem profissional"" com Gabriela - 2024/11/25 12:51 GMT-03:00 - Recording")</f>
        <v>115. PipeLovers💚SDRs: "Primeira impressão na prospecção: O impacto da imagem profissional" com Gabriela - 2024/11/25 12:51 GMT-03:00 - Recording</v>
      </c>
      <c r="O126" s="306" t="str">
        <f>IFERROR(__xludf.DUMMYFUNCTION("""COMPUTED_VALUE"""),"")</f>
        <v/>
      </c>
      <c r="P126" s="118">
        <f>IFERROR(__xludf.DUMMYFUNCTION("""COMPUTED_VALUE"""),45670.0)</f>
        <v>45670</v>
      </c>
      <c r="Q126" s="306"/>
    </row>
    <row r="127">
      <c r="A127" s="73"/>
      <c r="B127" s="209" t="str">
        <f>IFERROR(__xludf.DUMMYFUNCTION("""COMPUTED_VALUE"""),"Pré-Vendas (Prospecção)")</f>
        <v>Pré-Vendas (Prospecção)</v>
      </c>
      <c r="C127" s="216" t="str">
        <f>IFERROR(__xludf.DUMMYFUNCTION("""COMPUTED_VALUE"""),"Grave, envie e converta: Como os vídeos podem ajudar na prospecção")</f>
        <v>Grave, envie e converta: Como os vídeos podem ajudar na prospecção</v>
      </c>
      <c r="D127" s="289" t="str">
        <f>IFERROR(__xludf.DUMMYFUNCTION("""COMPUTED_VALUE"""),"Sarah Fernoliver")</f>
        <v>Sarah Fernoliver</v>
      </c>
      <c r="E127" s="218" t="str">
        <f>IFERROR(__xludf.DUMMYFUNCTION("""COMPUTED_VALUE"""),"Desenvolvimento de Negócios")</f>
        <v>Desenvolvimento de Negócios</v>
      </c>
      <c r="F127" s="218" t="str">
        <f>IFERROR(__xludf.DUMMYFUNCTION("""COMPUTED_VALUE"""),"Galpão3 ")</f>
        <v>Galpão3 </v>
      </c>
      <c r="G127" s="219" t="str">
        <f>IFERROR(__xludf.DUMMYFUNCTION("""COMPUTED_VALUE"""),"https://www.linkedin.com/in/sarah-f-oliveira/")</f>
        <v>https://www.linkedin.com/in/sarah-f-oliveira/</v>
      </c>
      <c r="H127" s="218" t="str">
        <f>IFERROR(__xludf.DUMMYFUNCTION("""COMPUTED_VALUE"""),"Conhecimento Técnico")</f>
        <v>Conhecimento Técnico</v>
      </c>
      <c r="I127" s="218" t="str">
        <f>IFERROR(__xludf.DUMMYFUNCTION("""COMPUTED_VALUE"""),"Técnicas de Vendas")</f>
        <v>Técnicas de Vendas</v>
      </c>
      <c r="J127" s="218" t="str">
        <f>IFERROR(__xludf.DUMMYFUNCTION("""COMPUTED_VALUE"""),"Abordagem e Prospecção")</f>
        <v>Abordagem e Prospecção</v>
      </c>
      <c r="K127" s="275" t="str">
        <f>IFERROR(__xludf.DUMMYFUNCTION("""COMPUTED_VALUE"""),"https://universidade.pipelovers.net/m/lessons/grave-envie-e-converta-como-os-videos-podem-ajudar-na-prospeccao1769552060338?classId=3545")</f>
        <v>https://universidade.pipelovers.net/m/lessons/grave-envie-e-converta-como-os-videos-podem-ajudar-na-prospeccao1769552060338?classId=3545</v>
      </c>
      <c r="L127" s="115" t="str">
        <f>IFERROR(__xludf.DUMMYFUNCTION("""COMPUTED_VALUE"""),"https://universidade.pipelovers.net/m/lessons/grave-envie-e-converta-como-os-videos-podem-ajudar-na-prospeccao1769552060338?classId=3545")</f>
        <v>https://universidade.pipelovers.net/m/lessons/grave-envie-e-converta-como-os-videos-podem-ajudar-na-prospeccao1769552060338?classId=3545</v>
      </c>
      <c r="M127" s="292">
        <f>IFERROR(__xludf.DUMMYFUNCTION("""COMPUTED_VALUE"""),4.0)</f>
        <v>4</v>
      </c>
      <c r="N127" s="293" t="str">
        <f>IFERROR(__xludf.DUMMYFUNCTION("""COMPUTED_VALUE"""),"116. PipeLovers💚SDRs: ""Grave, envie e converta: Como os vídeos podem ajudar na prospecção"" com Sarah Fe - 2024/12/02 12:45 GMT-03:00 - Recording")</f>
        <v>116. PipeLovers💚SDRs: "Grave, envie e converta: Como os vídeos podem ajudar na prospecção" com Sarah Fe - 2024/12/02 12:45 GMT-03:00 - Recording</v>
      </c>
      <c r="O127" s="294" t="str">
        <f>IFERROR(__xludf.DUMMYFUNCTION("""COMPUTED_VALUE"""),"")</f>
        <v/>
      </c>
      <c r="P127" s="118">
        <f>IFERROR(__xludf.DUMMYFUNCTION("""COMPUTED_VALUE"""),45677.0)</f>
        <v>45677</v>
      </c>
      <c r="Q127" s="294"/>
    </row>
    <row r="128">
      <c r="A128" s="73"/>
      <c r="B128" s="209" t="str">
        <f>IFERROR(__xludf.DUMMYFUNCTION("""COMPUTED_VALUE"""),"Pré-Vendas (Prospecção)")</f>
        <v>Pré-Vendas (Prospecção)</v>
      </c>
      <c r="C128" s="268" t="str">
        <f>IFERROR(__xludf.DUMMYFUNCTION("""COMPUTED_VALUE"""),"Nutrição de leads para maximizar conversões")</f>
        <v>Nutrição de leads para maximizar conversões</v>
      </c>
      <c r="D128" s="296" t="str">
        <f>IFERROR(__xludf.DUMMYFUNCTION("""COMPUTED_VALUE"""),"Thiago Avelino")</f>
        <v>Thiago Avelino</v>
      </c>
      <c r="E128" s="218" t="str">
        <f>IFERROR(__xludf.DUMMYFUNCTION("""COMPUTED_VALUE"""),"Co-fundador &amp; CRO")</f>
        <v>Co-fundador &amp; CRO</v>
      </c>
      <c r="F128" s="218" t="str">
        <f>IFERROR(__xludf.DUMMYFUNCTION("""COMPUTED_VALUE"""),"The Revenue Architects")</f>
        <v>The Revenue Architects</v>
      </c>
      <c r="G128" s="219" t="str">
        <f>IFERROR(__xludf.DUMMYFUNCTION("""COMPUTED_VALUE"""),"https://www.linkedin.com/in/thiagoavelinoq/")</f>
        <v>https://www.linkedin.com/in/thiagoavelinoq/</v>
      </c>
      <c r="H128" s="218" t="str">
        <f>IFERROR(__xludf.DUMMYFUNCTION("""COMPUTED_VALUE"""),"Conhecimento Técnico")</f>
        <v>Conhecimento Técnico</v>
      </c>
      <c r="I128" s="218" t="str">
        <f>IFERROR(__xludf.DUMMYFUNCTION("""COMPUTED_VALUE"""),"Técnicas de Vendas")</f>
        <v>Técnicas de Vendas</v>
      </c>
      <c r="J128" s="218" t="str">
        <f>IFERROR(__xludf.DUMMYFUNCTION("""COMPUTED_VALUE"""),"Abordagem e Prospecção")</f>
        <v>Abordagem e Prospecção</v>
      </c>
      <c r="K128" s="273" t="str">
        <f>IFERROR(__xludf.DUMMYFUNCTION("""COMPUTED_VALUE"""),"https://universidade.pipelovers.net/m/lessons/nutricao-de-leads-para-maximizar-conversoes1769552060365?classId=3547")</f>
        <v>https://universidade.pipelovers.net/m/lessons/nutricao-de-leads-para-maximizar-conversoes1769552060365?classId=3547</v>
      </c>
      <c r="L128" s="115" t="str">
        <f>IFERROR(__xludf.DUMMYFUNCTION("""COMPUTED_VALUE"""),"https://universidade.pipelovers.net/m/lessons/nutricao-de-leads-para-maximizar-conversoes1769552060365?classId=3547")</f>
        <v>https://universidade.pipelovers.net/m/lessons/nutricao-de-leads-para-maximizar-conversoes1769552060365?classId=3547</v>
      </c>
      <c r="M128" s="292">
        <f>IFERROR(__xludf.DUMMYFUNCTION("""COMPUTED_VALUE"""),4.36)</f>
        <v>4.36</v>
      </c>
      <c r="N128" s="293" t="str">
        <f>IFERROR(__xludf.DUMMYFUNCTION("""COMPUTED_VALUE"""),"117. PipeLovers💚SDRs: ""Nutrição de leads para maximizar conversões"" com Thiago Avelino - 2024/12/09 12:51 GMT-03:00 - Recording")</f>
        <v>117. PipeLovers💚SDRs: "Nutrição de leads para maximizar conversões" com Thiago Avelino - 2024/12/09 12:51 GMT-03:00 - Recording</v>
      </c>
      <c r="O128" s="294" t="str">
        <f>IFERROR(__xludf.DUMMYFUNCTION("""COMPUTED_VALUE"""),"")</f>
        <v/>
      </c>
      <c r="P128" s="118">
        <f>IFERROR(__xludf.DUMMYFUNCTION("""COMPUTED_VALUE"""),45684.0)</f>
        <v>45684</v>
      </c>
      <c r="Q128" s="294"/>
    </row>
    <row r="129">
      <c r="A129" s="73"/>
      <c r="B129" s="209" t="str">
        <f>IFERROR(__xludf.DUMMYFUNCTION("""COMPUTED_VALUE"""),"Pré-Vendas (Prospecção)")</f>
        <v>Pré-Vendas (Prospecção)</v>
      </c>
      <c r="C129" s="216" t="str">
        <f>IFERROR(__xludf.DUMMYFUNCTION("""COMPUTED_VALUE"""),"Por que o telefone ainda supera e-mails e mensagens na primeira conexão?")</f>
        <v>Por que o telefone ainda supera e-mails e mensagens na primeira conexão?</v>
      </c>
      <c r="D129" s="289" t="str">
        <f>IFERROR(__xludf.DUMMYFUNCTION("""COMPUTED_VALUE"""),"Mari Genovez")</f>
        <v>Mari Genovez</v>
      </c>
      <c r="E129" s="218" t="str">
        <f>IFERROR(__xludf.DUMMYFUNCTION("""COMPUTED_VALUE"""),"Founder ")</f>
        <v>Founder </v>
      </c>
      <c r="F129" s="218" t="str">
        <f>IFERROR(__xludf.DUMMYFUNCTION("""COMPUTED_VALUE"""),"MATCHEZ")</f>
        <v>MATCHEZ</v>
      </c>
      <c r="G129" s="219" t="str">
        <f>IFERROR(__xludf.DUMMYFUNCTION("""COMPUTED_VALUE"""),"https://www.linkedin.com/in/mari-genovez/")</f>
        <v>https://www.linkedin.com/in/mari-genovez/</v>
      </c>
      <c r="H129" s="218" t="str">
        <f>IFERROR(__xludf.DUMMYFUNCTION("""COMPUTED_VALUE"""),"Conhecimento Técnico")</f>
        <v>Conhecimento Técnico</v>
      </c>
      <c r="I129" s="218" t="str">
        <f>IFERROR(__xludf.DUMMYFUNCTION("""COMPUTED_VALUE"""),"Técnicas de Vendas")</f>
        <v>Técnicas de Vendas</v>
      </c>
      <c r="J129" s="218" t="str">
        <f>IFERROR(__xludf.DUMMYFUNCTION("""COMPUTED_VALUE"""),"Abordagem e Prospecção")</f>
        <v>Abordagem e Prospecção</v>
      </c>
      <c r="K129" s="275" t="str">
        <f>IFERROR(__xludf.DUMMYFUNCTION("""COMPUTED_VALUE"""),"https://universidade.pipelovers.net/m/lessons/por-que-o-telefone-ainda-supera-e-mails-e-mensagens-na-primeira-conexao1769552060394?classId=3038")</f>
        <v>https://universidade.pipelovers.net/m/lessons/por-que-o-telefone-ainda-supera-e-mails-e-mensagens-na-primeira-conexao1769552060394?classId=3038</v>
      </c>
      <c r="L129" s="115" t="str">
        <f>IFERROR(__xludf.DUMMYFUNCTION("""COMPUTED_VALUE"""),"https://universidade.pipelovers.net/m/lessons/por-que-o-telefone-ainda-supera-e-mails-e-mensagens-na-primeira-conexao1769552060394?classId=3038")</f>
        <v>https://universidade.pipelovers.net/m/lessons/por-que-o-telefone-ainda-supera-e-mails-e-mensagens-na-primeira-conexao1769552060394?classId=3038</v>
      </c>
      <c r="M129" s="292">
        <f>IFERROR(__xludf.DUMMYFUNCTION("""COMPUTED_VALUE"""),3.64)</f>
        <v>3.64</v>
      </c>
      <c r="N129" s="293" t="str">
        <f>IFERROR(__xludf.DUMMYFUNCTION("""COMPUTED_VALUE"""),"118. PipeLovers💚SDRs: ""Por que o telefone ainda supera e-mails e mensagens na primeira conexão?"" com Ma - 2024/12/16 12:56 GMT-03:00 - Recording")</f>
        <v>118. PipeLovers💚SDRs: "Por que o telefone ainda supera e-mails e mensagens na primeira conexão?" com Ma - 2024/12/16 12:56 GMT-03:00 - Recording</v>
      </c>
      <c r="O129" s="294" t="str">
        <f>IFERROR(__xludf.DUMMYFUNCTION("""COMPUTED_VALUE"""),"")</f>
        <v/>
      </c>
      <c r="P129" s="118">
        <f>IFERROR(__xludf.DUMMYFUNCTION("""COMPUTED_VALUE"""),45691.0)</f>
        <v>45691</v>
      </c>
      <c r="Q129" s="294"/>
    </row>
    <row r="130">
      <c r="A130" s="73"/>
      <c r="B130" s="209" t="str">
        <f>IFERROR(__xludf.DUMMYFUNCTION("""COMPUTED_VALUE"""),"Pré-Vendas (Prospecção)")</f>
        <v>Pré-Vendas (Prospecção)</v>
      </c>
      <c r="C130" s="268" t="str">
        <f>IFERROR(__xludf.DUMMYFUNCTION("""COMPUTED_VALUE"""),"Prospecção na base de clientes")</f>
        <v>Prospecção na base de clientes</v>
      </c>
      <c r="D130" s="296" t="str">
        <f>IFERROR(__xludf.DUMMYFUNCTION("""COMPUTED_VALUE"""),"Günther Weissböck")</f>
        <v>Günther Weissböck</v>
      </c>
      <c r="E130" s="218" t="str">
        <f>IFERROR(__xludf.DUMMYFUNCTION("""COMPUTED_VALUE"""),"Manager of Customer Success")</f>
        <v>Manager of Customer Success</v>
      </c>
      <c r="F130" s="218" t="str">
        <f>IFERROR(__xludf.DUMMYFUNCTION("""COMPUTED_VALUE"""),"PipeLovers")</f>
        <v>PipeLovers</v>
      </c>
      <c r="G130" s="219" t="str">
        <f>IFERROR(__xludf.DUMMYFUNCTION("""COMPUTED_VALUE"""),"https://www.linkedin.com/in/guntherweissbock/")</f>
        <v>https://www.linkedin.com/in/guntherweissbock/</v>
      </c>
      <c r="H130" s="218" t="str">
        <f>IFERROR(__xludf.DUMMYFUNCTION("""COMPUTED_VALUE"""),"Conhecimento Técnico")</f>
        <v>Conhecimento Técnico</v>
      </c>
      <c r="I130" s="218" t="str">
        <f>IFERROR(__xludf.DUMMYFUNCTION("""COMPUTED_VALUE"""),"Técnicas de Vendas")</f>
        <v>Técnicas de Vendas</v>
      </c>
      <c r="J130" s="218" t="str">
        <f>IFERROR(__xludf.DUMMYFUNCTION("""COMPUTED_VALUE"""),"Gestão de Carteira de Clientes")</f>
        <v>Gestão de Carteira de Clientes</v>
      </c>
      <c r="K130" s="273" t="str">
        <f>IFERROR(__xludf.DUMMYFUNCTION("""COMPUTED_VALUE"""),"https://universidade.pipelovers.net/m/lessons/prospeccao-na-base-de-clientes1769552060458?classId=3548")</f>
        <v>https://universidade.pipelovers.net/m/lessons/prospeccao-na-base-de-clientes1769552060458?classId=3548</v>
      </c>
      <c r="L130" s="115" t="str">
        <f>IFERROR(__xludf.DUMMYFUNCTION("""COMPUTED_VALUE"""),"https://universidade.pipelovers.net/m/lessons/prospeccao-na-base-de-clientes1769552060458?classId=3548")</f>
        <v>https://universidade.pipelovers.net/m/lessons/prospeccao-na-base-de-clientes1769552060458?classId=3548</v>
      </c>
      <c r="M130" s="292">
        <f>IFERROR(__xludf.DUMMYFUNCTION("""COMPUTED_VALUE"""),4.57)</f>
        <v>4.57</v>
      </c>
      <c r="N130" s="293" t="str">
        <f>IFERROR(__xludf.DUMMYFUNCTION("""COMPUTED_VALUE"""),"119. PipeLovers💚SDRs: ""Prospecção na base de clientes"" com Günther Weissböck - 2025/01/06 12:56 GMT-03:00 - Recording")</f>
        <v>119. PipeLovers💚SDRs: "Prospecção na base de clientes" com Günther Weissböck - 2025/01/06 12:56 GMT-03:00 - Recording</v>
      </c>
      <c r="O130" s="294" t="str">
        <f>IFERROR(__xludf.DUMMYFUNCTION("""COMPUTED_VALUE"""),"")</f>
        <v/>
      </c>
      <c r="P130" s="118">
        <f>IFERROR(__xludf.DUMMYFUNCTION("""COMPUTED_VALUE"""),45698.0)</f>
        <v>45698</v>
      </c>
      <c r="Q130" s="294"/>
    </row>
    <row r="131">
      <c r="A131" s="73"/>
      <c r="B131" s="209" t="str">
        <f>IFERROR(__xludf.DUMMYFUNCTION("""COMPUTED_VALUE"""),"Pré-Vendas (Prospecção)")</f>
        <v>Pré-Vendas (Prospecção)</v>
      </c>
      <c r="C131" s="311" t="str">
        <f>IFERROR(__xludf.DUMMYFUNCTION("""COMPUTED_VALUE"""),"Técnicas para transformar ""agora não"" em ""vamos marcar""")</f>
        <v>Técnicas para transformar "agora não" em "vamos marcar"</v>
      </c>
      <c r="D131" s="289" t="str">
        <f>IFERROR(__xludf.DUMMYFUNCTION("""COMPUTED_VALUE"""),"Ricardo Alvarinho")</f>
        <v>Ricardo Alvarinho</v>
      </c>
      <c r="E131" s="218" t="str">
        <f>IFERROR(__xludf.DUMMYFUNCTION("""COMPUTED_VALUE"""),"CEO")</f>
        <v>CEO</v>
      </c>
      <c r="F131" s="218" t="str">
        <f>IFERROR(__xludf.DUMMYFUNCTION("""COMPUTED_VALUE"""),"Resultado Memorável")</f>
        <v>Resultado Memorável</v>
      </c>
      <c r="G131" s="219" t="str">
        <f>IFERROR(__xludf.DUMMYFUNCTION("""COMPUTED_VALUE"""),"https://www.linkedin.com/in/ricardoalvarinho/")</f>
        <v>https://www.linkedin.com/in/ricardoalvarinho/</v>
      </c>
      <c r="H131" s="218" t="str">
        <f>IFERROR(__xludf.DUMMYFUNCTION("""COMPUTED_VALUE"""),"Conhecimento Técnico")</f>
        <v>Conhecimento Técnico</v>
      </c>
      <c r="I131" s="218" t="str">
        <f>IFERROR(__xludf.DUMMYFUNCTION("""COMPUTED_VALUE"""),"Técnicas de Vendas")</f>
        <v>Técnicas de Vendas</v>
      </c>
      <c r="J131" s="218" t="str">
        <f>IFERROR(__xludf.DUMMYFUNCTION("""COMPUTED_VALUE"""),"Contorno de Objeções")</f>
        <v>Contorno de Objeções</v>
      </c>
      <c r="K131" s="281" t="str">
        <f>IFERROR(__xludf.DUMMYFUNCTION("""COMPUTED_VALUE"""),"https://universidade.pipelovers.net/m/lessons/tecnicas-para-transformar-agora-nao-em-vamos-marcar1769552060514?classId=3549")</f>
        <v>https://universidade.pipelovers.net/m/lessons/tecnicas-para-transformar-agora-nao-em-vamos-marcar1769552060514?classId=3549</v>
      </c>
      <c r="L131" s="115" t="str">
        <f>IFERROR(__xludf.DUMMYFUNCTION("""COMPUTED_VALUE"""),"https://universidade.pipelovers.net/m/lessons/tecnicas-para-transformar-agora-nao-em-vamos-marcar1769552060514?classId=3549")</f>
        <v>https://universidade.pipelovers.net/m/lessons/tecnicas-para-transformar-agora-nao-em-vamos-marcar1769552060514?classId=3549</v>
      </c>
      <c r="M131" s="292">
        <f>IFERROR(__xludf.DUMMYFUNCTION("""COMPUTED_VALUE"""),4.64)</f>
        <v>4.64</v>
      </c>
      <c r="N131" s="293" t="str">
        <f>IFERROR(__xludf.DUMMYFUNCTION("""COMPUTED_VALUE"""),"120. PipeLovers💚SDRs: ""Técnicas para transformar ""agora não"" em ""vamos marcar"" "" com Ricardo Alvarinho - 2025/01/13 12:51 GMT-03:00 - Recording")</f>
        <v>120. PipeLovers💚SDRs: "Técnicas para transformar "agora não" em "vamos marcar" " com Ricardo Alvarinho - 2025/01/13 12:51 GMT-03:00 - Recording</v>
      </c>
      <c r="O131" s="294" t="str">
        <f>IFERROR(__xludf.DUMMYFUNCTION("""COMPUTED_VALUE"""),"")</f>
        <v/>
      </c>
      <c r="P131" s="118">
        <f>IFERROR(__xludf.DUMMYFUNCTION("""COMPUTED_VALUE"""),45705.0)</f>
        <v>45705</v>
      </c>
      <c r="Q131" s="294"/>
    </row>
    <row r="132">
      <c r="A132" s="73"/>
      <c r="B132" s="209" t="str">
        <f>IFERROR(__xludf.DUMMYFUNCTION("""COMPUTED_VALUE"""),"Pré-Vendas (Prospecção)")</f>
        <v>Pré-Vendas (Prospecção)</v>
      </c>
      <c r="C132" s="300" t="str">
        <f>IFERROR(__xludf.DUMMYFUNCTION("""COMPUTED_VALUE"""),"Como falar do produto sem sobrecarregar o lead")</f>
        <v>Como falar do produto sem sobrecarregar o lead</v>
      </c>
      <c r="D132" s="296" t="str">
        <f>IFERROR(__xludf.DUMMYFUNCTION("""COMPUTED_VALUE"""),"Thiago Cherem")</f>
        <v>Thiago Cherem</v>
      </c>
      <c r="E132" s="218" t="str">
        <f>IFERROR(__xludf.DUMMYFUNCTION("""COMPUTED_VALUE"""),"Fundador")</f>
        <v>Fundador</v>
      </c>
      <c r="F132" s="218" t="str">
        <f>IFERROR(__xludf.DUMMYFUNCTION("""COMPUTED_VALUE"""),"Linqo")</f>
        <v>Linqo</v>
      </c>
      <c r="G132" s="219" t="str">
        <f>IFERROR(__xludf.DUMMYFUNCTION("""COMPUTED_VALUE"""),"https://www.linkedin.com/in/thiagocherem/")</f>
        <v>https://www.linkedin.com/in/thiagocherem/</v>
      </c>
      <c r="H132" s="218" t="str">
        <f>IFERROR(__xludf.DUMMYFUNCTION("""COMPUTED_VALUE"""),"Conhecimento Técnico")</f>
        <v>Conhecimento Técnico</v>
      </c>
      <c r="I132" s="218" t="str">
        <f>IFERROR(__xludf.DUMMYFUNCTION("""COMPUTED_VALUE"""),"Técnicas de Vendas")</f>
        <v>Técnicas de Vendas</v>
      </c>
      <c r="J132" s="218" t="str">
        <f>IFERROR(__xludf.DUMMYFUNCTION("""COMPUTED_VALUE"""),"Pitch Comercial")</f>
        <v>Pitch Comercial</v>
      </c>
      <c r="K132" s="301" t="str">
        <f>IFERROR(__xludf.DUMMYFUNCTION("""COMPUTED_VALUE"""),"https://universidade.pipelovers.net/m/lessons/como-falar-do-produto-sem-sobrecarregar-o-lead1769552060487?classId=3550")</f>
        <v>https://universidade.pipelovers.net/m/lessons/como-falar-do-produto-sem-sobrecarregar-o-lead1769552060487?classId=3550</v>
      </c>
      <c r="L132" s="115" t="str">
        <f>IFERROR(__xludf.DUMMYFUNCTION("""COMPUTED_VALUE"""),"https://universidade.pipelovers.net/m/lessons/como-falar-do-produto-sem-sobrecarregar-o-lead1769552060487?classId=3550")</f>
        <v>https://universidade.pipelovers.net/m/lessons/como-falar-do-produto-sem-sobrecarregar-o-lead1769552060487?classId=3550</v>
      </c>
      <c r="M132" s="292">
        <f>IFERROR(__xludf.DUMMYFUNCTION("""COMPUTED_VALUE"""),3.36)</f>
        <v>3.36</v>
      </c>
      <c r="N132" s="293" t="str">
        <f>IFERROR(__xludf.DUMMYFUNCTION("""COMPUTED_VALUE"""),"121. PipeLovers💚SDRs: ""Como falar do produto sem sobrecarregar o lead"" com Thiago Cherem - 2025/01/20 12:52 GMT-03:00 - Recording")</f>
        <v>121. PipeLovers💚SDRs: "Como falar do produto sem sobrecarregar o lead" com Thiago Cherem - 2025/01/20 12:52 GMT-03:00 - Recording</v>
      </c>
      <c r="O132" s="294" t="str">
        <f>IFERROR(__xludf.DUMMYFUNCTION("""COMPUTED_VALUE"""),"")</f>
        <v/>
      </c>
      <c r="P132" s="118">
        <f>IFERROR(__xludf.DUMMYFUNCTION("""COMPUTED_VALUE"""),45712.0)</f>
        <v>45712</v>
      </c>
      <c r="Q132" s="294"/>
    </row>
    <row r="133">
      <c r="A133" s="73"/>
      <c r="B133" s="209" t="str">
        <f>IFERROR(__xludf.DUMMYFUNCTION("""COMPUTED_VALUE"""),"Pré-Vendas (Prospecção)")</f>
        <v>Pré-Vendas (Prospecção)</v>
      </c>
      <c r="C133" s="311" t="str">
        <f>IFERROR(__xludf.DUMMYFUNCTION("""COMPUTED_VALUE"""),"O pitch perfeito: Gancho, valor e call to action")</f>
        <v>O pitch perfeito: Gancho, valor e call to action</v>
      </c>
      <c r="D133" s="289" t="str">
        <f>IFERROR(__xludf.DUMMYFUNCTION("""COMPUTED_VALUE"""),"Rafaela Schultz")</f>
        <v>Rafaela Schultz</v>
      </c>
      <c r="E133" s="218" t="str">
        <f>IFERROR(__xludf.DUMMYFUNCTION("""COMPUTED_VALUE"""),"Sales Enablement Specialist")</f>
        <v>Sales Enablement Specialist</v>
      </c>
      <c r="F133" s="218" t="str">
        <f>IFERROR(__xludf.DUMMYFUNCTION("""COMPUTED_VALUE"""),"Winnin")</f>
        <v>Winnin</v>
      </c>
      <c r="G133" s="219" t="str">
        <f>IFERROR(__xludf.DUMMYFUNCTION("""COMPUTED_VALUE"""),"https://www.linkedin.com/in/rafaela-schultz/")</f>
        <v>https://www.linkedin.com/in/rafaela-schultz/</v>
      </c>
      <c r="H133" s="218" t="str">
        <f>IFERROR(__xludf.DUMMYFUNCTION("""COMPUTED_VALUE"""),"Conhecimento Técnico")</f>
        <v>Conhecimento Técnico</v>
      </c>
      <c r="I133" s="218" t="str">
        <f>IFERROR(__xludf.DUMMYFUNCTION("""COMPUTED_VALUE"""),"Técnicas de Vendas")</f>
        <v>Técnicas de Vendas</v>
      </c>
      <c r="J133" s="218" t="str">
        <f>IFERROR(__xludf.DUMMYFUNCTION("""COMPUTED_VALUE"""),"Pitch Comercial")</f>
        <v>Pitch Comercial</v>
      </c>
      <c r="K133" s="281" t="str">
        <f>IFERROR(__xludf.DUMMYFUNCTION("""COMPUTED_VALUE"""),"https://universidade.pipelovers.net/m/lessons/o-pitch-perfeito-gancho-valor-e-call-to-action1769552060577?classId=3551")</f>
        <v>https://universidade.pipelovers.net/m/lessons/o-pitch-perfeito-gancho-valor-e-call-to-action1769552060577?classId=3551</v>
      </c>
      <c r="L133" s="115" t="str">
        <f>IFERROR(__xludf.DUMMYFUNCTION("""COMPUTED_VALUE"""),"https://universidade.pipelovers.net/m/lessons/o-pitch-perfeito-gancho-valor-e-call-to-action1769552060577?classId=3551")</f>
        <v>https://universidade.pipelovers.net/m/lessons/o-pitch-perfeito-gancho-valor-e-call-to-action1769552060577?classId=3551</v>
      </c>
      <c r="M133" s="292">
        <f>IFERROR(__xludf.DUMMYFUNCTION("""COMPUTED_VALUE"""),3.64)</f>
        <v>3.64</v>
      </c>
      <c r="N133" s="293" t="str">
        <f>IFERROR(__xludf.DUMMYFUNCTION("""COMPUTED_VALUE"""),"122. PipeLovers💚SDRs: ""O pitch perfeito: Gancho, valor e call to action"" com Rafaela Schultz - 2025/01/27 12:50 GMT-03:00 - Recording")</f>
        <v>122. PipeLovers💚SDRs: "O pitch perfeito: Gancho, valor e call to action" com Rafaela Schultz - 2025/01/27 12:50 GMT-03:00 - Recording</v>
      </c>
      <c r="O133" s="294" t="str">
        <f>IFERROR(__xludf.DUMMYFUNCTION("""COMPUTED_VALUE"""),"")</f>
        <v/>
      </c>
      <c r="P133" s="118">
        <f>IFERROR(__xludf.DUMMYFUNCTION("""COMPUTED_VALUE"""),45719.0)</f>
        <v>45719</v>
      </c>
      <c r="Q133" s="294"/>
    </row>
    <row r="134">
      <c r="A134" s="73"/>
      <c r="B134" s="209" t="str">
        <f>IFERROR(__xludf.DUMMYFUNCTION("""COMPUTED_VALUE"""),"Pré-Vendas (Prospecção)")</f>
        <v>Pré-Vendas (Prospecção)</v>
      </c>
      <c r="C134" s="268" t="str">
        <f>IFERROR(__xludf.DUMMYFUNCTION("""COMPUTED_VALUE"""),"6 formas diferentes de aprender todos os dias")</f>
        <v>6 formas diferentes de aprender todos os dias</v>
      </c>
      <c r="D134" s="336" t="str">
        <f>IFERROR(__xludf.DUMMYFUNCTION("""COMPUTED_VALUE"""),"Carol Deberaldini")</f>
        <v>Carol Deberaldini</v>
      </c>
      <c r="E134" s="228" t="str">
        <f>IFERROR(__xludf.DUMMYFUNCTION("""COMPUTED_VALUE"""),"Head de Produto")</f>
        <v>Head de Produto</v>
      </c>
      <c r="F134" s="228" t="str">
        <f>IFERROR(__xludf.DUMMYFUNCTION("""COMPUTED_VALUE"""),"PipeLovers")</f>
        <v>PipeLovers</v>
      </c>
      <c r="G134" s="229" t="str">
        <f>IFERROR(__xludf.DUMMYFUNCTION("""COMPUTED_VALUE"""),"https://www.linkedin.com/in/carol-deberaldini-21793442/")</f>
        <v>https://www.linkedin.com/in/carol-deberaldini-21793442/</v>
      </c>
      <c r="H134" s="228" t="str">
        <f>IFERROR(__xludf.DUMMYFUNCTION("""COMPUTED_VALUE"""),"Autodesenvolvimento")</f>
        <v>Autodesenvolvimento</v>
      </c>
      <c r="I134" s="228" t="str">
        <f>IFERROR(__xludf.DUMMYFUNCTION("""COMPUTED_VALUE"""),"Aprendizado Ativo")</f>
        <v>Aprendizado Ativo</v>
      </c>
      <c r="J134" s="228" t="str">
        <f>IFERROR(__xludf.DUMMYFUNCTION("""COMPUTED_VALUE"""),"Benchmarking")</f>
        <v>Benchmarking</v>
      </c>
      <c r="K134" s="273" t="str">
        <f>IFERROR(__xludf.DUMMYFUNCTION("""COMPUTED_VALUE"""),"https://universidade.pipelovers.net/m/lessons/6-formas-diferentes-de-aprender-todos-os-dias1769552060624?classId=3552")</f>
        <v>https://universidade.pipelovers.net/m/lessons/6-formas-diferentes-de-aprender-todos-os-dias1769552060624?classId=3552</v>
      </c>
      <c r="L134" s="115" t="str">
        <f>IFERROR(__xludf.DUMMYFUNCTION("""COMPUTED_VALUE"""),"https://universidade.pipelovers.net/m/lessons/6-formas-diferentes-de-aprender-todos-os-dias1769552060624?classId=3552")</f>
        <v>https://universidade.pipelovers.net/m/lessons/6-formas-diferentes-de-aprender-todos-os-dias1769552060624?classId=3552</v>
      </c>
      <c r="M134" s="292">
        <f>IFERROR(__xludf.DUMMYFUNCTION("""COMPUTED_VALUE"""),3.79)</f>
        <v>3.79</v>
      </c>
      <c r="N134" s="293" t="str">
        <f>IFERROR(__xludf.DUMMYFUNCTION("""COMPUTED_VALUE"""),"123. PipeLovers💚SDRs: ""6 formas diferentes de aprender todos os dias"" com Carol Deberaldini - 2025/02/03 12:49 GMT-03:00 - Recording")</f>
        <v>123. PipeLovers💚SDRs: "6 formas diferentes de aprender todos os dias" com Carol Deberaldini - 2025/02/03 12:49 GMT-03:00 - Recording</v>
      </c>
      <c r="O134" s="294" t="str">
        <f>IFERROR(__xludf.DUMMYFUNCTION("""COMPUTED_VALUE"""),"")</f>
        <v/>
      </c>
      <c r="P134" s="118">
        <f>IFERROR(__xludf.DUMMYFUNCTION("""COMPUTED_VALUE"""),45726.0)</f>
        <v>45726</v>
      </c>
      <c r="Q134" s="294"/>
    </row>
    <row r="135">
      <c r="A135" s="73"/>
      <c r="B135" s="209" t="str">
        <f>IFERROR(__xludf.DUMMYFUNCTION("""COMPUTED_VALUE"""),"Pré-Vendas (Prospecção)")</f>
        <v>Pré-Vendas (Prospecção)</v>
      </c>
      <c r="C135" s="288" t="str">
        <f>IFERROR(__xludf.DUMMYFUNCTION("""COMPUTED_VALUE"""),"CAC e LTV: O que esses números significam para a prospecção?")</f>
        <v>CAC e LTV: O que esses números significam para a prospecção?</v>
      </c>
      <c r="D135" s="302" t="str">
        <f>IFERROR(__xludf.DUMMYFUNCTION("""COMPUTED_VALUE"""),"Pedro Assis")</f>
        <v>Pedro Assis</v>
      </c>
      <c r="E135" s="303" t="str">
        <f>IFERROR(__xludf.DUMMYFUNCTION("""COMPUTED_VALUE"""),"Head of Sales Development")</f>
        <v>Head of Sales Development</v>
      </c>
      <c r="F135" s="303" t="str">
        <f>IFERROR(__xludf.DUMMYFUNCTION("""COMPUTED_VALUE"""),"RD Station")</f>
        <v>RD Station</v>
      </c>
      <c r="G135" s="305" t="str">
        <f>IFERROR(__xludf.DUMMYFUNCTION("""COMPUTED_VALUE"""),"https://www.linkedin.com/in/pedrohdeassis/")</f>
        <v>https://www.linkedin.com/in/pedrohdeassis/</v>
      </c>
      <c r="H135" s="303" t="str">
        <f>IFERROR(__xludf.DUMMYFUNCTION("""COMPUTED_VALUE"""),"Visão de Negócios")</f>
        <v>Visão de Negócios</v>
      </c>
      <c r="I135" s="303" t="str">
        <f>IFERROR(__xludf.DUMMYFUNCTION("""COMPUTED_VALUE"""),"Conhecimento de Produto e Negócio")</f>
        <v>Conhecimento de Produto e Negócio</v>
      </c>
      <c r="J135" s="303" t="str">
        <f>IFERROR(__xludf.DUMMYFUNCTION("""COMPUTED_VALUE"""),"Unit Economics")</f>
        <v>Unit Economics</v>
      </c>
      <c r="K135" s="281" t="str">
        <f>IFERROR(__xludf.DUMMYFUNCTION("""COMPUTED_VALUE"""),"https://universidade.pipelovers.net/m/lessons/cac-e-ltv-o-que-esses-numeros-significam-para-a-prospeccao1769552060674?classId=3553")</f>
        <v>https://universidade.pipelovers.net/m/lessons/cac-e-ltv-o-que-esses-numeros-significam-para-a-prospeccao1769552060674?classId=3553</v>
      </c>
      <c r="L135" s="115" t="str">
        <f>IFERROR(__xludf.DUMMYFUNCTION("""COMPUTED_VALUE"""),"https://universidade.pipelovers.net/m/lessons/cac-e-ltv-o-que-esses-numeros-significam-para-a-prospeccao1769552060674?classId=3553")</f>
        <v>https://universidade.pipelovers.net/m/lessons/cac-e-ltv-o-que-esses-numeros-significam-para-a-prospeccao1769552060674?classId=3553</v>
      </c>
      <c r="M135" s="292">
        <f>IFERROR(__xludf.DUMMYFUNCTION("""COMPUTED_VALUE"""),4.36)</f>
        <v>4.36</v>
      </c>
      <c r="N135" s="293" t="str">
        <f>IFERROR(__xludf.DUMMYFUNCTION("""COMPUTED_VALUE"""),"124. PipeLovers💚SDRs: ""CAC e LTV: O que esses números significam para a prospecção?"" com Pedro Assis  - 2025/02/10 12:51 GMT-03:00 - Recording")</f>
        <v>124. PipeLovers💚SDRs: "CAC e LTV: O que esses números significam para a prospecção?" com Pedro Assis  - 2025/02/10 12:51 GMT-03:00 - Recording</v>
      </c>
      <c r="O135" s="294" t="str">
        <f>IFERROR(__xludf.DUMMYFUNCTION("""COMPUTED_VALUE"""),"")</f>
        <v/>
      </c>
      <c r="P135" s="118">
        <f>IFERROR(__xludf.DUMMYFUNCTION("""COMPUTED_VALUE"""),45733.0)</f>
        <v>45733</v>
      </c>
      <c r="Q135" s="294"/>
    </row>
    <row r="136">
      <c r="A136" s="73"/>
      <c r="B136" s="209" t="str">
        <f>IFERROR(__xludf.DUMMYFUNCTION("""COMPUTED_VALUE"""),"Pré-Vendas (Prospecção)")</f>
        <v>Pré-Vendas (Prospecção)</v>
      </c>
      <c r="C136" s="300" t="str">
        <f>IFERROR(__xludf.DUMMYFUNCTION("""COMPUTED_VALUE"""),"Como identificar e explorar oportunidades de Upsell ?")</f>
        <v>Como identificar e explorar oportunidades de Upsell ?</v>
      </c>
      <c r="D136" s="296" t="str">
        <f>IFERROR(__xludf.DUMMYFUNCTION("""COMPUTED_VALUE"""),"Esther Nam")</f>
        <v>Esther Nam</v>
      </c>
      <c r="E136" s="218" t="str">
        <f>IFERROR(__xludf.DUMMYFUNCTION("""COMPUTED_VALUE"""),"Strategic Customer Success Account Manager")</f>
        <v>Strategic Customer Success Account Manager</v>
      </c>
      <c r="F136" s="218" t="str">
        <f>IFERROR(__xludf.DUMMYFUNCTION("""COMPUTED_VALUE"""),"DocuSign")</f>
        <v>DocuSign</v>
      </c>
      <c r="G136" s="219" t="str">
        <f>IFERROR(__xludf.DUMMYFUNCTION("""COMPUTED_VALUE"""),"https://www.linkedin.com/in/esthernam2020/")</f>
        <v>https://www.linkedin.com/in/esthernam2020/</v>
      </c>
      <c r="H136" s="218" t="str">
        <f>IFERROR(__xludf.DUMMYFUNCTION("""COMPUTED_VALUE"""),"Conhecimento Técnico")</f>
        <v>Conhecimento Técnico</v>
      </c>
      <c r="I136" s="218" t="str">
        <f>IFERROR(__xludf.DUMMYFUNCTION("""COMPUTED_VALUE"""),"Gestão de Vendas")</f>
        <v>Gestão de Vendas</v>
      </c>
      <c r="J136" s="218" t="str">
        <f>IFERROR(__xludf.DUMMYFUNCTION("""COMPUTED_VALUE"""),"UpSell e Cross Sell")</f>
        <v>UpSell e Cross Sell</v>
      </c>
      <c r="K136" s="301" t="str">
        <f>IFERROR(__xludf.DUMMYFUNCTION("""COMPUTED_VALUE"""),"https://universidade.pipelovers.net/m/lessons/como-identificar-e-explorar-oportunidades-de-upsell-1769552060700?classId=3554")</f>
        <v>https://universidade.pipelovers.net/m/lessons/como-identificar-e-explorar-oportunidades-de-upsell-1769552060700?classId=3554</v>
      </c>
      <c r="L136" s="115" t="str">
        <f>IFERROR(__xludf.DUMMYFUNCTION("""COMPUTED_VALUE"""),"https://universidade.pipelovers.net/m/lessons/como-identificar-e-explorar-oportunidades-de-upsell-1769552060700?classId=3554")</f>
        <v>https://universidade.pipelovers.net/m/lessons/como-identificar-e-explorar-oportunidades-de-upsell-1769552060700?classId=3554</v>
      </c>
      <c r="M136" s="292">
        <f>IFERROR(__xludf.DUMMYFUNCTION("""COMPUTED_VALUE"""),1.0)</f>
        <v>1</v>
      </c>
      <c r="N136" s="293" t="str">
        <f>IFERROR(__xludf.DUMMYFUNCTION("""COMPUTED_VALUE"""),"125. PipeLovers💚SDRs: ""Como identificar e explorar oportunidades de Upsell ?"" com Esther Nam - 2025/02/17 12:55 GMT-03:00 - Recording")</f>
        <v>125. PipeLovers💚SDRs: "Como identificar e explorar oportunidades de Upsell ?" com Esther Nam - 2025/02/17 12:55 GMT-03:00 - Recording</v>
      </c>
      <c r="O136" s="294" t="str">
        <f>IFERROR(__xludf.DUMMYFUNCTION("""COMPUTED_VALUE"""),"")</f>
        <v/>
      </c>
      <c r="P136" s="118">
        <f>IFERROR(__xludf.DUMMYFUNCTION("""COMPUTED_VALUE"""),45740.0)</f>
        <v>45740</v>
      </c>
      <c r="Q136" s="294"/>
    </row>
    <row r="137">
      <c r="A137" s="73"/>
      <c r="B137" s="209" t="str">
        <f>IFERROR(__xludf.DUMMYFUNCTION("""COMPUTED_VALUE"""),"Pré-Vendas (Prospecção)")</f>
        <v>Pré-Vendas (Prospecção)</v>
      </c>
      <c r="C137" s="311" t="str">
        <f>IFERROR(__xludf.DUMMYFUNCTION("""COMPUTED_VALUE"""),"Gatilhos certeiros: como deixar seu pitch impossível de ignorar")</f>
        <v>Gatilhos certeiros: como deixar seu pitch impossível de ignorar</v>
      </c>
      <c r="D137" s="289" t="str">
        <f>IFERROR(__xludf.DUMMYFUNCTION("""COMPUTED_VALUE"""),"Michel Kurc")</f>
        <v>Michel Kurc</v>
      </c>
      <c r="E137" s="218" t="str">
        <f>IFERROR(__xludf.DUMMYFUNCTION("""COMPUTED_VALUE"""),"Consulting Partner")</f>
        <v>Consulting Partner</v>
      </c>
      <c r="F137" s="218" t="str">
        <f>IFERROR(__xludf.DUMMYFUNCTION("""COMPUTED_VALUE"""),"Winning Sales")</f>
        <v>Winning Sales</v>
      </c>
      <c r="G137" s="219" t="str">
        <f>IFERROR(__xludf.DUMMYFUNCTION("""COMPUTED_VALUE"""),"https://www.linkedin.com/in/michelkurc/")</f>
        <v>https://www.linkedin.com/in/michelkurc/</v>
      </c>
      <c r="H137" s="218" t="str">
        <f>IFERROR(__xludf.DUMMYFUNCTION("""COMPUTED_VALUE"""),"Conhecimento Técnico")</f>
        <v>Conhecimento Técnico</v>
      </c>
      <c r="I137" s="218" t="str">
        <f>IFERROR(__xludf.DUMMYFUNCTION("""COMPUTED_VALUE"""),"Técnicas de Vendas")</f>
        <v>Técnicas de Vendas</v>
      </c>
      <c r="J137" s="218" t="str">
        <f>IFERROR(__xludf.DUMMYFUNCTION("""COMPUTED_VALUE"""),"Pitch Comercial")</f>
        <v>Pitch Comercial</v>
      </c>
      <c r="K137" s="281" t="str">
        <f>IFERROR(__xludf.DUMMYFUNCTION("""COMPUTED_VALUE"""),"https://universidade.pipelovers.net/m/lessons/gatilhos-certeiros-como-deixar-seu-pitch-impossivel-de-ignorar1769552060763?classId=3555")</f>
        <v>https://universidade.pipelovers.net/m/lessons/gatilhos-certeiros-como-deixar-seu-pitch-impossivel-de-ignorar1769552060763?classId=3555</v>
      </c>
      <c r="L137" s="115" t="str">
        <f>IFERROR(__xludf.DUMMYFUNCTION("""COMPUTED_VALUE"""),"https://universidade.pipelovers.net/m/lessons/gatilhos-certeiros-como-deixar-seu-pitch-impossivel-de-ignorar1769552060763?classId=3555")</f>
        <v>https://universidade.pipelovers.net/m/lessons/gatilhos-certeiros-como-deixar-seu-pitch-impossivel-de-ignorar1769552060763?classId=3555</v>
      </c>
      <c r="M137" s="292">
        <f>IFERROR(__xludf.DUMMYFUNCTION("""COMPUTED_VALUE"""),1.0)</f>
        <v>1</v>
      </c>
      <c r="N137" s="293" t="str">
        <f>IFERROR(__xludf.DUMMYFUNCTION("""COMPUTED_VALUE"""),"126. PipeLovers💚SDRs: ""Gatilhos certeiros: como deixar seu pitch impossível de ignorar"" com Michel Kurc - 2025/02/24 12:45 GMT-03:00 - Recording")</f>
        <v>126. PipeLovers💚SDRs: "Gatilhos certeiros: como deixar seu pitch impossível de ignorar" com Michel Kurc - 2025/02/24 12:45 GMT-03:00 - Recording</v>
      </c>
      <c r="O137" s="294" t="str">
        <f>IFERROR(__xludf.DUMMYFUNCTION("""COMPUTED_VALUE"""),"")</f>
        <v/>
      </c>
      <c r="P137" s="118">
        <f>IFERROR(__xludf.DUMMYFUNCTION("""COMPUTED_VALUE"""),45747.0)</f>
        <v>45747</v>
      </c>
      <c r="Q137" s="294"/>
    </row>
    <row r="138">
      <c r="A138" s="73"/>
      <c r="B138" s="209" t="str">
        <f>IFERROR(__xludf.DUMMYFUNCTION("""COMPUTED_VALUE"""),"Pré-Vendas (Prospecção)")</f>
        <v>Pré-Vendas (Prospecção)</v>
      </c>
      <c r="C138" s="300" t="str">
        <f>IFERROR(__xludf.DUMMYFUNCTION("""COMPUTED_VALUE"""),"Como expandir sua rede em eventos")</f>
        <v>Como expandir sua rede em eventos</v>
      </c>
      <c r="D138" s="296" t="str">
        <f>IFERROR(__xludf.DUMMYFUNCTION("""COMPUTED_VALUE"""),"Gabriela Ehlert")</f>
        <v>Gabriela Ehlert</v>
      </c>
      <c r="E138" s="218" t="str">
        <f>IFERROR(__xludf.DUMMYFUNCTION("""COMPUTED_VALUE"""),"Líder de Vendas")</f>
        <v>Líder de Vendas</v>
      </c>
      <c r="F138" s="218" t="str">
        <f>IFERROR(__xludf.DUMMYFUNCTION("""COMPUTED_VALUE"""),"Transformação Digital")</f>
        <v>Transformação Digital</v>
      </c>
      <c r="G138" s="219" t="str">
        <f>IFERROR(__xludf.DUMMYFUNCTION("""COMPUTED_VALUE"""),"https://www.linkedin.com/in/gabiehlert/")</f>
        <v>https://www.linkedin.com/in/gabiehlert/</v>
      </c>
      <c r="H138" s="218" t="str">
        <f>IFERROR(__xludf.DUMMYFUNCTION("""COMPUTED_VALUE"""),"Relacionamento Interpessoal")</f>
        <v>Relacionamento Interpessoal</v>
      </c>
      <c r="I138" s="218" t="str">
        <f>IFERROR(__xludf.DUMMYFUNCTION("""COMPUTED_VALUE"""),"Liderança e Influência")</f>
        <v>Liderança e Influência</v>
      </c>
      <c r="J138" s="218" t="str">
        <f>IFERROR(__xludf.DUMMYFUNCTION("""COMPUTED_VALUE"""),"Credibilidade e Reputação")</f>
        <v>Credibilidade e Reputação</v>
      </c>
      <c r="K138" s="301" t="str">
        <f>IFERROR(__xludf.DUMMYFUNCTION("""COMPUTED_VALUE"""),"https://universidade.pipelovers.net/m/lessons/como-expandir-sua-rede-em-eventos1769552060789?classId=3556")</f>
        <v>https://universidade.pipelovers.net/m/lessons/como-expandir-sua-rede-em-eventos1769552060789?classId=3556</v>
      </c>
      <c r="L138" s="115" t="str">
        <f>IFERROR(__xludf.DUMMYFUNCTION("""COMPUTED_VALUE"""),"https://universidade.pipelovers.net/m/lessons/como-expandir-sua-rede-em-eventos1769552060789?classId=3556")</f>
        <v>https://universidade.pipelovers.net/m/lessons/como-expandir-sua-rede-em-eventos1769552060789?classId=3556</v>
      </c>
      <c r="M138" s="292">
        <f>IFERROR(__xludf.DUMMYFUNCTION("""COMPUTED_VALUE"""),4.14)</f>
        <v>4.14</v>
      </c>
      <c r="N138" s="293" t="str">
        <f>IFERROR(__xludf.DUMMYFUNCTION("""COMPUTED_VALUE"""),"127. PipeLovers💚SDRs: ""Como expandir sua rede em eventos"" com Gabriela Ehlert - 2025/03/10 12:55 GMT-03:00 - Recording")</f>
        <v>127. PipeLovers💚SDRs: "Como expandir sua rede em eventos" com Gabriela Ehlert - 2025/03/10 12:55 GMT-03:00 - Recording</v>
      </c>
      <c r="O138" s="294" t="str">
        <f>IFERROR(__xludf.DUMMYFUNCTION("""COMPUTED_VALUE"""),"")</f>
        <v/>
      </c>
      <c r="P138" s="118">
        <f>IFERROR(__xludf.DUMMYFUNCTION("""COMPUTED_VALUE"""),45754.0)</f>
        <v>45754</v>
      </c>
      <c r="Q138" s="294"/>
    </row>
    <row r="139">
      <c r="A139" s="73"/>
      <c r="B139" s="209" t="str">
        <f>IFERROR(__xludf.DUMMYFUNCTION("""COMPUTED_VALUE"""),"Pré-Vendas (Prospecção)")</f>
        <v>Pré-Vendas (Prospecção)</v>
      </c>
      <c r="C139" s="268" t="str">
        <f>IFERROR(__xludf.DUMMYFUNCTION("""COMPUTED_VALUE"""),"ROI na prática: como engajar leads que não enxergam valor")</f>
        <v>ROI na prática: como engajar leads que não enxergam valor</v>
      </c>
      <c r="D139" s="289" t="str">
        <f>IFERROR(__xludf.DUMMYFUNCTION("""COMPUTED_VALUE"""),"Leandro Bulhões")</f>
        <v>Leandro Bulhões</v>
      </c>
      <c r="E139" s="218" t="str">
        <f>IFERROR(__xludf.DUMMYFUNCTION("""COMPUTED_VALUE"""),"Enterprise Account Executive")</f>
        <v>Enterprise Account Executive</v>
      </c>
      <c r="F139" s="218" t="str">
        <f>IFERROR(__xludf.DUMMYFUNCTION("""COMPUTED_VALUE"""),"Neoway")</f>
        <v>Neoway</v>
      </c>
      <c r="G139" s="219" t="str">
        <f>IFERROR(__xludf.DUMMYFUNCTION("""COMPUTED_VALUE"""),"https://www.linkedin.com/in/leandro-bulhoes/")</f>
        <v>https://www.linkedin.com/in/leandro-bulhoes/</v>
      </c>
      <c r="H139" s="218" t="str">
        <f>IFERROR(__xludf.DUMMYFUNCTION("""COMPUTED_VALUE"""),"Conhecimento Técnico")</f>
        <v>Conhecimento Técnico</v>
      </c>
      <c r="I139" s="218" t="str">
        <f>IFERROR(__xludf.DUMMYFUNCTION("""COMPUTED_VALUE"""),"Pensamento Crítico")</f>
        <v>Pensamento Crítico</v>
      </c>
      <c r="J139" s="218" t="str">
        <f>IFERROR(__xludf.DUMMYFUNCTION("""COMPUTED_VALUE"""),"ROI")</f>
        <v>ROI</v>
      </c>
      <c r="K139" s="273" t="str">
        <f>IFERROR(__xludf.DUMMYFUNCTION("""COMPUTED_VALUE"""),"https://universidade.pipelovers.net/m/lessons/roi-na-pratica-como-engajar-leads-que-nao-enxergam-valor1769552060817?classId=3557")</f>
        <v>https://universidade.pipelovers.net/m/lessons/roi-na-pratica-como-engajar-leads-que-nao-enxergam-valor1769552060817?classId=3557</v>
      </c>
      <c r="L139" s="115" t="str">
        <f>IFERROR(__xludf.DUMMYFUNCTION("""COMPUTED_VALUE"""),"https://universidade.pipelovers.net/m/lessons/roi-na-pratica-como-engajar-leads-que-nao-enxergam-valor1769552060817?classId=3557")</f>
        <v>https://universidade.pipelovers.net/m/lessons/roi-na-pratica-como-engajar-leads-que-nao-enxergam-valor1769552060817?classId=3557</v>
      </c>
      <c r="M139" s="292">
        <f>IFERROR(__xludf.DUMMYFUNCTION("""COMPUTED_VALUE"""),4.57)</f>
        <v>4.57</v>
      </c>
      <c r="N139" s="293" t="str">
        <f>IFERROR(__xludf.DUMMYFUNCTION("""COMPUTED_VALUE"""),"128. PipeLovers💚SDRs: ""ROI na prática: como engajar leads que não enxergam valor"" com Leandro Bulhões - 2025/03/17 12:51 GMT-03:00 - Recording")</f>
        <v>128. PipeLovers💚SDRs: "ROI na prática: como engajar leads que não enxergam valor" com Leandro Bulhões - 2025/03/17 12:51 GMT-03:00 - Recording</v>
      </c>
      <c r="O139" s="294" t="str">
        <f>IFERROR(__xludf.DUMMYFUNCTION("""COMPUTED_VALUE"""),"")</f>
        <v/>
      </c>
      <c r="P139" s="118">
        <f>IFERROR(__xludf.DUMMYFUNCTION("""COMPUTED_VALUE"""),45761.0)</f>
        <v>45761</v>
      </c>
      <c r="Q139" s="294"/>
    </row>
    <row r="140">
      <c r="A140" s="73"/>
      <c r="B140" s="209" t="str">
        <f>IFERROR(__xludf.DUMMYFUNCTION("""COMPUTED_VALUE"""),"Pré-Vendas (Prospecção)")</f>
        <v>Pré-Vendas (Prospecção)</v>
      </c>
      <c r="C140" s="216" t="str">
        <f>IFERROR(__xludf.DUMMYFUNCTION("""COMPUTED_VALUE"""),"Dar e receber feedback com clareza")</f>
        <v>Dar e receber feedback com clareza</v>
      </c>
      <c r="D140" s="296" t="str">
        <f>IFERROR(__xludf.DUMMYFUNCTION("""COMPUTED_VALUE"""),"Carol Deberaldini")</f>
        <v>Carol Deberaldini</v>
      </c>
      <c r="E140" s="218" t="str">
        <f>IFERROR(__xludf.DUMMYFUNCTION("""COMPUTED_VALUE"""),"Head de Produtos")</f>
        <v>Head de Produtos</v>
      </c>
      <c r="F140" s="218" t="str">
        <f>IFERROR(__xludf.DUMMYFUNCTION("""COMPUTED_VALUE"""),"PipeLovers")</f>
        <v>PipeLovers</v>
      </c>
      <c r="G140" s="219" t="str">
        <f>IFERROR(__xludf.DUMMYFUNCTION("""COMPUTED_VALUE"""),"https://www.linkedin.com/in/carol-deberaldini-21793442/")</f>
        <v>https://www.linkedin.com/in/carol-deberaldini-21793442/</v>
      </c>
      <c r="H140" s="218" t="str">
        <f>IFERROR(__xludf.DUMMYFUNCTION("""COMPUTED_VALUE"""),"Relacionamento Interpessoal")</f>
        <v>Relacionamento Interpessoal</v>
      </c>
      <c r="I140" s="218" t="str">
        <f>IFERROR(__xludf.DUMMYFUNCTION("""COMPUTED_VALUE"""),"Comunicação e Relacionamento")</f>
        <v>Comunicação e Relacionamento</v>
      </c>
      <c r="J140" s="218" t="str">
        <f>IFERROR(__xludf.DUMMYFUNCTION("""COMPUTED_VALUE"""),"Dar e Receber Feedbacks")</f>
        <v>Dar e Receber Feedbacks</v>
      </c>
      <c r="K140" s="275" t="str">
        <f>IFERROR(__xludf.DUMMYFUNCTION("""COMPUTED_VALUE"""),"https://universidade.pipelovers.net/m/lessons/dar-e-receber-feedback-com-clareza1769552060864?classId=3028")</f>
        <v>https://universidade.pipelovers.net/m/lessons/dar-e-receber-feedback-com-clareza1769552060864?classId=3028</v>
      </c>
      <c r="L140" s="115" t="str">
        <f>IFERROR(__xludf.DUMMYFUNCTION("""COMPUTED_VALUE"""),"https://universidade.pipelovers.net/m/lessons/dar-e-receber-feedback-com-clareza1769552060864?classId=3028")</f>
        <v>https://universidade.pipelovers.net/m/lessons/dar-e-receber-feedback-com-clareza1769552060864?classId=3028</v>
      </c>
      <c r="M140" s="292">
        <f>IFERROR(__xludf.DUMMYFUNCTION("""COMPUTED_VALUE"""),5.0)</f>
        <v>5</v>
      </c>
      <c r="N140" s="293" t="str">
        <f>IFERROR(__xludf.DUMMYFUNCTION("""COMPUTED_VALUE"""),"129. PipeLovers 🖤: ""Dar e receber feedback com clareza"" com Carol Deberaldini - 2025/03/26 12:50 GMT-03:00 - Recording")</f>
        <v>129. PipeLovers 🖤: "Dar e receber feedback com clareza" com Carol Deberaldini - 2025/03/26 12:50 GMT-03:00 - Recording</v>
      </c>
      <c r="O140" s="294" t="str">
        <f>IFERROR(__xludf.DUMMYFUNCTION("""COMPUTED_VALUE"""),"")</f>
        <v/>
      </c>
      <c r="P140" s="118">
        <f>IFERROR(__xludf.DUMMYFUNCTION("""COMPUTED_VALUE"""),45768.0)</f>
        <v>45768</v>
      </c>
      <c r="Q140" s="294"/>
    </row>
    <row r="141">
      <c r="A141" s="73"/>
      <c r="B141" s="209" t="str">
        <f>IFERROR(__xludf.DUMMYFUNCTION("""COMPUTED_VALUE"""),"Pré-Vendas (Prospecção)")</f>
        <v>Pré-Vendas (Prospecção)</v>
      </c>
      <c r="C141" s="268" t="str">
        <f>IFERROR(__xludf.DUMMYFUNCTION("""COMPUTED_VALUE"""),"Pré Vendas Brasil: Um estudo sobre como o papel do pré-vendedor está evoluindo")</f>
        <v>Pré Vendas Brasil: Um estudo sobre como o papel do pré-vendedor está evoluindo</v>
      </c>
      <c r="D141" s="289" t="str">
        <f>IFERROR(__xludf.DUMMYFUNCTION("""COMPUTED_VALUE"""),"Clarissa Hohmuth")</f>
        <v>Clarissa Hohmuth</v>
      </c>
      <c r="E141" s="218" t="str">
        <f>IFERROR(__xludf.DUMMYFUNCTION("""COMPUTED_VALUE"""),"Fundadora")</f>
        <v>Fundadora</v>
      </c>
      <c r="F141" s="218" t="str">
        <f>IFERROR(__xludf.DUMMYFUNCTION("""COMPUTED_VALUE"""),"Performa")</f>
        <v>Performa</v>
      </c>
      <c r="G141" s="219" t="str">
        <f>IFERROR(__xludf.DUMMYFUNCTION("""COMPUTED_VALUE"""),"https://www.linkedin.com/in/clarissarissi/")</f>
        <v>https://www.linkedin.com/in/clarissarissi/</v>
      </c>
      <c r="H141" s="218" t="str">
        <f>IFERROR(__xludf.DUMMYFUNCTION("""COMPUTED_VALUE"""),"Visão de Negócios")</f>
        <v>Visão de Negócios</v>
      </c>
      <c r="I141" s="218" t="str">
        <f>IFERROR(__xludf.DUMMYFUNCTION("""COMPUTED_VALUE"""),"Tendências de Mercado")</f>
        <v>Tendências de Mercado</v>
      </c>
      <c r="J141" s="218" t="str">
        <f>IFERROR(__xludf.DUMMYFUNCTION("""COMPUTED_VALUE"""),"Tendencias do Setor")</f>
        <v>Tendencias do Setor</v>
      </c>
      <c r="K141" s="273" t="str">
        <f>IFERROR(__xludf.DUMMYFUNCTION("""COMPUTED_VALUE"""),"https://universidade.pipelovers.net/m/lessons/pre-vendas-brasil-um-estudo-sobre-como-o-papel-do-pre-vendedor-esta-evoluindo1769552060890?classId=3558")</f>
        <v>https://universidade.pipelovers.net/m/lessons/pre-vendas-brasil-um-estudo-sobre-como-o-papel-do-pre-vendedor-esta-evoluindo1769552060890?classId=3558</v>
      </c>
      <c r="L141" s="115" t="str">
        <f>IFERROR(__xludf.DUMMYFUNCTION("""COMPUTED_VALUE"""),"https://universidade.pipelovers.net/m/lessons/pre-vendas-brasil-um-estudo-sobre-como-o-papel-do-pre-vendedor-esta-evoluindo1769552060890?classId=3558")</f>
        <v>https://universidade.pipelovers.net/m/lessons/pre-vendas-brasil-um-estudo-sobre-como-o-papel-do-pre-vendedor-esta-evoluindo1769552060890?classId=3558</v>
      </c>
      <c r="M141" s="292">
        <f>IFERROR(__xludf.DUMMYFUNCTION("""COMPUTED_VALUE"""),4.0)</f>
        <v>4</v>
      </c>
      <c r="N141" s="293" t="str">
        <f>IFERROR(__xludf.DUMMYFUNCTION("""COMPUTED_VALUE"""),"130. PipeLovers💚SDRs: ""Pré Vendas Brasil: Um estudo sobre como o papel do pré-vendedor está evoluindo""  - 2025/03/31 12:57 GMT-03:00 - Recording")</f>
        <v>130. PipeLovers💚SDRs: "Pré Vendas Brasil: Um estudo sobre como o papel do pré-vendedor está evoluindo"  - 2025/03/31 12:57 GMT-03:00 - Recording</v>
      </c>
      <c r="O141" s="294" t="str">
        <f>IFERROR(__xludf.DUMMYFUNCTION("""COMPUTED_VALUE"""),"")</f>
        <v/>
      </c>
      <c r="P141" s="118">
        <f>IFERROR(__xludf.DUMMYFUNCTION("""COMPUTED_VALUE"""),45775.0)</f>
        <v>45775</v>
      </c>
      <c r="Q141" s="294"/>
    </row>
    <row r="142">
      <c r="A142" s="73"/>
      <c r="B142" s="209" t="str">
        <f>IFERROR(__xludf.DUMMYFUNCTION("""COMPUTED_VALUE"""),"Pré-Vendas (Prospecção)")</f>
        <v>Pré-Vendas (Prospecção)</v>
      </c>
      <c r="C142" s="307" t="str">
        <f>IFERROR(__xludf.DUMMYFUNCTION("""COMPUTED_VALUE"""),"Lidando com o não: o que separa SDRs comuns dos que sempre batem meta")</f>
        <v>Lidando com o não: o que separa SDRs comuns dos que sempre batem meta</v>
      </c>
      <c r="D142" s="336" t="str">
        <f>IFERROR(__xludf.DUMMYFUNCTION("""COMPUTED_VALUE"""),"Daniel Mestre")</f>
        <v>Daniel Mestre</v>
      </c>
      <c r="E142" s="228" t="str">
        <f>IFERROR(__xludf.DUMMYFUNCTION("""COMPUTED_VALUE"""),"Sócio e Head de Treinamentos")</f>
        <v>Sócio e Head de Treinamentos</v>
      </c>
      <c r="F142" s="228" t="str">
        <f>IFERROR(__xludf.DUMMYFUNCTION("""COMPUTED_VALUE"""),"SuperVendedores")</f>
        <v>SuperVendedores</v>
      </c>
      <c r="G142" s="229" t="str">
        <f>IFERROR(__xludf.DUMMYFUNCTION("""COMPUTED_VALUE"""),"https://www.linkedin.com/in/danielmestre/")</f>
        <v>https://www.linkedin.com/in/danielmestre/</v>
      </c>
      <c r="H142" s="228" t="str">
        <f>IFERROR(__xludf.DUMMYFUNCTION("""COMPUTED_VALUE"""),"Autodesenvolvimento")</f>
        <v>Autodesenvolvimento</v>
      </c>
      <c r="I142" s="228" t="str">
        <f>IFERROR(__xludf.DUMMYFUNCTION("""COMPUTED_VALUE"""),"Inteligência Emocional")</f>
        <v>Inteligência Emocional</v>
      </c>
      <c r="J142" s="228" t="str">
        <f>IFERROR(__xludf.DUMMYFUNCTION("""COMPUTED_VALUE"""),"Resiliência")</f>
        <v>Resiliência</v>
      </c>
      <c r="K142" s="301" t="str">
        <f>IFERROR(__xludf.DUMMYFUNCTION("""COMPUTED_VALUE"""),"https://universidade.pipelovers.net/m/lessons/lidando-com-o-nao-o-que-separa-sdrs-comuns-dos-que-sempre-batem-meta1769552062981?classId=3559")</f>
        <v>https://universidade.pipelovers.net/m/lessons/lidando-com-o-nao-o-que-separa-sdrs-comuns-dos-que-sempre-batem-meta1769552062981?classId=3559</v>
      </c>
      <c r="L142" s="115" t="str">
        <f>IFERROR(__xludf.DUMMYFUNCTION("""COMPUTED_VALUE"""),"https://universidade.pipelovers.net/m/lessons/lidando-com-o-nao-o-que-separa-sdrs-comuns-dos-que-sempre-batem-meta1769552062981?classId=3559")</f>
        <v>https://universidade.pipelovers.net/m/lessons/lidando-com-o-nao-o-que-separa-sdrs-comuns-dos-que-sempre-batem-meta1769552062981?classId=3559</v>
      </c>
      <c r="M142" s="292">
        <f>IFERROR(__xludf.DUMMYFUNCTION("""COMPUTED_VALUE"""),5.0)</f>
        <v>5</v>
      </c>
      <c r="N142" s="293" t="str">
        <f>IFERROR(__xludf.DUMMYFUNCTION("""COMPUTED_VALUE"""),"131. PipeLovers💚SDRs: ""Lidando com o não: o que separa SDRs comuns dos que sempre batem meta"" com Danie - 2025/04/07 12:44 GMT-03:00 - Recording")</f>
        <v>131. PipeLovers💚SDRs: "Lidando com o não: o que separa SDRs comuns dos que sempre batem meta" com Danie - 2025/04/07 12:44 GMT-03:00 - Recording</v>
      </c>
      <c r="O142" s="294" t="str">
        <f>IFERROR(__xludf.DUMMYFUNCTION("""COMPUTED_VALUE"""),"")</f>
        <v/>
      </c>
      <c r="P142" s="118">
        <f>IFERROR(__xludf.DUMMYFUNCTION("""COMPUTED_VALUE"""),45782.0)</f>
        <v>45782</v>
      </c>
      <c r="Q142" s="294"/>
    </row>
    <row r="143">
      <c r="A143" s="73"/>
      <c r="B143" s="209" t="str">
        <f>IFERROR(__xludf.DUMMYFUNCTION("""COMPUTED_VALUE"""),"Pré-Vendas (Prospecção)")</f>
        <v>Pré-Vendas (Prospecção)</v>
      </c>
      <c r="C143" s="181" t="str">
        <f>IFERROR(__xludf.DUMMYFUNCTION("""COMPUTED_VALUE"""),"De SDR a líder: o poder da auto responsabilidade para crescer na carreira")</f>
        <v>De SDR a líder: o poder da auto responsabilidade para crescer na carreira</v>
      </c>
      <c r="D143" s="216" t="str">
        <f>IFERROR(__xludf.DUMMYFUNCTION("""COMPUTED_VALUE"""),"Leticia  Becker")</f>
        <v>Leticia  Becker</v>
      </c>
      <c r="E143" s="303" t="str">
        <f>IFERROR(__xludf.DUMMYFUNCTION("""COMPUTED_VALUE"""),"Coordenadora de pré vendas")</f>
        <v>Coordenadora de pré vendas</v>
      </c>
      <c r="F143" s="303" t="str">
        <f>IFERROR(__xludf.DUMMYFUNCTION("""COMPUTED_VALUE"""),"RD Station")</f>
        <v>RD Station</v>
      </c>
      <c r="G143" s="305" t="str">
        <f>IFERROR(__xludf.DUMMYFUNCTION("""COMPUTED_VALUE"""),"https://www.linkedin.com/in/let%C3%ADcia-alves-8b9633206/")</f>
        <v>https://www.linkedin.com/in/let%C3%ADcia-alves-8b9633206/</v>
      </c>
      <c r="H143" s="303" t="str">
        <f>IFERROR(__xludf.DUMMYFUNCTION("""COMPUTED_VALUE"""),"Autodesenvolvimento")</f>
        <v>Autodesenvolvimento</v>
      </c>
      <c r="I143" s="303" t="str">
        <f>IFERROR(__xludf.DUMMYFUNCTION("""COMPUTED_VALUE"""),"Inteligência Emocional")</f>
        <v>Inteligência Emocional</v>
      </c>
      <c r="J143" s="303" t="str">
        <f>IFERROR(__xludf.DUMMYFUNCTION("""COMPUTED_VALUE"""),"Motivação")</f>
        <v>Motivação</v>
      </c>
      <c r="K143" s="281" t="str">
        <f>IFERROR(__xludf.DUMMYFUNCTION("""COMPUTED_VALUE"""),"https://universidade.pipelovers.net/m/lessons/de-sdr-a-lider-o-poder-da-auto-responsabilidade-para-crescer-na-carreira1769552063070?classId=3560")</f>
        <v>https://universidade.pipelovers.net/m/lessons/de-sdr-a-lider-o-poder-da-auto-responsabilidade-para-crescer-na-carreira1769552063070?classId=3560</v>
      </c>
      <c r="L143" s="115" t="str">
        <f>IFERROR(__xludf.DUMMYFUNCTION("""COMPUTED_VALUE"""),"https://universidade.pipelovers.net/m/lessons/de-sdr-a-lider-o-poder-da-auto-responsabilidade-para-crescer-na-carreira1769552063070?classId=3560")</f>
        <v>https://universidade.pipelovers.net/m/lessons/de-sdr-a-lider-o-poder-da-auto-responsabilidade-para-crescer-na-carreira1769552063070?classId=3560</v>
      </c>
      <c r="M143" s="292">
        <f>IFERROR(__xludf.DUMMYFUNCTION("""COMPUTED_VALUE"""),4.86)</f>
        <v>4.86</v>
      </c>
      <c r="N143" s="293" t="str">
        <f>IFERROR(__xludf.DUMMYFUNCTION("""COMPUTED_VALUE"""),"132. PipeLovers💚SDRs: ""De SDR a líder: o poder da auto responsabilidade para crescer na carreira"" com L - 2025/04/14 12:52 GMT-03:00 - Recording")</f>
        <v>132. PipeLovers💚SDRs: "De SDR a líder: o poder da auto responsabilidade para crescer na carreira" com L - 2025/04/14 12:52 GMT-03:00 - Recording</v>
      </c>
      <c r="O143" s="294" t="str">
        <f>IFERROR(__xludf.DUMMYFUNCTION("""COMPUTED_VALUE"""),"")</f>
        <v/>
      </c>
      <c r="P143" s="118">
        <f>IFERROR(__xludf.DUMMYFUNCTION("""COMPUTED_VALUE"""),45789.0)</f>
        <v>45789</v>
      </c>
      <c r="Q143" s="294"/>
    </row>
    <row r="144">
      <c r="A144" s="73"/>
      <c r="B144" s="209" t="str">
        <f>IFERROR(__xludf.DUMMYFUNCTION("""COMPUTED_VALUE"""),"Pré-Vendas (Prospecção)")</f>
        <v>Pré-Vendas (Prospecção)</v>
      </c>
      <c r="C144" s="382" t="str">
        <f>IFERROR(__xludf.DUMMYFUNCTION("""COMPUTED_VALUE"""),"Como medir e analisar a qualidade do lead")</f>
        <v>Como medir e analisar a qualidade do lead</v>
      </c>
      <c r="D144" s="268" t="str">
        <f>IFERROR(__xludf.DUMMYFUNCTION("""COMPUTED_VALUE"""),"Yudi Makibara")</f>
        <v>Yudi Makibara</v>
      </c>
      <c r="E144" s="228" t="str">
        <f>IFERROR(__xludf.DUMMYFUNCTION("""COMPUTED_VALUE"""),"Head of Sales")</f>
        <v>Head of Sales</v>
      </c>
      <c r="F144" s="228" t="str">
        <f>IFERROR(__xludf.DUMMYFUNCTION("""COMPUTED_VALUE"""),"Gupy")</f>
        <v>Gupy</v>
      </c>
      <c r="G144" s="229" t="str">
        <f>IFERROR(__xludf.DUMMYFUNCTION("""COMPUTED_VALUE"""),"https://www.linkedin.com/in/yudimakibara/")</f>
        <v>https://www.linkedin.com/in/yudimakibara/</v>
      </c>
      <c r="H144" s="228" t="str">
        <f>IFERROR(__xludf.DUMMYFUNCTION("""COMPUTED_VALUE"""),"Conhecimento Técnico")</f>
        <v>Conhecimento Técnico</v>
      </c>
      <c r="I144" s="228" t="str">
        <f>IFERROR(__xludf.DUMMYFUNCTION("""COMPUTED_VALUE"""),"Pensamento Crítico")</f>
        <v>Pensamento Crítico</v>
      </c>
      <c r="J144" s="228" t="str">
        <f>IFERROR(__xludf.DUMMYFUNCTION("""COMPUTED_VALUE"""),"Métricas de Funil")</f>
        <v>Métricas de Funil</v>
      </c>
      <c r="K144" s="301" t="str">
        <f>IFERROR(__xludf.DUMMYFUNCTION("""COMPUTED_VALUE"""),"https://universidade.pipelovers.net/m/lessons/como-medir-e-analisar-a-qualidade-do-lead1769552063251?classId=3561")</f>
        <v>https://universidade.pipelovers.net/m/lessons/como-medir-e-analisar-a-qualidade-do-lead1769552063251?classId=3561</v>
      </c>
      <c r="L144" s="115" t="str">
        <f>IFERROR(__xludf.DUMMYFUNCTION("""COMPUTED_VALUE"""),"https://universidade.pipelovers.net/m/lessons/como-medir-e-analisar-a-qualidade-do-lead1769552063251?classId=3561")</f>
        <v>https://universidade.pipelovers.net/m/lessons/como-medir-e-analisar-a-qualidade-do-lead1769552063251?classId=3561</v>
      </c>
      <c r="M144" s="383">
        <f>IFERROR(__xludf.DUMMYFUNCTION("""COMPUTED_VALUE"""),4.5)</f>
        <v>4.5</v>
      </c>
      <c r="N144" s="385" t="str">
        <f>IFERROR(__xludf.DUMMYFUNCTION("""COMPUTED_VALUE"""),"133. PipeLovers💚SDRs: ""Como medir e analisar a qualidade do lead"" com Yudi Makibara - Recording")</f>
        <v>133. PipeLovers💚SDRs: "Como medir e analisar a qualidade do lead" com Yudi Makibara - Recording</v>
      </c>
      <c r="O144" s="294" t="str">
        <f>IFERROR(__xludf.DUMMYFUNCTION("""COMPUTED_VALUE"""),"")</f>
        <v/>
      </c>
      <c r="P144" s="118">
        <f>IFERROR(__xludf.DUMMYFUNCTION("""COMPUTED_VALUE"""),45796.0)</f>
        <v>45796</v>
      </c>
      <c r="Q144" s="294"/>
    </row>
    <row r="145">
      <c r="A145" s="73"/>
      <c r="B145" s="209" t="str">
        <f>IFERROR(__xludf.DUMMYFUNCTION("""COMPUTED_VALUE"""),"Pré-Vendas (Prospecção)")</f>
        <v>Pré-Vendas (Prospecção)</v>
      </c>
      <c r="C145" s="181" t="str">
        <f>IFERROR(__xludf.DUMMYFUNCTION("""COMPUTED_VALUE"""),"Saúde mental na linha de frente: práticas simples pra lidar com a rotina de SDR")</f>
        <v>Saúde mental na linha de frente: práticas simples pra lidar com a rotina de SDR</v>
      </c>
      <c r="D145" s="216" t="str">
        <f>IFERROR(__xludf.DUMMYFUNCTION("""COMPUTED_VALUE"""),"Leticia dos Santos")</f>
        <v>Leticia dos Santos</v>
      </c>
      <c r="E145" s="303" t="str">
        <f>IFERROR(__xludf.DUMMYFUNCTION("""COMPUTED_VALUE"""),"Gerente de Pré Vendas")</f>
        <v>Gerente de Pré Vendas</v>
      </c>
      <c r="F145" s="303" t="str">
        <f>IFERROR(__xludf.DUMMYFUNCTION("""COMPUTED_VALUE"""),"Buzzmonitor")</f>
        <v>Buzzmonitor</v>
      </c>
      <c r="G145" s="305" t="str">
        <f>IFERROR(__xludf.DUMMYFUNCTION("""COMPUTED_VALUE"""),"https://www.linkedin.com/in/leticiasantosrcc/")</f>
        <v>https://www.linkedin.com/in/leticiasantosrcc/</v>
      </c>
      <c r="H145" s="303" t="str">
        <f>IFERROR(__xludf.DUMMYFUNCTION("""COMPUTED_VALUE"""),"Autodesenvolvimento")</f>
        <v>Autodesenvolvimento</v>
      </c>
      <c r="I145" s="303" t="str">
        <f>IFERROR(__xludf.DUMMYFUNCTION("""COMPUTED_VALUE"""),"Inteligência Emocional")</f>
        <v>Inteligência Emocional</v>
      </c>
      <c r="J145" s="303" t="str">
        <f>IFERROR(__xludf.DUMMYFUNCTION("""COMPUTED_VALUE"""),"Gatilhos de Stress")</f>
        <v>Gatilhos de Stress</v>
      </c>
      <c r="K145" s="281" t="str">
        <f>IFERROR(__xludf.DUMMYFUNCTION("""COMPUTED_VALUE"""),"https://universidade.pipelovers.net/m/lessons/saude-mental-na-linha-de-frente-praticas-simples-pra-lidar-com-a-rotina-de-sdr1769552063188?classId=3562")</f>
        <v>https://universidade.pipelovers.net/m/lessons/saude-mental-na-linha-de-frente-praticas-simples-pra-lidar-com-a-rotina-de-sdr1769552063188?classId=3562</v>
      </c>
      <c r="L145" s="115" t="str">
        <f>IFERROR(__xludf.DUMMYFUNCTION("""COMPUTED_VALUE"""),"https://universidade.pipelovers.net/m/lessons/saude-mental-na-linha-de-frente-praticas-simples-pra-lidar-com-a-rotina-de-sdr1769552063188?classId=3562")</f>
        <v>https://universidade.pipelovers.net/m/lessons/saude-mental-na-linha-de-frente-praticas-simples-pra-lidar-com-a-rotina-de-sdr1769552063188?classId=3562</v>
      </c>
      <c r="M145" s="383">
        <f>IFERROR(__xludf.DUMMYFUNCTION("""COMPUTED_VALUE"""),4.79)</f>
        <v>4.79</v>
      </c>
      <c r="N145" s="385" t="str">
        <f>IFERROR(__xludf.DUMMYFUNCTION("""COMPUTED_VALUE"""),"134. PipeLovers💚SDRs: ""Saúde mental na linha de frente: práticas simples pra lidar com a rotina de SDR"" com Leticia dos Santos")</f>
        <v>134. PipeLovers💚SDRs: "Saúde mental na linha de frente: práticas simples pra lidar com a rotina de SDR" com Leticia dos Santos</v>
      </c>
      <c r="O145" s="294" t="str">
        <f>IFERROR(__xludf.DUMMYFUNCTION("""COMPUTED_VALUE"""),"")</f>
        <v/>
      </c>
      <c r="P145" s="118">
        <f>IFERROR(__xludf.DUMMYFUNCTION("""COMPUTED_VALUE"""),45803.0)</f>
        <v>45803</v>
      </c>
      <c r="Q145" s="294"/>
    </row>
    <row r="146">
      <c r="A146" s="73"/>
      <c r="B146" s="209" t="str">
        <f>IFERROR(__xludf.DUMMYFUNCTION("""COMPUTED_VALUE"""),"Pré-Vendas (Prospecção)")</f>
        <v>Pré-Vendas (Prospecção)</v>
      </c>
      <c r="C146" s="382" t="str">
        <f>IFERROR(__xludf.DUMMYFUNCTION("""COMPUTED_VALUE"""),"Os 8 Ímãs da atenção: Capturando o interesse do lead desde o primeiro contato")</f>
        <v>Os 8 Ímãs da atenção: Capturando o interesse do lead desde o primeiro contato</v>
      </c>
      <c r="D146" s="104" t="str">
        <f>IFERROR(__xludf.DUMMYFUNCTION("""COMPUTED_VALUE"""),"Lucas Veríssimo")</f>
        <v>Lucas Veríssimo</v>
      </c>
      <c r="E146" s="228" t="str">
        <f>IFERROR(__xludf.DUMMYFUNCTION("""COMPUTED_VALUE"""),"Fundador")</f>
        <v>Fundador</v>
      </c>
      <c r="F146" s="228" t="str">
        <f>IFERROR(__xludf.DUMMYFUNCTION("""COMPUTED_VALUE"""),"Agência RAP")</f>
        <v>Agência RAP</v>
      </c>
      <c r="G146" s="229" t="str">
        <f>IFERROR(__xludf.DUMMYFUNCTION("""COMPUTED_VALUE"""),"https://www.linkedin.com/in/lucasverissimo-artistaempreendedor/")</f>
        <v>https://www.linkedin.com/in/lucasverissimo-artistaempreendedor/</v>
      </c>
      <c r="H146" s="228" t="str">
        <f>IFERROR(__xludf.DUMMYFUNCTION("""COMPUTED_VALUE"""),"Conhecimento Técnico")</f>
        <v>Conhecimento Técnico</v>
      </c>
      <c r="I146" s="228" t="str">
        <f>IFERROR(__xludf.DUMMYFUNCTION("""COMPUTED_VALUE"""),"Técnicas de Vendas")</f>
        <v>Técnicas de Vendas</v>
      </c>
      <c r="J146" s="228" t="str">
        <f>IFERROR(__xludf.DUMMYFUNCTION("""COMPUTED_VALUE"""),"Pitch Comercial")</f>
        <v>Pitch Comercial</v>
      </c>
      <c r="K146" s="301" t="str">
        <f>IFERROR(__xludf.DUMMYFUNCTION("""COMPUTED_VALUE"""),"https://universidade.pipelovers.net/m/lessons/os-8-imas-da-atencao-capturando-o-interesse-do-lead-desde-o-primeiro-contato1769552063132?classId=3563")</f>
        <v>https://universidade.pipelovers.net/m/lessons/os-8-imas-da-atencao-capturando-o-interesse-do-lead-desde-o-primeiro-contato1769552063132?classId=3563</v>
      </c>
      <c r="L146" s="115" t="str">
        <f>IFERROR(__xludf.DUMMYFUNCTION("""COMPUTED_VALUE"""),"https://universidade.pipelovers.net/m/lessons/os-8-imas-da-atencao-capturando-o-interesse-do-lead-desde-o-primeiro-contato1769552063132?classId=3563")</f>
        <v>https://universidade.pipelovers.net/m/lessons/os-8-imas-da-atencao-capturando-o-interesse-do-lead-desde-o-primeiro-contato1769552063132?classId=3563</v>
      </c>
      <c r="M146" s="383">
        <f>IFERROR(__xludf.DUMMYFUNCTION("""COMPUTED_VALUE"""),4.71)</f>
        <v>4.71</v>
      </c>
      <c r="N146" s="385" t="str">
        <f>IFERROR(__xludf.DUMMYFUNCTION("""COMPUTED_VALUE"""),"135. PipeLovers💚SDRs: ""Os 8 Ímãs da atenção: Capturando o interesse do lead desde o primeiro contato"" c - 2025/05/12 12:51 GMT-03:00 - Recording")</f>
        <v>135. PipeLovers💚SDRs: "Os 8 Ímãs da atenção: Capturando o interesse do lead desde o primeiro contato" c - 2025/05/12 12:51 GMT-03:00 - Recording</v>
      </c>
      <c r="O146" s="389" t="str">
        <f>IFERROR(__xludf.DUMMYFUNCTION("""COMPUTED_VALUE"""),"")</f>
        <v/>
      </c>
      <c r="P146" s="118">
        <f>IFERROR(__xludf.DUMMYFUNCTION("""COMPUTED_VALUE"""),45810.0)</f>
        <v>45810</v>
      </c>
      <c r="Q146" s="389"/>
    </row>
    <row r="147">
      <c r="A147" s="73"/>
      <c r="B147" s="209" t="str">
        <f>IFERROR(__xludf.DUMMYFUNCTION("""COMPUTED_VALUE"""),"Pré-Vendas (Prospecção)")</f>
        <v>Pré-Vendas (Prospecção)</v>
      </c>
      <c r="C147" s="145" t="str">
        <f>IFERROR(__xludf.DUMMYFUNCTION("""COMPUTED_VALUE"""),"Copy com persuasão")</f>
        <v>Copy com persuasão</v>
      </c>
      <c r="D147" s="175" t="str">
        <f>IFERROR(__xludf.DUMMYFUNCTION("""COMPUTED_VALUE"""),"Giovana Felix")</f>
        <v>Giovana Felix</v>
      </c>
      <c r="E147" s="390" t="str">
        <f>IFERROR(__xludf.DUMMYFUNCTION("""COMPUTED_VALUE"""),"CEO &amp; Founder ")</f>
        <v>CEO &amp; Founder </v>
      </c>
      <c r="F147" s="390" t="str">
        <f>IFERROR(__xludf.DUMMYFUNCTION("""COMPUTED_VALUE"""),"PreSales B2B")</f>
        <v>PreSales B2B</v>
      </c>
      <c r="G147" s="229" t="str">
        <f>IFERROR(__xludf.DUMMYFUNCTION("""COMPUTED_VALUE"""),"https://www.linkedin.com/in/giovana-felix/")</f>
        <v>https://www.linkedin.com/in/giovana-felix/</v>
      </c>
      <c r="H147" s="228" t="str">
        <f>IFERROR(__xludf.DUMMYFUNCTION("""COMPUTED_VALUE"""),"Conhecimento Técnico")</f>
        <v>Conhecimento Técnico</v>
      </c>
      <c r="I147" s="228" t="str">
        <f>IFERROR(__xludf.DUMMYFUNCTION("""COMPUTED_VALUE"""),"Técnicas de Vendas")</f>
        <v>Técnicas de Vendas</v>
      </c>
      <c r="J147" s="228" t="str">
        <f>IFERROR(__xludf.DUMMYFUNCTION("""COMPUTED_VALUE"""),"Abordagem e Prospecção")</f>
        <v>Abordagem e Prospecção</v>
      </c>
      <c r="K147" s="281" t="str">
        <f>IFERROR(__xludf.DUMMYFUNCTION("""COMPUTED_VALUE"""),"https://universidade.pipelovers.net/m/lessons/copy-com-persuasao1769552063314?classId=3564")</f>
        <v>https://universidade.pipelovers.net/m/lessons/copy-com-persuasao1769552063314?classId=3564</v>
      </c>
      <c r="L147" s="115" t="str">
        <f>IFERROR(__xludf.DUMMYFUNCTION("""COMPUTED_VALUE"""),"https://universidade.pipelovers.net/m/lessons/copy-com-persuasao1769552063314?classId=3564")</f>
        <v>https://universidade.pipelovers.net/m/lessons/copy-com-persuasao1769552063314?classId=3564</v>
      </c>
      <c r="M147" s="383">
        <f>IFERROR(__xludf.DUMMYFUNCTION("""COMPUTED_VALUE"""),5.0)</f>
        <v>5</v>
      </c>
      <c r="N147" s="385" t="str">
        <f>IFERROR(__xludf.DUMMYFUNCTION("""COMPUTED_VALUE"""),"136. PipeLovers💚SDRs: ""Copy com persuasão"" com Giovana Felix - 2025/05/19 12:50 GMT-03:00 - Recording")</f>
        <v>136. PipeLovers💚SDRs: "Copy com persuasão" com Giovana Felix - 2025/05/19 12:50 GMT-03:00 - Recording</v>
      </c>
      <c r="O147" s="389" t="str">
        <f>IFERROR(__xludf.DUMMYFUNCTION("""COMPUTED_VALUE"""),"")</f>
        <v/>
      </c>
      <c r="P147" s="118">
        <f>IFERROR(__xludf.DUMMYFUNCTION("""COMPUTED_VALUE"""),45817.0)</f>
        <v>45817</v>
      </c>
      <c r="Q147" s="389"/>
    </row>
    <row r="148">
      <c r="A148" s="73"/>
      <c r="B148" s="209" t="str">
        <f>IFERROR(__xludf.DUMMYFUNCTION("""COMPUTED_VALUE"""),"Pré-Vendas (Prospecção)")</f>
        <v>Pré-Vendas (Prospecção)</v>
      </c>
      <c r="C148" s="216" t="str">
        <f>IFERROR(__xludf.DUMMYFUNCTION("""COMPUTED_VALUE"""),"Planejamento e organização para bater a meta")</f>
        <v>Planejamento e organização para bater a meta</v>
      </c>
      <c r="D148" s="104" t="str">
        <f>IFERROR(__xludf.DUMMYFUNCTION("""COMPUTED_VALUE"""),"Luciano Tomazi")</f>
        <v>Luciano Tomazi</v>
      </c>
      <c r="E148" s="151" t="str">
        <f>IFERROR(__xludf.DUMMYFUNCTION("""COMPUTED_VALUE"""),"Líder de Pré-Vendas")</f>
        <v>Líder de Pré-Vendas</v>
      </c>
      <c r="F148" s="151" t="str">
        <f>IFERROR(__xludf.DUMMYFUNCTION("""COMPUTED_VALUE"""),"RD Station")</f>
        <v>RD Station</v>
      </c>
      <c r="G148" s="207" t="str">
        <f>IFERROR(__xludf.DUMMYFUNCTION("""COMPUTED_VALUE"""),"https://www.linkedin.com/in/lucianotomazi/")</f>
        <v>https://www.linkedin.com/in/lucianotomazi/</v>
      </c>
      <c r="H148" s="151" t="str">
        <f>IFERROR(__xludf.DUMMYFUNCTION("""COMPUTED_VALUE"""),"Autodesenvolvimento")</f>
        <v>Autodesenvolvimento</v>
      </c>
      <c r="I148" s="151" t="str">
        <f>IFERROR(__xludf.DUMMYFUNCTION("""COMPUTED_VALUE"""),"Gestão de Tempo e da Informação")</f>
        <v>Gestão de Tempo e da Informação</v>
      </c>
      <c r="J148" s="151" t="str">
        <f>IFERROR(__xludf.DUMMYFUNCTION("""COMPUTED_VALUE"""),"Técnicas de Organização e Rotina")</f>
        <v>Técnicas de Organização e Rotina</v>
      </c>
      <c r="K148" s="275" t="str">
        <f>IFERROR(__xludf.DUMMYFUNCTION("""COMPUTED_VALUE"""),"https://universidade.pipelovers.net/m/lessons/planejamento-e-organizacao-para-bater-a-meta1769552066254?classId=3567")</f>
        <v>https://universidade.pipelovers.net/m/lessons/planejamento-e-organizacao-para-bater-a-meta1769552066254?classId=3567</v>
      </c>
      <c r="L148" s="115" t="str">
        <f>IFERROR(__xludf.DUMMYFUNCTION("""COMPUTED_VALUE"""),"https://universidade.pipelovers.net/m/lessons/planejamento-e-organizacao-para-bater-a-meta1769552066254?classId=3567")</f>
        <v>https://universidade.pipelovers.net/m/lessons/planejamento-e-organizacao-para-bater-a-meta1769552066254?classId=3567</v>
      </c>
      <c r="M148" s="383">
        <f>IFERROR(__xludf.DUMMYFUNCTION("""COMPUTED_VALUE"""),4.86)</f>
        <v>4.86</v>
      </c>
      <c r="N148" s="385" t="str">
        <f>IFERROR(__xludf.DUMMYFUNCTION("""COMPUTED_VALUE"""),"137. PipeLovers💚SDRs: ""Planejamento e organização para bater a meta"" com Luciano Tomazi - 2025/05/26 12:51 GMT-03:00 - Recording")</f>
        <v>137. PipeLovers💚SDRs: "Planejamento e organização para bater a meta" com Luciano Tomazi - 2025/05/26 12:51 GMT-03:00 - Recording</v>
      </c>
      <c r="O148" s="389" t="str">
        <f>IFERROR(__xludf.DUMMYFUNCTION("""COMPUTED_VALUE"""),"")</f>
        <v/>
      </c>
      <c r="P148" s="118">
        <f>IFERROR(__xludf.DUMMYFUNCTION("""COMPUTED_VALUE"""),45824.0)</f>
        <v>45824</v>
      </c>
      <c r="Q148" s="389"/>
    </row>
    <row r="149">
      <c r="A149" s="73"/>
      <c r="B149" s="209" t="str">
        <f>IFERROR(__xludf.DUMMYFUNCTION("""COMPUTED_VALUE"""),"Pré-Vendas (Prospecção)")</f>
        <v>Pré-Vendas (Prospecção)</v>
      </c>
      <c r="C149" s="288" t="str">
        <f>IFERROR(__xludf.DUMMYFUNCTION("""COMPUTED_VALUE"""),"Cold Calling Sucks: dicas do livro para perder o medo e fazer ligações")</f>
        <v>Cold Calling Sucks: dicas do livro para perder o medo e fazer ligações</v>
      </c>
      <c r="D149" s="289" t="str">
        <f>IFERROR(__xludf.DUMMYFUNCTION("""COMPUTED_VALUE"""),"Fernanda Garcia")</f>
        <v>Fernanda Garcia</v>
      </c>
      <c r="E149" s="218" t="str">
        <f>IFERROR(__xludf.DUMMYFUNCTION("""COMPUTED_VALUE"""),"Head da ABSeed e Co-founder da Rapport ")</f>
        <v>Head da ABSeed e Co-founder da Rapport </v>
      </c>
      <c r="F149" s="218"/>
      <c r="G149" s="219" t="str">
        <f>IFERROR(__xludf.DUMMYFUNCTION("""COMPUTED_VALUE"""),"https://www.linkedin.com/in/fernanda3garcia/")</f>
        <v>https://www.linkedin.com/in/fernanda3garcia/</v>
      </c>
      <c r="H149" s="218" t="str">
        <f>IFERROR(__xludf.DUMMYFUNCTION("""COMPUTED_VALUE"""),"Conhecimento Técnico")</f>
        <v>Conhecimento Técnico</v>
      </c>
      <c r="I149" s="218" t="str">
        <f>IFERROR(__xludf.DUMMYFUNCTION("""COMPUTED_VALUE"""),"Técnicas de Vendas")</f>
        <v>Técnicas de Vendas</v>
      </c>
      <c r="J149" s="218" t="str">
        <f>IFERROR(__xludf.DUMMYFUNCTION("""COMPUTED_VALUE"""),"Abordagem e Prospecção")</f>
        <v>Abordagem e Prospecção</v>
      </c>
      <c r="K149" s="281" t="str">
        <f>IFERROR(__xludf.DUMMYFUNCTION("""COMPUTED_VALUE"""),"https://universidade.pipelovers.net/m/lessons/cold-calling-sucks-dicas-do-livro-para-perder-o-medo-e-fazer-ligacoes1769552066326?classId=3566")</f>
        <v>https://universidade.pipelovers.net/m/lessons/cold-calling-sucks-dicas-do-livro-para-perder-o-medo-e-fazer-ligacoes1769552066326?classId=3566</v>
      </c>
      <c r="L149" s="115" t="str">
        <f>IFERROR(__xludf.DUMMYFUNCTION("""COMPUTED_VALUE"""),"https://universidade.pipelovers.net/m/lessons/cold-calling-sucks-dicas-do-livro-para-perder-o-medo-e-fazer-ligacoes1769552066326?classId=3566")</f>
        <v>https://universidade.pipelovers.net/m/lessons/cold-calling-sucks-dicas-do-livro-para-perder-o-medo-e-fazer-ligacoes1769552066326?classId=3566</v>
      </c>
      <c r="M149" s="383">
        <f>IFERROR(__xludf.DUMMYFUNCTION("""COMPUTED_VALUE"""),4.14)</f>
        <v>4.14</v>
      </c>
      <c r="N149" s="385" t="str">
        <f>IFERROR(__xludf.DUMMYFUNCTION("""COMPUTED_VALUE"""),"138. PipeLovers💚SDRs: ""Cold Calling Sucks: dicas do livro para perder o medo e fazer ligações"" com Fern - 2025/06/02 12:51 GMT-03:00 - Recording")</f>
        <v>138. PipeLovers💚SDRs: "Cold Calling Sucks: dicas do livro para perder o medo e fazer ligações" com Fern - 2025/06/02 12:51 GMT-03:00 - Recording</v>
      </c>
      <c r="O149" s="389" t="str">
        <f>IFERROR(__xludf.DUMMYFUNCTION("""COMPUTED_VALUE"""),"")</f>
        <v/>
      </c>
      <c r="P149" s="118">
        <f>IFERROR(__xludf.DUMMYFUNCTION("""COMPUTED_VALUE"""),45831.0)</f>
        <v>45831</v>
      </c>
      <c r="Q149" s="389"/>
    </row>
    <row r="150">
      <c r="A150" s="73"/>
      <c r="B150" s="209" t="str">
        <f>IFERROR(__xludf.DUMMYFUNCTION("""COMPUTED_VALUE"""),"Pré-Vendas (Prospecção)")</f>
        <v>Pré-Vendas (Prospecção)</v>
      </c>
      <c r="C150" s="268" t="str">
        <f>IFERROR(__xludf.DUMMYFUNCTION("""COMPUTED_VALUE"""),"Pmes X Enterprise: Qual Estratégia Mais Funciona Para Cada Um?
")</f>
        <v>Pmes X Enterprise: Qual Estratégia Mais Funciona Para Cada Um?
</v>
      </c>
      <c r="D150" s="296" t="str">
        <f>IFERROR(__xludf.DUMMYFUNCTION("""COMPUTED_VALUE"""),"Kalil el Kadri")</f>
        <v>Kalil el Kadri</v>
      </c>
      <c r="E150" s="395" t="str">
        <f>IFERROR(__xludf.DUMMYFUNCTION("""COMPUTED_VALUE"""),"Sales Manager")</f>
        <v>Sales Manager</v>
      </c>
      <c r="F150" s="395" t="str">
        <f>IFERROR(__xludf.DUMMYFUNCTION("""COMPUTED_VALUE"""),"Caju")</f>
        <v>Caju</v>
      </c>
      <c r="G150" s="396" t="str">
        <f>IFERROR(__xludf.DUMMYFUNCTION("""COMPUTED_VALUE"""),"https://www.linkedin.com/in/kalilekm/")</f>
        <v>https://www.linkedin.com/in/kalilekm/</v>
      </c>
      <c r="H150" s="218" t="str">
        <f>IFERROR(__xludf.DUMMYFUNCTION("""COMPUTED_VALUE"""),"Visão de Negócios")</f>
        <v>Visão de Negócios</v>
      </c>
      <c r="I150" s="218" t="str">
        <f>IFERROR(__xludf.DUMMYFUNCTION("""COMPUTED_VALUE"""),"Conhecimento de Produto e Negócio")</f>
        <v>Conhecimento de Produto e Negócio</v>
      </c>
      <c r="J150" s="218" t="str">
        <f>IFERROR(__xludf.DUMMYFUNCTION("""COMPUTED_VALUE"""),"Segmentação de Mercado")</f>
        <v>Segmentação de Mercado</v>
      </c>
      <c r="K150" s="273" t="str">
        <f>IFERROR(__xludf.DUMMYFUNCTION("""COMPUTED_VALUE"""),"https://universidade.pipelovers.net/m/lessons/pmes-x-enterprise-qual-estrategia-mais-funciona-para-cada-um1772542661808?classId=3767")</f>
        <v>https://universidade.pipelovers.net/m/lessons/pmes-x-enterprise-qual-estrategia-mais-funciona-para-cada-um1772542661808?classId=3767</v>
      </c>
      <c r="L150" s="115" t="str">
        <f>IFERROR(__xludf.DUMMYFUNCTION("""COMPUTED_VALUE"""),"https://universidade.pipelovers.net/m/lessons/pmes-x-enterprise-qual-estrategia-mais-funciona-para-cada-um1772542661808?classId=3767")</f>
        <v>https://universidade.pipelovers.net/m/lessons/pmes-x-enterprise-qual-estrategia-mais-funciona-para-cada-um1772542661808?classId=3767</v>
      </c>
      <c r="M150" s="292">
        <f>IFERROR(__xludf.DUMMYFUNCTION("""COMPUTED_VALUE"""),4.0)</f>
        <v>4</v>
      </c>
      <c r="N150" s="293" t="str">
        <f>IFERROR(__xludf.DUMMYFUNCTION("""COMPUTED_VALUE"""),"139. PipeLovers💚SDRs: ""PMEs x Enterprise: Qual estratégia mais funciona para cada um?"" com Kalil El Kad - 2025/06/09 12:47 GMT-03:00 - Recording")</f>
        <v>139. PipeLovers💚SDRs: "PMEs x Enterprise: Qual estratégia mais funciona para cada um?" com Kalil El Kad - 2025/06/09 12:47 GMT-03:00 - Recording</v>
      </c>
      <c r="O150" s="389" t="str">
        <f>IFERROR(__xludf.DUMMYFUNCTION("""COMPUTED_VALUE"""),"")</f>
        <v/>
      </c>
      <c r="P150" s="118">
        <f>IFERROR(__xludf.DUMMYFUNCTION("""COMPUTED_VALUE"""),45838.0)</f>
        <v>45838</v>
      </c>
      <c r="Q150" s="389"/>
    </row>
    <row r="151">
      <c r="A151" s="73"/>
      <c r="B151" s="103" t="str">
        <f>IFERROR(__xludf.DUMMYFUNCTION("""COMPUTED_VALUE"""),"Pré-Vendas (Prospecção)")</f>
        <v>Pré-Vendas (Prospecção)</v>
      </c>
      <c r="C151" s="181" t="str">
        <f>IFERROR(__xludf.DUMMYFUNCTION("""COMPUTED_VALUE"""),"A passagem que faz vender: o que não pode faltar quando o SDR entrega pro closer")</f>
        <v>A passagem que faz vender: o que não pode faltar quando o SDR entrega pro closer</v>
      </c>
      <c r="D151" s="216" t="str">
        <f>IFERROR(__xludf.DUMMYFUNCTION("""COMPUTED_VALUE"""),"Tales Morigi")</f>
        <v>Tales Morigi</v>
      </c>
      <c r="E151" s="303" t="str">
        <f>IFERROR(__xludf.DUMMYFUNCTION("""COMPUTED_VALUE"""),"Diretor e Sócio as a Service")</f>
        <v>Diretor e Sócio as a Service</v>
      </c>
      <c r="F151" s="401"/>
      <c r="G151" s="305" t="str">
        <f>IFERROR(__xludf.DUMMYFUNCTION("""COMPUTED_VALUE"""),"https://www.linkedin.com/in/talesmorigi/")</f>
        <v>https://www.linkedin.com/in/talesmorigi/</v>
      </c>
      <c r="H151" s="401" t="str">
        <f>IFERROR(__xludf.DUMMYFUNCTION("""COMPUTED_VALUE"""),"Relacionamento Interpessoal")</f>
        <v>Relacionamento Interpessoal</v>
      </c>
      <c r="I151" s="401" t="str">
        <f>IFERROR(__xludf.DUMMYFUNCTION("""COMPUTED_VALUE"""),"Comunicação e Relacionamento")</f>
        <v>Comunicação e Relacionamento</v>
      </c>
      <c r="J151" s="303" t="str">
        <f>IFERROR(__xludf.DUMMYFUNCTION("""COMPUTED_VALUE"""),"Comunicação Virtual")</f>
        <v>Comunicação Virtual</v>
      </c>
      <c r="K151" s="281" t="str">
        <f>IFERROR(__xludf.DUMMYFUNCTION("""COMPUTED_VALUE"""),"https://universidade.pipelovers.net/m/lessons/a-passagem-que-faz-vender-o-que-nao-pode-faltar-quando-o-sdr-entrega-pro-closer1769552066478?classId=3565")</f>
        <v>https://universidade.pipelovers.net/m/lessons/a-passagem-que-faz-vender-o-que-nao-pode-faltar-quando-o-sdr-entrega-pro-closer1769552066478?classId=3565</v>
      </c>
      <c r="L151" s="115" t="str">
        <f>IFERROR(__xludf.DUMMYFUNCTION("""COMPUTED_VALUE"""),"https://universidade.pipelovers.net/m/lessons/a-passagem-que-faz-vender-o-que-nao-pode-faltar-quando-o-sdr-entrega-pro-closer1769552066478?classId=3565")</f>
        <v>https://universidade.pipelovers.net/m/lessons/a-passagem-que-faz-vender-o-que-nao-pode-faltar-quando-o-sdr-entrega-pro-closer1769552066478?classId=3565</v>
      </c>
      <c r="M151" s="292">
        <f>IFERROR(__xludf.DUMMYFUNCTION("""COMPUTED_VALUE"""),1.0)</f>
        <v>1</v>
      </c>
      <c r="N151" s="293" t="str">
        <f>IFERROR(__xludf.DUMMYFUNCTION("""COMPUTED_VALUE"""),"140. PipeLovers💚SDRs: ""A passagem que faz vender: o que não pode faltar quando o SDR entrega pro closer - 2025/06/16 12:50 GMT-03:00 - Recording")</f>
        <v>140. PipeLovers💚SDRs: "A passagem que faz vender: o que não pode faltar quando o SDR entrega pro closer - 2025/06/16 12:50 GMT-03:00 - Recording</v>
      </c>
      <c r="O151" s="389" t="str">
        <f>IFERROR(__xludf.DUMMYFUNCTION("""COMPUTED_VALUE"""),"")</f>
        <v/>
      </c>
      <c r="P151" s="118">
        <f>IFERROR(__xludf.DUMMYFUNCTION("""COMPUTED_VALUE"""),45845.0)</f>
        <v>45845</v>
      </c>
      <c r="Q151" s="389"/>
    </row>
    <row r="152">
      <c r="A152" s="73"/>
      <c r="B152" s="103" t="str">
        <f>IFERROR(__xludf.DUMMYFUNCTION("""COMPUTED_VALUE"""),"Pré-Vendas (Prospecção)")</f>
        <v>Pré-Vendas (Prospecção)</v>
      </c>
      <c r="C152" s="216" t="str">
        <f>IFERROR(__xludf.DUMMYFUNCTION("""COMPUTED_VALUE"""),"Como fazer o diagnóstico do seu funil")</f>
        <v>Como fazer o diagnóstico do seu funil</v>
      </c>
      <c r="D152" s="104" t="str">
        <f>IFERROR(__xludf.DUMMYFUNCTION("""COMPUTED_VALUE"""),"Duélen Feijó")</f>
        <v>Duélen Feijó</v>
      </c>
      <c r="E152" s="110" t="str">
        <f>IFERROR(__xludf.DUMMYFUNCTION("""COMPUTED_VALUE"""),"Especialista de Negócios")</f>
        <v>Especialista de Negócios</v>
      </c>
      <c r="F152" s="110" t="str">
        <f>IFERROR(__xludf.DUMMYFUNCTION("""COMPUTED_VALUE"""),"Isaac")</f>
        <v>Isaac</v>
      </c>
      <c r="G152" s="122" t="str">
        <f>IFERROR(__xludf.DUMMYFUNCTION("""COMPUTED_VALUE"""),"https://www.linkedin.com/in/duelenfeijo/")</f>
        <v>https://www.linkedin.com/in/duelenfeijo/</v>
      </c>
      <c r="H152" s="110" t="str">
        <f>IFERROR(__xludf.DUMMYFUNCTION("""COMPUTED_VALUE"""),"Conhecimento Técnico")</f>
        <v>Conhecimento Técnico</v>
      </c>
      <c r="I152" s="110" t="str">
        <f>IFERROR(__xludf.DUMMYFUNCTION("""COMPUTED_VALUE"""),"Pensamento Crítico")</f>
        <v>Pensamento Crítico</v>
      </c>
      <c r="J152" s="110" t="str">
        <f>IFERROR(__xludf.DUMMYFUNCTION("""COMPUTED_VALUE"""),"Métricas de Funil")</f>
        <v>Métricas de Funil</v>
      </c>
      <c r="K152" s="275" t="str">
        <f>IFERROR(__xludf.DUMMYFUNCTION("""COMPUTED_VALUE"""),"https://universidade.pipelovers.net/m/lessons/como-fazer-o-diagnostico-do-seu-funil1769552066545?classId=3569")</f>
        <v>https://universidade.pipelovers.net/m/lessons/como-fazer-o-diagnostico-do-seu-funil1769552066545?classId=3569</v>
      </c>
      <c r="L152" s="115" t="str">
        <f>IFERROR(__xludf.DUMMYFUNCTION("""COMPUTED_VALUE"""),"https://universidade.pipelovers.net/m/lessons/como-fazer-o-diagnostico-do-seu-funil1769552066545?classId=3569")</f>
        <v>https://universidade.pipelovers.net/m/lessons/como-fazer-o-diagnostico-do-seu-funil1769552066545?classId=3569</v>
      </c>
      <c r="M152" s="410">
        <f>IFERROR(__xludf.DUMMYFUNCTION("""COMPUTED_VALUE"""),4.57)</f>
        <v>4.57</v>
      </c>
      <c r="N152" s="110" t="str">
        <f>IFERROR(__xludf.DUMMYFUNCTION("""COMPUTED_VALUE"""),"141. PipeLovers💚SDRs: ""Como fazer o diagnóstico do seu funil"" com Duélen Feijó - 2025/06/23 12:48 GMT-03:00 - Recording")</f>
        <v>141. PipeLovers💚SDRs: "Como fazer o diagnóstico do seu funil" com Duélen Feijó - 2025/06/23 12:48 GMT-03:00 - Recording</v>
      </c>
      <c r="O152" s="389" t="str">
        <f>IFERROR(__xludf.DUMMYFUNCTION("""COMPUTED_VALUE"""),"")</f>
        <v/>
      </c>
      <c r="P152" s="118">
        <f>IFERROR(__xludf.DUMMYFUNCTION("""COMPUTED_VALUE"""),45852.0)</f>
        <v>45852</v>
      </c>
      <c r="Q152" s="389"/>
    </row>
    <row r="153">
      <c r="A153" s="73"/>
      <c r="B153" s="103" t="str">
        <f>IFERROR(__xludf.DUMMYFUNCTION("""COMPUTED_VALUE"""),"Pré-Vendas (Prospecção)")</f>
        <v>Pré-Vendas (Prospecção)</v>
      </c>
      <c r="C153" s="181" t="str">
        <f>IFERROR(__xludf.DUMMYFUNCTION("""COMPUTED_VALUE"""),"Transição para liderança: O que muda quando você vira líder")</f>
        <v>Transição para liderança: O que muda quando você vira líder</v>
      </c>
      <c r="D153" s="119" t="str">
        <f>IFERROR(__xludf.DUMMYFUNCTION("""COMPUTED_VALUE"""),"Eduarda Vescovi")</f>
        <v>Eduarda Vescovi</v>
      </c>
      <c r="E153" s="110" t="str">
        <f>IFERROR(__xludf.DUMMYFUNCTION("""COMPUTED_VALUE"""),"Gerente de Vendas ")</f>
        <v>Gerente de Vendas </v>
      </c>
      <c r="F153" s="110" t="str">
        <f>IFERROR(__xludf.DUMMYFUNCTION("""COMPUTED_VALUE"""),"RD Station")</f>
        <v>RD Station</v>
      </c>
      <c r="G153" s="122" t="str">
        <f>IFERROR(__xludf.DUMMYFUNCTION("""COMPUTED_VALUE"""),"https://www.linkedin.com/in/vescovi-edu/")</f>
        <v>https://www.linkedin.com/in/vescovi-edu/</v>
      </c>
      <c r="H153" s="110" t="str">
        <f>IFERROR(__xludf.DUMMYFUNCTION("""COMPUTED_VALUE"""),"Relacionamento Interpessoal")</f>
        <v>Relacionamento Interpessoal</v>
      </c>
      <c r="I153" s="110" t="str">
        <f>IFERROR(__xludf.DUMMYFUNCTION("""COMPUTED_VALUE"""),"Liderança e Influência")</f>
        <v>Liderança e Influência</v>
      </c>
      <c r="J153" s="110" t="str">
        <f>IFERROR(__xludf.DUMMYFUNCTION("""COMPUTED_VALUE"""),"Mentoria e Desenvolvimento de Talentos")</f>
        <v>Mentoria e Desenvolvimento de Talentos</v>
      </c>
      <c r="K153" s="281" t="str">
        <f>IFERROR(__xludf.DUMMYFUNCTION("""COMPUTED_VALUE"""),"https://universidade.pipelovers.net/m/lessons/transicao-para-lideranca-o-que-muda-quando-voce-vira-lider1769552066617?classId=3570")</f>
        <v>https://universidade.pipelovers.net/m/lessons/transicao-para-lideranca-o-que-muda-quando-voce-vira-lider1769552066617?classId=3570</v>
      </c>
      <c r="L153" s="115" t="str">
        <f>IFERROR(__xludf.DUMMYFUNCTION("""COMPUTED_VALUE"""),"https://universidade.pipelovers.net/m/lessons/transicao-para-lideranca-o-que-muda-quando-voce-vira-lider1769552066617?classId=3570")</f>
        <v>https://universidade.pipelovers.net/m/lessons/transicao-para-lideranca-o-que-muda-quando-voce-vira-lider1769552066617?classId=3570</v>
      </c>
      <c r="M153" s="117">
        <f>IFERROR(__xludf.DUMMYFUNCTION("""COMPUTED_VALUE"""),4.86)</f>
        <v>4.86</v>
      </c>
      <c r="N153" s="110" t="str">
        <f>IFERROR(__xludf.DUMMYFUNCTION("""COMPUTED_VALUE"""),"142. PipeLovers💚SDRs: ""Transição para liderança: O que muda quando você vira líder"" com Eduarda Vescovi - 2025/07/07 12:50 GMT-03:00 - Recording")</f>
        <v>142. PipeLovers💚SDRs: "Transição para liderança: O que muda quando você vira líder" com Eduarda Vescovi - 2025/07/07 12:50 GMT-03:00 - Recording</v>
      </c>
      <c r="O153" s="389" t="str">
        <f>IFERROR(__xludf.DUMMYFUNCTION("""COMPUTED_VALUE"""),"")</f>
        <v/>
      </c>
      <c r="P153" s="118">
        <f>IFERROR(__xludf.DUMMYFUNCTION("""COMPUTED_VALUE"""),45859.0)</f>
        <v>45859</v>
      </c>
      <c r="Q153" s="389"/>
    </row>
    <row r="154">
      <c r="A154" s="73"/>
      <c r="B154" s="103" t="str">
        <f>IFERROR(__xludf.DUMMYFUNCTION("""COMPUTED_VALUE"""),"Pré-Vendas (Prospecção)")</f>
        <v>Pré-Vendas (Prospecção)</v>
      </c>
      <c r="C154" s="268" t="str">
        <f>IFERROR(__xludf.DUMMYFUNCTION("""COMPUTED_VALUE"""),"Criação e aplicação de agentes de IA para pré vendas")</f>
        <v>Criação e aplicação de agentes de IA para pré vendas</v>
      </c>
      <c r="D154" s="104" t="str">
        <f>IFERROR(__xludf.DUMMYFUNCTION("""COMPUTED_VALUE"""),"Caroline Veloso")</f>
        <v>Caroline Veloso</v>
      </c>
      <c r="E154" s="110" t="str">
        <f>IFERROR(__xludf.DUMMYFUNCTION("""COMPUTED_VALUE"""),"Pre-Sales Supervisor")</f>
        <v>Pre-Sales Supervisor</v>
      </c>
      <c r="F154" s="110" t="str">
        <f>IFERROR(__xludf.DUMMYFUNCTION("""COMPUTED_VALUE"""),"Comunitive")</f>
        <v>Comunitive</v>
      </c>
      <c r="G154" s="122" t="str">
        <f>IFERROR(__xludf.DUMMYFUNCTION("""COMPUTED_VALUE"""),"https://www.linkedin.com/in/caroline-veloso-de-lima/")</f>
        <v>https://www.linkedin.com/in/caroline-veloso-de-lima/</v>
      </c>
      <c r="H154" s="110" t="str">
        <f>IFERROR(__xludf.DUMMYFUNCTION("""COMPUTED_VALUE"""),"Conhecimento Técnico")</f>
        <v>Conhecimento Técnico</v>
      </c>
      <c r="I154" s="110" t="str">
        <f>IFERROR(__xludf.DUMMYFUNCTION("""COMPUTED_VALUE"""),"Gestão de Vendas")</f>
        <v>Gestão de Vendas</v>
      </c>
      <c r="J154" s="110" t="str">
        <f>IFERROR(__xludf.DUMMYFUNCTION("""COMPUTED_VALUE"""),"Ferramentas de Vendas")</f>
        <v>Ferramentas de Vendas</v>
      </c>
      <c r="K154" s="273" t="str">
        <f>IFERROR(__xludf.DUMMYFUNCTION("""COMPUTED_VALUE"""),"https://universidade.pipelovers.net/m/lessons/criacao-e-aplicacao-de-agentes-de-ia-para-pre-vendas1769552080347?classId=3433")</f>
        <v>https://universidade.pipelovers.net/m/lessons/criacao-e-aplicacao-de-agentes-de-ia-para-pre-vendas1769552080347?classId=3433</v>
      </c>
      <c r="L154" s="115" t="str">
        <f>IFERROR(__xludf.DUMMYFUNCTION("""COMPUTED_VALUE"""),"https://universidade.pipelovers.net/m/lessons/criacao-e-aplicacao-de-agentes-de-ia-para-pre-vendas1769552080347?classId=3433")</f>
        <v>https://universidade.pipelovers.net/m/lessons/criacao-e-aplicacao-de-agentes-de-ia-para-pre-vendas1769552080347?classId=3433</v>
      </c>
      <c r="M154" s="117">
        <f>IFERROR(__xludf.DUMMYFUNCTION("""COMPUTED_VALUE"""),4.64)</f>
        <v>4.64</v>
      </c>
      <c r="N154" s="110" t="str">
        <f>IFERROR(__xludf.DUMMYFUNCTION("""COMPUTED_VALUE"""),"143. PipeLovers💚SDRs: ""Criação e aplicação de agentes de IA para pré vendas"" com Caroline Veloso - 2025/07/14 12:48 GMT-03:00 - Recording")</f>
        <v>143. PipeLovers💚SDRs: "Criação e aplicação de agentes de IA para pré vendas" com Caroline Veloso - 2025/07/14 12:48 GMT-03:00 - Recording</v>
      </c>
      <c r="O154" s="389" t="str">
        <f>IFERROR(__xludf.DUMMYFUNCTION("""COMPUTED_VALUE"""),"")</f>
        <v/>
      </c>
      <c r="P154" s="118">
        <f>IFERROR(__xludf.DUMMYFUNCTION("""COMPUTED_VALUE"""),45866.0)</f>
        <v>45866</v>
      </c>
      <c r="Q154" s="389"/>
    </row>
    <row r="155">
      <c r="A155" s="73"/>
      <c r="B155" s="103" t="str">
        <f>IFERROR(__xludf.DUMMYFUNCTION("""COMPUTED_VALUE"""),"Pré-Vendas (Prospecção)")</f>
        <v>Pré-Vendas (Prospecção)</v>
      </c>
      <c r="C155" s="216" t="str">
        <f>IFERROR(__xludf.DUMMYFUNCTION("""COMPUTED_VALUE"""),"Prospectando contas grandes com estratégia")</f>
        <v>Prospectando contas grandes com estratégia</v>
      </c>
      <c r="D155" s="119" t="str">
        <f>IFERROR(__xludf.DUMMYFUNCTION("""COMPUTED_VALUE"""),"Vitor Filardo")</f>
        <v>Vitor Filardo</v>
      </c>
      <c r="E155" s="110" t="str">
        <f>IFERROR(__xludf.DUMMYFUNCTION("""COMPUTED_VALUE"""),"Sales Manager")</f>
        <v>Sales Manager</v>
      </c>
      <c r="F155" s="110" t="str">
        <f>IFERROR(__xludf.DUMMYFUNCTION("""COMPUTED_VALUE"""),"UOL EdTech")</f>
        <v>UOL EdTech</v>
      </c>
      <c r="G155" s="122" t="str">
        <f>IFERROR(__xludf.DUMMYFUNCTION("""COMPUTED_VALUE"""),"https://www.linkedin.com/in/vitor-filardo-vianna-a0151a128/")</f>
        <v>https://www.linkedin.com/in/vitor-filardo-vianna-a0151a128/</v>
      </c>
      <c r="H155" s="110" t="str">
        <f>IFERROR(__xludf.DUMMYFUNCTION("""COMPUTED_VALUE"""),"Conhecimento Técnico")</f>
        <v>Conhecimento Técnico</v>
      </c>
      <c r="I155" s="110" t="str">
        <f>IFERROR(__xludf.DUMMYFUNCTION("""COMPUTED_VALUE"""),"Técnicas de Vendas")</f>
        <v>Técnicas de Vendas</v>
      </c>
      <c r="J155" s="110" t="str">
        <f>IFERROR(__xludf.DUMMYFUNCTION("""COMPUTED_VALUE"""),"Abordagem e Prospecção")</f>
        <v>Abordagem e Prospecção</v>
      </c>
      <c r="K155" s="434" t="str">
        <f>IFERROR(__xludf.DUMMYFUNCTION("""COMPUTED_VALUE"""),"https://universidade.pipelovers.net/aulas/prospectando-contas-grandes-com-estrategia-1775075454914")</f>
        <v>https://universidade.pipelovers.net/aulas/prospectando-contas-grandes-com-estrategia-1775075454914</v>
      </c>
      <c r="L155" s="148" t="str">
        <f>IFERROR(__xludf.DUMMYFUNCTION("""COMPUTED_VALUE"""),"https://universidade.pipelovers.net/aulas/prospectando-contas-grandes-com-estrategia-1775075454914")</f>
        <v>https://universidade.pipelovers.net/aulas/prospectando-contas-grandes-com-estrategia-1775075454914</v>
      </c>
      <c r="M155" s="117">
        <f>IFERROR(__xludf.DUMMYFUNCTION("""COMPUTED_VALUE"""),4.29)</f>
        <v>4.29</v>
      </c>
      <c r="N155" s="110" t="str">
        <f>IFERROR(__xludf.DUMMYFUNCTION("""COMPUTED_VALUE"""),"144. PipeLovers💚SDRs: ""Prospectando contas grandes com estratégia"" com  Vitor Filardo - 2025/07/21 12:45 GMT-03:00 - Recording")</f>
        <v>144. PipeLovers💚SDRs: "Prospectando contas grandes com estratégia" com  Vitor Filardo - 2025/07/21 12:45 GMT-03:00 - Recording</v>
      </c>
      <c r="O155" s="389" t="str">
        <f>IFERROR(__xludf.DUMMYFUNCTION("""COMPUTED_VALUE"""),"")</f>
        <v/>
      </c>
      <c r="P155" s="118">
        <f>IFERROR(__xludf.DUMMYFUNCTION("""COMPUTED_VALUE"""),45873.0)</f>
        <v>45873</v>
      </c>
      <c r="Q155" s="389"/>
    </row>
    <row r="156">
      <c r="A156" s="73"/>
      <c r="B156" s="103" t="str">
        <f>IFERROR(__xludf.DUMMYFUNCTION("""COMPUTED_VALUE"""),"Pré-Vendas (Prospecção)")</f>
        <v>Pré-Vendas (Prospecção)</v>
      </c>
      <c r="C156" s="157" t="str">
        <f>IFERROR(__xludf.DUMMYFUNCTION("""COMPUTED_VALUE"""),"Plano de carreira em pré-vendas")</f>
        <v>Plano de carreira em pré-vendas</v>
      </c>
      <c r="D156" s="104" t="str">
        <f>IFERROR(__xludf.DUMMYFUNCTION("""COMPUTED_VALUE"""),"Rafael Bethiol Maçãs")</f>
        <v>Rafael Bethiol Maçãs</v>
      </c>
      <c r="E156" s="110" t="str">
        <f>IFERROR(__xludf.DUMMYFUNCTION("""COMPUTED_VALUE"""),"Sócio-fundador")</f>
        <v>Sócio-fundador</v>
      </c>
      <c r="F156" s="110" t="str">
        <f>IFERROR(__xludf.DUMMYFUNCTION("""COMPUTED_VALUE"""),"Facto Consultoria")</f>
        <v>Facto Consultoria</v>
      </c>
      <c r="G156" s="122" t="str">
        <f>IFERROR(__xludf.DUMMYFUNCTION("""COMPUTED_VALUE"""),"https://www.linkedin.com/in/rafaelbethiol/")</f>
        <v>https://www.linkedin.com/in/rafaelbethiol/</v>
      </c>
      <c r="H156" s="110" t="str">
        <f>IFERROR(__xludf.DUMMYFUNCTION("""COMPUTED_VALUE"""),"Autodesenvolvimento")</f>
        <v>Autodesenvolvimento</v>
      </c>
      <c r="I156" s="110" t="str">
        <f>IFERROR(__xludf.DUMMYFUNCTION("""COMPUTED_VALUE"""),"Inteligência Emocional")</f>
        <v>Inteligência Emocional</v>
      </c>
      <c r="J156" s="110" t="str">
        <f>IFERROR(__xludf.DUMMYFUNCTION("""COMPUTED_VALUE"""),"Motivação")</f>
        <v>Motivação</v>
      </c>
      <c r="K156" s="281" t="str">
        <f>IFERROR(__xludf.DUMMYFUNCTION("""COMPUTED_VALUE"""),"https://universidade.pipelovers.net/aulas/plano-de-carreira-em-pre-vendas1769552080693")</f>
        <v>https://universidade.pipelovers.net/aulas/plano-de-carreira-em-pre-vendas1769552080693</v>
      </c>
      <c r="L156" s="440"/>
      <c r="M156" s="117">
        <f>IFERROR(__xludf.DUMMYFUNCTION("""COMPUTED_VALUE"""),4.64)</f>
        <v>4.64</v>
      </c>
      <c r="N156" s="110" t="str">
        <f>IFERROR(__xludf.DUMMYFUNCTION("""COMPUTED_VALUE"""),"145. PipeLovers💚SDRs_ _Plano de carreira em pré-vendas_ com  Rafael Bethiol Maçãs - 2025_07_28 12_47 GMT-03_00 - Descript.mp4")</f>
        <v>145. PipeLovers💚SDRs_ _Plano de carreira em pré-vendas_ com  Rafael Bethiol Maçãs - 2025_07_28 12_47 GMT-03_00 - Descript.mp4</v>
      </c>
      <c r="O156" s="389" t="str">
        <f>IFERROR(__xludf.DUMMYFUNCTION("""COMPUTED_VALUE"""),"")</f>
        <v/>
      </c>
      <c r="P156" s="118">
        <f>IFERROR(__xludf.DUMMYFUNCTION("""COMPUTED_VALUE"""),45880.0)</f>
        <v>45880</v>
      </c>
      <c r="Q156" s="389"/>
    </row>
    <row r="157">
      <c r="A157" s="73"/>
      <c r="B157" s="103" t="str">
        <f>IFERROR(__xludf.DUMMYFUNCTION("""COMPUTED_VALUE"""),"Pré-Vendas (Prospecção)")</f>
        <v>Pré-Vendas (Prospecção)</v>
      </c>
      <c r="C157" s="268" t="str">
        <f>IFERROR(__xludf.DUMMYFUNCTION("""COMPUTED_VALUE"""),"O que o marketing pode te ensinar pra chamar atenção de leads")</f>
        <v>O que o marketing pode te ensinar pra chamar atenção de leads</v>
      </c>
      <c r="D157" s="119" t="str">
        <f>IFERROR(__xludf.DUMMYFUNCTION("""COMPUTED_VALUE"""),"Ana Beatriz Cesa")</f>
        <v>Ana Beatriz Cesa</v>
      </c>
      <c r="E157" s="110" t="str">
        <f>IFERROR(__xludf.DUMMYFUNCTION("""COMPUTED_VALUE"""),"Head de Marketing e Geração de Demanda")</f>
        <v>Head de Marketing e Geração de Demanda</v>
      </c>
      <c r="F157" s="110" t="str">
        <f>IFERROR(__xludf.DUMMYFUNCTION("""COMPUTED_VALUE"""),"Grupo Toccato")</f>
        <v>Grupo Toccato</v>
      </c>
      <c r="G157" s="122" t="str">
        <f>IFERROR(__xludf.DUMMYFUNCTION("""COMPUTED_VALUE"""),"https://www.linkedin.com/in/ana-beatriz-cesa/")</f>
        <v>https://www.linkedin.com/in/ana-beatriz-cesa/</v>
      </c>
      <c r="H157" s="110" t="str">
        <f>IFERROR(__xludf.DUMMYFUNCTION("""COMPUTED_VALUE"""),"Conhecimento Técnico")</f>
        <v>Conhecimento Técnico</v>
      </c>
      <c r="I157" s="110" t="str">
        <f>IFERROR(__xludf.DUMMYFUNCTION("""COMPUTED_VALUE"""),"Técnicas de Vendas")</f>
        <v>Técnicas de Vendas</v>
      </c>
      <c r="J157" s="110" t="str">
        <f>IFERROR(__xludf.DUMMYFUNCTION("""COMPUTED_VALUE"""),"Abordagem e Prospecção")</f>
        <v>Abordagem e Prospecção</v>
      </c>
      <c r="K157" s="273" t="str">
        <f>IFERROR(__xludf.DUMMYFUNCTION("""COMPUTED_VALUE"""),"https://universidade.pipelovers.net/m/lessons/o-que-o-marketing-pode-te-ensinar-pra-chamar-atencao-de-leads1769552080719?classId=3438")</f>
        <v>https://universidade.pipelovers.net/m/lessons/o-que-o-marketing-pode-te-ensinar-pra-chamar-atencao-de-leads1769552080719?classId=3438</v>
      </c>
      <c r="L157" s="115" t="str">
        <f>IFERROR(__xludf.DUMMYFUNCTION("""COMPUTED_VALUE"""),"https://universidade.pipelovers.net/m/lessons/o-que-o-marketing-pode-te-ensinar-pra-chamar-atencao-de-leads1769552080719?classId=3438")</f>
        <v>https://universidade.pipelovers.net/m/lessons/o-que-o-marketing-pode-te-ensinar-pra-chamar-atencao-de-leads1769552080719?classId=3438</v>
      </c>
      <c r="M157" s="292">
        <f>IFERROR(__xludf.DUMMYFUNCTION("""COMPUTED_VALUE"""),4.5)</f>
        <v>4.5</v>
      </c>
      <c r="N157" s="293" t="str">
        <f>IFERROR(__xludf.DUMMYFUNCTION("""COMPUTED_VALUE"""),"146. PipeLovers💚SDRs_ _O que o marketing pode te ensinar pra chamar atenção de leads_ com Ana Beatriz C - 2025_08_04 12_49 GMT-03_00 - Descript.mp4")</f>
        <v>146. PipeLovers💚SDRs_ _O que o marketing pode te ensinar pra chamar atenção de leads_ com Ana Beatriz C - 2025_08_04 12_49 GMT-03_00 - Descript.mp4</v>
      </c>
      <c r="O157" s="389" t="str">
        <f>IFERROR(__xludf.DUMMYFUNCTION("""COMPUTED_VALUE"""),"")</f>
        <v/>
      </c>
      <c r="P157" s="118">
        <f>IFERROR(__xludf.DUMMYFUNCTION("""COMPUTED_VALUE"""),45887.0)</f>
        <v>45887</v>
      </c>
      <c r="Q157" s="389"/>
    </row>
    <row r="158">
      <c r="A158" s="73"/>
      <c r="B158" s="103" t="str">
        <f>IFERROR(__xludf.DUMMYFUNCTION("""COMPUTED_VALUE"""),"Pré-Vendas (Prospecção)")</f>
        <v>Pré-Vendas (Prospecção)</v>
      </c>
      <c r="C158" s="157" t="str">
        <f>IFERROR(__xludf.DUMMYFUNCTION("""COMPUTED_VALUE"""),"Challenger Sales na prospecção: como provocar o lead do jeito certo")</f>
        <v>Challenger Sales na prospecção: como provocar o lead do jeito certo</v>
      </c>
      <c r="D158" s="104" t="str">
        <f>IFERROR(__xludf.DUMMYFUNCTION("""COMPUTED_VALUE"""),"Julianne Campelo")</f>
        <v>Julianne Campelo</v>
      </c>
      <c r="E158" s="110" t="str">
        <f>IFERROR(__xludf.DUMMYFUNCTION("""COMPUTED_VALUE"""),"Account Executive")</f>
        <v>Account Executive</v>
      </c>
      <c r="F158" s="446" t="str">
        <f>IFERROR(__xludf.DUMMYFUNCTION("""COMPUTED_VALUE"""),"Vinci Society")</f>
        <v>Vinci Society</v>
      </c>
      <c r="G158" s="447" t="str">
        <f>IFERROR(__xludf.DUMMYFUNCTION("""COMPUTED_VALUE"""),"https://www.linkedin.com/in/julianne-campelo-6399b61b2/")</f>
        <v>https://www.linkedin.com/in/julianne-campelo-6399b61b2/</v>
      </c>
      <c r="H158" s="446" t="str">
        <f>IFERROR(__xludf.DUMMYFUNCTION("""COMPUTED_VALUE"""),"Conhecimento Técnico")</f>
        <v>Conhecimento Técnico</v>
      </c>
      <c r="I158" s="446" t="str">
        <f>IFERROR(__xludf.DUMMYFUNCTION("""COMPUTED_VALUE"""),"Gestão de Vendas")</f>
        <v>Gestão de Vendas</v>
      </c>
      <c r="J158" s="446" t="str">
        <f>IFERROR(__xludf.DUMMYFUNCTION("""COMPUTED_VALUE"""),"Metodologias de Vendas")</f>
        <v>Metodologias de Vendas</v>
      </c>
      <c r="K158" s="301" t="str">
        <f>IFERROR(__xludf.DUMMYFUNCTION("""COMPUTED_VALUE"""),"https://universidade.pipelovers.net/m/lessons/challenger-sales-na-prospeccao-como-provocar-o-lead-do-jeito-certo1769552080744?classId=3439")</f>
        <v>https://universidade.pipelovers.net/m/lessons/challenger-sales-na-prospeccao-como-provocar-o-lead-do-jeito-certo1769552080744?classId=3439</v>
      </c>
      <c r="L158" s="115" t="str">
        <f>IFERROR(__xludf.DUMMYFUNCTION("""COMPUTED_VALUE"""),"https://universidade.pipelovers.net/m/lessons/challenger-sales-na-prospeccao-como-provocar-o-lead-do-jeito-certo1769552080744?classId=3439")</f>
        <v>https://universidade.pipelovers.net/m/lessons/challenger-sales-na-prospeccao-como-provocar-o-lead-do-jeito-certo1769552080744?classId=3439</v>
      </c>
      <c r="M158" s="117">
        <f>IFERROR(__xludf.DUMMYFUNCTION("""COMPUTED_VALUE"""),4.36)</f>
        <v>4.36</v>
      </c>
      <c r="N158" s="110" t="str">
        <f>IFERROR(__xludf.DUMMYFUNCTION("""COMPUTED_VALUE"""),"147. PipeLovers💚SDRs_ _Challenger Sales na prospecção_ como provocar o lead do jeito certo_ com Juliann - 2025_08_11 12_52 GMT-03_00 - descript.mp4")</f>
        <v>147. PipeLovers💚SDRs_ _Challenger Sales na prospecção_ como provocar o lead do jeito certo_ com Juliann - 2025_08_11 12_52 GMT-03_00 - descript.mp4</v>
      </c>
      <c r="O158" s="389" t="str">
        <f>IFERROR(__xludf.DUMMYFUNCTION("""COMPUTED_VALUE"""),"")</f>
        <v/>
      </c>
      <c r="P158" s="118">
        <f>IFERROR(__xludf.DUMMYFUNCTION("""COMPUTED_VALUE"""),45894.0)</f>
        <v>45894</v>
      </c>
      <c r="Q158" s="389"/>
    </row>
    <row r="159">
      <c r="A159" s="73"/>
      <c r="B159" s="103" t="str">
        <f>IFERROR(__xludf.DUMMYFUNCTION("""COMPUTED_VALUE"""),"Pré-Vendas (Prospecção)")</f>
        <v>Pré-Vendas (Prospecção)</v>
      </c>
      <c r="C159" s="145" t="str">
        <f>IFERROR(__xludf.DUMMYFUNCTION("""COMPUTED_VALUE"""),"Como criar conexão na comunicação escrita")</f>
        <v>Como criar conexão na comunicação escrita</v>
      </c>
      <c r="D159" s="119" t="str">
        <f>IFERROR(__xludf.DUMMYFUNCTION("""COMPUTED_VALUE"""),"Paola Behs")</f>
        <v>Paola Behs</v>
      </c>
      <c r="E159" s="105" t="str">
        <f>IFERROR(__xludf.DUMMYFUNCTION("""COMPUTED_VALUE"""),"CEO")</f>
        <v>CEO</v>
      </c>
      <c r="F159" s="448" t="str">
        <f>IFERROR(__xludf.DUMMYFUNCTION("""COMPUTED_VALUE"""),"PZB Mentoria e Consultoria")</f>
        <v>PZB Mentoria e Consultoria</v>
      </c>
      <c r="G159" s="449" t="str">
        <f>IFERROR(__xludf.DUMMYFUNCTION("""COMPUTED_VALUE"""),"https://www.linkedin.com/in/paola-behs/")</f>
        <v>https://www.linkedin.com/in/paola-behs/</v>
      </c>
      <c r="H159" s="446" t="str">
        <f>IFERROR(__xludf.DUMMYFUNCTION("""COMPUTED_VALUE"""),"Relacionamento Interpessoal")</f>
        <v>Relacionamento Interpessoal</v>
      </c>
      <c r="I159" s="446" t="str">
        <f>IFERROR(__xludf.DUMMYFUNCTION("""COMPUTED_VALUE"""),"Comunicação e relacionamento")</f>
        <v>Comunicação e relacionamento</v>
      </c>
      <c r="J159" s="446" t="str">
        <f>IFERROR(__xludf.DUMMYFUNCTION("""COMPUTED_VALUE"""),"Comunicação Virtual")</f>
        <v>Comunicação Virtual</v>
      </c>
      <c r="K159" s="450" t="str">
        <f>IFERROR(__xludf.DUMMYFUNCTION("""COMPUTED_VALUE"""),"https://universidade.pipelovers.net/m/lessons/como-criar-conexao-na-comunicacao-escrita1769552080783?classId=3440")</f>
        <v>https://universidade.pipelovers.net/m/lessons/como-criar-conexao-na-comunicacao-escrita1769552080783?classId=3440</v>
      </c>
      <c r="L159" s="451" t="str">
        <f>IFERROR(__xludf.DUMMYFUNCTION("""COMPUTED_VALUE"""),"https://universidade.pipelovers.net/m/lessons/como-criar-conexao-na-comunicacao-escrita1769552080783?classId=3440")</f>
        <v>https://universidade.pipelovers.net/m/lessons/como-criar-conexao-na-comunicacao-escrita1769552080783?classId=3440</v>
      </c>
      <c r="M159" s="292">
        <f>IFERROR(__xludf.DUMMYFUNCTION("""COMPUTED_VALUE"""),1.0)</f>
        <v>1</v>
      </c>
      <c r="N159" s="452" t="str">
        <f>IFERROR(__xludf.DUMMYFUNCTION("""COMPUTED_VALUE"""),"148. PipeLovers💚SDRs_ _Como criar conexão na comunicação escrita_ com  Paola Behs - 2025_08_18 12_50 GMT-03_00 - descript.mp4")</f>
        <v>148. PipeLovers💚SDRs_ _Como criar conexão na comunicação escrita_ com  Paola Behs - 2025_08_18 12_50 GMT-03_00 - descript.mp4</v>
      </c>
      <c r="O159" s="389" t="str">
        <f>IFERROR(__xludf.DUMMYFUNCTION("""COMPUTED_VALUE"""),"")</f>
        <v/>
      </c>
      <c r="P159" s="118">
        <f>IFERROR(__xludf.DUMMYFUNCTION("""COMPUTED_VALUE"""),45901.0)</f>
        <v>45901</v>
      </c>
      <c r="Q159" s="389"/>
    </row>
    <row r="160">
      <c r="A160" s="73"/>
      <c r="B160" s="103" t="str">
        <f>IFERROR(__xludf.DUMMYFUNCTION("""COMPUTED_VALUE"""),"Pré-Vendas (Prospecção)")</f>
        <v>Pré-Vendas (Prospecção)</v>
      </c>
      <c r="C160" s="382" t="str">
        <f>IFERROR(__xludf.DUMMYFUNCTION("""COMPUTED_VALUE"""),"Organização de rotina para entregar mais com menos estresse")</f>
        <v>Organização de rotina para entregar mais com menos estresse</v>
      </c>
      <c r="D160" s="268" t="str">
        <f>IFERROR(__xludf.DUMMYFUNCTION("""COMPUTED_VALUE"""),"Jailson Mira")</f>
        <v>Jailson Mira</v>
      </c>
      <c r="E160" s="228" t="str">
        <f>IFERROR(__xludf.DUMMYFUNCTION("""COMPUTED_VALUE"""),"Gerente geral de vendas")</f>
        <v>Gerente geral de vendas</v>
      </c>
      <c r="F160" s="453" t="str">
        <f>IFERROR(__xludf.DUMMYFUNCTION("""COMPUTED_VALUE"""),"UOL EdTech")</f>
        <v>UOL EdTech</v>
      </c>
      <c r="G160" s="455" t="str">
        <f>IFERROR(__xludf.DUMMYFUNCTION("""COMPUTED_VALUE"""),"https://www.linkedin.com/in/jailson-alex-mira/")</f>
        <v>https://www.linkedin.com/in/jailson-alex-mira/</v>
      </c>
      <c r="H160" s="453" t="str">
        <f>IFERROR(__xludf.DUMMYFUNCTION("""COMPUTED_VALUE"""),"Autodesenvolvimento")</f>
        <v>Autodesenvolvimento</v>
      </c>
      <c r="I160" s="453" t="str">
        <f>IFERROR(__xludf.DUMMYFUNCTION("""COMPUTED_VALUE"""),"Gestão de tempo e da informação")</f>
        <v>Gestão de tempo e da informação</v>
      </c>
      <c r="J160" s="453" t="str">
        <f>IFERROR(__xludf.DUMMYFUNCTION("""COMPUTED_VALUE"""),"Técnicas de Organização e Rotina")</f>
        <v>Técnicas de Organização e Rotina</v>
      </c>
      <c r="K160" s="301" t="str">
        <f>IFERROR(__xludf.DUMMYFUNCTION("""COMPUTED_VALUE"""),"https://universidade.pipelovers.net/m/lessons/organizacao-de-rotina-para-entregar-mais-com-menos-estresse1769552080889?classId=3441")</f>
        <v>https://universidade.pipelovers.net/m/lessons/organizacao-de-rotina-para-entregar-mais-com-menos-estresse1769552080889?classId=3441</v>
      </c>
      <c r="L160" s="115" t="str">
        <f>IFERROR(__xludf.DUMMYFUNCTION("""COMPUTED_VALUE"""),"https://universidade.pipelovers.net/m/lessons/organizacao-de-rotina-para-entregar-mais-com-menos-estresse1769552080889?classId=3441")</f>
        <v>https://universidade.pipelovers.net/m/lessons/organizacao-de-rotina-para-entregar-mais-com-menos-estresse1769552080889?classId=3441</v>
      </c>
      <c r="M160" s="292">
        <f>IFERROR(__xludf.DUMMYFUNCTION("""COMPUTED_VALUE"""),4.86)</f>
        <v>4.86</v>
      </c>
      <c r="N160" s="452" t="str">
        <f>IFERROR(__xludf.DUMMYFUNCTION("""COMPUTED_VALUE"""),"149. PipeLovers💚SDRs_ _Organização de rotina para entregar mais com menos estresse_ com Jailson Mira - 2025_08_25 12_49 GMT-03_00 - descript..mp4")</f>
        <v>149. PipeLovers💚SDRs_ _Organização de rotina para entregar mais com menos estresse_ com Jailson Mira - 2025_08_25 12_49 GMT-03_00 - descript..mp4</v>
      </c>
      <c r="O160" s="389" t="str">
        <f>IFERROR(__xludf.DUMMYFUNCTION("""COMPUTED_VALUE"""),"")</f>
        <v/>
      </c>
      <c r="P160" s="118">
        <f>IFERROR(__xludf.DUMMYFUNCTION("""COMPUTED_VALUE"""),45908.0)</f>
        <v>45908</v>
      </c>
      <c r="Q160" s="389"/>
    </row>
    <row r="161">
      <c r="A161" s="73"/>
      <c r="B161" s="103" t="str">
        <f>IFERROR(__xludf.DUMMYFUNCTION("""COMPUTED_VALUE"""),"Pré-Vendas (Prospecção)")</f>
        <v>Pré-Vendas (Prospecção)</v>
      </c>
      <c r="C161" s="216" t="str">
        <f>IFERROR(__xludf.DUMMYFUNCTION("""COMPUTED_VALUE"""),"Geração de demanda em uma era 100% digital")</f>
        <v>Geração de demanda em uma era 100% digital</v>
      </c>
      <c r="D161" s="119" t="str">
        <f>IFERROR(__xludf.DUMMYFUNCTION("""COMPUTED_VALUE"""),"Gabriel Brasil")</f>
        <v>Gabriel Brasil</v>
      </c>
      <c r="E161" s="105" t="str">
        <f>IFERROR(__xludf.DUMMYFUNCTION("""COMPUTED_VALUE"""),"Head of Revenue")</f>
        <v>Head of Revenue</v>
      </c>
      <c r="F161" s="448" t="str">
        <f>IFERROR(__xludf.DUMMYFUNCTION("""COMPUTED_VALUE"""),"PipeLovers")</f>
        <v>PipeLovers</v>
      </c>
      <c r="G161" s="447" t="str">
        <f>IFERROR(__xludf.DUMMYFUNCTION("""COMPUTED_VALUE"""),"https://www.linkedin.com/in/gabriel-sbrasil/")</f>
        <v>https://www.linkedin.com/in/gabriel-sbrasil/</v>
      </c>
      <c r="H161" s="446" t="str">
        <f>IFERROR(__xludf.DUMMYFUNCTION("""COMPUTED_VALUE"""),"Visão de Negócios")</f>
        <v>Visão de Negócios</v>
      </c>
      <c r="I161" s="446" t="str">
        <f>IFERROR(__xludf.DUMMYFUNCTION("""COMPUTED_VALUE"""),"Tendências de Mercado")</f>
        <v>Tendências de Mercado</v>
      </c>
      <c r="J161" s="446" t="str">
        <f>IFERROR(__xludf.DUMMYFUNCTION("""COMPUTED_VALUE"""),"Tendencias do Setor")</f>
        <v>Tendencias do Setor</v>
      </c>
      <c r="K161" s="275" t="str">
        <f>IFERROR(__xludf.DUMMYFUNCTION("""COMPUTED_VALUE"""),"https://universidade.pipelovers.net/m/lessons/geracao-de-demanda-em-uma-era-100-digital1769552080813?classId=3445")</f>
        <v>https://universidade.pipelovers.net/m/lessons/geracao-de-demanda-em-uma-era-100-digital1769552080813?classId=3445</v>
      </c>
      <c r="L161" s="115" t="str">
        <f>IFERROR(__xludf.DUMMYFUNCTION("""COMPUTED_VALUE"""),"https://universidade.pipelovers.net/m/lessons/geracao-de-demanda-em-uma-era-100-digital1769552080813?classId=3445")</f>
        <v>https://universidade.pipelovers.net/m/lessons/geracao-de-demanda-em-uma-era-100-digital1769552080813?classId=3445</v>
      </c>
      <c r="M161" s="292">
        <f>IFERROR(__xludf.DUMMYFUNCTION("""COMPUTED_VALUE"""),5.0)</f>
        <v>5</v>
      </c>
      <c r="N161" s="452" t="str">
        <f>IFERROR(__xludf.DUMMYFUNCTION("""COMPUTED_VALUE"""),"150. PipeLovers💚SDRs_ _Geração de demanda em uma era 100_ digital_ com Gabriel Brasil - 2025_09_01 12_53 GMT-03_00 - descript.mp4")</f>
        <v>150. PipeLovers💚SDRs_ _Geração de demanda em uma era 100_ digital_ com Gabriel Brasil - 2025_09_01 12_53 GMT-03_00 - descript.mp4</v>
      </c>
      <c r="O161" s="389" t="str">
        <f>IFERROR(__xludf.DUMMYFUNCTION("""COMPUTED_VALUE"""),"")</f>
        <v/>
      </c>
      <c r="P161" s="118">
        <f>IFERROR(__xludf.DUMMYFUNCTION("""COMPUTED_VALUE"""),45915.0)</f>
        <v>45915</v>
      </c>
      <c r="Q161" s="389"/>
    </row>
    <row r="162">
      <c r="A162" s="73"/>
      <c r="B162" s="103" t="str">
        <f>IFERROR(__xludf.DUMMYFUNCTION("""COMPUTED_VALUE"""),"Pré-Vendas (Prospecção)")</f>
        <v>Pré-Vendas (Prospecção)</v>
      </c>
      <c r="C162" s="268" t="str">
        <f>IFERROR(__xludf.DUMMYFUNCTION("""COMPUTED_VALUE"""),"Como usar indicadores financeiros para qualificar leads")</f>
        <v>Como usar indicadores financeiros para qualificar leads</v>
      </c>
      <c r="D162" s="104" t="str">
        <f>IFERROR(__xludf.DUMMYFUNCTION("""COMPUTED_VALUE"""),"Isabella Birolli")</f>
        <v>Isabella Birolli</v>
      </c>
      <c r="E162" s="459" t="str">
        <f>IFERROR(__xludf.DUMMYFUNCTION("""COMPUTED_VALUE"""),"Head of Sales")</f>
        <v>Head of Sales</v>
      </c>
      <c r="F162" s="268" t="str">
        <f>IFERROR(__xludf.DUMMYFUNCTION("""COMPUTED_VALUE"""),"Isaac")</f>
        <v>Isaac</v>
      </c>
      <c r="G162" s="447" t="str">
        <f>IFERROR(__xludf.DUMMYFUNCTION("""COMPUTED_VALUE"""),"https://www.linkedin.com/in/isabella-birolli-74412827/")</f>
        <v>https://www.linkedin.com/in/isabella-birolli-74412827/</v>
      </c>
      <c r="H162" s="446" t="str">
        <f>IFERROR(__xludf.DUMMYFUNCTION("""COMPUTED_VALUE"""),"Visão de Negócios")</f>
        <v>Visão de Negócios</v>
      </c>
      <c r="I162" s="446" t="str">
        <f>IFERROR(__xludf.DUMMYFUNCTION("""COMPUTED_VALUE"""),"Conhecimento do negócio e produto")</f>
        <v>Conhecimento do negócio e produto</v>
      </c>
      <c r="J162" s="446" t="str">
        <f>IFERROR(__xludf.DUMMYFUNCTION("""COMPUTED_VALUE"""),"Unit Economics")</f>
        <v>Unit Economics</v>
      </c>
      <c r="K162" s="273" t="str">
        <f>IFERROR(__xludf.DUMMYFUNCTION("""COMPUTED_VALUE"""),"https://universidade.pipelovers.net/m/lessons/como-usar-indicadores-financeiros-para-qualificar-leads1769552080838?classId=3446")</f>
        <v>https://universidade.pipelovers.net/m/lessons/como-usar-indicadores-financeiros-para-qualificar-leads1769552080838?classId=3446</v>
      </c>
      <c r="L162" s="115" t="str">
        <f>IFERROR(__xludf.DUMMYFUNCTION("""COMPUTED_VALUE"""),"https://universidade.pipelovers.net/m/lessons/como-usar-indicadores-financeiros-para-qualificar-leads1769552080838?classId=3446")</f>
        <v>https://universidade.pipelovers.net/m/lessons/como-usar-indicadores-financeiros-para-qualificar-leads1769552080838?classId=3446</v>
      </c>
      <c r="M162" s="117">
        <f>IFERROR(__xludf.DUMMYFUNCTION("""COMPUTED_VALUE"""),4.86)</f>
        <v>4.86</v>
      </c>
      <c r="N162" s="110" t="str">
        <f>IFERROR(__xludf.DUMMYFUNCTION("""COMPUTED_VALUE"""),"151. PipeLovers💚SDRs_ _Como usar indicadores financeiros para qualificar leads_ com Isabella Birolli - 2025_09_08 12_40 GMT-03_00 - descript.mp4")</f>
        <v>151. PipeLovers💚SDRs_ _Como usar indicadores financeiros para qualificar leads_ com Isabella Birolli - 2025_09_08 12_40 GMT-03_00 - descript.mp4</v>
      </c>
      <c r="O162" s="389" t="str">
        <f>IFERROR(__xludf.DUMMYFUNCTION("""COMPUTED_VALUE"""),"")</f>
        <v/>
      </c>
      <c r="P162" s="118">
        <f>IFERROR(__xludf.DUMMYFUNCTION("""COMPUTED_VALUE"""),45922.0)</f>
        <v>45922</v>
      </c>
      <c r="Q162" s="389"/>
    </row>
    <row r="163">
      <c r="A163" s="73"/>
      <c r="B163" s="103" t="str">
        <f>IFERROR(__xludf.DUMMYFUNCTION("""COMPUTED_VALUE"""),"Pré-Vendas (Prospecção)")</f>
        <v>Pré-Vendas (Prospecção)</v>
      </c>
      <c r="C163" s="216" t="str">
        <f>IFERROR(__xludf.DUMMYFUNCTION("""COMPUTED_VALUE"""),"Prospecção de C-levels: técnicas para abordar esse público com assertividade")</f>
        <v>Prospecção de C-levels: técnicas para abordar esse público com assertividade</v>
      </c>
      <c r="D163" s="119" t="str">
        <f>IFERROR(__xludf.DUMMYFUNCTION("""COMPUTED_VALUE"""),"Gabriel Pimentel")</f>
        <v>Gabriel Pimentel</v>
      </c>
      <c r="E163" s="110" t="str">
        <f>IFERROR(__xludf.DUMMYFUNCTION("""COMPUTED_VALUE"""),"Head of Sales")</f>
        <v>Head of Sales</v>
      </c>
      <c r="F163" s="446" t="str">
        <f>IFERROR(__xludf.DUMMYFUNCTION("""COMPUTED_VALUE"""),"Toku")</f>
        <v>Toku</v>
      </c>
      <c r="G163" s="447" t="str">
        <f>IFERROR(__xludf.DUMMYFUNCTION("""COMPUTED_VALUE"""),"https://www.linkedin.com/in/gabrielfracalanzapimentel/")</f>
        <v>https://www.linkedin.com/in/gabrielfracalanzapimentel/</v>
      </c>
      <c r="H163" s="446" t="str">
        <f>IFERROR(__xludf.DUMMYFUNCTION("""COMPUTED_VALUE"""),"Conhecimento Técnico")</f>
        <v>Conhecimento Técnico</v>
      </c>
      <c r="I163" s="446" t="str">
        <f>IFERROR(__xludf.DUMMYFUNCTION("""COMPUTED_VALUE"""),"Técnicas de Vendas")</f>
        <v>Técnicas de Vendas</v>
      </c>
      <c r="J163" s="446" t="str">
        <f>IFERROR(__xludf.DUMMYFUNCTION("""COMPUTED_VALUE"""),"Abordagem e Prospecção")</f>
        <v>Abordagem e Prospecção</v>
      </c>
      <c r="K163" s="275" t="str">
        <f>IFERROR(__xludf.DUMMYFUNCTION("""COMPUTED_VALUE"""),"https://universidade.pipelovers.net/m/lessons/prospeccao-de-c-levels-tecnicas-para-abordar-esse-publico-com-assertividade1769552080865?classId=3574")</f>
        <v>https://universidade.pipelovers.net/m/lessons/prospeccao-de-c-levels-tecnicas-para-abordar-esse-publico-com-assertividade1769552080865?classId=3574</v>
      </c>
      <c r="L163" s="115" t="str">
        <f>IFERROR(__xludf.DUMMYFUNCTION("""COMPUTED_VALUE"""),"https://universidade.pipelovers.net/m/lessons/prospeccao-de-c-levels-tecnicas-para-abordar-esse-publico-com-assertividade1769552080865?classId=3574")</f>
        <v>https://universidade.pipelovers.net/m/lessons/prospeccao-de-c-levels-tecnicas-para-abordar-esse-publico-com-assertividade1769552080865?classId=3574</v>
      </c>
      <c r="M163" s="117">
        <f>IFERROR(__xludf.DUMMYFUNCTION("""COMPUTED_VALUE"""),4.21)</f>
        <v>4.21</v>
      </c>
      <c r="N163" s="110" t="str">
        <f>IFERROR(__xludf.DUMMYFUNCTION("""COMPUTED_VALUE"""),"152. PipeLovers💚SDRs_ _Prospecção de C-levels_ técnicas para abordar esse público com assertividade_ co - 2025_09_15 12_46 GMT-03_00 - descript.mp4")</f>
        <v>152. PipeLovers💚SDRs_ _Prospecção de C-levels_ técnicas para abordar esse público com assertividade_ co - 2025_09_15 12_46 GMT-03_00 - descript.mp4</v>
      </c>
      <c r="O163" s="389" t="str">
        <f>IFERROR(__xludf.DUMMYFUNCTION("""COMPUTED_VALUE"""),"")</f>
        <v/>
      </c>
      <c r="P163" s="118">
        <f>IFERROR(__xludf.DUMMYFUNCTION("""COMPUTED_VALUE"""),45929.0)</f>
        <v>45929</v>
      </c>
      <c r="Q163" s="389"/>
    </row>
    <row r="164">
      <c r="A164" s="73"/>
      <c r="B164" s="103" t="str">
        <f>IFERROR(__xludf.DUMMYFUNCTION("""COMPUTED_VALUE"""),"Pré-Vendas (Prospecção)")</f>
        <v>Pré-Vendas (Prospecção)</v>
      </c>
      <c r="C164" s="268" t="str">
        <f>IFERROR(__xludf.DUMMYFUNCTION("""COMPUTED_VALUE"""),"Copy para SDRs: O que não pode faltar na sua mensagem")</f>
        <v>Copy para SDRs: O que não pode faltar na sua mensagem</v>
      </c>
      <c r="D164" s="104" t="str">
        <f>IFERROR(__xludf.DUMMYFUNCTION("""COMPUTED_VALUE"""),"Lucas Hassuike")</f>
        <v>Lucas Hassuike</v>
      </c>
      <c r="E164" s="110" t="str">
        <f>IFERROR(__xludf.DUMMYFUNCTION("""COMPUTED_VALUE"""),"GTM Strategist")</f>
        <v>GTM Strategist</v>
      </c>
      <c r="F164" s="446" t="str">
        <f>IFERROR(__xludf.DUMMYFUNCTION("""COMPUTED_VALUE"""),"Nuvia")</f>
        <v>Nuvia</v>
      </c>
      <c r="G164" s="447" t="str">
        <f>IFERROR(__xludf.DUMMYFUNCTION("""COMPUTED_VALUE"""),"https://www.linkedin.com/in/lucas-hassuike-dolibaina/")</f>
        <v>https://www.linkedin.com/in/lucas-hassuike-dolibaina/</v>
      </c>
      <c r="H164" s="446" t="str">
        <f>IFERROR(__xludf.DUMMYFUNCTION("""COMPUTED_VALUE"""),"Conhecimento Técnico")</f>
        <v>Conhecimento Técnico</v>
      </c>
      <c r="I164" s="446" t="str">
        <f>IFERROR(__xludf.DUMMYFUNCTION("""COMPUTED_VALUE"""),"Técnicas de Vendas")</f>
        <v>Técnicas de Vendas</v>
      </c>
      <c r="J164" s="446" t="str">
        <f>IFERROR(__xludf.DUMMYFUNCTION("""COMPUTED_VALUE"""),"Abordagem e Prospecção")</f>
        <v>Abordagem e Prospecção</v>
      </c>
      <c r="K164" s="273" t="str">
        <f>IFERROR(__xludf.DUMMYFUNCTION("""COMPUTED_VALUE"""),"https://universidade.pipelovers.net/m/lessons/copy-para-sdrs-o-que-nao-pode-faltar-na-sua-mensagem1769552080914?classId=3575")</f>
        <v>https://universidade.pipelovers.net/m/lessons/copy-para-sdrs-o-que-nao-pode-faltar-na-sua-mensagem1769552080914?classId=3575</v>
      </c>
      <c r="L164" s="115" t="str">
        <f>IFERROR(__xludf.DUMMYFUNCTION("""COMPUTED_VALUE"""),"https://universidade.pipelovers.net/m/lessons/copy-para-sdrs-o-que-nao-pode-faltar-na-sua-mensagem1769552080914?classId=3575")</f>
        <v>https://universidade.pipelovers.net/m/lessons/copy-para-sdrs-o-que-nao-pode-faltar-na-sua-mensagem1769552080914?classId=3575</v>
      </c>
      <c r="M164" s="117">
        <f>IFERROR(__xludf.DUMMYFUNCTION("""COMPUTED_VALUE"""),3.64)</f>
        <v>3.64</v>
      </c>
      <c r="N164" s="110" t="str">
        <f>IFERROR(__xludf.DUMMYFUNCTION("""COMPUTED_VALUE"""),"153. PipeLovers💚SDRs Copy para SDRs O que não pode faltar na sua mensagem- descript.mp4")</f>
        <v>153. PipeLovers💚SDRs Copy para SDRs O que não pode faltar na sua mensagem- descript.mp4</v>
      </c>
      <c r="O164" s="389" t="str">
        <f>IFERROR(__xludf.DUMMYFUNCTION("""COMPUTED_VALUE"""),"")</f>
        <v/>
      </c>
      <c r="P164" s="118">
        <f>IFERROR(__xludf.DUMMYFUNCTION("""COMPUTED_VALUE"""),45936.0)</f>
        <v>45936</v>
      </c>
      <c r="Q164" s="389"/>
    </row>
    <row r="165">
      <c r="A165" s="73"/>
      <c r="B165" s="103" t="str">
        <f>IFERROR(__xludf.DUMMYFUNCTION("""COMPUTED_VALUE"""),"Pré-Vendas (Prospecção)")</f>
        <v>Pré-Vendas (Prospecção)</v>
      </c>
      <c r="C165" s="216" t="str">
        <f>IFERROR(__xludf.DUMMYFUNCTION("""COMPUTED_VALUE"""),"Perfil DISC: Autoconhecimento para potencializar resultados")</f>
        <v>Perfil DISC: Autoconhecimento para potencializar resultados</v>
      </c>
      <c r="D165" s="119" t="str">
        <f>IFERROR(__xludf.DUMMYFUNCTION("""COMPUTED_VALUE"""),"Igor Batista")</f>
        <v>Igor Batista</v>
      </c>
      <c r="E165" s="470" t="str">
        <f>IFERROR(__xludf.DUMMYFUNCTION("""COMPUTED_VALUE"""),"Fundador")</f>
        <v>Fundador</v>
      </c>
      <c r="F165" s="302" t="str">
        <f>IFERROR(__xludf.DUMMYFUNCTION("""COMPUTED_VALUE"""),"IBusiness Consultoria")</f>
        <v>IBusiness Consultoria</v>
      </c>
      <c r="G165" s="447" t="str">
        <f>IFERROR(__xludf.DUMMYFUNCTION("""COMPUTED_VALUE"""),"https://www.linkedin.com/in/igorbatista/")</f>
        <v>https://www.linkedin.com/in/igorbatista/</v>
      </c>
      <c r="H165" s="446" t="str">
        <f>IFERROR(__xludf.DUMMYFUNCTION("""COMPUTED_VALUE"""),"Autodesenvolvimento")</f>
        <v>Autodesenvolvimento</v>
      </c>
      <c r="I165" s="446" t="str">
        <f>IFERROR(__xludf.DUMMYFUNCTION("""COMPUTED_VALUE"""),"Inteligência Emocional")</f>
        <v>Inteligência Emocional</v>
      </c>
      <c r="J165" s="446" t="str">
        <f>IFERROR(__xludf.DUMMYFUNCTION("""COMPUTED_VALUE"""),"Gatilhos de Stress")</f>
        <v>Gatilhos de Stress</v>
      </c>
      <c r="K165" s="275" t="str">
        <f>IFERROR(__xludf.DUMMYFUNCTION("""COMPUTED_VALUE"""),"https://universidade.pipelovers.net/m/lessons/perfil-disc-autoconhecimento-para-potencializar-resultados1769552080962?classId=3576")</f>
        <v>https://universidade.pipelovers.net/m/lessons/perfil-disc-autoconhecimento-para-potencializar-resultados1769552080962?classId=3576</v>
      </c>
      <c r="L165" s="115" t="str">
        <f>IFERROR(__xludf.DUMMYFUNCTION("""COMPUTED_VALUE"""),"https://universidade.pipelovers.net/m/lessons/perfil-disc-autoconhecimento-para-potencializar-resultados1769552080962?classId=3576")</f>
        <v>https://universidade.pipelovers.net/m/lessons/perfil-disc-autoconhecimento-para-potencializar-resultados1769552080962?classId=3576</v>
      </c>
      <c r="M165" s="150">
        <f>IFERROR(__xludf.DUMMYFUNCTION("""COMPUTED_VALUE"""),4.5)</f>
        <v>4.5</v>
      </c>
      <c r="N165" s="151" t="str">
        <f>IFERROR(__xludf.DUMMYFUNCTION("""COMPUTED_VALUE"""),"154. PipeLovers💚SDRs Perfil DISC Autoconhecimento para potencializar resultados com Igor Batista-descript.mp4")</f>
        <v>154. PipeLovers💚SDRs Perfil DISC Autoconhecimento para potencializar resultados com Igor Batista-descript.mp4</v>
      </c>
      <c r="O165" s="389" t="str">
        <f>IFERROR(__xludf.DUMMYFUNCTION("""COMPUTED_VALUE"""),"")</f>
        <v/>
      </c>
      <c r="P165" s="118">
        <f>IFERROR(__xludf.DUMMYFUNCTION("""COMPUTED_VALUE"""),45943.0)</f>
        <v>45943</v>
      </c>
      <c r="Q165" s="389"/>
    </row>
    <row r="166">
      <c r="A166" s="73"/>
      <c r="B166" s="103" t="str">
        <f>IFERROR(__xludf.DUMMYFUNCTION("""COMPUTED_VALUE"""),"Pré-Vendas (Prospecção)")</f>
        <v>Pré-Vendas (Prospecção)</v>
      </c>
      <c r="C166" s="382" t="str">
        <f>IFERROR(__xludf.DUMMYFUNCTION("""COMPUTED_VALUE"""),"SPICED na prospecção: revelando necessidades ocultas do lead")</f>
        <v>SPICED na prospecção: revelando necessidades ocultas do lead</v>
      </c>
      <c r="D166" s="268" t="str">
        <f>IFERROR(__xludf.DUMMYFUNCTION("""COMPUTED_VALUE"""),"Thais Brunatto")</f>
        <v>Thais Brunatto</v>
      </c>
      <c r="E166" s="471" t="str">
        <f>IFERROR(__xludf.DUMMYFUNCTION("""COMPUTED_VALUE"""),"Head de Pré Vendas")</f>
        <v>Head de Pré Vendas</v>
      </c>
      <c r="F166" s="336" t="str">
        <f>IFERROR(__xludf.DUMMYFUNCTION("""COMPUTED_VALUE"""),"RD Station")</f>
        <v>RD Station</v>
      </c>
      <c r="G166" s="455" t="str">
        <f>IFERROR(__xludf.DUMMYFUNCTION("""COMPUTED_VALUE"""),"https://www.linkedin.com/in/thais-brunatto/")</f>
        <v>https://www.linkedin.com/in/thais-brunatto/</v>
      </c>
      <c r="H166" s="453" t="str">
        <f>IFERROR(__xludf.DUMMYFUNCTION("""COMPUTED_VALUE"""),"Conhecimento Técnico")</f>
        <v>Conhecimento Técnico</v>
      </c>
      <c r="I166" s="453" t="str">
        <f>IFERROR(__xludf.DUMMYFUNCTION("""COMPUTED_VALUE"""),"Gestão de Vendas")</f>
        <v>Gestão de Vendas</v>
      </c>
      <c r="J166" s="453" t="str">
        <f>IFERROR(__xludf.DUMMYFUNCTION("""COMPUTED_VALUE"""),"Metodologias de Vendas")</f>
        <v>Metodologias de Vendas</v>
      </c>
      <c r="K166" s="301" t="str">
        <f>IFERROR(__xludf.DUMMYFUNCTION("""COMPUTED_VALUE"""),"https://universidade.pipelovers.net/m/lessons/spiced-na-prospeccao-revelando-necessidades-ocultas-do-lead1769552080988?classId=3577")</f>
        <v>https://universidade.pipelovers.net/m/lessons/spiced-na-prospeccao-revelando-necessidades-ocultas-do-lead1769552080988?classId=3577</v>
      </c>
      <c r="L166" s="115" t="str">
        <f>IFERROR(__xludf.DUMMYFUNCTION("""COMPUTED_VALUE"""),"https://universidade.pipelovers.net/m/lessons/spiced-na-prospeccao-revelando-necessidades-ocultas-do-lead1769552080988?classId=3577")</f>
        <v>https://universidade.pipelovers.net/m/lessons/spiced-na-prospeccao-revelando-necessidades-ocultas-do-lead1769552080988?classId=3577</v>
      </c>
      <c r="M166" s="117">
        <f>IFERROR(__xludf.DUMMYFUNCTION("""COMPUTED_VALUE"""),4.36)</f>
        <v>4.36</v>
      </c>
      <c r="N166" s="472" t="str">
        <f>IFERROR(__xludf.DUMMYFUNCTION("""COMPUTED_VALUE"""),"155. PipeLovers💚SDRs SPICED na prospecção revelando necessidades ocultas do lead com Thais Brunatto.mp4")</f>
        <v>155. PipeLovers💚SDRs SPICED na prospecção revelando necessidades ocultas do lead com Thais Brunatto.mp4</v>
      </c>
      <c r="O166" s="389" t="str">
        <f>IFERROR(__xludf.DUMMYFUNCTION("""COMPUTED_VALUE"""),"")</f>
        <v/>
      </c>
      <c r="P166" s="118">
        <f>IFERROR(__xludf.DUMMYFUNCTION("""COMPUTED_VALUE"""),45950.0)</f>
        <v>45950</v>
      </c>
      <c r="Q166" s="389"/>
    </row>
    <row r="167">
      <c r="A167" s="73"/>
      <c r="B167" s="103" t="str">
        <f>IFERROR(__xludf.DUMMYFUNCTION("""COMPUTED_VALUE"""),"Pré-Vendas (Prospecção)")</f>
        <v>Pré-Vendas (Prospecção)</v>
      </c>
      <c r="C167" s="145" t="str">
        <f>IFERROR(__xludf.DUMMYFUNCTION("""COMPUTED_VALUE"""),"Boas práticas de mensagens no Linkedin e WhatsApp")</f>
        <v>Boas práticas de mensagens no Linkedin e WhatsApp</v>
      </c>
      <c r="D167" s="119" t="str">
        <f>IFERROR(__xludf.DUMMYFUNCTION("""COMPUTED_VALUE"""),"Gabriel Baeta")</f>
        <v>Gabriel Baeta</v>
      </c>
      <c r="E167" s="110" t="str">
        <f>IFERROR(__xludf.DUMMYFUNCTION("""COMPUTED_VALUE"""),"Senior Consulting Partner")</f>
        <v>Senior Consulting Partner</v>
      </c>
      <c r="F167" s="446" t="str">
        <f>IFERROR(__xludf.DUMMYFUNCTION("""COMPUTED_VALUE"""),"Winning Sales")</f>
        <v>Winning Sales</v>
      </c>
      <c r="G167" s="447" t="str">
        <f>IFERROR(__xludf.DUMMYFUNCTION("""COMPUTED_VALUE"""),"https://www.linkedin.com/in/gabrielbaeta/")</f>
        <v>https://www.linkedin.com/in/gabrielbaeta/</v>
      </c>
      <c r="H167" s="446" t="str">
        <f>IFERROR(__xludf.DUMMYFUNCTION("""COMPUTED_VALUE"""),"Relacionamento Interpessoal")</f>
        <v>Relacionamento Interpessoal</v>
      </c>
      <c r="I167" s="446" t="str">
        <f>IFERROR(__xludf.DUMMYFUNCTION("""COMPUTED_VALUE"""),"Comunicação e relacionamento")</f>
        <v>Comunicação e relacionamento</v>
      </c>
      <c r="J167" s="446" t="str">
        <f>IFERROR(__xludf.DUMMYFUNCTION("""COMPUTED_VALUE"""),"Comunicação Virtual")</f>
        <v>Comunicação Virtual</v>
      </c>
      <c r="K167" s="473" t="str">
        <f>IFERROR(__xludf.DUMMYFUNCTION("""COMPUTED_VALUE"""),"https://universidade.pipelovers.net/m/lessons/boas-praticas-de-mensagens-no-linkedin-e-whatsapp1769552081013?classId=3037")</f>
        <v>https://universidade.pipelovers.net/m/lessons/boas-praticas-de-mensagens-no-linkedin-e-whatsapp1769552081013?classId=3037</v>
      </c>
      <c r="L167" s="474" t="str">
        <f>IFERROR(__xludf.DUMMYFUNCTION("""COMPUTED_VALUE"""),"https://universidade.pipelovers.net/m/lessons/boas-praticas-de-mensagens-no-linkedin-e-whatsapp1769552081013?classId=3037")</f>
        <v>https://universidade.pipelovers.net/m/lessons/boas-praticas-de-mensagens-no-linkedin-e-whatsapp1769552081013?classId=3037</v>
      </c>
      <c r="M167" s="117">
        <f>IFERROR(__xludf.DUMMYFUNCTION("""COMPUTED_VALUE"""),4.0)</f>
        <v>4</v>
      </c>
      <c r="N167" s="472" t="str">
        <f>IFERROR(__xludf.DUMMYFUNCTION("""COMPUTED_VALUE"""),"156. PipeLovers💚SDRs Boas práticas de mensagens no Linkedin e WhatsApp com Gabriel Baeta-descript.mp4")</f>
        <v>156. PipeLovers💚SDRs Boas práticas de mensagens no Linkedin e WhatsApp com Gabriel Baeta-descript.mp4</v>
      </c>
      <c r="O167" s="389" t="str">
        <f>IFERROR(__xludf.DUMMYFUNCTION("""COMPUTED_VALUE"""),"")</f>
        <v/>
      </c>
      <c r="P167" s="118">
        <f>IFERROR(__xludf.DUMMYFUNCTION("""COMPUTED_VALUE"""),45957.0)</f>
        <v>45957</v>
      </c>
      <c r="Q167" s="389"/>
    </row>
    <row r="168">
      <c r="A168" s="73"/>
      <c r="B168" s="103" t="str">
        <f>IFERROR(__xludf.DUMMYFUNCTION("""COMPUTED_VALUE"""),"Pré-Vendas (Prospecção)")</f>
        <v>Pré-Vendas (Prospecção)</v>
      </c>
      <c r="C168" s="268" t="str">
        <f>IFERROR(__xludf.DUMMYFUNCTION("""COMPUTED_VALUE"""),"Como usar provas sociais na prospecção")</f>
        <v>Como usar provas sociais na prospecção</v>
      </c>
      <c r="D168" s="268" t="str">
        <f>IFERROR(__xludf.DUMMYFUNCTION("""COMPUTED_VALUE"""),"Thayse Miranda")</f>
        <v>Thayse Miranda</v>
      </c>
      <c r="E168" s="228" t="str">
        <f>IFERROR(__xludf.DUMMYFUNCTION("""COMPUTED_VALUE"""),"Partner")</f>
        <v>Partner</v>
      </c>
      <c r="F168" s="453" t="str">
        <f>IFERROR(__xludf.DUMMYFUNCTION("""COMPUTED_VALUE"""),"Academia Rapport")</f>
        <v>Academia Rapport</v>
      </c>
      <c r="G168" s="455" t="str">
        <f>IFERROR(__xludf.DUMMYFUNCTION("""COMPUTED_VALUE"""),"https://www.linkedin.com/in/thaysemiranda/")</f>
        <v>https://www.linkedin.com/in/thaysemiranda/</v>
      </c>
      <c r="H168" s="453" t="str">
        <f>IFERROR(__xludf.DUMMYFUNCTION("""COMPUTED_VALUE"""),"Relacionamento Interpessoal")</f>
        <v>Relacionamento Interpessoal</v>
      </c>
      <c r="I168" s="453" t="str">
        <f>IFERROR(__xludf.DUMMYFUNCTION("""COMPUTED_VALUE"""),"Liderança e Influência")</f>
        <v>Liderança e Influência</v>
      </c>
      <c r="J168" s="453" t="str">
        <f>IFERROR(__xludf.DUMMYFUNCTION("""COMPUTED_VALUE"""),"Provas Sociais")</f>
        <v>Provas Sociais</v>
      </c>
      <c r="K168" s="273" t="str">
        <f>IFERROR(__xludf.DUMMYFUNCTION("""COMPUTED_VALUE"""),"https://universidade.pipelovers.net/m/lessons/como-usar-provas-sociais-na-prospeccao1769552081075?classId=3578")</f>
        <v>https://universidade.pipelovers.net/m/lessons/como-usar-provas-sociais-na-prospeccao1769552081075?classId=3578</v>
      </c>
      <c r="L168" s="115" t="str">
        <f>IFERROR(__xludf.DUMMYFUNCTION("""COMPUTED_VALUE"""),"https://universidade.pipelovers.net/m/lessons/como-usar-provas-sociais-na-prospeccao1769552081075?classId=3578")</f>
        <v>https://universidade.pipelovers.net/m/lessons/como-usar-provas-sociais-na-prospeccao1769552081075?classId=3578</v>
      </c>
      <c r="M168" s="117">
        <f>IFERROR(__xludf.DUMMYFUNCTION("""COMPUTED_VALUE"""),4.86)</f>
        <v>4.86</v>
      </c>
      <c r="N168" s="472" t="str">
        <f>IFERROR(__xludf.DUMMYFUNCTION("""COMPUTED_VALUE"""),"157. PipeLovers💚SDRs Como usar provas sociais na prospecção com Thayse Miranda-descript.mp4")</f>
        <v>157. PipeLovers💚SDRs Como usar provas sociais na prospecção com Thayse Miranda-descript.mp4</v>
      </c>
      <c r="O168" s="389" t="str">
        <f>IFERROR(__xludf.DUMMYFUNCTION("""COMPUTED_VALUE"""),"")</f>
        <v/>
      </c>
      <c r="P168" s="118">
        <f>IFERROR(__xludf.DUMMYFUNCTION("""COMPUTED_VALUE"""),45964.0)</f>
        <v>45964</v>
      </c>
      <c r="Q168" s="389"/>
    </row>
    <row r="169">
      <c r="A169" s="73"/>
      <c r="B169" s="103" t="str">
        <f>IFERROR(__xludf.DUMMYFUNCTION("""COMPUTED_VALUE"""),"Pré-Vendas (Prospecção)")</f>
        <v>Pré-Vendas (Prospecção)</v>
      </c>
      <c r="C169" s="145" t="str">
        <f>IFERROR(__xludf.DUMMYFUNCTION("""COMPUTED_VALUE"""),"Melhores práticas de CRM para pré vendedores")</f>
        <v>Melhores práticas de CRM para pré vendedores</v>
      </c>
      <c r="D169" s="119" t="str">
        <f>IFERROR(__xludf.DUMMYFUNCTION("""COMPUTED_VALUE"""),"Dayane Mara")</f>
        <v>Dayane Mara</v>
      </c>
      <c r="E169" s="174" t="str">
        <f>IFERROR(__xludf.DUMMYFUNCTION("""COMPUTED_VALUE"""),"Coordenadora de Pré-vendas")</f>
        <v>Coordenadora de Pré-vendas</v>
      </c>
      <c r="F169" s="446" t="str">
        <f>IFERROR(__xludf.DUMMYFUNCTION("""COMPUTED_VALUE"""),"V360")</f>
        <v>V360</v>
      </c>
      <c r="G169" s="447" t="str">
        <f>IFERROR(__xludf.DUMMYFUNCTION("""COMPUTED_VALUE"""),"https://www.linkedin.com/in/dayane-mara-/")</f>
        <v>https://www.linkedin.com/in/dayane-mara-/</v>
      </c>
      <c r="H169" s="446" t="str">
        <f>IFERROR(__xludf.DUMMYFUNCTION("""COMPUTED_VALUE"""),"Autodesenvolvimento")</f>
        <v>Autodesenvolvimento</v>
      </c>
      <c r="I169" s="446" t="str">
        <f>IFERROR(__xludf.DUMMYFUNCTION("""COMPUTED_VALUE"""),"Gestão de Tempo e da Informação")</f>
        <v>Gestão de Tempo e da Informação</v>
      </c>
      <c r="J169" s="446" t="str">
        <f>IFERROR(__xludf.DUMMYFUNCTION("""COMPUTED_VALUE"""),"Melhores Práticas de CRM")</f>
        <v>Melhores Práticas de CRM</v>
      </c>
      <c r="K169" s="473" t="str">
        <f>IFERROR(__xludf.DUMMYFUNCTION("""COMPUTED_VALUE"""),"https://universidade.pipelovers.net/m/lessons/melhores-praticas-de-crm-para-pre-vendedores1769552081110?classId=3579")</f>
        <v>https://universidade.pipelovers.net/m/lessons/melhores-praticas-de-crm-para-pre-vendedores1769552081110?classId=3579</v>
      </c>
      <c r="L169" s="474" t="str">
        <f>IFERROR(__xludf.DUMMYFUNCTION("""COMPUTED_VALUE"""),"https://universidade.pipelovers.net/m/lessons/melhores-praticas-de-crm-para-pre-vendedores1769552081110?classId=3579")</f>
        <v>https://universidade.pipelovers.net/m/lessons/melhores-praticas-de-crm-para-pre-vendedores1769552081110?classId=3579</v>
      </c>
      <c r="M169" s="117">
        <f>IFERROR(__xludf.DUMMYFUNCTION("""COMPUTED_VALUE"""),4.14)</f>
        <v>4.14</v>
      </c>
      <c r="N169" s="472" t="str">
        <f>IFERROR(__xludf.DUMMYFUNCTION("""COMPUTED_VALUE"""),"158.  PipeLovers💚SDRs Melhores práticas de CRM para pré vendedores com Dayane Mara-descript.mp4")</f>
        <v>158.  PipeLovers💚SDRs Melhores práticas de CRM para pré vendedores com Dayane Mara-descript.mp4</v>
      </c>
      <c r="O169" s="389" t="str">
        <f>IFERROR(__xludf.DUMMYFUNCTION("""COMPUTED_VALUE"""),"")</f>
        <v/>
      </c>
      <c r="P169" s="118">
        <f>IFERROR(__xludf.DUMMYFUNCTION("""COMPUTED_VALUE"""),45971.0)</f>
        <v>45971</v>
      </c>
      <c r="Q169" s="389"/>
    </row>
    <row r="170">
      <c r="A170" s="73"/>
      <c r="B170" s="103" t="str">
        <f>IFERROR(__xludf.DUMMYFUNCTION("""COMPUTED_VALUE"""),"Pré-Vendas (Prospecção)")</f>
        <v>Pré-Vendas (Prospecção)</v>
      </c>
      <c r="C170" s="157" t="str">
        <f>IFERROR(__xludf.DUMMYFUNCTION("""COMPUTED_VALUE"""),"Preparação para rituais de time: como SDRs podem se comunicar com mais clareza e impacto")</f>
        <v>Preparação para rituais de time: como SDRs podem se comunicar com mais clareza e impacto</v>
      </c>
      <c r="D170" s="175" t="str">
        <f>IFERROR(__xludf.DUMMYFUNCTION("""COMPUTED_VALUE"""),"Marcela Mauá")</f>
        <v>Marcela Mauá</v>
      </c>
      <c r="E170" s="174" t="str">
        <f>IFERROR(__xludf.DUMMYFUNCTION("""COMPUTED_VALUE"""),"SMB Manager")</f>
        <v>SMB Manager</v>
      </c>
      <c r="F170" s="478" t="str">
        <f>IFERROR(__xludf.DUMMYFUNCTION("""COMPUTED_VALUE"""),"Uber")</f>
        <v>Uber</v>
      </c>
      <c r="G170" s="447" t="str">
        <f>IFERROR(__xludf.DUMMYFUNCTION("""COMPUTED_VALUE"""),"https://www.linkedin.com/in/marcelamaua/")</f>
        <v>https://www.linkedin.com/in/marcelamaua/</v>
      </c>
      <c r="H170" s="446" t="str">
        <f>IFERROR(__xludf.DUMMYFUNCTION("""COMPUTED_VALUE"""),"Conhecimento Técnico")</f>
        <v>Conhecimento Técnico</v>
      </c>
      <c r="I170" s="446" t="str">
        <f>IFERROR(__xludf.DUMMYFUNCTION("""COMPUTED_VALUE"""),"Gestão de Vendas")</f>
        <v>Gestão de Vendas</v>
      </c>
      <c r="J170" s="446" t="str">
        <f>IFERROR(__xludf.DUMMYFUNCTION("""COMPUTED_VALUE"""),"Rotinas e Rituais")</f>
        <v>Rotinas e Rituais</v>
      </c>
      <c r="K170" s="479" t="str">
        <f>IFERROR(__xludf.DUMMYFUNCTION("""COMPUTED_VALUE"""),"https://universidade.pipelovers.net/m/lessons/preparacao-para-rituais-de-time-como-sdrs-podem-se-comunicar-com-mais-clareza-e-impacto1769552081141?classId=3580")</f>
        <v>https://universidade.pipelovers.net/m/lessons/preparacao-para-rituais-de-time-como-sdrs-podem-se-comunicar-com-mais-clareza-e-impacto1769552081141?classId=3580</v>
      </c>
      <c r="L170" s="474" t="str">
        <f>IFERROR(__xludf.DUMMYFUNCTION("""COMPUTED_VALUE"""),"https://universidade.pipelovers.net/m/lessons/preparacao-para-rituais-de-time-como-sdrs-podem-se-comunicar-com-mais-clareza-e-impacto1769552081141?classId=3580")</f>
        <v>https://universidade.pipelovers.net/m/lessons/preparacao-para-rituais-de-time-como-sdrs-podem-se-comunicar-com-mais-clareza-e-impacto1769552081141?classId=3580</v>
      </c>
      <c r="M170" s="117">
        <f>IFERROR(__xludf.DUMMYFUNCTION("""COMPUTED_VALUE"""),3.71)</f>
        <v>3.71</v>
      </c>
      <c r="N170" s="472" t="str">
        <f>IFERROR(__xludf.DUMMYFUNCTION("""COMPUTED_VALUE"""),"159. PipeLovers💚SDRs Preparação para rituais de time como SDRs podem se comunicar com mais clareza e impacto com Marcela Mauá - DESCRIPT.mp4")</f>
        <v>159. PipeLovers💚SDRs Preparação para rituais de time como SDRs podem se comunicar com mais clareza e impacto com Marcela Mauá - DESCRIPT.mp4</v>
      </c>
      <c r="O170" s="389" t="str">
        <f>IFERROR(__xludf.DUMMYFUNCTION("""COMPUTED_VALUE"""),"")</f>
        <v/>
      </c>
      <c r="P170" s="118">
        <f>IFERROR(__xludf.DUMMYFUNCTION("""COMPUTED_VALUE"""),45978.0)</f>
        <v>45978</v>
      </c>
      <c r="Q170" s="389"/>
    </row>
    <row r="171">
      <c r="A171" s="73"/>
      <c r="B171" s="103" t="str">
        <f>IFERROR(__xludf.DUMMYFUNCTION("""COMPUTED_VALUE"""),"Pré-Vendas (Prospecção)")</f>
        <v>Pré-Vendas (Prospecção)</v>
      </c>
      <c r="C171" s="181" t="str">
        <f>IFERROR(__xludf.DUMMYFUNCTION("""COMPUTED_VALUE"""),"Multicanalidade na prospecção para aumento de taxa de conversão")</f>
        <v>Multicanalidade na prospecção para aumento de taxa de conversão</v>
      </c>
      <c r="D171" s="481" t="str">
        <f>IFERROR(__xludf.DUMMYFUNCTION("""COMPUTED_VALUE"""),"Yago Pereira")</f>
        <v>Yago Pereira</v>
      </c>
      <c r="E171" s="401" t="str">
        <f>IFERROR(__xludf.DUMMYFUNCTION("""COMPUTED_VALUE"""),"Gerente de operações comerciais")</f>
        <v>Gerente de operações comerciais</v>
      </c>
      <c r="F171" s="482" t="str">
        <f>IFERROR(__xludf.DUMMYFUNCTION("""COMPUTED_VALUE"""),"BLU Sales Group")</f>
        <v>BLU Sales Group</v>
      </c>
      <c r="G171" s="483" t="str">
        <f>IFERROR(__xludf.DUMMYFUNCTION("""COMPUTED_VALUE"""),"https://www.linkedin.com/in/yagopereiraoficial/")</f>
        <v>https://www.linkedin.com/in/yagopereiraoficial/</v>
      </c>
      <c r="H171" s="484" t="str">
        <f>IFERROR(__xludf.DUMMYFUNCTION("""COMPUTED_VALUE"""),"Conhecimento Técnico")</f>
        <v>Conhecimento Técnico</v>
      </c>
      <c r="I171" s="484" t="str">
        <f>IFERROR(__xludf.DUMMYFUNCTION("""COMPUTED_VALUE"""),"Técnicas de Vendas")</f>
        <v>Técnicas de Vendas</v>
      </c>
      <c r="J171" s="484" t="str">
        <f>IFERROR(__xludf.DUMMYFUNCTION("""COMPUTED_VALUE"""),"Abordagem e Prospecção")</f>
        <v>Abordagem e Prospecção</v>
      </c>
      <c r="K171" s="473" t="str">
        <f>IFERROR(__xludf.DUMMYFUNCTION("""COMPUTED_VALUE"""),"https://universidade.pipelovers.net/m/lessons/multicanalidade-na-prospeccao-para-aumento-de-taxa-de-conversao1769552081166?classId=3581")</f>
        <v>https://universidade.pipelovers.net/m/lessons/multicanalidade-na-prospeccao-para-aumento-de-taxa-de-conversao1769552081166?classId=3581</v>
      </c>
      <c r="L171" s="474" t="str">
        <f>IFERROR(__xludf.DUMMYFUNCTION("""COMPUTED_VALUE"""),"https://universidade.pipelovers.net/m/lessons/multicanalidade-na-prospeccao-para-aumento-de-taxa-de-conversao1769552081166?classId=3581")</f>
        <v>https://universidade.pipelovers.net/m/lessons/multicanalidade-na-prospeccao-para-aumento-de-taxa-de-conversao1769552081166?classId=3581</v>
      </c>
      <c r="M171" s="117">
        <f>IFERROR(__xludf.DUMMYFUNCTION("""COMPUTED_VALUE"""),1.0)</f>
        <v>1</v>
      </c>
      <c r="N171" s="472" t="str">
        <f>IFERROR(__xludf.DUMMYFUNCTION("""COMPUTED_VALUE"""),"160.  PipeLovers💚SDRs Multicanalidade na prospecção para aumento de taxa de conversão com Yago Pereira-descript.mp4")</f>
        <v>160.  PipeLovers💚SDRs Multicanalidade na prospecção para aumento de taxa de conversão com Yago Pereira-descript.mp4</v>
      </c>
      <c r="O171" s="389" t="str">
        <f>IFERROR(__xludf.DUMMYFUNCTION("""COMPUTED_VALUE"""),"")</f>
        <v/>
      </c>
      <c r="P171" s="118">
        <f>IFERROR(__xludf.DUMMYFUNCTION("""COMPUTED_VALUE"""),45985.0)</f>
        <v>45985</v>
      </c>
      <c r="Q171" s="389"/>
    </row>
    <row r="172">
      <c r="A172" s="73"/>
      <c r="B172" s="103" t="str">
        <f>IFERROR(__xludf.DUMMYFUNCTION("""COMPUTED_VALUE"""),"Pré-Vendas (Prospecção)")</f>
        <v>Pré-Vendas (Prospecção)</v>
      </c>
      <c r="C172" s="157" t="str">
        <f>IFERROR(__xludf.DUMMYFUNCTION("""COMPUTED_VALUE"""),"Explorando notícias de mercado na prospecção ativa")</f>
        <v>Explorando notícias de mercado na prospecção ativa</v>
      </c>
      <c r="D172" s="175" t="str">
        <f>IFERROR(__xludf.DUMMYFUNCTION("""COMPUTED_VALUE"""),"João Rezende")</f>
        <v>João Rezende</v>
      </c>
      <c r="E172" s="174" t="str">
        <f>IFERROR(__xludf.DUMMYFUNCTION("""COMPUTED_VALUE"""),"Coordenador de Growth Marketing")</f>
        <v>Coordenador de Growth Marketing</v>
      </c>
      <c r="F172" s="478" t="str">
        <f>IFERROR(__xludf.DUMMYFUNCTION("""COMPUTED_VALUE"""),"RD Station")</f>
        <v>RD Station</v>
      </c>
      <c r="G172" s="447" t="str">
        <f>IFERROR(__xludf.DUMMYFUNCTION("""COMPUTED_VALUE"""),"https://www.linkedin.com/in/rezendejoao/")</f>
        <v>https://www.linkedin.com/in/rezendejoao/</v>
      </c>
      <c r="H172" s="446" t="str">
        <f>IFERROR(__xludf.DUMMYFUNCTION("""COMPUTED_VALUE"""),"Visão de Negócios")</f>
        <v>Visão de Negócios</v>
      </c>
      <c r="I172" s="446" t="str">
        <f>IFERROR(__xludf.DUMMYFUNCTION("""COMPUTED_VALUE"""),"Tendências de Mercado")</f>
        <v>Tendências de Mercado</v>
      </c>
      <c r="J172" s="446" t="str">
        <f>IFERROR(__xludf.DUMMYFUNCTION("""COMPUTED_VALUE"""),"Tendencias do Setor")</f>
        <v>Tendencias do Setor</v>
      </c>
      <c r="K172" s="479" t="str">
        <f>IFERROR(__xludf.DUMMYFUNCTION("""COMPUTED_VALUE"""),"https://universidade.pipelovers.net/m/lessons/explorando-noticias-de-mercado-na-prospeccao-ativa1769552081204?classId=3582")</f>
        <v>https://universidade.pipelovers.net/m/lessons/explorando-noticias-de-mercado-na-prospeccao-ativa1769552081204?classId=3582</v>
      </c>
      <c r="L172" s="474" t="str">
        <f>IFERROR(__xludf.DUMMYFUNCTION("""COMPUTED_VALUE"""),"https://universidade.pipelovers.net/m/lessons/explorando-noticias-de-mercado-na-prospeccao-ativa1769552081204?classId=3582")</f>
        <v>https://universidade.pipelovers.net/m/lessons/explorando-noticias-de-mercado-na-prospeccao-ativa1769552081204?classId=3582</v>
      </c>
      <c r="M172" s="117">
        <f>IFERROR(__xludf.DUMMYFUNCTION("""COMPUTED_VALUE"""),3.71)</f>
        <v>3.71</v>
      </c>
      <c r="N172" s="472" t="str">
        <f>IFERROR(__xludf.DUMMYFUNCTION("""COMPUTED_VALUE"""),"161.  PipeLovers💚SDRs Explorando notícias de mercado na prospecção ativa com João Rezende - descript.mp4")</f>
        <v>161.  PipeLovers💚SDRs Explorando notícias de mercado na prospecção ativa com João Rezende - descript.mp4</v>
      </c>
      <c r="O172" s="389" t="str">
        <f>IFERROR(__xludf.DUMMYFUNCTION("""COMPUTED_VALUE"""),"")</f>
        <v/>
      </c>
      <c r="P172" s="118">
        <f>IFERROR(__xludf.DUMMYFUNCTION("""COMPUTED_VALUE"""),45992.0)</f>
        <v>45992</v>
      </c>
      <c r="Q172" s="389"/>
    </row>
    <row r="173">
      <c r="A173" s="73"/>
      <c r="B173" s="496" t="str">
        <f>IFERROR(__xludf.DUMMYFUNCTION("""COMPUTED_VALUE"""),"Pré-Vendas (Prospecção)")</f>
        <v>Pré-Vendas (Prospecção)</v>
      </c>
      <c r="C173" s="382" t="str">
        <f>IFERROR(__xludf.DUMMYFUNCTION("""COMPUTED_VALUE"""),"Metodologia GPCT para qualificação de oportunidades")</f>
        <v>Metodologia GPCT para qualificação de oportunidades</v>
      </c>
      <c r="D173" s="173" t="str">
        <f>IFERROR(__xludf.DUMMYFUNCTION("""COMPUTED_VALUE"""),"Jony Nardes")</f>
        <v>Jony Nardes</v>
      </c>
      <c r="E173" s="174" t="str">
        <f>IFERROR(__xludf.DUMMYFUNCTION("""COMPUTED_VALUE"""),"Head of Sales")</f>
        <v>Head of Sales</v>
      </c>
      <c r="F173" s="446" t="str">
        <f>IFERROR(__xludf.DUMMYFUNCTION("""COMPUTED_VALUE"""),"V360")</f>
        <v>V360</v>
      </c>
      <c r="G173" s="447" t="str">
        <f>IFERROR(__xludf.DUMMYFUNCTION("""COMPUTED_VALUE"""),"https://www.linkedin.com/in/jonynardes/")</f>
        <v>https://www.linkedin.com/in/jonynardes/</v>
      </c>
      <c r="H173" s="446" t="str">
        <f>IFERROR(__xludf.DUMMYFUNCTION("""COMPUTED_VALUE"""),"Conhecimento Técnico")</f>
        <v>Conhecimento Técnico</v>
      </c>
      <c r="I173" s="446" t="str">
        <f>IFERROR(__xludf.DUMMYFUNCTION("""COMPUTED_VALUE"""),"Técnicas de vendas")</f>
        <v>Técnicas de vendas</v>
      </c>
      <c r="J173" s="446" t="str">
        <f>IFERROR(__xludf.DUMMYFUNCTION("""COMPUTED_VALUE"""),"Qualificação e Entendimento da Dor")</f>
        <v>Qualificação e Entendimento da Dor</v>
      </c>
      <c r="K173" s="167" t="str">
        <f>IFERROR(__xludf.DUMMYFUNCTION("""COMPUTED_VALUE"""),"https://universidade.pipelovers.net/aulas/metodologia-gpct-para-qualificacao-de-oportunidades-1775683832311")</f>
        <v>https://universidade.pipelovers.net/aulas/metodologia-gpct-para-qualificacao-de-oportunidades-1775683832311</v>
      </c>
      <c r="L173" s="500" t="str">
        <f>IFERROR(__xludf.DUMMYFUNCTION("""COMPUTED_VALUE"""),"https://universidade.pipelovers.net/aulas/metodologia-gpct-para-qualificacao-de-oportunidades-1775683832311")</f>
        <v>https://universidade.pipelovers.net/aulas/metodologia-gpct-para-qualificacao-de-oportunidades-1775683832311</v>
      </c>
      <c r="M173" s="117">
        <f>IFERROR(__xludf.DUMMYFUNCTION("""COMPUTED_VALUE"""),3.36)</f>
        <v>3.36</v>
      </c>
      <c r="N173" s="472" t="str">
        <f>IFERROR(__xludf.DUMMYFUNCTION("""COMPUTED_VALUE"""),"162. PipeLovers💚SDRs Metodologia GPCT para qualificação de oportunidades com Jony Nardes - descript.mp4")</f>
        <v>162. PipeLovers💚SDRs Metodologia GPCT para qualificação de oportunidades com Jony Nardes - descript.mp4</v>
      </c>
      <c r="O173" s="389" t="str">
        <f>IFERROR(__xludf.DUMMYFUNCTION("""COMPUTED_VALUE"""),"")</f>
        <v/>
      </c>
      <c r="P173" s="118">
        <f>IFERROR(__xludf.DUMMYFUNCTION("""COMPUTED_VALUE"""),45999.0)</f>
        <v>45999</v>
      </c>
      <c r="Q173" s="389"/>
    </row>
    <row r="174">
      <c r="A174" s="73"/>
      <c r="B174" s="496" t="str">
        <f>IFERROR(__xludf.DUMMYFUNCTION("""COMPUTED_VALUE"""),"Pré-Vendas (Prospecção)")</f>
        <v>Pré-Vendas (Prospecção)</v>
      </c>
      <c r="C174" s="501" t="str">
        <f>IFERROR(__xludf.DUMMYFUNCTION("""COMPUTED_VALUE"""),"Motivação em pré-vendas: como descobrir o que sustenta sua alta performance")</f>
        <v>Motivação em pré-vendas: como descobrir o que sustenta sua alta performance</v>
      </c>
      <c r="D174" s="501" t="str">
        <f>IFERROR(__xludf.DUMMYFUNCTION("""COMPUTED_VALUE"""),"Caroline Corrêa")</f>
        <v>Caroline Corrêa</v>
      </c>
      <c r="E174" s="503" t="str">
        <f>IFERROR(__xludf.DUMMYFUNCTION("""COMPUTED_VALUE"""),"Gerente de operações")</f>
        <v>Gerente de operações</v>
      </c>
      <c r="F174" s="446" t="str">
        <f>IFERROR(__xludf.DUMMYFUNCTION("""COMPUTED_VALUE"""),"Tripelab")</f>
        <v>Tripelab</v>
      </c>
      <c r="G174" s="447" t="str">
        <f>IFERROR(__xludf.DUMMYFUNCTION("""COMPUTED_VALUE"""),"https://www.linkedin.com/in/carolinecorr%C3%AAa2/")</f>
        <v>https://www.linkedin.com/in/carolinecorr%C3%AAa2/</v>
      </c>
      <c r="H174" s="446" t="str">
        <f>IFERROR(__xludf.DUMMYFUNCTION("""COMPUTED_VALUE"""),"Autodesenvolvimento")</f>
        <v>Autodesenvolvimento</v>
      </c>
      <c r="I174" s="446" t="str">
        <f>IFERROR(__xludf.DUMMYFUNCTION("""COMPUTED_VALUE"""),"Inteligência Emocional")</f>
        <v>Inteligência Emocional</v>
      </c>
      <c r="J174" s="446" t="str">
        <f>IFERROR(__xludf.DUMMYFUNCTION("""COMPUTED_VALUE"""),"Motivação")</f>
        <v>Motivação</v>
      </c>
      <c r="K174" s="167" t="str">
        <f>IFERROR(__xludf.DUMMYFUNCTION("""COMPUTED_VALUE"""),"https://universidade.pipelovers.net/aulas/motivacao-em-pre-vendas-como-descobrir-o-que-sustenta-sua-alta-performance-1775684561999")</f>
        <v>https://universidade.pipelovers.net/aulas/motivacao-em-pre-vendas-como-descobrir-o-que-sustenta-sua-alta-performance-1775684561999</v>
      </c>
      <c r="L174" s="500" t="str">
        <f>IFERROR(__xludf.DUMMYFUNCTION("""COMPUTED_VALUE"""),"https://universidade.pipelovers.net/aulas/motivacao-em-pre-vendas-como-descobrir-o-que-sustenta-sua-alta-performance-1775684561999")</f>
        <v>https://universidade.pipelovers.net/aulas/motivacao-em-pre-vendas-como-descobrir-o-que-sustenta-sua-alta-performance-1775684561999</v>
      </c>
      <c r="M174" s="117">
        <f>IFERROR(__xludf.DUMMYFUNCTION("""COMPUTED_VALUE"""),3.71)</f>
        <v>3.71</v>
      </c>
      <c r="N174" s="472" t="str">
        <f>IFERROR(__xludf.DUMMYFUNCTION("""COMPUTED_VALUE"""),"163. PipeLovers💚SDRs Motivação em pré-vendas como descobrir o que sustenta sua alta performance com Caroline Corrêa - descript.mp4")</f>
        <v>163. PipeLovers💚SDRs Motivação em pré-vendas como descobrir o que sustenta sua alta performance com Caroline Corrêa - descript.mp4</v>
      </c>
      <c r="O174" s="389" t="str">
        <f>IFERROR(__xludf.DUMMYFUNCTION("""COMPUTED_VALUE"""),"")</f>
        <v/>
      </c>
      <c r="P174" s="118">
        <f>IFERROR(__xludf.DUMMYFUNCTION("""COMPUTED_VALUE"""),46006.0)</f>
        <v>46006</v>
      </c>
      <c r="Q174" s="389"/>
    </row>
    <row r="175">
      <c r="A175" s="73"/>
      <c r="B175" s="496" t="str">
        <f>IFERROR(__xludf.DUMMYFUNCTION("""COMPUTED_VALUE"""),"Pré-Vendas (Prospecção)")</f>
        <v>Pré-Vendas (Prospecção)</v>
      </c>
      <c r="C175" s="501" t="str">
        <f>IFERROR(__xludf.DUMMYFUNCTION("""COMPUTED_VALUE"""),"Conexão em abordagens frias: como fugir do óbvio e conquistar atenção")</f>
        <v>Conexão em abordagens frias: como fugir do óbvio e conquistar atenção</v>
      </c>
      <c r="D175" s="501" t="str">
        <f>IFERROR(__xludf.DUMMYFUNCTION("""COMPUTED_VALUE"""),"Thais Cestari")</f>
        <v>Thais Cestari</v>
      </c>
      <c r="E175" s="110" t="str">
        <f>IFERROR(__xludf.DUMMYFUNCTION("""COMPUTED_VALUE"""),"Senior Account Manager - Partnerships")</f>
        <v>Senior Account Manager - Partnerships</v>
      </c>
      <c r="F175" s="447" t="str">
        <f>IFERROR(__xludf.DUMMYFUNCTION("""COMPUTED_VALUE"""),"Talent.com")</f>
        <v>Talent.com</v>
      </c>
      <c r="G175" s="447" t="str">
        <f>IFERROR(__xludf.DUMMYFUNCTION("""COMPUTED_VALUE"""),"https://www.linkedin.com/in/thaiscmiranda/")</f>
        <v>https://www.linkedin.com/in/thaiscmiranda/</v>
      </c>
      <c r="H175" s="446" t="str">
        <f>IFERROR(__xludf.DUMMYFUNCTION("""COMPUTED_VALUE"""),"Relacionamento Interpessoal")</f>
        <v>Relacionamento Interpessoal</v>
      </c>
      <c r="I175" s="446" t="str">
        <f>IFERROR(__xludf.DUMMYFUNCTION("""COMPUTED_VALUE"""),"Comunicação e Relacionamento")</f>
        <v>Comunicação e Relacionamento</v>
      </c>
      <c r="J175" s="446" t="str">
        <f>IFERROR(__xludf.DUMMYFUNCTION("""COMPUTED_VALUE"""),"Tecnicas de Rapport")</f>
        <v>Tecnicas de Rapport</v>
      </c>
      <c r="K175" s="473" t="str">
        <f>IFERROR(__xludf.DUMMYFUNCTION("""COMPUTED_VALUE"""),"https://universidade.pipelovers.net/m/lessons/conexao-em-abordagens-frias-como-fugir-do-obvio-e-conquistar-atencao1769552081303?classId=3583")</f>
        <v>https://universidade.pipelovers.net/m/lessons/conexao-em-abordagens-frias-como-fugir-do-obvio-e-conquistar-atencao1769552081303?classId=3583</v>
      </c>
      <c r="L175" s="474" t="str">
        <f>IFERROR(__xludf.DUMMYFUNCTION("""COMPUTED_VALUE"""),"https://universidade.pipelovers.net/m/lessons/conexao-em-abordagens-frias-como-fugir-do-obvio-e-conquistar-atencao1769552081303?classId=3583")</f>
        <v>https://universidade.pipelovers.net/m/lessons/conexao-em-abordagens-frias-como-fugir-do-obvio-e-conquistar-atencao1769552081303?classId=3583</v>
      </c>
      <c r="M175" s="117">
        <f>IFERROR(__xludf.DUMMYFUNCTION("""COMPUTED_VALUE"""),1.0)</f>
        <v>1</v>
      </c>
      <c r="N175" s="110" t="str">
        <f>IFERROR(__xludf.DUMMYFUNCTION("""COMPUTED_VALUE"""),"164.  PipeLovers💚SDRs Conexão em abordagens frias como fugir do óbvio e conquistar atenção com Thais Cestari - descript.mp4")</f>
        <v>164.  PipeLovers💚SDRs Conexão em abordagens frias como fugir do óbvio e conquistar atenção com Thais Cestari - descript.mp4</v>
      </c>
      <c r="O175" s="389" t="str">
        <f>IFERROR(__xludf.DUMMYFUNCTION("""COMPUTED_VALUE"""),"")</f>
        <v/>
      </c>
      <c r="P175" s="118">
        <f>IFERROR(__xludf.DUMMYFUNCTION("""COMPUTED_VALUE"""),46013.0)</f>
        <v>46013</v>
      </c>
      <c r="Q175" s="389"/>
    </row>
    <row r="176">
      <c r="A176" s="73"/>
      <c r="B176" s="496" t="str">
        <f>IFERROR(__xludf.DUMMYFUNCTION("""COMPUTED_VALUE"""),"Pré-Vendas (Prospecção)")</f>
        <v>Pré-Vendas (Prospecção)</v>
      </c>
      <c r="C176" s="501" t="str">
        <f>IFERROR(__xludf.DUMMYFUNCTION("""COMPUTED_VALUE"""),"Como ajustar seu discurso para diferentes perfis de clientes")</f>
        <v>Como ajustar seu discurso para diferentes perfis de clientes</v>
      </c>
      <c r="D176" s="501" t="str">
        <f>IFERROR(__xludf.DUMMYFUNCTION("""COMPUTED_VALUE"""),"Victor Lasman")</f>
        <v>Victor Lasman</v>
      </c>
      <c r="E176" s="110" t="str">
        <f>IFERROR(__xludf.DUMMYFUNCTION("""COMPUTED_VALUE"""),"National Talent Solutions Manager")</f>
        <v>National Talent Solutions Manager</v>
      </c>
      <c r="F176" s="446" t="str">
        <f>IFERROR(__xludf.DUMMYFUNCTION("""COMPUTED_VALUE"""),"Randstad Brasil")</f>
        <v>Randstad Brasil</v>
      </c>
      <c r="G176" s="447" t="str">
        <f>IFERROR(__xludf.DUMMYFUNCTION("""COMPUTED_VALUE"""),"https://www.linkedin.com/in/victorlasman/")</f>
        <v>https://www.linkedin.com/in/victorlasman/</v>
      </c>
      <c r="H176" s="446" t="str">
        <f>IFERROR(__xludf.DUMMYFUNCTION("""COMPUTED_VALUE"""),"Conhecimento Técnico")</f>
        <v>Conhecimento Técnico</v>
      </c>
      <c r="I176" s="446" t="str">
        <f>IFERROR(__xludf.DUMMYFUNCTION("""COMPUTED_VALUE"""),"Técnicas de vendas")</f>
        <v>Técnicas de vendas</v>
      </c>
      <c r="J176" s="523" t="str">
        <f>IFERROR(__xludf.DUMMYFUNCTION("""COMPUTED_VALUE"""),"Pitch Comercial")</f>
        <v>Pitch Comercial</v>
      </c>
      <c r="K176" s="479" t="str">
        <f>IFERROR(__xludf.DUMMYFUNCTION("""COMPUTED_VALUE"""),"https://universidade.pipelovers.net/m/lessons/como-ajustar-seu-discurso-para-diferentes-perfis-de-clientes1769552081350?classId=3584")</f>
        <v>https://universidade.pipelovers.net/m/lessons/como-ajustar-seu-discurso-para-diferentes-perfis-de-clientes1769552081350?classId=3584</v>
      </c>
      <c r="L176" s="474" t="str">
        <f>IFERROR(__xludf.DUMMYFUNCTION("""COMPUTED_VALUE"""),"https://universidade.pipelovers.net/m/lessons/como-ajustar-seu-discurso-para-diferentes-perfis-de-clientes1769552081350?classId=3584")</f>
        <v>https://universidade.pipelovers.net/m/lessons/como-ajustar-seu-discurso-para-diferentes-perfis-de-clientes1769552081350?classId=3584</v>
      </c>
      <c r="M176" s="117">
        <f>IFERROR(__xludf.DUMMYFUNCTION("""COMPUTED_VALUE"""),3.79)</f>
        <v>3.79</v>
      </c>
      <c r="N176" s="110" t="str">
        <f>IFERROR(__xludf.DUMMYFUNCTION("""COMPUTED_VALUE"""),"165.  PipeLovers💚SDRs Como ajustar seu discurso para diferentes perfis de clientes com Victor Lasman - dexcript.mp4")</f>
        <v>165.  PipeLovers💚SDRs Como ajustar seu discurso para diferentes perfis de clientes com Victor Lasman - dexcript.mp4</v>
      </c>
      <c r="O176" s="389" t="str">
        <f>IFERROR(__xludf.DUMMYFUNCTION("""COMPUTED_VALUE"""),"")</f>
        <v/>
      </c>
      <c r="P176" s="118">
        <f>IFERROR(__xludf.DUMMYFUNCTION("""COMPUTED_VALUE"""),46020.0)</f>
        <v>46020</v>
      </c>
      <c r="Q176" s="389"/>
    </row>
    <row r="177">
      <c r="A177" s="528"/>
      <c r="B177" s="496" t="str">
        <f>IFERROR(__xludf.DUMMYFUNCTION("""COMPUTED_VALUE"""),"Pré-Vendas (Prospecção)")</f>
        <v>Pré-Vendas (Prospecção)</v>
      </c>
      <c r="C177" s="216" t="str">
        <f>IFERROR(__xludf.DUMMYFUNCTION("""COMPUTED_VALUE"""),"Storytelling para SDR: como abrir conversas sem soar genérico")</f>
        <v>Storytelling para SDR: como abrir conversas sem soar genérico</v>
      </c>
      <c r="D177" s="529" t="str">
        <f>IFERROR(__xludf.DUMMYFUNCTION("""COMPUTED_VALUE"""),"Rodrigo Maia")</f>
        <v>Rodrigo Maia</v>
      </c>
      <c r="E177" s="289" t="str">
        <f>IFERROR(__xludf.DUMMYFUNCTION("""COMPUTED_VALUE"""),"Empresário e Comunicador")</f>
        <v>Empresário e Comunicador</v>
      </c>
      <c r="F177" s="119"/>
      <c r="G177" s="532" t="str">
        <f>IFERROR(__xludf.DUMMYFUNCTION("""COMPUTED_VALUE"""),"https://www.linkedin.com/in/rodrigo-maia-theodoro-dos-santos-59357532/?utm_source=share&amp;utm_campaign=share_via&amp;utm_content=profile&amp;utm_medium=ios_app")</f>
        <v>https://www.linkedin.com/in/rodrigo-maia-theodoro-dos-santos-59357532/?utm_source=share&amp;utm_campaign=share_via&amp;utm_content=profile&amp;utm_medium=ios_app</v>
      </c>
      <c r="H177" s="289" t="str">
        <f>IFERROR(__xludf.DUMMYFUNCTION("""COMPUTED_VALUE"""),"Conhecimento Técnico")</f>
        <v>Conhecimento Técnico</v>
      </c>
      <c r="I177" s="289" t="str">
        <f>IFERROR(__xludf.DUMMYFUNCTION("""COMPUTED_VALUE"""),"Técnicas de vendas")</f>
        <v>Técnicas de vendas</v>
      </c>
      <c r="J177" s="533" t="str">
        <f>IFERROR(__xludf.DUMMYFUNCTION("""COMPUTED_VALUE"""),"Abordagem e Prospecção")</f>
        <v>Abordagem e Prospecção</v>
      </c>
      <c r="K177" s="275" t="str">
        <f>IFERROR(__xludf.DUMMYFUNCTION("""COMPUTED_VALUE"""),"https://universidade.pipelovers.net/m/lessons/storytelling-para-sdr-como-abrir-conversas-sem-soar-generico1772542661991?classId=3770")</f>
        <v>https://universidade.pipelovers.net/m/lessons/storytelling-para-sdr-como-abrir-conversas-sem-soar-generico1772542661991?classId=3770</v>
      </c>
      <c r="L177" s="535" t="str">
        <f>IFERROR(__xludf.DUMMYFUNCTION("""COMPUTED_VALUE"""),"https://universidade.pipelovers.net/m/lessons/storytelling-para-sdr-como-abrir-conversas-sem-soar-generico1772542661991?classId=3770")</f>
        <v>https://universidade.pipelovers.net/m/lessons/storytelling-para-sdr-como-abrir-conversas-sem-soar-generico1772542661991?classId=3770</v>
      </c>
      <c r="M177" s="536">
        <f>IFERROR(__xludf.DUMMYFUNCTION("""COMPUTED_VALUE"""),5.0)</f>
        <v>5</v>
      </c>
      <c r="N177" s="537" t="str">
        <f>IFERROR(__xludf.DUMMYFUNCTION("""COMPUTED_VALUE"""),"166. PipeLovers💚SDRs Storytelling para SDR como abrir conversas sem soar genérico com Rodrigo Maia - descript.mp4")</f>
        <v>166. PipeLovers💚SDRs Storytelling para SDR como abrir conversas sem soar genérico com Rodrigo Maia - descript.mp4</v>
      </c>
      <c r="O177" s="389" t="str">
        <f>IFERROR(__xludf.DUMMYFUNCTION("""COMPUTED_VALUE"""),"")</f>
        <v/>
      </c>
      <c r="P177" s="118">
        <f>IFERROR(__xludf.DUMMYFUNCTION("""COMPUTED_VALUE"""),46027.0)</f>
        <v>46027</v>
      </c>
      <c r="Q177" s="389"/>
    </row>
    <row r="178">
      <c r="A178" s="528"/>
      <c r="B178" s="496" t="str">
        <f>IFERROR(__xludf.DUMMYFUNCTION("""COMPUTED_VALUE"""),"Pré-Vendas (Prospecção)")</f>
        <v>Pré-Vendas (Prospecção)</v>
      </c>
      <c r="C178" s="529" t="str">
        <f>IFERROR(__xludf.DUMMYFUNCTION("""COMPUTED_VALUE"""),"Técnicas de Rapport para prospecção")</f>
        <v>Técnicas de Rapport para prospecção</v>
      </c>
      <c r="D178" s="529" t="str">
        <f>IFERROR(__xludf.DUMMYFUNCTION("""COMPUTED_VALUE"""),"Igor Macedo")</f>
        <v>Igor Macedo</v>
      </c>
      <c r="E178" s="296" t="str">
        <f>IFERROR(__xludf.DUMMYFUNCTION("""COMPUTED_VALUE"""),"Gestor de vendas, pré vendas e arquitetura")</f>
        <v>Gestor de vendas, pré vendas e arquitetura</v>
      </c>
      <c r="F178" s="104" t="str">
        <f>IFERROR(__xludf.DUMMYFUNCTION("""COMPUTED_VALUE"""),"TOTVS")</f>
        <v>TOTVS</v>
      </c>
      <c r="G178" s="540" t="str">
        <f>IFERROR(__xludf.DUMMYFUNCTION("""COMPUTED_VALUE"""),"https://www.linkedin.com/in/igormacedobarbosa/")</f>
        <v>https://www.linkedin.com/in/igormacedobarbosa/</v>
      </c>
      <c r="H178" s="296" t="str">
        <f>IFERROR(__xludf.DUMMYFUNCTION("""COMPUTED_VALUE"""),"Relacionamento Interpessoal")</f>
        <v>Relacionamento Interpessoal</v>
      </c>
      <c r="I178" s="296" t="str">
        <f>IFERROR(__xludf.DUMMYFUNCTION("""COMPUTED_VALUE"""),"Comunicação e relacionamento")</f>
        <v>Comunicação e relacionamento</v>
      </c>
      <c r="J178" s="542" t="str">
        <f>IFERROR(__xludf.DUMMYFUNCTION("""COMPUTED_VALUE"""),"Técnicas de Rapport")</f>
        <v>Técnicas de Rapport</v>
      </c>
      <c r="K178" s="114" t="str">
        <f>IFERROR(__xludf.DUMMYFUNCTION("""COMPUTED_VALUE"""),"https://universidade.pipelovers.net/m/lessons/tecnicas-de-rapport-para-prospeccao1772542662129?classId=3772")</f>
        <v>https://universidade.pipelovers.net/m/lessons/tecnicas-de-rapport-para-prospeccao1772542662129?classId=3772</v>
      </c>
      <c r="L178" s="535" t="str">
        <f>IFERROR(__xludf.DUMMYFUNCTION("""COMPUTED_VALUE"""),"https://universidade.pipelovers.net/m/lessons/tecnicas-de-rapport-para-prospeccao1772542662129?classId=3772")</f>
        <v>https://universidade.pipelovers.net/m/lessons/tecnicas-de-rapport-para-prospeccao1772542662129?classId=3772</v>
      </c>
      <c r="M178" s="536">
        <f>IFERROR(__xludf.DUMMYFUNCTION("""COMPUTED_VALUE"""),3.36)</f>
        <v>3.36</v>
      </c>
      <c r="N178" s="537" t="str">
        <f>IFERROR(__xludf.DUMMYFUNCTION("""COMPUTED_VALUE"""),"167. PipeLovers💚SDRs Técnicas de Rapport para prospecção com Igor Macedo - descript.mp4")</f>
        <v>167. PipeLovers💚SDRs Técnicas de Rapport para prospecção com Igor Macedo - descript.mp4</v>
      </c>
      <c r="O178" s="389" t="str">
        <f>IFERROR(__xludf.DUMMYFUNCTION("""COMPUTED_VALUE"""),"")</f>
        <v/>
      </c>
      <c r="P178" s="118">
        <f>IFERROR(__xludf.DUMMYFUNCTION("""COMPUTED_VALUE"""),46034.0)</f>
        <v>46034</v>
      </c>
      <c r="Q178" s="389"/>
    </row>
    <row r="179">
      <c r="A179" s="528"/>
      <c r="B179" s="496" t="str">
        <f>IFERROR(__xludf.DUMMYFUNCTION("""COMPUTED_VALUE"""),"Pré-Vendas (Prospecção)")</f>
        <v>Pré-Vendas (Prospecção)</v>
      </c>
      <c r="C179" s="544" t="str">
        <f>IFERROR(__xludf.DUMMYFUNCTION("""COMPUTED_VALUE"""),"Abordagens de prospecção que funcionam no começo do ano")</f>
        <v>Abordagens de prospecção que funcionam no começo do ano</v>
      </c>
      <c r="D179" s="529" t="str">
        <f>IFERROR(__xludf.DUMMYFUNCTION("""COMPUTED_VALUE"""),"Lahire Cavalléro")</f>
        <v>Lahire Cavalléro</v>
      </c>
      <c r="E179" s="289" t="str">
        <f>IFERROR(__xludf.DUMMYFUNCTION("""COMPUTED_VALUE"""),"Diretor")</f>
        <v>Diretor</v>
      </c>
      <c r="F179" s="119" t="str">
        <f>IFERROR(__xludf.DUMMYFUNCTION("""COMPUTED_VALUE"""),"Cavalléro Consultoria e RH")</f>
        <v>Cavalléro Consultoria e RH</v>
      </c>
      <c r="G179" s="532" t="str">
        <f>IFERROR(__xludf.DUMMYFUNCTION("""COMPUTED_VALUE"""),"https://www.linkedin.com/in/lahire-cavallero/")</f>
        <v>https://www.linkedin.com/in/lahire-cavallero/</v>
      </c>
      <c r="H179" s="289" t="str">
        <f>IFERROR(__xludf.DUMMYFUNCTION("""COMPUTED_VALUE"""),"Conhecimento Técnico")</f>
        <v>Conhecimento Técnico</v>
      </c>
      <c r="I179" s="289" t="str">
        <f>IFERROR(__xludf.DUMMYFUNCTION("""COMPUTED_VALUE"""),"Técnicas de vendas")</f>
        <v>Técnicas de vendas</v>
      </c>
      <c r="J179" s="533" t="str">
        <f>IFERROR(__xludf.DUMMYFUNCTION("""COMPUTED_VALUE"""),"Abordagem e Prospecção")</f>
        <v>Abordagem e Prospecção</v>
      </c>
      <c r="K179" s="128" t="str">
        <f>IFERROR(__xludf.DUMMYFUNCTION("""COMPUTED_VALUE"""),"https://universidade.pipelovers.net/m/lessons/abordagens-e-prospeccao-que-funcionam-no-comeco-do-ano1772542641973?classId=3746")</f>
        <v>https://universidade.pipelovers.net/m/lessons/abordagens-e-prospeccao-que-funcionam-no-comeco-do-ano1772542641973?classId=3746</v>
      </c>
      <c r="L179" s="535" t="str">
        <f>IFERROR(__xludf.DUMMYFUNCTION("""COMPUTED_VALUE"""),"https://universidade.pipelovers.net/m/lessons/abordagens-e-prospeccao-que-funcionam-no-comeco-do-ano1772542641973?classId=3746")</f>
        <v>https://universidade.pipelovers.net/m/lessons/abordagens-e-prospeccao-que-funcionam-no-comeco-do-ano1772542641973?classId=3746</v>
      </c>
      <c r="M179" s="536">
        <f>IFERROR(__xludf.DUMMYFUNCTION("""COMPUTED_VALUE"""),3.5)</f>
        <v>3.5</v>
      </c>
      <c r="N179" s="537" t="str">
        <f>IFERROR(__xludf.DUMMYFUNCTION("""COMPUTED_VALUE"""),"168. PipeLovers💚SDRs Abordagens de prospecção que funcionam no começo do ano com Lahire Cavalléro - descript.mp4")</f>
        <v>168. PipeLovers💚SDRs Abordagens de prospecção que funcionam no começo do ano com Lahire Cavalléro - descript.mp4</v>
      </c>
      <c r="O179" s="389" t="str">
        <f>IFERROR(__xludf.DUMMYFUNCTION("""COMPUTED_VALUE"""),"")</f>
        <v/>
      </c>
      <c r="P179" s="118">
        <f>IFERROR(__xludf.DUMMYFUNCTION("""COMPUTED_VALUE"""),46041.0)</f>
        <v>46041</v>
      </c>
      <c r="Q179" s="389"/>
    </row>
    <row r="180">
      <c r="A180" s="528"/>
      <c r="B180" s="496" t="str">
        <f>IFERROR(__xludf.DUMMYFUNCTION("""COMPUTED_VALUE"""),"Pré-Vendas (Prospecção)")</f>
        <v>Pré-Vendas (Prospecção)</v>
      </c>
      <c r="C180" s="529" t="str">
        <f>IFERROR(__xludf.DUMMYFUNCTION("""COMPUTED_VALUE"""),"Métricas que todo pré-vendedor deve saber (e acompanhar)")</f>
        <v>Métricas que todo pré-vendedor deve saber (e acompanhar)</v>
      </c>
      <c r="D180" s="529" t="str">
        <f>IFERROR(__xludf.DUMMYFUNCTION("""COMPUTED_VALUE"""),"Thaise Bolzan")</f>
        <v>Thaise Bolzan</v>
      </c>
      <c r="E180" s="296" t="str">
        <f>IFERROR(__xludf.DUMMYFUNCTION("""COMPUTED_VALUE"""),"Gerente de vendas")</f>
        <v>Gerente de vendas</v>
      </c>
      <c r="F180" s="296" t="str">
        <f>IFERROR(__xludf.DUMMYFUNCTION("""COMPUTED_VALUE"""),"QuestionPro")</f>
        <v>QuestionPro</v>
      </c>
      <c r="G180" s="540" t="str">
        <f>IFERROR(__xludf.DUMMYFUNCTION("""COMPUTED_VALUE"""),"https://www.linkedin.com/in/izebolzan/")</f>
        <v>https://www.linkedin.com/in/izebolzan/</v>
      </c>
      <c r="H180" s="296" t="str">
        <f>IFERROR(__xludf.DUMMYFUNCTION("""COMPUTED_VALUE"""),"Conhecimento Técnico")</f>
        <v>Conhecimento Técnico</v>
      </c>
      <c r="I180" s="296" t="str">
        <f>IFERROR(__xludf.DUMMYFUNCTION("""COMPUTED_VALUE"""),"Gestão de vendas")</f>
        <v>Gestão de vendas</v>
      </c>
      <c r="J180" s="542" t="str">
        <f>IFERROR(__xludf.DUMMYFUNCTION("""COMPUTED_VALUE"""),"Métricas de Funil")</f>
        <v>Métricas de Funil</v>
      </c>
      <c r="K180" s="114" t="str">
        <f>IFERROR(__xludf.DUMMYFUNCTION("""COMPUTED_VALUE"""),"https://universidade.pipelovers.net/m/lessons/metricas-que-todo-pre-vendedor-deve-saber-e-acompanhar1772542642743?classId=3763")</f>
        <v>https://universidade.pipelovers.net/m/lessons/metricas-que-todo-pre-vendedor-deve-saber-e-acompanhar1772542642743?classId=3763</v>
      </c>
      <c r="L180" s="535" t="str">
        <f>IFERROR(__xludf.DUMMYFUNCTION("""COMPUTED_VALUE"""),"https://universidade.pipelovers.net/m/lessons/metricas-que-todo-pre-vendedor-deve-saber-e-acompanhar1772542642743?classId=3763")</f>
        <v>https://universidade.pipelovers.net/m/lessons/metricas-que-todo-pre-vendedor-deve-saber-e-acompanhar1772542642743?classId=3763</v>
      </c>
      <c r="M180" s="536">
        <f>IFERROR(__xludf.DUMMYFUNCTION("""COMPUTED_VALUE"""),4.21)</f>
        <v>4.21</v>
      </c>
      <c r="N180" s="537" t="str">
        <f>IFERROR(__xludf.DUMMYFUNCTION("""COMPUTED_VALUE"""),"169. PipeLovers💚SDRs Métricas que todo pré-vendedor deve saber (e acompanhar) com Thaise Bolzan - descript.mp4")</f>
        <v>169. PipeLovers💚SDRs Métricas que todo pré-vendedor deve saber (e acompanhar) com Thaise Bolzan - descript.mp4</v>
      </c>
      <c r="O180" s="389" t="str">
        <f>IFERROR(__xludf.DUMMYFUNCTION("""COMPUTED_VALUE"""),"")</f>
        <v/>
      </c>
      <c r="P180" s="118">
        <f>IFERROR(__xludf.DUMMYFUNCTION("""COMPUTED_VALUE"""),46048.0)</f>
        <v>46048</v>
      </c>
      <c r="Q180" s="389"/>
    </row>
    <row r="181">
      <c r="A181" s="528"/>
      <c r="B181" s="496" t="str">
        <f>IFERROR(__xludf.DUMMYFUNCTION("""COMPUTED_VALUE"""),"Pré-Vendas (Prospecção)")</f>
        <v>Pré-Vendas (Prospecção)</v>
      </c>
      <c r="C181" s="529" t="str">
        <f>IFERROR(__xludf.DUMMYFUNCTION("""COMPUTED_VALUE"""),"Gerando conexão com o lead no primeiro contato")</f>
        <v>Gerando conexão com o lead no primeiro contato</v>
      </c>
      <c r="D181" s="529" t="str">
        <f>IFERROR(__xludf.DUMMYFUNCTION("""COMPUTED_VALUE"""),"Tierre Fonseca")</f>
        <v>Tierre Fonseca</v>
      </c>
      <c r="E181" s="289" t="str">
        <f>IFERROR(__xludf.DUMMYFUNCTION("""COMPUTED_VALUE"""),"Especialista em pré vendas")</f>
        <v>Especialista em pré vendas</v>
      </c>
      <c r="F181" s="289" t="str">
        <f>IFERROR(__xludf.DUMMYFUNCTION("""COMPUTED_VALUE"""),"DGenny")</f>
        <v>DGenny</v>
      </c>
      <c r="G181" s="532" t="str">
        <f>IFERROR(__xludf.DUMMYFUNCTION("""COMPUTED_VALUE"""),"https://www.linkedin.com/in/tierrefonseca/")</f>
        <v>https://www.linkedin.com/in/tierrefonseca/</v>
      </c>
      <c r="H181" s="289" t="str">
        <f>IFERROR(__xludf.DUMMYFUNCTION("""COMPUTED_VALUE"""),"Relacionamento Interpessoal")</f>
        <v>Relacionamento Interpessoal</v>
      </c>
      <c r="I181" s="289" t="str">
        <f>IFERROR(__xludf.DUMMYFUNCTION("""COMPUTED_VALUE"""),"Comunicação e relacionamento")</f>
        <v>Comunicação e relacionamento</v>
      </c>
      <c r="J181" s="533" t="str">
        <f>IFERROR(__xludf.DUMMYFUNCTION("""COMPUTED_VALUE"""),"Técnicas de Rapport")</f>
        <v>Técnicas de Rapport</v>
      </c>
      <c r="K181" s="128" t="str">
        <f>IFERROR(__xludf.DUMMYFUNCTION("""COMPUTED_VALUE"""),"https://universidade.pipelovers.net/m/lessons/gerando-conexao-com-o-lead-no-primeiro-contato1772542642630?classId=3760")</f>
        <v>https://universidade.pipelovers.net/m/lessons/gerando-conexao-com-o-lead-no-primeiro-contato1772542642630?classId=3760</v>
      </c>
      <c r="L181" s="535" t="str">
        <f>IFERROR(__xludf.DUMMYFUNCTION("""COMPUTED_VALUE"""),"https://universidade.pipelovers.net/m/lessons/gerando-conexao-com-o-lead-no-primeiro-contato1772542642630?classId=3760")</f>
        <v>https://universidade.pipelovers.net/m/lessons/gerando-conexao-com-o-lead-no-primeiro-contato1772542642630?classId=3760</v>
      </c>
      <c r="M181" s="536">
        <f>IFERROR(__xludf.DUMMYFUNCTION("""COMPUTED_VALUE"""),3.93)</f>
        <v>3.93</v>
      </c>
      <c r="N181" s="537" t="str">
        <f>IFERROR(__xludf.DUMMYFUNCTION("""COMPUTED_VALUE"""),"170. PipeLovers💚SDRs Gerando conexão com o lead no primeiro contato com Tierre Fonseca - descript.mp4")</f>
        <v>170. PipeLovers💚SDRs Gerando conexão com o lead no primeiro contato com Tierre Fonseca - descript.mp4</v>
      </c>
      <c r="O181" s="389" t="str">
        <f>IFERROR(__xludf.DUMMYFUNCTION("""COMPUTED_VALUE"""),"")</f>
        <v/>
      </c>
      <c r="P181" s="118">
        <f>IFERROR(__xludf.DUMMYFUNCTION("""COMPUTED_VALUE"""),46055.0)</f>
        <v>46055</v>
      </c>
      <c r="Q181" s="389"/>
    </row>
    <row r="182">
      <c r="A182" s="528"/>
      <c r="B182" s="496" t="str">
        <f>IFERROR(__xludf.DUMMYFUNCTION("""COMPUTED_VALUE"""),"Pré-Vendas (Prospecção)")</f>
        <v>Pré-Vendas (Prospecção)</v>
      </c>
      <c r="C182" s="268" t="str">
        <f>IFERROR(__xludf.DUMMYFUNCTION("""COMPUTED_VALUE"""),"Como passar pela secretária")</f>
        <v>Como passar pela secretária</v>
      </c>
      <c r="D182" s="529" t="str">
        <f>IFERROR(__xludf.DUMMYFUNCTION("""COMPUTED_VALUE"""),"Jéssica Bosco")</f>
        <v>Jéssica Bosco</v>
      </c>
      <c r="E182" s="296" t="str">
        <f>IFERROR(__xludf.DUMMYFUNCTION("""COMPUTED_VALUE"""),"Head de produto")</f>
        <v>Head de produto</v>
      </c>
      <c r="F182" s="296" t="str">
        <f>IFERROR(__xludf.DUMMYFUNCTION("""COMPUTED_VALUE"""),"PipeLovers")</f>
        <v>PipeLovers</v>
      </c>
      <c r="G182" s="540" t="str">
        <f>IFERROR(__xludf.DUMMYFUNCTION("""COMPUTED_VALUE"""),"https://www.linkedin.com/in/jessicabosco/")</f>
        <v>https://www.linkedin.com/in/jessicabosco/</v>
      </c>
      <c r="H182" s="104" t="str">
        <f>IFERROR(__xludf.DUMMYFUNCTION("""COMPUTED_VALUE"""),"Conhecimento Técnico")</f>
        <v>Conhecimento Técnico</v>
      </c>
      <c r="I182" s="104" t="str">
        <f>IFERROR(__xludf.DUMMYFUNCTION("""COMPUTED_VALUE"""),"Técnicas de vendas")</f>
        <v>Técnicas de vendas</v>
      </c>
      <c r="J182" s="167" t="str">
        <f>IFERROR(__xludf.DUMMYFUNCTION("""COMPUTED_VALUE"""),"Abordagem e Prospecção")</f>
        <v>Abordagem e Prospecção</v>
      </c>
      <c r="K182" s="273" t="str">
        <f>IFERROR(__xludf.DUMMYFUNCTION("""COMPUTED_VALUE"""),"https://universidade.pipelovers.net/m/lessons/como-passar-pela-secretaria1772542642357?classId=3754")</f>
        <v>https://universidade.pipelovers.net/m/lessons/como-passar-pela-secretaria1772542642357?classId=3754</v>
      </c>
      <c r="L182" s="535" t="str">
        <f>IFERROR(__xludf.DUMMYFUNCTION("""COMPUTED_VALUE"""),"https://universidade.pipelovers.net/m/lessons/como-passar-pela-secretaria1772542642357?classId=3754")</f>
        <v>https://universidade.pipelovers.net/m/lessons/como-passar-pela-secretaria1772542642357?classId=3754</v>
      </c>
      <c r="M182" s="536">
        <f>IFERROR(__xludf.DUMMYFUNCTION("""COMPUTED_VALUE"""),5.0)</f>
        <v>5</v>
      </c>
      <c r="N182" s="537" t="str">
        <f>IFERROR(__xludf.DUMMYFUNCTION("""COMPUTED_VALUE"""),"171. PipeLovers💚SDRs Como passar pela secretária com Jéssica Bosco - descript.mp4")</f>
        <v>171. PipeLovers💚SDRs Como passar pela secretária com Jéssica Bosco - descript.mp4</v>
      </c>
      <c r="O182" s="389" t="str">
        <f>IFERROR(__xludf.DUMMYFUNCTION("""COMPUTED_VALUE"""),"")</f>
        <v/>
      </c>
      <c r="P182" s="118">
        <f>IFERROR(__xludf.DUMMYFUNCTION("""COMPUTED_VALUE"""),46062.0)</f>
        <v>46062</v>
      </c>
      <c r="Q182" s="389"/>
    </row>
    <row r="183">
      <c r="A183" s="73"/>
      <c r="B183" s="549" t="str">
        <f>IFERROR(__xludf.DUMMYFUNCTION("""COMPUTED_VALUE"""),"Pré-Vendas (Prospecção)")</f>
        <v>Pré-Vendas (Prospecção)</v>
      </c>
      <c r="C183" s="481" t="str">
        <f>IFERROR(__xludf.DUMMYFUNCTION("""COMPUTED_VALUE"""),"Como usar IA para acelerar sua prospecção")</f>
        <v>Como usar IA para acelerar sua prospecção</v>
      </c>
      <c r="D183" s="173" t="str">
        <f>IFERROR(__xludf.DUMMYFUNCTION("""COMPUTED_VALUE"""),"Manoel Victor")</f>
        <v>Manoel Victor</v>
      </c>
      <c r="E183" s="508" t="str">
        <f>IFERROR(__xludf.DUMMYFUNCTION("""COMPUTED_VALUE"""),"Fundador e CEO")</f>
        <v>Fundador e CEO</v>
      </c>
      <c r="F183" s="508" t="str">
        <f>IFERROR(__xludf.DUMMYFUNCTION("""COMPUTED_VALUE"""),"Marvee")</f>
        <v>Marvee</v>
      </c>
      <c r="G183" s="532" t="str">
        <f>IFERROR(__xludf.DUMMYFUNCTION("""COMPUTED_VALUE"""),"https://www.linkedin.com/in/manoel-victor-tomaz/")</f>
        <v>https://www.linkedin.com/in/manoel-victor-tomaz/</v>
      </c>
      <c r="H183" s="289" t="str">
        <f>IFERROR(__xludf.DUMMYFUNCTION("""COMPUTED_VALUE"""),"Visão de Negócios")</f>
        <v>Visão de Negócios</v>
      </c>
      <c r="I183" s="289" t="str">
        <f>IFERROR(__xludf.DUMMYFUNCTION("""COMPUTED_VALUE"""),"Tendências de mercado")</f>
        <v>Tendências de mercado</v>
      </c>
      <c r="J183" s="550" t="str">
        <f>IFERROR(__xludf.DUMMYFUNCTION("""COMPUTED_VALUE"""),"Inovações Tecnológicas")</f>
        <v>Inovações Tecnológicas</v>
      </c>
      <c r="K183" s="275" t="str">
        <f>IFERROR(__xludf.DUMMYFUNCTION("""COMPUTED_VALUE"""),"https://universidade.pipelovers.net/m/lessons/como-usar-ia-para-acelerar-sua-prospeccao-1771878431926?classId=3835")</f>
        <v>https://universidade.pipelovers.net/m/lessons/como-usar-ia-para-acelerar-sua-prospeccao-1771878431926?classId=3835</v>
      </c>
      <c r="L183" s="535" t="str">
        <f>IFERROR(__xludf.DUMMYFUNCTION("""COMPUTED_VALUE"""),"https://universidade.pipelovers.net/m/lessons/como-usar-ia-para-acelerar-sua-prospeccao-1771878431926?classId=3835")</f>
        <v>https://universidade.pipelovers.net/m/lessons/como-usar-ia-para-acelerar-sua-prospeccao-1771878431926?classId=3835</v>
      </c>
      <c r="M183" s="379" t="str">
        <f>IFERROR(__xludf.DUMMYFUNCTION("""COMPUTED_VALUE"""),"4,36")</f>
        <v>4,36</v>
      </c>
      <c r="N183" s="553" t="str">
        <f>IFERROR(__xludf.DUMMYFUNCTION("""COMPUTED_VALUE"""),"172. PipeLovers💚SDRs Como usar IA para acelerar sua prospecção com Manoel Victor - descript.mp4")</f>
        <v>172. PipeLovers💚SDRs Como usar IA para acelerar sua prospecção com Manoel Victor - descript.mp4</v>
      </c>
      <c r="O183" s="389" t="str">
        <f>IFERROR(__xludf.DUMMYFUNCTION("""COMPUTED_VALUE"""),"")</f>
        <v/>
      </c>
      <c r="P183" s="118">
        <f>IFERROR(__xludf.DUMMYFUNCTION("""COMPUTED_VALUE"""),46069.0)</f>
        <v>46069</v>
      </c>
      <c r="Q183" s="389"/>
    </row>
    <row r="184">
      <c r="A184" s="73"/>
      <c r="B184" s="549" t="str">
        <f>IFERROR(__xludf.DUMMYFUNCTION("""COMPUTED_VALUE"""),"Pré-Vendas (Prospecção)")</f>
        <v>Pré-Vendas (Prospecção)</v>
      </c>
      <c r="C184" s="555" t="str">
        <f>IFERROR(__xludf.DUMMYFUNCTION("""COMPUTED_VALUE"""),"WhatsApp que converte: como conduzir a conversa até a reunião")</f>
        <v>WhatsApp que converte: como conduzir a conversa até a reunião</v>
      </c>
      <c r="D184" s="175" t="str">
        <f>IFERROR(__xludf.DUMMYFUNCTION("""COMPUTED_VALUE"""),"Daniel Reginatto")</f>
        <v>Daniel Reginatto</v>
      </c>
      <c r="E184" s="556" t="str">
        <f>IFERROR(__xludf.DUMMYFUNCTION("""COMPUTED_VALUE"""),"Founder e CEO")</f>
        <v>Founder e CEO</v>
      </c>
      <c r="F184" s="556" t="str">
        <f>IFERROR(__xludf.DUMMYFUNCTION("""COMPUTED_VALUE"""),"Redrive")</f>
        <v>Redrive</v>
      </c>
      <c r="G184" s="558" t="str">
        <f>IFERROR(__xludf.DUMMYFUNCTION("""COMPUTED_VALUE"""),"https://www.linkedin.com/in/danielreginatto/")</f>
        <v>https://www.linkedin.com/in/danielreginatto/</v>
      </c>
      <c r="H184" s="296" t="str">
        <f>IFERROR(__xludf.DUMMYFUNCTION("""COMPUTED_VALUE"""),"Conhecimento Técnico")</f>
        <v>Conhecimento Técnico</v>
      </c>
      <c r="I184" s="296" t="str">
        <f>IFERROR(__xludf.DUMMYFUNCTION("""COMPUTED_VALUE"""),"Técnicas de vendas")</f>
        <v>Técnicas de vendas</v>
      </c>
      <c r="J184" s="550" t="str">
        <f>IFERROR(__xludf.DUMMYFUNCTION("""COMPUTED_VALUE"""),"Abordagem e Prospecção")</f>
        <v>Abordagem e Prospecção</v>
      </c>
      <c r="K184" s="273" t="str">
        <f>IFERROR(__xludf.DUMMYFUNCTION("""COMPUTED_VALUE"""),"https://universidade.pipelovers.net/m/lessons/whatsapp-que-converte-como-conduzir-a-conversa-ate-a-reuniao-1771879433094?classId=3836")</f>
        <v>https://universidade.pipelovers.net/m/lessons/whatsapp-que-converte-como-conduzir-a-conversa-ate-a-reuniao-1771879433094?classId=3836</v>
      </c>
      <c r="L184" s="562" t="str">
        <f>IFERROR(__xludf.DUMMYFUNCTION("""COMPUTED_VALUE"""),"https://universidade.pipelovers.net/m/lessons/whatsapp-que-converte-como-conduzir-a-conversa-ate-a-reuniao-1771879433094?classId=3836")</f>
        <v>https://universidade.pipelovers.net/m/lessons/whatsapp-que-converte-como-conduzir-a-conversa-ate-a-reuniao-1771879433094?classId=3836</v>
      </c>
      <c r="M184" s="379" t="str">
        <f>IFERROR(__xludf.DUMMYFUNCTION("""COMPUTED_VALUE"""),"4,71")</f>
        <v>4,71</v>
      </c>
      <c r="N184" s="553" t="str">
        <f>IFERROR(__xludf.DUMMYFUNCTION("""COMPUTED_VALUE"""),"173. PipeLovers💚SDRs WhatsApp que converte como conduzir a conversa até a reunião com Daniel Reginatto - descript.mp4")</f>
        <v>173. PipeLovers💚SDRs WhatsApp que converte como conduzir a conversa até a reunião com Daniel Reginatto - descript.mp4</v>
      </c>
      <c r="O184" s="389" t="str">
        <f>IFERROR(__xludf.DUMMYFUNCTION("""COMPUTED_VALUE"""),"")</f>
        <v/>
      </c>
      <c r="P184" s="118">
        <f>IFERROR(__xludf.DUMMYFUNCTION("""COMPUTED_VALUE"""),46076.0)</f>
        <v>46076</v>
      </c>
      <c r="Q184" s="389"/>
    </row>
    <row r="185">
      <c r="A185" s="73"/>
      <c r="B185" s="549" t="str">
        <f>IFERROR(__xludf.DUMMYFUNCTION("""COMPUTED_VALUE"""),"Pré-Vendas (Prospecção)")</f>
        <v>Pré-Vendas (Prospecção)</v>
      </c>
      <c r="C185" s="481" t="str">
        <f>IFERROR(__xludf.DUMMYFUNCTION("""COMPUTED_VALUE"""),"Diagnóstico de oportunidade: como identificar o cliente certo na pré-venda")</f>
        <v>Diagnóstico de oportunidade: como identificar o cliente certo na pré-venda</v>
      </c>
      <c r="D185" s="173" t="str">
        <f>IFERROR(__xludf.DUMMYFUNCTION("""COMPUTED_VALUE"""),"Júlia Drumond")</f>
        <v>Júlia Drumond</v>
      </c>
      <c r="E185" s="508" t="str">
        <f>IFERROR(__xludf.DUMMYFUNCTION("""COMPUTED_VALUE"""),"Head of Revenue")</f>
        <v>Head of Revenue</v>
      </c>
      <c r="F185" s="508" t="str">
        <f>IFERROR(__xludf.DUMMYFUNCTION("""COMPUTED_VALUE"""),"ImLog")</f>
        <v>ImLog</v>
      </c>
      <c r="G185" s="532" t="str">
        <f>IFERROR(__xludf.DUMMYFUNCTION("""COMPUTED_VALUE"""),"https://www.linkedin.com/in/julia-drumond/")</f>
        <v>https://www.linkedin.com/in/julia-drumond/</v>
      </c>
      <c r="H185" s="289" t="str">
        <f>IFERROR(__xludf.DUMMYFUNCTION("""COMPUTED_VALUE"""),"Conhecimento Técnico")</f>
        <v>Conhecimento Técnico</v>
      </c>
      <c r="I185" s="289" t="str">
        <f>IFERROR(__xludf.DUMMYFUNCTION("""COMPUTED_VALUE"""),"Técnicas de vendas")</f>
        <v>Técnicas de vendas</v>
      </c>
      <c r="J185" s="550" t="str">
        <f>IFERROR(__xludf.DUMMYFUNCTION("""COMPUTED_VALUE"""),"Qualificação e Entendimento da Dor")</f>
        <v>Qualificação e Entendimento da Dor</v>
      </c>
      <c r="K185" s="275" t="str">
        <f>IFERROR(__xludf.DUMMYFUNCTION("""COMPUTED_VALUE"""),"https://universidade.pipelovers.net/m/lessons/diagnostico-de-oportunidade-como-identificar-o-cliente-certo-na-pre-venda-1771879498749?classId=3838")</f>
        <v>https://universidade.pipelovers.net/m/lessons/diagnostico-de-oportunidade-como-identificar-o-cliente-certo-na-pre-venda-1771879498749?classId=3838</v>
      </c>
      <c r="L185" s="535" t="str">
        <f>IFERROR(__xludf.DUMMYFUNCTION("""COMPUTED_VALUE"""),"https://universidade.pipelovers.net/m/lessons/diagnostico-de-oportunidade-como-identificar-o-cliente-certo-na-pre-venda-1771879498749?classId=3838")</f>
        <v>https://universidade.pipelovers.net/m/lessons/diagnostico-de-oportunidade-como-identificar-o-cliente-certo-na-pre-venda-1771879498749?classId=3838</v>
      </c>
      <c r="M185" s="379" t="str">
        <f>IFERROR(__xludf.DUMMYFUNCTION("""COMPUTED_VALUE"""),"5")</f>
        <v>5</v>
      </c>
      <c r="N185" s="553" t="str">
        <f>IFERROR(__xludf.DUMMYFUNCTION("""COMPUTED_VALUE"""),"174. PipeLovers💚SDRs Diagnóstico de oportunidade como identificar o cliente certo na pré-venda com Júlia Drumond - descript.mp4")</f>
        <v>174. PipeLovers💚SDRs Diagnóstico de oportunidade como identificar o cliente certo na pré-venda com Júlia Drumond - descript.mp4</v>
      </c>
      <c r="O185" s="389" t="str">
        <f>IFERROR(__xludf.DUMMYFUNCTION("""COMPUTED_VALUE"""),"")</f>
        <v/>
      </c>
      <c r="P185" s="118">
        <f>IFERROR(__xludf.DUMMYFUNCTION("""COMPUTED_VALUE"""),46083.0)</f>
        <v>46083</v>
      </c>
      <c r="Q185" s="389"/>
    </row>
    <row r="186">
      <c r="A186" s="73"/>
      <c r="B186" s="549" t="str">
        <f>IFERROR(__xludf.DUMMYFUNCTION("""COMPUTED_VALUE"""),"Pré-Vendas (Prospecção)")</f>
        <v>Pré-Vendas (Prospecção)</v>
      </c>
      <c r="C186" s="555" t="str">
        <f>IFERROR(__xludf.DUMMYFUNCTION("""COMPUTED_VALUE"""),"Entendendo a dor do cliente desde a primeira conversa")</f>
        <v>Entendendo a dor do cliente desde a primeira conversa</v>
      </c>
      <c r="D186" s="175" t="str">
        <f>IFERROR(__xludf.DUMMYFUNCTION("""COMPUTED_VALUE"""),"Bianca Gimenez")</f>
        <v>Bianca Gimenez</v>
      </c>
      <c r="E186" s="556" t="str">
        <f>IFERROR(__xludf.DUMMYFUNCTION("""COMPUTED_VALUE"""),"Founder")</f>
        <v>Founder</v>
      </c>
      <c r="F186" s="556" t="str">
        <f>IFERROR(__xludf.DUMMYFUNCTION("""COMPUTED_VALUE"""),"Águia Leão")</f>
        <v>Águia Leão</v>
      </c>
      <c r="G186" s="540" t="str">
        <f>IFERROR(__xludf.DUMMYFUNCTION("""COMPUTED_VALUE"""),"https://www.linkedin.com/in/biancagimenezvalente/")</f>
        <v>https://www.linkedin.com/in/biancagimenezvalente/</v>
      </c>
      <c r="H186" s="296" t="str">
        <f>IFERROR(__xludf.DUMMYFUNCTION("""COMPUTED_VALUE"""),"Relacionamento Interpessoal")</f>
        <v>Relacionamento Interpessoal</v>
      </c>
      <c r="I186" s="296" t="str">
        <f>IFERROR(__xludf.DUMMYFUNCTION("""COMPUTED_VALUE"""),"Comunicação e relacionamento")</f>
        <v>Comunicação e relacionamento</v>
      </c>
      <c r="J186" s="550" t="str">
        <f>IFERROR(__xludf.DUMMYFUNCTION("""COMPUTED_VALUE"""),"Qualificação e Entendimento da Dor")</f>
        <v>Qualificação e Entendimento da Dor</v>
      </c>
      <c r="K186" s="273" t="str">
        <f>IFERROR(__xludf.DUMMYFUNCTION("""COMPUTED_VALUE"""),"https://universidade.pipelovers.net/m/lessons/entendendo-a-dor-do-cliente-desde-a-primeira-conversa-1773684269941?classId=3803")</f>
        <v>https://universidade.pipelovers.net/m/lessons/entendendo-a-dor-do-cliente-desde-a-primeira-conversa-1773684269941?classId=3803</v>
      </c>
      <c r="L186" s="535" t="str">
        <f>IFERROR(__xludf.DUMMYFUNCTION("""COMPUTED_VALUE"""),"https://universidade.pipelovers.net/m/lessons/entendendo-a-dor-do-cliente-desde-a-primeira-conversa-1773684269941?classId=3803")</f>
        <v>https://universidade.pipelovers.net/m/lessons/entendendo-a-dor-do-cliente-desde-a-primeira-conversa-1773684269941?classId=3803</v>
      </c>
      <c r="M186" s="379" t="str">
        <f>IFERROR(__xludf.DUMMYFUNCTION("""COMPUTED_VALUE"""),"4,5")</f>
        <v>4,5</v>
      </c>
      <c r="N186" s="553" t="str">
        <f>IFERROR(__xludf.DUMMYFUNCTION("""COMPUTED_VALUE"""),"175. PipeLovers💚SDRs Entendendo a dor do cliente desde a primeira conversa com Bianca Gimenez.mp4")</f>
        <v>175. PipeLovers💚SDRs Entendendo a dor do cliente desde a primeira conversa com Bianca Gimenez.mp4</v>
      </c>
      <c r="O186" s="389" t="str">
        <f>IFERROR(__xludf.DUMMYFUNCTION("""COMPUTED_VALUE"""),"")</f>
        <v/>
      </c>
      <c r="P186" s="118">
        <f>IFERROR(__xludf.DUMMYFUNCTION("""COMPUTED_VALUE"""),46090.0)</f>
        <v>46090</v>
      </c>
      <c r="Q186" s="389"/>
    </row>
    <row r="187">
      <c r="A187" s="73"/>
      <c r="B187" s="549" t="str">
        <f>IFERROR(__xludf.DUMMYFUNCTION("""COMPUTED_VALUE"""),"Pré-Vendas (Prospecção)")</f>
        <v>Pré-Vendas (Prospecção)</v>
      </c>
      <c r="C187" s="481" t="str">
        <f>IFERROR(__xludf.DUMMYFUNCTION("""COMPUTED_VALUE"""),"Metodologia BANT para qualificação de oportunidades")</f>
        <v>Metodologia BANT para qualificação de oportunidades</v>
      </c>
      <c r="D187" s="173" t="str">
        <f>IFERROR(__xludf.DUMMYFUNCTION("""COMPUTED_VALUE"""),"Janine Bosco")</f>
        <v>Janine Bosco</v>
      </c>
      <c r="E187" s="508" t="str">
        <f>IFERROR(__xludf.DUMMYFUNCTION("""COMPUTED_VALUE"""),"Sócia")</f>
        <v>Sócia</v>
      </c>
      <c r="F187" s="508" t="str">
        <f>IFERROR(__xludf.DUMMYFUNCTION("""COMPUTED_VALUE"""),"Aquila Aceleradora")</f>
        <v>Aquila Aceleradora</v>
      </c>
      <c r="G187" s="532" t="str">
        <f>IFERROR(__xludf.DUMMYFUNCTION("""COMPUTED_VALUE"""),"https://www.linkedin.com/in/janine-gabriela-bosco-1525b0bb/")</f>
        <v>https://www.linkedin.com/in/janine-gabriela-bosco-1525b0bb/</v>
      </c>
      <c r="H187" s="289" t="str">
        <f>IFERROR(__xludf.DUMMYFUNCTION("""COMPUTED_VALUE"""),"Conhecimento Técnico")</f>
        <v>Conhecimento Técnico</v>
      </c>
      <c r="I187" s="289" t="str">
        <f>IFERROR(__xludf.DUMMYFUNCTION("""COMPUTED_VALUE"""),"Técnicas de vendas")</f>
        <v>Técnicas de vendas</v>
      </c>
      <c r="J187" s="550" t="str">
        <f>IFERROR(__xludf.DUMMYFUNCTION("""COMPUTED_VALUE"""),"Qualificação e Entendimento da Dor")</f>
        <v>Qualificação e Entendimento da Dor</v>
      </c>
      <c r="K187" s="275" t="str">
        <f>IFERROR(__xludf.DUMMYFUNCTION("""COMPUTED_VALUE"""),"https://universidade.pipelovers.net/m/lessons/metodologia-bant-para-qualificacao-de-oportunidades-1774546900949?classId=3848")</f>
        <v>https://universidade.pipelovers.net/m/lessons/metodologia-bant-para-qualificacao-de-oportunidades-1774546900949?classId=3848</v>
      </c>
      <c r="L187" s="275" t="str">
        <f>IFERROR(__xludf.DUMMYFUNCTION("""COMPUTED_VALUE"""),"https://universidade.pipelovers.net/m/lessons/metodologia-bant-para-qualificacao-de-oportunidades-1774546900949?classId=3848")</f>
        <v>https://universidade.pipelovers.net/m/lessons/metodologia-bant-para-qualificacao-de-oportunidades-1774546900949?classId=3848</v>
      </c>
      <c r="M187" s="379" t="str">
        <f>IFERROR(__xludf.DUMMYFUNCTION("""COMPUTED_VALUE"""),"4,86")</f>
        <v>4,86</v>
      </c>
      <c r="N187" s="553" t="str">
        <f>IFERROR(__xludf.DUMMYFUNCTION("""COMPUTED_VALUE"""),"176. PipeLovers💚SDRs Metodologia BANT para qualificação de oportunidades com Janine Bosco - descript.mp4")</f>
        <v>176. PipeLovers💚SDRs Metodologia BANT para qualificação de oportunidades com Janine Bosco - descript.mp4</v>
      </c>
      <c r="O187" s="389" t="str">
        <f>IFERROR(__xludf.DUMMYFUNCTION("""COMPUTED_VALUE"""),"")</f>
        <v/>
      </c>
      <c r="P187" s="118">
        <f>IFERROR(__xludf.DUMMYFUNCTION("""COMPUTED_VALUE"""),46097.0)</f>
        <v>46097</v>
      </c>
      <c r="Q187" s="389"/>
    </row>
    <row r="188">
      <c r="A188" s="528"/>
      <c r="B188" s="549" t="str">
        <f>IFERROR(__xludf.DUMMYFUNCTION("""COMPUTED_VALUE"""),"Pré-Vendas (Prospecção)")</f>
        <v>Pré-Vendas (Prospecção)</v>
      </c>
      <c r="C188" s="507" t="str">
        <f>IFERROR(__xludf.DUMMYFUNCTION("""COMPUTED_VALUE"""),"Reativação de contas inativas")</f>
        <v>Reativação de contas inativas</v>
      </c>
      <c r="D188" s="507" t="str">
        <f>IFERROR(__xludf.DUMMYFUNCTION("""COMPUTED_VALUE"""),"Tainah Subtil")</f>
        <v>Tainah Subtil</v>
      </c>
      <c r="E188" s="508" t="str">
        <f>IFERROR(__xludf.DUMMYFUNCTION("""COMPUTED_VALUE"""),"SDR Manager")</f>
        <v>SDR Manager</v>
      </c>
      <c r="F188" s="508" t="str">
        <f>IFERROR(__xludf.DUMMYFUNCTION("""COMPUTED_VALUE"""),"Chili Piper")</f>
        <v>Chili Piper</v>
      </c>
      <c r="G188" s="573" t="str">
        <f>IFERROR(__xludf.DUMMYFUNCTION("""COMPUTED_VALUE"""),"https://www.linkedin.com/in/tainahsubtil/")</f>
        <v>https://www.linkedin.com/in/tainahsubtil/</v>
      </c>
      <c r="H188" s="289" t="str">
        <f>IFERROR(__xludf.DUMMYFUNCTION("""COMPUTED_VALUE"""),"Conhecimento Técnico")</f>
        <v>Conhecimento Técnico</v>
      </c>
      <c r="I188" s="289" t="str">
        <f>IFERROR(__xludf.DUMMYFUNCTION("""COMPUTED_VALUE"""),"Técnicas de vendas")</f>
        <v>Técnicas de vendas</v>
      </c>
      <c r="J188" s="550" t="str">
        <f>IFERROR(__xludf.DUMMYFUNCTION("""COMPUTED_VALUE"""),"Gestão de Carteira de Clientes")</f>
        <v>Gestão de Carteira de Clientes</v>
      </c>
      <c r="K188" s="578" t="str">
        <f>IFERROR(__xludf.DUMMYFUNCTION("""COMPUTED_VALUE"""),"https://universidade.pipelovers.net/m/lessons/reativacao-de-contas-inativas-1773683936663?classId=3802")</f>
        <v>https://universidade.pipelovers.net/m/lessons/reativacao-de-contas-inativas-1773683936663?classId=3802</v>
      </c>
      <c r="L188" s="562" t="str">
        <f>IFERROR(__xludf.DUMMYFUNCTION("""COMPUTED_VALUE"""),"https://universidade.pipelovers.net/m/lessons/reativacao-de-contas-inativas-1773683936663?classId=3802")</f>
        <v>https://universidade.pipelovers.net/m/lessons/reativacao-de-contas-inativas-1773683936663?classId=3802</v>
      </c>
      <c r="M188" s="581">
        <f>IFERROR(__xludf.DUMMYFUNCTION("""COMPUTED_VALUE"""),3.0)</f>
        <v>3</v>
      </c>
      <c r="N188" s="582" t="str">
        <f>IFERROR(__xludf.DUMMYFUNCTION("""COMPUTED_VALUE"""),"177. PipeLovers💚SDRs Reativação de contas inativas com Tainah Subtil - descript.mp4")</f>
        <v>177. PipeLovers💚SDRs Reativação de contas inativas com Tainah Subtil - descript.mp4</v>
      </c>
      <c r="O188" s="389" t="str">
        <f>IFERROR(__xludf.DUMMYFUNCTION("""COMPUTED_VALUE"""),"")</f>
        <v/>
      </c>
      <c r="P188" s="118">
        <f>IFERROR(__xludf.DUMMYFUNCTION("""COMPUTED_VALUE"""),46104.0)</f>
        <v>46104</v>
      </c>
      <c r="Q188" s="389"/>
    </row>
    <row r="189">
      <c r="A189" s="584"/>
      <c r="B189" s="586" t="str">
        <f>IFERROR(__xludf.DUMMYFUNCTION("""COMPUTED_VALUE"""),"Pré-Vendas (Prospecção)")</f>
        <v>Pré-Vendas (Prospecção)</v>
      </c>
      <c r="C189" s="210" t="str">
        <f>IFERROR(__xludf.DUMMYFUNCTION("""COMPUTED_VALUE"""),"Como priorizar tarefas no dia a dia de pré‑venda")</f>
        <v>Como priorizar tarefas no dia a dia de pré‑venda</v>
      </c>
      <c r="D189" s="513" t="str">
        <f>IFERROR(__xludf.DUMMYFUNCTION("""COMPUTED_VALUE"""),"Gabriel Heringer")</f>
        <v>Gabriel Heringer</v>
      </c>
      <c r="E189" s="406" t="str">
        <f>IFERROR(__xludf.DUMMYFUNCTION("""COMPUTED_VALUE"""),"Gerente de Pré Vendas")</f>
        <v>Gerente de Pré Vendas</v>
      </c>
      <c r="F189" s="406" t="str">
        <f>IFERROR(__xludf.DUMMYFUNCTION("""COMPUTED_VALUE"""),"Gupy")</f>
        <v>Gupy</v>
      </c>
      <c r="G189" s="514" t="str">
        <f>IFERROR(__xludf.DUMMYFUNCTION("""COMPUTED_VALUE"""),"https://www.linkedin.com/in/gabriel-heringer-b64498143/")</f>
        <v>https://www.linkedin.com/in/gabriel-heringer-b64498143/</v>
      </c>
      <c r="H189" s="588" t="str">
        <f>IFERROR(__xludf.DUMMYFUNCTION("""COMPUTED_VALUE"""),"Autodesenvolvimento")</f>
        <v>Autodesenvolvimento</v>
      </c>
      <c r="I189" s="588" t="str">
        <f>IFERROR(__xludf.DUMMYFUNCTION("""COMPUTED_VALUE"""),"Gestão de tempo e da informação")</f>
        <v>Gestão de tempo e da informação</v>
      </c>
      <c r="J189" s="589" t="str">
        <f>IFERROR(__xludf.DUMMYFUNCTION("""COMPUTED_VALUE"""),"Priorização de Atividades")</f>
        <v>Priorização de Atividades</v>
      </c>
      <c r="K189" s="591" t="str">
        <f>IFERROR(__xludf.DUMMYFUNCTION("""COMPUTED_VALUE"""),"https://universidade.pipelovers.net/aulas/como-priorizar-tarefas-no-dia-a-dia-de-prevenda-1773684689179")</f>
        <v>https://universidade.pipelovers.net/aulas/como-priorizar-tarefas-no-dia-a-dia-de-prevenda-1773684689179</v>
      </c>
      <c r="L189" s="595" t="str">
        <f>IFERROR(__xludf.DUMMYFUNCTION("""COMPUTED_VALUE"""),"https://universidade.pipelovers.net/aulas/como-priorizar-tarefas-no-dia-a-dia-de-prevenda-1773684689179")</f>
        <v>https://universidade.pipelovers.net/aulas/como-priorizar-tarefas-no-dia-a-dia-de-prevenda-1773684689179</v>
      </c>
      <c r="M189" s="379">
        <f>IFERROR(__xludf.DUMMYFUNCTION("""COMPUTED_VALUE"""),4.0)</f>
        <v>4</v>
      </c>
      <c r="N189" s="596" t="str">
        <f>IFERROR(__xludf.DUMMYFUNCTION("""COMPUTED_VALUE"""),"178. PipeLovers💚SDRs Como priorizar tarefas no dia a dia de pré‑venda com Gabriel Heringer - descript.mp4")</f>
        <v>178. PipeLovers💚SDRs Como priorizar tarefas no dia a dia de pré‑venda com Gabriel Heringer - descript.mp4</v>
      </c>
      <c r="O189" s="389" t="str">
        <f>IFERROR(__xludf.DUMMYFUNCTION("""COMPUTED_VALUE"""),"")</f>
        <v/>
      </c>
      <c r="P189" s="118">
        <f>IFERROR(__xludf.DUMMYFUNCTION("""COMPUTED_VALUE"""),46111.0)</f>
        <v>46111</v>
      </c>
      <c r="Q189" s="389"/>
    </row>
    <row r="190">
      <c r="A190" s="73"/>
      <c r="B190" s="549" t="str">
        <f>IFERROR(__xludf.DUMMYFUNCTION("""COMPUTED_VALUE"""),"Pré-Vendas (Prospecção)")</f>
        <v>Pré-Vendas (Prospecção)</v>
      </c>
      <c r="C190" s="145" t="str">
        <f>IFERROR(__xludf.DUMMYFUNCTION("""COMPUTED_VALUE"""),"Como pensar como um pré vendas estratégico")</f>
        <v>Como pensar como um pré vendas estratégico</v>
      </c>
      <c r="D190" s="145" t="str">
        <f>IFERROR(__xludf.DUMMYFUNCTION("""COMPUTED_VALUE"""),"Pedro Holz")</f>
        <v>Pedro Holz</v>
      </c>
      <c r="E190" s="110" t="str">
        <f>IFERROR(__xludf.DUMMYFUNCTION("""COMPUTED_VALUE"""),"Co-fundador")</f>
        <v>Co-fundador</v>
      </c>
      <c r="F190" s="446" t="str">
        <f>IFERROR(__xludf.DUMMYFUNCTION("""COMPUTED_VALUE"""),"Aquila Aceleradora Comercial")</f>
        <v>Aquila Aceleradora Comercial</v>
      </c>
      <c r="G190" s="447" t="str">
        <f>IFERROR(__xludf.DUMMYFUNCTION("""COMPUTED_VALUE"""),"https://www.linkedin.com/in/pedroholz/")</f>
        <v>https://www.linkedin.com/in/pedroholz/</v>
      </c>
      <c r="H190" s="446" t="str">
        <f>IFERROR(__xludf.DUMMYFUNCTION("""COMPUTED_VALUE"""),"Autodesenvolvimento")</f>
        <v>Autodesenvolvimento</v>
      </c>
      <c r="I190" s="446" t="str">
        <f>IFERROR(__xludf.DUMMYFUNCTION("""COMPUTED_VALUE"""),"Inteligência Emocional")</f>
        <v>Inteligência Emocional</v>
      </c>
      <c r="J190" s="446" t="str">
        <f>IFERROR(__xludf.DUMMYFUNCTION("""COMPUTED_VALUE"""),"Motivação")</f>
        <v>Motivação</v>
      </c>
      <c r="K190" s="483" t="str">
        <f>IFERROR(__xludf.DUMMYFUNCTION("""COMPUTED_VALUE"""),"https://universidade.pipelovers.net/aulas/como-pensar-como-um-pre-vendas-estrategico-1774880946682")</f>
        <v>https://universidade.pipelovers.net/aulas/como-pensar-como-um-pre-vendas-estrategico-1774880946682</v>
      </c>
      <c r="L190" s="148" t="str">
        <f>IFERROR(__xludf.DUMMYFUNCTION("""COMPUTED_VALUE"""),"https://universidade.pipelovers.net/aulas/como-pensar-como-um-pre-vendas-estrategico-1774880946682")</f>
        <v>https://universidade.pipelovers.net/aulas/como-pensar-como-um-pre-vendas-estrategico-1774880946682</v>
      </c>
      <c r="M190" s="117">
        <f>IFERROR(__xludf.DUMMYFUNCTION("""COMPUTED_VALUE"""),4.0)</f>
        <v>4</v>
      </c>
      <c r="N190" s="553" t="str">
        <f>IFERROR(__xludf.DUMMYFUNCTION("""COMPUTED_VALUE"""),"179. PipeLovers💚SDRs Como pensar como um pré vendas estratégico com Pedro Holz - descript.mp4")</f>
        <v>179. PipeLovers💚SDRs Como pensar como um pré vendas estratégico com Pedro Holz - descript.mp4</v>
      </c>
      <c r="O190" s="389" t="str">
        <f>IFERROR(__xludf.DUMMYFUNCTION("""COMPUTED_VALUE"""),"")</f>
        <v/>
      </c>
      <c r="P190" s="118">
        <f>IFERROR(__xludf.DUMMYFUNCTION("""COMPUTED_VALUE"""),46118.0)</f>
        <v>46118</v>
      </c>
      <c r="Q190" s="389"/>
    </row>
    <row r="191">
      <c r="A191" s="73"/>
      <c r="B191" s="549" t="str">
        <f>IFERROR(__xludf.DUMMYFUNCTION("""COMPUTED_VALUE"""),"Pré-Vendas (Prospecção)")</f>
        <v>Pré-Vendas (Prospecção)</v>
      </c>
      <c r="C191" s="518" t="str">
        <f>IFERROR(__xludf.DUMMYFUNCTION("""COMPUTED_VALUE"""),"Hacks essenciais para converter mais")</f>
        <v>Hacks essenciais para converter mais</v>
      </c>
      <c r="D191" s="526" t="str">
        <f>IFERROR(__xludf.DUMMYFUNCTION("""COMPUTED_VALUE"""),"Jéssica Bosco")</f>
        <v>Jéssica Bosco</v>
      </c>
      <c r="E191" s="212" t="str">
        <f>IFERROR(__xludf.DUMMYFUNCTION("""COMPUTED_VALUE"""),"Head de produto")</f>
        <v>Head de produto</v>
      </c>
      <c r="F191" s="212" t="str">
        <f>IFERROR(__xludf.DUMMYFUNCTION("""COMPUTED_VALUE"""),"PipeLovers")</f>
        <v>PipeLovers</v>
      </c>
      <c r="G191" s="236" t="str">
        <f>IFERROR(__xludf.DUMMYFUNCTION("""COMPUTED_VALUE"""),"https://www.linkedin.com/in/jessicabosco/")</f>
        <v>https://www.linkedin.com/in/jessicabosco/</v>
      </c>
      <c r="H191" s="600" t="str">
        <f>IFERROR(__xludf.DUMMYFUNCTION("""COMPUTED_VALUE"""),"Conhecimento Técnico")</f>
        <v>Conhecimento Técnico</v>
      </c>
      <c r="I191" s="600" t="str">
        <f>IFERROR(__xludf.DUMMYFUNCTION("""COMPUTED_VALUE"""),"Técnicas de Vendas")</f>
        <v>Técnicas de Vendas</v>
      </c>
      <c r="J191" s="446" t="str">
        <f>IFERROR(__xludf.DUMMYFUNCTION("""COMPUTED_VALUE"""),"Negociação e Fechamento de Vendas")</f>
        <v>Negociação e Fechamento de Vendas</v>
      </c>
      <c r="K191" s="473" t="str">
        <f>IFERROR(__xludf.DUMMYFUNCTION("""COMPUTED_VALUE"""),"https://universidade.pipelovers.net/m/lessons/hacks-essenciais-para-converter-mais-1776455292753?classId=3957")</f>
        <v>https://universidade.pipelovers.net/m/lessons/hacks-essenciais-para-converter-mais-1776455292753?classId=3957</v>
      </c>
      <c r="L191" s="281" t="str">
        <f>IFERROR(__xludf.DUMMYFUNCTION("""COMPUTED_VALUE"""),"https://universidade.pipelovers.net/m/lessons/hacks-essenciais-para-converter-mais-1776455292753?classId=3957")</f>
        <v>https://universidade.pipelovers.net/m/lessons/hacks-essenciais-para-converter-mais-1776455292753?classId=3957</v>
      </c>
      <c r="M191" s="117">
        <f>IFERROR(__xludf.DUMMYFUNCTION("""COMPUTED_VALUE"""),5.0)</f>
        <v>5</v>
      </c>
      <c r="N191" s="553" t="str">
        <f>IFERROR(__xludf.DUMMYFUNCTION("""COMPUTED_VALUE"""),"180. PipeLovers💚SDRs Hacks essenciais para converter mais com Jessica Bosco - descript.mp4")</f>
        <v>180. PipeLovers💚SDRs Hacks essenciais para converter mais com Jessica Bosco - descript.mp4</v>
      </c>
      <c r="O191" s="389" t="str">
        <f>IFERROR(__xludf.DUMMYFUNCTION("""COMPUTED_VALUE"""),"")</f>
        <v/>
      </c>
      <c r="P191" s="601"/>
      <c r="Q191" s="389"/>
    </row>
    <row r="192">
      <c r="A192" s="73"/>
      <c r="B192" s="549" t="str">
        <f>IFERROR(__xludf.DUMMYFUNCTION("""COMPUTED_VALUE"""),"Pré-Vendas (Prospecção)")</f>
        <v>Pré-Vendas (Prospecção)</v>
      </c>
      <c r="C192" s="602" t="str">
        <f>IFERROR(__xludf.DUMMYFUNCTION("""COMPUTED_VALUE"""),"LinkedIn para pré-vendedores: o básico que funciona")</f>
        <v>LinkedIn para pré-vendedores: o básico que funciona</v>
      </c>
      <c r="D192" s="602" t="str">
        <f>IFERROR(__xludf.DUMMYFUNCTION("""COMPUTED_VALUE"""),"Camila Hort")</f>
        <v>Camila Hort</v>
      </c>
      <c r="E192" s="489" t="str">
        <f>IFERROR(__xludf.DUMMYFUNCTION("""COMPUTED_VALUE"""),"Co-founder &amp; CMO")</f>
        <v>Co-founder &amp; CMO</v>
      </c>
      <c r="F192" s="490" t="str">
        <f>IFERROR(__xludf.DUMMYFUNCTION("""COMPUTED_VALUE"""),"ads2in")</f>
        <v>ads2in</v>
      </c>
      <c r="G192" s="605" t="str">
        <f>IFERROR(__xludf.DUMMYFUNCTION("""COMPUTED_VALUE"""),"https://www.linkedin.com/in/camilahort/")</f>
        <v>https://www.linkedin.com/in/camilahort/</v>
      </c>
      <c r="H192" s="490" t="str">
        <f>IFERROR(__xludf.DUMMYFUNCTION("""COMPUTED_VALUE"""),"Conhecimento Técnico")</f>
        <v>Conhecimento Técnico</v>
      </c>
      <c r="I192" s="490" t="str">
        <f>IFERROR(__xludf.DUMMYFUNCTION("""COMPUTED_VALUE"""),"Técnicas de Vendas")</f>
        <v>Técnicas de Vendas</v>
      </c>
      <c r="J192" s="446" t="str">
        <f>IFERROR(__xludf.DUMMYFUNCTION("""COMPUTED_VALUE"""),"Abordagem e Prospecção")</f>
        <v>Abordagem e Prospecção</v>
      </c>
      <c r="K192" s="473" t="str">
        <f>IFERROR(__xludf.DUMMYFUNCTION("""COMPUTED_VALUE"""),"https://universidade.pipelovers.net/m/lessons/linkedin-para-pre-vendedores-o-basico-que-funciona-1775150928028?classId=3900")</f>
        <v>https://universidade.pipelovers.net/m/lessons/linkedin-para-pre-vendedores-o-basico-que-funciona-1775150928028?classId=3900</v>
      </c>
      <c r="L192" s="281" t="str">
        <f>IFERROR(__xludf.DUMMYFUNCTION("""COMPUTED_VALUE"""),"https://universidade.pipelovers.net/m/lessons/linkedin-para-pre-vendedores-o-basico-que-funciona-1775150928028?classId=3900")</f>
        <v>https://universidade.pipelovers.net/m/lessons/linkedin-para-pre-vendedores-o-basico-que-funciona-1775150928028?classId=3900</v>
      </c>
      <c r="M192" s="117">
        <f>IFERROR(__xludf.DUMMYFUNCTION("""COMPUTED_VALUE"""),3.5)</f>
        <v>3.5</v>
      </c>
      <c r="N192" s="553" t="str">
        <f>IFERROR(__xludf.DUMMYFUNCTION("""COMPUTED_VALUE"""),"181. PipeLovers💚SDRs LinkedIn para pré-vendedores o básico que funciona com Camila Hort - descript.mp4")</f>
        <v>181. PipeLovers💚SDRs LinkedIn para pré-vendedores o básico que funciona com Camila Hort - descript.mp4</v>
      </c>
      <c r="O192" s="389" t="str">
        <f>IFERROR(__xludf.DUMMYFUNCTION("""COMPUTED_VALUE"""),"")</f>
        <v/>
      </c>
      <c r="P192" s="601"/>
      <c r="Q192" s="389"/>
    </row>
    <row r="193">
      <c r="A193" s="73"/>
      <c r="B193" s="549" t="str">
        <f>IFERROR(__xludf.DUMMYFUNCTION("""COMPUTED_VALUE"""),"Pré-Vendas (Prospecção)")</f>
        <v>Pré-Vendas (Prospecção)</v>
      </c>
      <c r="C193" s="145" t="str">
        <f>IFERROR(__xludf.DUMMYFUNCTION("""COMPUTED_VALUE"""),"Networking para SDRs: como trocar, aprender e abrir portas")</f>
        <v>Networking para SDRs: como trocar, aprender e abrir portas</v>
      </c>
      <c r="D193" s="145" t="str">
        <f>IFERROR(__xludf.DUMMYFUNCTION("""COMPUTED_VALUE"""),"Lais Nask")</f>
        <v>Lais Nask</v>
      </c>
      <c r="E193" s="110" t="str">
        <f>IFERROR(__xludf.DUMMYFUNCTION("""COMPUTED_VALUE"""),"Embaixadora")</f>
        <v>Embaixadora</v>
      </c>
      <c r="F193" s="446" t="str">
        <f>IFERROR(__xludf.DUMMYFUNCTION("""COMPUTED_VALUE"""),"Canva Brasil")</f>
        <v>Canva Brasil</v>
      </c>
      <c r="G193" s="447" t="str">
        <f>IFERROR(__xludf.DUMMYFUNCTION("""COMPUTED_VALUE"""),"https://www.linkedin.com/in/laisnask/")</f>
        <v>https://www.linkedin.com/in/laisnask/</v>
      </c>
      <c r="H193" s="446" t="str">
        <f>IFERROR(__xludf.DUMMYFUNCTION("""COMPUTED_VALUE"""),"Autodesenvolvimento")</f>
        <v>Autodesenvolvimento</v>
      </c>
      <c r="I193" s="446" t="str">
        <f>IFERROR(__xludf.DUMMYFUNCTION("""COMPUTED_VALUE"""),"Aprendizado Ativo")</f>
        <v>Aprendizado Ativo</v>
      </c>
      <c r="J193" s="446" t="str">
        <f>IFERROR(__xludf.DUMMYFUNCTION("""COMPUTED_VALUE"""),"Networking")</f>
        <v>Networking</v>
      </c>
      <c r="K193" s="473" t="str">
        <f>IFERROR(__xludf.DUMMYFUNCTION("""COMPUTED_VALUE"""),"https://universidade.pipelovers.net/m/lessons/networking-para-sdrs-como-trocar-aprender-e-abrir-portas-1775656530408?classId=3915")</f>
        <v>https://universidade.pipelovers.net/m/lessons/networking-para-sdrs-como-trocar-aprender-e-abrir-portas-1775656530408?classId=3915</v>
      </c>
      <c r="L193" s="281" t="str">
        <f>IFERROR(__xludf.DUMMYFUNCTION("""COMPUTED_VALUE"""),"https://universidade.pipelovers.net/m/lessons/networking-para-sdrs-como-trocar-aprender-e-abrir-portas-1775656530408?classId=3915")</f>
        <v>https://universidade.pipelovers.net/m/lessons/networking-para-sdrs-como-trocar-aprender-e-abrir-portas-1775656530408?classId=3915</v>
      </c>
      <c r="M193" s="117">
        <f>IFERROR(__xludf.DUMMYFUNCTION("""COMPUTED_VALUE"""),3.5)</f>
        <v>3.5</v>
      </c>
      <c r="N193" s="553"/>
      <c r="O193" s="389" t="str">
        <f>IFERROR(__xludf.DUMMYFUNCTION("""COMPUTED_VALUE"""),"")</f>
        <v/>
      </c>
      <c r="P193" s="601"/>
      <c r="Q193" s="389"/>
    </row>
    <row r="194">
      <c r="A194" s="73"/>
      <c r="B194" s="549" t="str">
        <f>IFERROR(__xludf.DUMMYFUNCTION("""COMPUTED_VALUE"""),"Pré-Vendas (Prospecção)")</f>
        <v>Pré-Vendas (Prospecção)</v>
      </c>
      <c r="C194" s="145" t="str">
        <f>IFERROR(__xludf.DUMMYFUNCTION("""COMPUTED_VALUE"""),"Estruturando um processo Anti No-show")</f>
        <v>Estruturando um processo Anti No-show</v>
      </c>
      <c r="D194" s="145" t="str">
        <f>IFERROR(__xludf.DUMMYFUNCTION("""COMPUTED_VALUE"""),"Jéssica Bosco")</f>
        <v>Jéssica Bosco</v>
      </c>
      <c r="E194" s="110" t="str">
        <f>IFERROR(__xludf.DUMMYFUNCTION("""COMPUTED_VALUE"""),"Head de produto")</f>
        <v>Head de produto</v>
      </c>
      <c r="F194" s="446" t="str">
        <f>IFERROR(__xludf.DUMMYFUNCTION("""COMPUTED_VALUE"""),"PipeLovers")</f>
        <v>PipeLovers</v>
      </c>
      <c r="G194" s="447" t="str">
        <f>IFERROR(__xludf.DUMMYFUNCTION("""COMPUTED_VALUE"""),"https://www.linkedin.com/in/jessicabosco/")</f>
        <v>https://www.linkedin.com/in/jessicabosco/</v>
      </c>
      <c r="H194" s="446" t="str">
        <f>IFERROR(__xludf.DUMMYFUNCTION("""COMPUTED_VALUE"""),"Conhecimento Técnico")</f>
        <v>Conhecimento Técnico</v>
      </c>
      <c r="I194" s="446" t="str">
        <f>IFERROR(__xludf.DUMMYFUNCTION("""COMPUTED_VALUE"""),"Gestão de Vendas")</f>
        <v>Gestão de Vendas</v>
      </c>
      <c r="J194" s="446" t="str">
        <f>IFERROR(__xludf.DUMMYFUNCTION("""COMPUTED_VALUE"""),"Rotinas e Rituais")</f>
        <v>Rotinas e Rituais</v>
      </c>
      <c r="K194" s="473" t="str">
        <f>IFERROR(__xludf.DUMMYFUNCTION("""COMPUTED_VALUE"""),"https://universidade.pipelovers.net/m/lessons/como-organizar-sua-lista-de-leads-para-prospectar-melhor-1774529210887?classId=3847")</f>
        <v>https://universidade.pipelovers.net/m/lessons/como-organizar-sua-lista-de-leads-para-prospectar-melhor-1774529210887?classId=3847</v>
      </c>
      <c r="L194" s="281" t="str">
        <f>IFERROR(__xludf.DUMMYFUNCTION("""COMPUTED_VALUE"""),"https://universidade.pipelovers.net/m/lessons/como-organizar-sua-lista-de-leads-para-prospectar-melhor-1774529210887?classId=3847")</f>
        <v>https://universidade.pipelovers.net/m/lessons/como-organizar-sua-lista-de-leads-para-prospectar-melhor-1774529210887?classId=3847</v>
      </c>
      <c r="M194" s="117">
        <f>IFERROR(__xludf.DUMMYFUNCTION("""COMPUTED_VALUE"""),5.0)</f>
        <v>5</v>
      </c>
      <c r="N194" s="553"/>
      <c r="O194" s="389" t="str">
        <f>IFERROR(__xludf.DUMMYFUNCTION("""COMPUTED_VALUE"""),"")</f>
        <v/>
      </c>
      <c r="P194" s="601"/>
      <c r="Q194" s="389"/>
    </row>
    <row r="195">
      <c r="A195" s="73"/>
      <c r="B195" s="549" t="str">
        <f>IFERROR(__xludf.DUMMYFUNCTION("""COMPUTED_VALUE"""),"Pré-Vendas (Prospecção)")</f>
        <v>Pré-Vendas (Prospecção)</v>
      </c>
      <c r="C195" s="145" t="str">
        <f>IFERROR(__xludf.DUMMYFUNCTION("""COMPUTED_VALUE"""),"Como conduzir conversas difíceis com os leads")</f>
        <v>Como conduzir conversas difíceis com os leads</v>
      </c>
      <c r="D195" s="145" t="str">
        <f>IFERROR(__xludf.DUMMYFUNCTION("""COMPUTED_VALUE"""),"Thayane Andrade")</f>
        <v>Thayane Andrade</v>
      </c>
      <c r="E195" s="110" t="str">
        <f>IFERROR(__xludf.DUMMYFUNCTION("""COMPUTED_VALUE"""),"Customer Experience Education")</f>
        <v>Customer Experience Education</v>
      </c>
      <c r="F195" s="446" t="str">
        <f>IFERROR(__xludf.DUMMYFUNCTION("""COMPUTED_VALUE"""),"TOTVS")</f>
        <v>TOTVS</v>
      </c>
      <c r="G195" s="447" t="str">
        <f>IFERROR(__xludf.DUMMYFUNCTION("""COMPUTED_VALUE"""),"https://www.linkedin.com/in/thayaneandradex/")</f>
        <v>https://www.linkedin.com/in/thayaneandradex/</v>
      </c>
      <c r="H195" s="446" t="str">
        <f>IFERROR(__xludf.DUMMYFUNCTION("""COMPUTED_VALUE"""),"Relacionamento Interpessoal")</f>
        <v>Relacionamento Interpessoal</v>
      </c>
      <c r="I195" s="446" t="str">
        <f>IFERROR(__xludf.DUMMYFUNCTION("""COMPUTED_VALUE"""),"Comunicação e Relacionamento")</f>
        <v>Comunicação e Relacionamento</v>
      </c>
      <c r="J195" s="446" t="str">
        <f>IFERROR(__xludf.DUMMYFUNCTION("""COMPUTED_VALUE"""),"Gestão de Conflitos e Resolução de problemas")</f>
        <v>Gestão de Conflitos e Resolução de problemas</v>
      </c>
      <c r="K195" s="473" t="str">
        <f>IFERROR(__xludf.DUMMYFUNCTION("""COMPUTED_VALUE"""),"https://universidade.pipelovers.net/m/lessons/como-conduzir-conversas-dificeis-com-os-leads-1775655519075?classId=3914")</f>
        <v>https://universidade.pipelovers.net/m/lessons/como-conduzir-conversas-dificeis-com-os-leads-1775655519075?classId=3914</v>
      </c>
      <c r="L195" s="281" t="str">
        <f>IFERROR(__xludf.DUMMYFUNCTION("""COMPUTED_VALUE"""),"https://universidade.pipelovers.net/m/lessons/como-conduzir-conversas-dificeis-com-os-leads-1775655519075?classId=3914")</f>
        <v>https://universidade.pipelovers.net/m/lessons/como-conduzir-conversas-dificeis-com-os-leads-1775655519075?classId=3914</v>
      </c>
      <c r="M195" s="117">
        <f>IFERROR(__xludf.DUMMYFUNCTION("""COMPUTED_VALUE"""),3.86)</f>
        <v>3.86</v>
      </c>
      <c r="N195" s="553"/>
      <c r="O195" s="389" t="str">
        <f>IFERROR(__xludf.DUMMYFUNCTION("""COMPUTED_VALUE"""),"")</f>
        <v/>
      </c>
      <c r="P195" s="601"/>
      <c r="Q195" s="389"/>
    </row>
    <row r="196">
      <c r="A196" s="73"/>
      <c r="B196" s="549" t="str">
        <f>IFERROR(__xludf.DUMMYFUNCTION("""COMPUTED_VALUE"""),"Pré-Vendas (Prospecção)")</f>
        <v>Pré-Vendas (Prospecção)</v>
      </c>
      <c r="C196" s="145" t="str">
        <f>IFERROR(__xludf.DUMMYFUNCTION("""COMPUTED_VALUE"""),"Transformando a rejeição em aprendizado")</f>
        <v>Transformando a rejeição em aprendizado</v>
      </c>
      <c r="D196" s="145" t="str">
        <f>IFERROR(__xludf.DUMMYFUNCTION("""COMPUTED_VALUE"""),"Julia Castro")</f>
        <v>Julia Castro</v>
      </c>
      <c r="E196" s="110" t="str">
        <f>IFERROR(__xludf.DUMMYFUNCTION("""COMPUTED_VALUE"""),"Coordenadora de Sales Enablement")</f>
        <v>Coordenadora de Sales Enablement</v>
      </c>
      <c r="F196" s="446" t="str">
        <f>IFERROR(__xludf.DUMMYFUNCTION("""COMPUTED_VALUE"""),"Sólides")</f>
        <v>Sólides</v>
      </c>
      <c r="G196" s="447" t="str">
        <f>IFERROR(__xludf.DUMMYFUNCTION("""COMPUTED_VALUE"""),"https://www.linkedin.com/in/j%C3%BAlia-castro/")</f>
        <v>https://www.linkedin.com/in/j%C3%BAlia-castro/</v>
      </c>
      <c r="H196" s="446" t="str">
        <f>IFERROR(__xludf.DUMMYFUNCTION("""COMPUTED_VALUE"""),"Autodesenvolvimento")</f>
        <v>Autodesenvolvimento</v>
      </c>
      <c r="I196" s="446" t="str">
        <f>IFERROR(__xludf.DUMMYFUNCTION("""COMPUTED_VALUE"""),"Inteligência Emocional")</f>
        <v>Inteligência Emocional</v>
      </c>
      <c r="J196" s="446" t="str">
        <f>IFERROR(__xludf.DUMMYFUNCTION("""COMPUTED_VALUE"""),"Resiliência")</f>
        <v>Resiliência</v>
      </c>
      <c r="K196" s="473" t="str">
        <f>IFERROR(__xludf.DUMMYFUNCTION("""COMPUTED_VALUE"""),"https://universidade.pipelovers.net/m/lessons/transformando-a-rejeicao-em-aprendizado-1778517929015?classId=3995")</f>
        <v>https://universidade.pipelovers.net/m/lessons/transformando-a-rejeicao-em-aprendizado-1778517929015?classId=3995</v>
      </c>
      <c r="L196" s="281" t="str">
        <f>IFERROR(__xludf.DUMMYFUNCTION("""COMPUTED_VALUE"""),"https://universidade.pipelovers.net/m/lessons/transformando-a-rejeicao-em-aprendizado-1778517929015?classId=3995")</f>
        <v>https://universidade.pipelovers.net/m/lessons/transformando-a-rejeicao-em-aprendizado-1778517929015?classId=3995</v>
      </c>
      <c r="M196" s="117">
        <f>IFERROR(__xludf.DUMMYFUNCTION("""COMPUTED_VALUE"""),4.5)</f>
        <v>4.5</v>
      </c>
      <c r="N196" s="553"/>
      <c r="O196" s="389" t="str">
        <f>IFERROR(__xludf.DUMMYFUNCTION("""COMPUTED_VALUE"""),"")</f>
        <v/>
      </c>
      <c r="P196" s="601"/>
      <c r="Q196" s="389"/>
    </row>
    <row r="197">
      <c r="A197" s="73"/>
      <c r="B197" s="549" t="str">
        <f>IFERROR(__xludf.DUMMYFUNCTION("""COMPUTED_VALUE"""),"Pré-Vendas (Prospecção)")</f>
        <v>Pré-Vendas (Prospecção)</v>
      </c>
      <c r="C197" s="145" t="str">
        <f>IFERROR(__xludf.DUMMYFUNCTION("""COMPUTED_VALUE"""),"Estrutura de mensagens de abertura que despertam interesse")</f>
        <v>Estrutura de mensagens de abertura que despertam interesse</v>
      </c>
      <c r="D197" s="145" t="str">
        <f>IFERROR(__xludf.DUMMYFUNCTION("""COMPUTED_VALUE"""),"Ana Carolina Costa")</f>
        <v>Ana Carolina Costa</v>
      </c>
      <c r="E197" s="110" t="str">
        <f>IFERROR(__xludf.DUMMYFUNCTION("""COMPUTED_VALUE"""),"Gerente de Pré Vendas")</f>
        <v>Gerente de Pré Vendas</v>
      </c>
      <c r="F197" s="446" t="str">
        <f>IFERROR(__xludf.DUMMYFUNCTION("""COMPUTED_VALUE"""),"G4 Educação")</f>
        <v>G4 Educação</v>
      </c>
      <c r="G197" s="447" t="str">
        <f>IFERROR(__xludf.DUMMYFUNCTION("""COMPUTED_VALUE"""),"https://www.linkedin.com/in/ana-carolina-costa-440246ba/")</f>
        <v>https://www.linkedin.com/in/ana-carolina-costa-440246ba/</v>
      </c>
      <c r="H197" s="446" t="str">
        <f>IFERROR(__xludf.DUMMYFUNCTION("""COMPUTED_VALUE"""),"Conhecimento Técnico")</f>
        <v>Conhecimento Técnico</v>
      </c>
      <c r="I197" s="446" t="str">
        <f>IFERROR(__xludf.DUMMYFUNCTION("""COMPUTED_VALUE"""),"Técnicas de Vendas")</f>
        <v>Técnicas de Vendas</v>
      </c>
      <c r="J197" s="446" t="str">
        <f>IFERROR(__xludf.DUMMYFUNCTION("""COMPUTED_VALUE"""),"Abordagem e Prospecção")</f>
        <v>Abordagem e Prospecção</v>
      </c>
      <c r="K197" s="473" t="str">
        <f>IFERROR(__xludf.DUMMYFUNCTION("""COMPUTED_VALUE"""),"https://universidade.pipelovers.net/m/lessons/estrutura-de-mensagens-de-abertura-que-despertam-interesse-1778009452256?moduleId=1403&amp;classId=3988")</f>
        <v>https://universidade.pipelovers.net/m/lessons/estrutura-de-mensagens-de-abertura-que-despertam-interesse-1778009452256?moduleId=1403&amp;classId=3988</v>
      </c>
      <c r="L197" s="281" t="str">
        <f>IFERROR(__xludf.DUMMYFUNCTION("""COMPUTED_VALUE"""),"https://universidade.pipelovers.net/m/lessons/estrutura-de-mensagens-de-abertura-que-despertam-interesse-1778009452256?moduleId=1403&amp;classId=3988")</f>
        <v>https://universidade.pipelovers.net/m/lessons/estrutura-de-mensagens-de-abertura-que-despertam-interesse-1778009452256?moduleId=1403&amp;classId=3988</v>
      </c>
      <c r="M197" s="379">
        <f>IFERROR(__xludf.DUMMYFUNCTION("""COMPUTED_VALUE"""),3.43)</f>
        <v>3.43</v>
      </c>
      <c r="N197" s="553"/>
      <c r="O197" s="389" t="str">
        <f>IFERROR(__xludf.DUMMYFUNCTION("""COMPUTED_VALUE"""),"")</f>
        <v/>
      </c>
      <c r="P197" s="601"/>
      <c r="Q197" s="389"/>
    </row>
    <row r="198">
      <c r="A198" s="73"/>
      <c r="B198" s="549" t="str">
        <f>IFERROR(__xludf.DUMMYFUNCTION("""COMPUTED_VALUE"""),"Pré-Vendas (Prospecção)")</f>
        <v>Pré-Vendas (Prospecção)</v>
      </c>
      <c r="C198" s="145" t="str">
        <f>IFERROR(__xludf.DUMMYFUNCTION("""COMPUTED_VALUE"""),"Como aplicar ABM em pré-vendas")</f>
        <v>Como aplicar ABM em pré-vendas</v>
      </c>
      <c r="D198" s="145" t="str">
        <f>IFERROR(__xludf.DUMMYFUNCTION("""COMPUTED_VALUE"""),"Ariany Araújo")</f>
        <v>Ariany Araújo</v>
      </c>
      <c r="E198" s="110" t="str">
        <f>IFERROR(__xludf.DUMMYFUNCTION("""COMPUTED_VALUE"""),"Account Based Marketing Specialist")</f>
        <v>Account Based Marketing Specialist</v>
      </c>
      <c r="F198" s="446" t="str">
        <f>IFERROR(__xludf.DUMMYFUNCTION("""COMPUTED_VALUE"""),"Neogrid")</f>
        <v>Neogrid</v>
      </c>
      <c r="G198" s="447" t="str">
        <f>IFERROR(__xludf.DUMMYFUNCTION("""COMPUTED_VALUE"""),"https://www.linkedin.com/in/arianyaraujo/")</f>
        <v>https://www.linkedin.com/in/arianyaraujo/</v>
      </c>
      <c r="H198" s="446" t="str">
        <f>IFERROR(__xludf.DUMMYFUNCTION("""COMPUTED_VALUE"""),"Conhecimento Técnico")</f>
        <v>Conhecimento Técnico</v>
      </c>
      <c r="I198" s="446" t="str">
        <f>IFERROR(__xludf.DUMMYFUNCTION("""COMPUTED_VALUE"""),"Técnicas de Vendas")</f>
        <v>Técnicas de Vendas</v>
      </c>
      <c r="J198" s="446" t="str">
        <f>IFERROR(__xludf.DUMMYFUNCTION("""COMPUTED_VALUE"""),"Abordagem e Prospecção")</f>
        <v>Abordagem e Prospecção</v>
      </c>
      <c r="K198" s="473" t="str">
        <f>IFERROR(__xludf.DUMMYFUNCTION("""COMPUTED_VALUE"""),"https://universidade.pipelovers.net/m/lessons/como-aplicar-abm-em-pre-vendas-1780510420277?moduleId=1431&amp;classId=4019")</f>
        <v>https://universidade.pipelovers.net/m/lessons/como-aplicar-abm-em-pre-vendas-1780510420277?moduleId=1431&amp;classId=4019</v>
      </c>
      <c r="L198" s="281" t="str">
        <f>IFERROR(__xludf.DUMMYFUNCTION("""COMPUTED_VALUE"""),"https://universidade.pipelovers.net/m/lessons/como-aplicar-abm-em-pre-vendas-1780510420277?moduleId=1431&amp;classId=4019")</f>
        <v>https://universidade.pipelovers.net/m/lessons/como-aplicar-abm-em-pre-vendas-1780510420277?moduleId=1431&amp;classId=4019</v>
      </c>
      <c r="M198" s="379">
        <f>IFERROR(__xludf.DUMMYFUNCTION("""COMPUTED_VALUE"""),3.71)</f>
        <v>3.71</v>
      </c>
      <c r="N198" s="553"/>
      <c r="O198" s="389" t="str">
        <f>IFERROR(__xludf.DUMMYFUNCTION("""COMPUTED_VALUE"""),"")</f>
        <v/>
      </c>
      <c r="P198" s="601"/>
      <c r="Q198" s="389"/>
    </row>
    <row r="199">
      <c r="A199" s="73"/>
      <c r="B199" s="549" t="str">
        <f>IFERROR(__xludf.DUMMYFUNCTION("""COMPUTED_VALUE"""),"Pré-Vendas (Prospecção)")</f>
        <v>Pré-Vendas (Prospecção)</v>
      </c>
      <c r="C199" s="145" t="str">
        <f>IFERROR(__xludf.DUMMYFUNCTION("""COMPUTED_VALUE"""),"Como SDRs podem reduzir objeções de custo nas primeiras conversas")</f>
        <v>Como SDRs podem reduzir objeções de custo nas primeiras conversas</v>
      </c>
      <c r="D199" s="145" t="str">
        <f>IFERROR(__xludf.DUMMYFUNCTION("""COMPUTED_VALUE"""),"Lucas Sena")</f>
        <v>Lucas Sena</v>
      </c>
      <c r="E199" s="110" t="str">
        <f>IFERROR(__xludf.DUMMYFUNCTION("""COMPUTED_VALUE"""),"Sócio proprietário")</f>
        <v>Sócio proprietário</v>
      </c>
      <c r="F199" s="446" t="str">
        <f>IFERROR(__xludf.DUMMYFUNCTION("""COMPUTED_VALUE"""),"Menver")</f>
        <v>Menver</v>
      </c>
      <c r="G199" s="447" t="str">
        <f>IFERROR(__xludf.DUMMYFUNCTION("""COMPUTED_VALUE"""),"https://www.linkedin.com/in/lucasdiassena/")</f>
        <v>https://www.linkedin.com/in/lucasdiassena/</v>
      </c>
      <c r="H199" s="446" t="str">
        <f>IFERROR(__xludf.DUMMYFUNCTION("""COMPUTED_VALUE"""),"Conhecimento Técnico")</f>
        <v>Conhecimento Técnico</v>
      </c>
      <c r="I199" s="446" t="str">
        <f>IFERROR(__xludf.DUMMYFUNCTION("""COMPUTED_VALUE"""),"Técnicas de Vendas")</f>
        <v>Técnicas de Vendas</v>
      </c>
      <c r="J199" s="446" t="str">
        <f>IFERROR(__xludf.DUMMYFUNCTION("""COMPUTED_VALUE"""),"Contorno de Objeções")</f>
        <v>Contorno de Objeções</v>
      </c>
      <c r="K199" s="473" t="str">
        <f>IFERROR(__xludf.DUMMYFUNCTION("""COMPUTED_VALUE"""),"https://universidade.pipelovers.net/m/lessons/como-sdrs-podem-reduzir-objecoes-de-custo-nas-primeiras-conversas-1779221321743?moduleId=1424&amp;classId=4010")</f>
        <v>https://universidade.pipelovers.net/m/lessons/como-sdrs-podem-reduzir-objecoes-de-custo-nas-primeiras-conversas-1779221321743?moduleId=1424&amp;classId=4010</v>
      </c>
      <c r="L199" s="281" t="str">
        <f>IFERROR(__xludf.DUMMYFUNCTION("""COMPUTED_VALUE"""),"https://universidade.pipelovers.net/m/lessons/como-sdrs-podem-reduzir-objecoes-de-custo-nas-primeiras-conversas-1779221321743?moduleId=1424&amp;classId=4010")</f>
        <v>https://universidade.pipelovers.net/m/lessons/como-sdrs-podem-reduzir-objecoes-de-custo-nas-primeiras-conversas-1779221321743?moduleId=1424&amp;classId=4010</v>
      </c>
      <c r="M199" s="379">
        <f>IFERROR(__xludf.DUMMYFUNCTION("""COMPUTED_VALUE"""),3.29)</f>
        <v>3.29</v>
      </c>
      <c r="N199" s="553"/>
      <c r="O199" s="389" t="str">
        <f>IFERROR(__xludf.DUMMYFUNCTION("""COMPUTED_VALUE"""),"")</f>
        <v/>
      </c>
      <c r="P199" s="601"/>
      <c r="Q199" s="389"/>
    </row>
    <row r="200">
      <c r="A200" s="73"/>
      <c r="B200" s="549" t="str">
        <f>IFERROR(__xludf.DUMMYFUNCTION("""COMPUTED_VALUE"""),"Pré-Vendas (Prospecção)")</f>
        <v>Pré-Vendas (Prospecção)</v>
      </c>
      <c r="C200" s="145" t="str">
        <f>IFERROR(__xludf.DUMMYFUNCTION("""COMPUTED_VALUE"""),"Mapeando o Perfil Comportamental do seu Lead (Metodologia DISC)")</f>
        <v>Mapeando o Perfil Comportamental do seu Lead (Metodologia DISC)</v>
      </c>
      <c r="D200" s="145" t="str">
        <f>IFERROR(__xludf.DUMMYFUNCTION("""COMPUTED_VALUE"""),"Fernanda Garcia")</f>
        <v>Fernanda Garcia</v>
      </c>
      <c r="E200" s="110" t="str">
        <f>IFERROR(__xludf.DUMMYFUNCTION("""COMPUTED_VALUE"""),"Co-founder")</f>
        <v>Co-founder</v>
      </c>
      <c r="F200" s="446" t="str">
        <f>IFERROR(__xludf.DUMMYFUNCTION("""COMPUTED_VALUE"""),"Abseed e Rapport")</f>
        <v>Abseed e Rapport</v>
      </c>
      <c r="G200" s="447" t="str">
        <f>IFERROR(__xludf.DUMMYFUNCTION("""COMPUTED_VALUE"""),"https://www.linkedin.com/in/fernanda3garcia/")</f>
        <v>https://www.linkedin.com/in/fernanda3garcia/</v>
      </c>
      <c r="H200" s="446" t="str">
        <f>IFERROR(__xludf.DUMMYFUNCTION("""COMPUTED_VALUE"""),"Relacionamento Interpessoal")</f>
        <v>Relacionamento Interpessoal</v>
      </c>
      <c r="I200" s="446" t="str">
        <f>IFERROR(__xludf.DUMMYFUNCTION("""COMPUTED_VALUE"""),"Comunicação e Relacionamento")</f>
        <v>Comunicação e Relacionamento</v>
      </c>
      <c r="J200" s="446" t="str">
        <f>IFERROR(__xludf.DUMMYFUNCTION("""COMPUTED_VALUE"""),"Técnicas de Rapport")</f>
        <v>Técnicas de Rapport</v>
      </c>
      <c r="K200" s="473" t="str">
        <f>IFERROR(__xludf.DUMMYFUNCTION("""COMPUTED_VALUE"""),"https://universidade.pipelovers.net/m/lessons/mapeando-o-perfil-comportamental-do-seu-lead-metodologia-disc-1781810835834?moduleId=1447&amp;classId=4034")</f>
        <v>https://universidade.pipelovers.net/m/lessons/mapeando-o-perfil-comportamental-do-seu-lead-metodologia-disc-1781810835834?moduleId=1447&amp;classId=4034</v>
      </c>
      <c r="L200" s="281" t="str">
        <f>IFERROR(__xludf.DUMMYFUNCTION("""COMPUTED_VALUE"""),"https://universidade.pipelovers.net/m/lessons/mapeando-o-perfil-comportamental-do-seu-lead-metodologia-disc-1781810835834?moduleId=1447&amp;classId=4034")</f>
        <v>https://universidade.pipelovers.net/m/lessons/mapeando-o-perfil-comportamental-do-seu-lead-metodologia-disc-1781810835834?moduleId=1447&amp;classId=4034</v>
      </c>
      <c r="M200" s="379">
        <f>IFERROR(__xludf.DUMMYFUNCTION("""COMPUTED_VALUE"""),3.71)</f>
        <v>3.71</v>
      </c>
      <c r="N200" s="553"/>
      <c r="O200" s="389" t="str">
        <f>IFERROR(__xludf.DUMMYFUNCTION("""COMPUTED_VALUE"""),"")</f>
        <v/>
      </c>
      <c r="P200" s="601"/>
      <c r="Q200" s="389"/>
    </row>
    <row r="201">
      <c r="A201" s="73"/>
      <c r="B201" s="549" t="str">
        <f>IFERROR(__xludf.DUMMYFUNCTION("""COMPUTED_VALUE"""),"Pré-Vendas (Prospecção)")</f>
        <v>Pré-Vendas (Prospecção)</v>
      </c>
      <c r="C201" s="210" t="str">
        <f>IFERROR(__xludf.DUMMYFUNCTION("""COMPUTED_VALUE"""),"Como prender atenção do lead na Cold Call")</f>
        <v>Como prender atenção do lead na Cold Call</v>
      </c>
      <c r="D201" s="210" t="str">
        <f>IFERROR(__xludf.DUMMYFUNCTION("""COMPUTED_VALUE"""),"Jessica Bosco")</f>
        <v>Jessica Bosco</v>
      </c>
      <c r="E201" s="406" t="str">
        <f>IFERROR(__xludf.DUMMYFUNCTION("""COMPUTED_VALUE"""),"Head de produto")</f>
        <v>Head de produto</v>
      </c>
      <c r="F201" s="406" t="str">
        <f>IFERROR(__xludf.DUMMYFUNCTION("""COMPUTED_VALUE"""),"PipeLovers")</f>
        <v>PipeLovers</v>
      </c>
      <c r="G201" s="514" t="str">
        <f>IFERROR(__xludf.DUMMYFUNCTION("""COMPUTED_VALUE"""),"https://www.linkedin.com/in/jessicabosco/")</f>
        <v>https://www.linkedin.com/in/jessicabosco/</v>
      </c>
      <c r="H201" s="612" t="str">
        <f>IFERROR(__xludf.DUMMYFUNCTION("""COMPUTED_VALUE"""),"Conhecimento Técnico")</f>
        <v>Conhecimento Técnico</v>
      </c>
      <c r="I201" s="612" t="str">
        <f>IFERROR(__xludf.DUMMYFUNCTION("""COMPUTED_VALUE"""),"Técnicas de Vendas")</f>
        <v>Técnicas de Vendas</v>
      </c>
      <c r="J201" s="613" t="str">
        <f>IFERROR(__xludf.DUMMYFUNCTION("""COMPUTED_VALUE"""),"Abordagem e Prospecção")</f>
        <v>Abordagem e Prospecção</v>
      </c>
      <c r="K201" s="614" t="str">
        <f>IFERROR(__xludf.DUMMYFUNCTION("""COMPUTED_VALUE"""),"https://universidade.pipelovers.net/m/lessons/como-prender-atencao-do-lead-na-cold-call-1782219281852?moduleId=1453&amp;classId=4037")</f>
        <v>https://universidade.pipelovers.net/m/lessons/como-prender-atencao-do-lead-na-cold-call-1782219281852?moduleId=1453&amp;classId=4037</v>
      </c>
      <c r="L201" s="615"/>
      <c r="M201" s="617">
        <f>IFERROR(__xludf.DUMMYFUNCTION("""COMPUTED_VALUE"""),4.14)</f>
        <v>4.14</v>
      </c>
      <c r="N201" s="553"/>
      <c r="O201" s="389" t="str">
        <f>IFERROR(__xludf.DUMMYFUNCTION("""COMPUTED_VALUE"""),"")</f>
        <v/>
      </c>
      <c r="P201" s="601"/>
      <c r="Q201" s="389"/>
    </row>
    <row r="202">
      <c r="A202" s="73"/>
      <c r="B202" s="549" t="str">
        <f>IFERROR(__xludf.DUMMYFUNCTION("""COMPUTED_VALUE"""),"Pré-Vendas (Prospecção)")</f>
        <v>Pré-Vendas (Prospecção)</v>
      </c>
      <c r="C202" s="602" t="str">
        <f>IFERROR(__xludf.DUMMYFUNCTION("""COMPUTED_VALUE"""),"Técnicas de automotivação para manter o foco no resultado final")</f>
        <v>Técnicas de automotivação para manter o foco no resultado final</v>
      </c>
      <c r="D202" s="602" t="str">
        <f>IFERROR(__xludf.DUMMYFUNCTION("""COMPUTED_VALUE"""),"Felipe Alves")</f>
        <v>Felipe Alves</v>
      </c>
      <c r="E202" s="489" t="str">
        <f>IFERROR(__xludf.DUMMYFUNCTION("""COMPUTED_VALUE"""),"Coordenador de Pré-Vendas")</f>
        <v>Coordenador de Pré-Vendas</v>
      </c>
      <c r="F202" s="490" t="str">
        <f>IFERROR(__xludf.DUMMYFUNCTION("""COMPUTED_VALUE"""),"Dattos")</f>
        <v>Dattos</v>
      </c>
      <c r="G202" s="605" t="str">
        <f>IFERROR(__xludf.DUMMYFUNCTION("""COMPUTED_VALUE"""),"https://www.linkedin.com/in/felipealves00/")</f>
        <v>https://www.linkedin.com/in/felipealves00/</v>
      </c>
      <c r="H202" s="490" t="str">
        <f>IFERROR(__xludf.DUMMYFUNCTION("""COMPUTED_VALUE"""),"Autodesenvolvimento")</f>
        <v>Autodesenvolvimento</v>
      </c>
      <c r="I202" s="490" t="str">
        <f>IFERROR(__xludf.DUMMYFUNCTION("""COMPUTED_VALUE"""),"Inteligência Emocional")</f>
        <v>Inteligência Emocional</v>
      </c>
      <c r="J202" s="589" t="str">
        <f>IFERROR(__xludf.DUMMYFUNCTION("""COMPUTED_VALUE"""),"Resiliência")</f>
        <v>Resiliência</v>
      </c>
      <c r="K202" s="619" t="str">
        <f>IFERROR(__xludf.DUMMYFUNCTION("""COMPUTED_VALUE"""),"https://universidade.pipelovers.net/m/lessons/tecnicas-de-automotivacao-para-manter-o-foco-no-resultado-final-1782220286771?moduleId=1454&amp;classId=4038")</f>
        <v>https://universidade.pipelovers.net/m/lessons/tecnicas-de-automotivacao-para-manter-o-foco-no-resultado-final-1782220286771?moduleId=1454&amp;classId=4038</v>
      </c>
      <c r="L202" s="295"/>
      <c r="M202" s="620">
        <f>IFERROR(__xludf.DUMMYFUNCTION("""COMPUTED_VALUE"""),3.21)</f>
        <v>3.21</v>
      </c>
      <c r="N202" s="553"/>
      <c r="O202" s="389" t="str">
        <f>IFERROR(__xludf.DUMMYFUNCTION("""COMPUTED_VALUE"""),"")</f>
        <v/>
      </c>
      <c r="P202" s="601"/>
      <c r="Q202" s="389"/>
    </row>
    <row r="203">
      <c r="A203" s="73"/>
      <c r="B203" s="549" t="str">
        <f>IFERROR(__xludf.DUMMYFUNCTION("""COMPUTED_VALUE"""),"Pré-Vendas (Prospecção)")</f>
        <v>Pré-Vendas (Prospecção)</v>
      </c>
      <c r="C203" s="145" t="str">
        <f>IFERROR(__xludf.DUMMYFUNCTION("""COMPUTED_VALUE"""),"Práticas para o SDR chegar à alta performance")</f>
        <v>Práticas para o SDR chegar à alta performance</v>
      </c>
      <c r="D203" s="145" t="str">
        <f>IFERROR(__xludf.DUMMYFUNCTION("""COMPUTED_VALUE"""),"Gabriel Fontes")</f>
        <v>Gabriel Fontes</v>
      </c>
      <c r="E203" s="110" t="str">
        <f>IFERROR(__xludf.DUMMYFUNCTION("""COMPUTED_VALUE"""),"Novos Negócios")</f>
        <v>Novos Negócios</v>
      </c>
      <c r="F203" s="621" t="str">
        <f>IFERROR(__xludf.DUMMYFUNCTION("""COMPUTED_VALUE"""),"Pipefy")</f>
        <v>Pipefy</v>
      </c>
      <c r="G203" s="583" t="str">
        <f>IFERROR(__xludf.DUMMYFUNCTION("""COMPUTED_VALUE"""),"https://www.linkedin.com/in/gabrielfontesoficial/")</f>
        <v>https://www.linkedin.com/in/gabrielfontesoficial/</v>
      </c>
      <c r="H203" s="612" t="str">
        <f>IFERROR(__xludf.DUMMYFUNCTION("""COMPUTED_VALUE"""),"Autodesenvolvimento")</f>
        <v>Autodesenvolvimento</v>
      </c>
      <c r="I203" s="612" t="str">
        <f>IFERROR(__xludf.DUMMYFUNCTION("""COMPUTED_VALUE"""),"Gestão de Tempo e da Informação")</f>
        <v>Gestão de Tempo e da Informação</v>
      </c>
      <c r="J203" s="613" t="str">
        <f>IFERROR(__xludf.DUMMYFUNCTION("""COMPUTED_VALUE"""),"Técnicas de Organização e Rotina")</f>
        <v>Técnicas de Organização e Rotina</v>
      </c>
      <c r="K203" s="483" t="str">
        <f>IFERROR(__xludf.DUMMYFUNCTION("""COMPUTED_VALUE"""),"https://universidade.pipelovers.net/c/praticas-para-o-sdr-chegar-a-alta-performance-1782222089528")</f>
        <v>https://universidade.pipelovers.net/c/praticas-para-o-sdr-chegar-a-alta-performance-1782222089528</v>
      </c>
      <c r="L203" s="303"/>
      <c r="M203" s="379">
        <f>IFERROR(__xludf.DUMMYFUNCTION("""COMPUTED_VALUE"""),3.21)</f>
        <v>3.21</v>
      </c>
      <c r="N203" s="553"/>
      <c r="O203" s="389" t="str">
        <f>IFERROR(__xludf.DUMMYFUNCTION("""COMPUTED_VALUE"""),"")</f>
        <v/>
      </c>
      <c r="P203" s="601"/>
      <c r="Q203" s="389"/>
    </row>
    <row r="204">
      <c r="A204" s="73"/>
      <c r="B204" s="549" t="str">
        <f>IFERROR(__xludf.DUMMYFUNCTION("""COMPUTED_VALUE"""),"Pré-Vendas (Prospecção)")</f>
        <v>Pré-Vendas (Prospecção)</v>
      </c>
      <c r="C204" s="212" t="str">
        <f>IFERROR(__xludf.DUMMYFUNCTION("""COMPUTED_VALUE"""),"Metodologia ""Win-Loss Analysis"" aplicada a prospecção")</f>
        <v>Metodologia "Win-Loss Analysis" aplicada a prospecção</v>
      </c>
      <c r="D204" s="212" t="str">
        <f>IFERROR(__xludf.DUMMYFUNCTION("""COMPUTED_VALUE"""),"Tárik Medeiros")</f>
        <v>Tárik Medeiros</v>
      </c>
      <c r="E204" s="432" t="str">
        <f>IFERROR(__xludf.DUMMYFUNCTION("""COMPUTED_VALUE"""),"Coordenador de PV")</f>
        <v>Coordenador de PV</v>
      </c>
      <c r="F204" s="432" t="str">
        <f>IFERROR(__xludf.DUMMYFUNCTION("""COMPUTED_VALUE"""),"Pixeon")</f>
        <v>Pixeon</v>
      </c>
      <c r="G204" s="606" t="str">
        <f>IFERROR(__xludf.DUMMYFUNCTION("""COMPUTED_VALUE"""),"https://www.linkedin.com/in/t%C3%A1rik-medeiros-83486b102/")</f>
        <v>https://www.linkedin.com/in/t%C3%A1rik-medeiros-83486b102/</v>
      </c>
      <c r="H204" s="627" t="str">
        <f>IFERROR(__xludf.DUMMYFUNCTION("""COMPUTED_VALUE"""),"Conhecimento Técnico")</f>
        <v>Conhecimento Técnico</v>
      </c>
      <c r="I204" s="627" t="str">
        <f>IFERROR(__xludf.DUMMYFUNCTION("""COMPUTED_VALUE"""),"Win Loss Analysis")</f>
        <v>Win Loss Analysis</v>
      </c>
      <c r="J204" s="589" t="str">
        <f>IFERROR(__xludf.DUMMYFUNCTION("""COMPUTED_VALUE"""),"Win Loss Analysis")</f>
        <v>Win Loss Analysis</v>
      </c>
      <c r="K204" s="629" t="str">
        <f>IFERROR(__xludf.DUMMYFUNCTION("""COMPUTED_VALUE"""),"https://universidade.pipelovers.net/m/lessons/metodologia-win-loss-analysis-aplicada-a-prospeccao-1781547790902")</f>
        <v>https://universidade.pipelovers.net/m/lessons/metodologia-win-loss-analysis-aplicada-a-prospeccao-1781547790902</v>
      </c>
      <c r="L204" s="567" t="str">
        <f>IFERROR(__xludf.DUMMYFUNCTION("""COMPUTED_VALUE"""),"https://universidade.pipelovers.net/m/lessons/metodologia-win-loss-analysis-aplicada-a-prospeccao-1781547790902")</f>
        <v>https://universidade.pipelovers.net/m/lessons/metodologia-win-loss-analysis-aplicada-a-prospeccao-1781547790902</v>
      </c>
      <c r="M204" s="630"/>
      <c r="N204" s="630"/>
      <c r="O204" s="389" t="str">
        <f>IFERROR(__xludf.DUMMYFUNCTION("""COMPUTED_VALUE"""),"")</f>
        <v/>
      </c>
      <c r="P204" s="601"/>
      <c r="Q204" s="389"/>
    </row>
    <row r="205">
      <c r="A205" s="73"/>
      <c r="B205" s="549" t="str">
        <f>IFERROR(__xludf.DUMMYFUNCTION("""COMPUTED_VALUE"""),"Pré-Vendas (Prospecção)")</f>
        <v>Pré-Vendas (Prospecção)</v>
      </c>
      <c r="C205" s="210" t="str">
        <f>IFERROR(__xludf.DUMMYFUNCTION("""COMPUTED_VALUE"""),"SDR + copiloto de IA: papéis e responsabilidades")</f>
        <v>SDR + copiloto de IA: papéis e responsabilidades</v>
      </c>
      <c r="D205" s="210" t="str">
        <f>IFERROR(__xludf.DUMMYFUNCTION("""COMPUTED_VALUE"""),"Andreia Lima")</f>
        <v>Andreia Lima</v>
      </c>
      <c r="E205" s="406" t="str">
        <f>IFERROR(__xludf.DUMMYFUNCTION("""COMPUTED_VALUE"""),"Fundadora")</f>
        <v>Fundadora</v>
      </c>
      <c r="F205" s="406" t="str">
        <f>IFERROR(__xludf.DUMMYFUNCTION("""COMPUTED_VALUE"""),"Insight Sales")</f>
        <v>Insight Sales</v>
      </c>
      <c r="G205" s="514" t="str">
        <f>IFERROR(__xludf.DUMMYFUNCTION("""COMPUTED_VALUE"""),"https://www.linkedin.com/in/andreialimaa/")</f>
        <v>https://www.linkedin.com/in/andreialimaa/</v>
      </c>
      <c r="H205" s="612" t="str">
        <f>IFERROR(__xludf.DUMMYFUNCTION("""COMPUTED_VALUE"""),"Visão de Negócios")</f>
        <v>Visão de Negócios</v>
      </c>
      <c r="I205" s="612" t="str">
        <f>IFERROR(__xludf.DUMMYFUNCTION("""COMPUTED_VALUE"""),"Tendências de Mercado")</f>
        <v>Tendências de Mercado</v>
      </c>
      <c r="J205" s="589" t="str">
        <f>IFERROR(__xludf.DUMMYFUNCTION("""COMPUTED_VALUE"""),"Inovações Tecnológicas")</f>
        <v>Inovações Tecnológicas</v>
      </c>
      <c r="K205" s="614" t="str">
        <f>IFERROR(__xludf.DUMMYFUNCTION("""COMPUTED_VALUE"""),"https://universidade.pipelovers.net/m/lessons/sdr-copiloto-de-ia-papeis-e-responsabilidades-1783098572036")</f>
        <v>https://universidade.pipelovers.net/m/lessons/sdr-copiloto-de-ia-papeis-e-responsabilidades-1783098572036</v>
      </c>
      <c r="L205" s="566" t="str">
        <f>IFERROR(__xludf.DUMMYFUNCTION("""COMPUTED_VALUE"""),"https://universidade.pipelovers.net/m/lessons/sdr-copiloto-de-ia-papeis-e-responsabilidades-1783098572036")</f>
        <v>https://universidade.pipelovers.net/m/lessons/sdr-copiloto-de-ia-papeis-e-responsabilidades-1783098572036</v>
      </c>
      <c r="M205" s="630">
        <f>IFERROR(__xludf.DUMMYFUNCTION("""COMPUTED_VALUE"""),2.64)</f>
        <v>2.64</v>
      </c>
      <c r="N205" s="630"/>
      <c r="O205" s="389" t="str">
        <f>IFERROR(__xludf.DUMMYFUNCTION("""COMPUTED_VALUE"""),"")</f>
        <v/>
      </c>
      <c r="P205" s="601"/>
      <c r="Q205" s="389"/>
    </row>
    <row r="206">
      <c r="A206" s="73"/>
      <c r="B206" s="549" t="str">
        <f>IFERROR(__xludf.DUMMYFUNCTION("""COMPUTED_VALUE"""),"Pré-Vendas (Prospecção)")</f>
        <v>Pré-Vendas (Prospecção)</v>
      </c>
      <c r="C206" s="145" t="str">
        <f>IFERROR(__xludf.DUMMYFUNCTION("""COMPUTED_VALUE"""),"10 passos para uma cold call eficiente")</f>
        <v>10 passos para uma cold call eficiente</v>
      </c>
      <c r="D206" s="145" t="str">
        <f>IFERROR(__xludf.DUMMYFUNCTION("""COMPUTED_VALUE"""),"Daiana Soares")</f>
        <v>Daiana Soares</v>
      </c>
      <c r="E206" s="110" t="str">
        <f>IFERROR(__xludf.DUMMYFUNCTION("""COMPUTED_VALUE"""),"Sales Enablement")</f>
        <v>Sales Enablement</v>
      </c>
      <c r="F206" s="490" t="str">
        <f>IFERROR(__xludf.DUMMYFUNCTION("""COMPUTED_VALUE"""),"Evidencie Consultoria")</f>
        <v>Evidencie Consultoria</v>
      </c>
      <c r="G206" s="605" t="str">
        <f>IFERROR(__xludf.DUMMYFUNCTION("""COMPUTED_VALUE"""),"https://www.linkedin.com/in/daiana-soares-970702142/")</f>
        <v>https://www.linkedin.com/in/daiana-soares-970702142/</v>
      </c>
      <c r="H206" s="490" t="str">
        <f>IFERROR(__xludf.DUMMYFUNCTION("""COMPUTED_VALUE"""),"Conhecimento Técnico")</f>
        <v>Conhecimento Técnico</v>
      </c>
      <c r="I206" s="490" t="str">
        <f>IFERROR(__xludf.DUMMYFUNCTION("""COMPUTED_VALUE"""),"Técnicas de Vendas")</f>
        <v>Técnicas de Vendas</v>
      </c>
      <c r="J206" s="490" t="str">
        <f>IFERROR(__xludf.DUMMYFUNCTION("""COMPUTED_VALUE"""),"Abordagem e Prospecção")</f>
        <v>Abordagem e Prospecção</v>
      </c>
      <c r="K206" s="281" t="str">
        <f>IFERROR(__xludf.DUMMYFUNCTION("""COMPUTED_VALUE"""),"https://universidade.pipelovers.net/m/lessons/10-passos-para-uma-cold-call-eficiente-1784052575247?moduleId=1512&amp;classId=4211")</f>
        <v>https://universidade.pipelovers.net/m/lessons/10-passos-para-uma-cold-call-eficiente-1784052575247?moduleId=1512&amp;classId=4211</v>
      </c>
      <c r="L206" s="615"/>
      <c r="M206" s="379">
        <f>IFERROR(__xludf.DUMMYFUNCTION("""COMPUTED_VALUE"""),4.07)</f>
        <v>4.07</v>
      </c>
      <c r="N206" s="553"/>
      <c r="O206" s="389" t="str">
        <f>IFERROR(__xludf.DUMMYFUNCTION("""COMPUTED_VALUE"""),"")</f>
        <v/>
      </c>
      <c r="P206" s="601"/>
      <c r="Q206" s="389"/>
    </row>
    <row r="207">
      <c r="A207" s="73"/>
      <c r="B207" s="549" t="str">
        <f>IFERROR(__xludf.DUMMYFUNCTION("""COMPUTED_VALUE"""),"Pré-Vendas (Prospecção)")</f>
        <v>Pré-Vendas (Prospecção)</v>
      </c>
      <c r="C207" s="145" t="str">
        <f>IFERROR(__xludf.DUMMYFUNCTION("""COMPUTED_VALUE"""),"Como SDRs negociam atenção, informação e próximos passos antes da oportunidade.")</f>
        <v>Como SDRs negociam atenção, informação e próximos passos antes da oportunidade.</v>
      </c>
      <c r="D207" s="145" t="str">
        <f>IFERROR(__xludf.DUMMYFUNCTION("""COMPUTED_VALUE"""),"Matheus Gomes")</f>
        <v>Matheus Gomes</v>
      </c>
      <c r="E207" s="110" t="str">
        <f>IFERROR(__xludf.DUMMYFUNCTION("""COMPUTED_VALUE"""),"Especilista de conteúdo")</f>
        <v>Especilista de conteúdo</v>
      </c>
      <c r="F207" s="490" t="str">
        <f>IFERROR(__xludf.DUMMYFUNCTION("""COMPUTED_VALUE"""),"PipeLovers")</f>
        <v>PipeLovers</v>
      </c>
      <c r="G207" s="605" t="str">
        <f>IFERROR(__xludf.DUMMYFUNCTION("""COMPUTED_VALUE"""),"https://www.linkedin.com/in/matheus-gomes-dasilva/")</f>
        <v>https://www.linkedin.com/in/matheus-gomes-dasilva/</v>
      </c>
      <c r="H207" s="490" t="str">
        <f>IFERROR(__xludf.DUMMYFUNCTION("""COMPUTED_VALUE"""),"Conhecimento Técnico")</f>
        <v>Conhecimento Técnico</v>
      </c>
      <c r="I207" s="490" t="str">
        <f>IFERROR(__xludf.DUMMYFUNCTION("""COMPUTED_VALUE"""),"Técnicas de Vendas")</f>
        <v>Técnicas de Vendas</v>
      </c>
      <c r="J207" s="490" t="str">
        <f>IFERROR(__xludf.DUMMYFUNCTION("""COMPUTED_VALUE"""),"Abordagem e Prospecção")</f>
        <v>Abordagem e Prospecção</v>
      </c>
      <c r="K207" s="619" t="str">
        <f>IFERROR(__xludf.DUMMYFUNCTION("""COMPUTED_VALUE"""),"https://universidade.pipelovers.net/m/lessons/como-sdrs-negociam-atencao-informacao-e-proximos-passos-antes-da-oportunidade-1785352612441?moduleId=1575&amp;classId=4450")</f>
        <v>https://universidade.pipelovers.net/m/lessons/como-sdrs-negociam-atencao-informacao-e-proximos-passos-antes-da-oportunidade-1785352612441?moduleId=1575&amp;classId=4450</v>
      </c>
      <c r="L207" s="303"/>
      <c r="M207" s="379">
        <f>IFERROR(__xludf.DUMMYFUNCTION("""COMPUTED_VALUE"""),3.43)</f>
        <v>3.43</v>
      </c>
      <c r="N207" s="553"/>
      <c r="O207" s="389" t="str">
        <f>IFERROR(__xludf.DUMMYFUNCTION("""COMPUTED_VALUE"""),"")</f>
        <v/>
      </c>
      <c r="P207" s="601"/>
      <c r="Q207" s="389"/>
    </row>
    <row r="208">
      <c r="A208" s="73"/>
      <c r="B208" s="549" t="str">
        <f>IFERROR(__xludf.DUMMYFUNCTION("""COMPUTED_VALUE"""),"Pré-Vendas (Prospecção)")</f>
        <v>Pré-Vendas (Prospecção)</v>
      </c>
      <c r="C208" s="212" t="str">
        <f>IFERROR(__xludf.DUMMYFUNCTION("""COMPUTED_VALUE"""),"Quantificando a dor do cliente durante a prospecção")</f>
        <v>Quantificando a dor do cliente durante a prospecção</v>
      </c>
      <c r="D208" s="212" t="str">
        <f>IFERROR(__xludf.DUMMYFUNCTION("""COMPUTED_VALUE"""),"Antonio Marcos")</f>
        <v>Antonio Marcos</v>
      </c>
      <c r="E208" s="432" t="str">
        <f>IFERROR(__xludf.DUMMYFUNCTION("""COMPUTED_VALUE"""),"Founder")</f>
        <v>Founder</v>
      </c>
      <c r="F208" s="432" t="str">
        <f>IFERROR(__xludf.DUMMYFUNCTION("""COMPUTED_VALUE"""),"Route Sales")</f>
        <v>Route Sales</v>
      </c>
      <c r="G208" s="606" t="str">
        <f>IFERROR(__xludf.DUMMYFUNCTION("""COMPUTED_VALUE"""),"https://www.linkedin.com/in/antoniomarcosj/")</f>
        <v>https://www.linkedin.com/in/antoniomarcosj/</v>
      </c>
      <c r="H208" s="627" t="str">
        <f>IFERROR(__xludf.DUMMYFUNCTION("""COMPUTED_VALUE"""),"Conhecimento Técnico")</f>
        <v>Conhecimento Técnico</v>
      </c>
      <c r="I208" s="627" t="str">
        <f>IFERROR(__xludf.DUMMYFUNCTION("""COMPUTED_VALUE"""),"Pensamento Crítico")</f>
        <v>Pensamento Crítico</v>
      </c>
      <c r="J208" s="633" t="str">
        <f>IFERROR(__xludf.DUMMYFUNCTION("""COMPUTED_VALUE"""),"ROI")</f>
        <v>ROI</v>
      </c>
      <c r="K208" s="634" t="str">
        <f>IFERROR(__xludf.DUMMYFUNCTION("""COMPUTED_VALUE"""),"https://universidade.pipelovers.net/m/lessons/quantificando-a-dor-do-cliente-durante-a-prospeccao-1784053402102?moduleId=1513&amp;classId=4212")</f>
        <v>https://universidade.pipelovers.net/m/lessons/quantificando-a-dor-do-cliente-durante-a-prospeccao-1784053402102?moduleId=1513&amp;classId=4212</v>
      </c>
      <c r="L208" s="615"/>
      <c r="M208" s="379">
        <f>IFERROR(__xludf.DUMMYFUNCTION("""COMPUTED_VALUE"""),3.21)</f>
        <v>3.21</v>
      </c>
      <c r="N208" s="553"/>
      <c r="O208" s="389" t="str">
        <f>IFERROR(__xludf.DUMMYFUNCTION("""COMPUTED_VALUE"""),"")</f>
        <v/>
      </c>
      <c r="P208" s="601"/>
      <c r="Q208" s="389"/>
    </row>
    <row r="209">
      <c r="A209" s="73"/>
      <c r="B209" s="549" t="str">
        <f>IFERROR(__xludf.DUMMYFUNCTION("""COMPUTED_VALUE"""),"Pré-Vendas (Prospecção)")</f>
        <v>Pré-Vendas (Prospecção)</v>
      </c>
      <c r="C209" s="145" t="str">
        <f>IFERROR(__xludf.DUMMYFUNCTION("""COMPUTED_VALUE"""),"Ciclo de feedback de leads entre pré-vendas e marketing")</f>
        <v>Ciclo de feedback de leads entre pré-vendas e marketing</v>
      </c>
      <c r="D209" s="145" t="str">
        <f>IFERROR(__xludf.DUMMYFUNCTION("""COMPUTED_VALUE"""),"Leandro Amarante")</f>
        <v>Leandro Amarante</v>
      </c>
      <c r="E209" s="110" t="str">
        <f>IFERROR(__xludf.DUMMYFUNCTION("""COMPUTED_VALUE"""),"Founder")</f>
        <v>Founder</v>
      </c>
      <c r="F209" s="490" t="str">
        <f>IFERROR(__xludf.DUMMYFUNCTION("""COMPUTED_VALUE"""),"Vetor")</f>
        <v>Vetor</v>
      </c>
      <c r="G209" s="605" t="str">
        <f>IFERROR(__xludf.DUMMYFUNCTION("""COMPUTED_VALUE"""),"https://www.linkedin.com/in/leandroamarante/")</f>
        <v>https://www.linkedin.com/in/leandroamarante/</v>
      </c>
      <c r="H209" s="490" t="str">
        <f>IFERROR(__xludf.DUMMYFUNCTION("""COMPUTED_VALUE"""),"Relacionamento Interpessoal")</f>
        <v>Relacionamento Interpessoal</v>
      </c>
      <c r="I209" s="490" t="str">
        <f>IFERROR(__xludf.DUMMYFUNCTION("""COMPUTED_VALUE"""),"Comunicação e Relacionamento")</f>
        <v>Comunicação e Relacionamento</v>
      </c>
      <c r="J209" s="589" t="str">
        <f>IFERROR(__xludf.DUMMYFUNCTION("""COMPUTED_VALUE"""),"Dar e Receber Feedbacks")</f>
        <v>Dar e Receber Feedbacks</v>
      </c>
      <c r="K209" s="605" t="str">
        <f>IFERROR(__xludf.DUMMYFUNCTION("""COMPUTED_VALUE"""),"https://universidade.pipelovers.net/m/lessons/ciclo-de-feedback-de-leads-entre-pre-vendas-e-marketing-1785353653280?moduleId=1576&amp;classId=4451")</f>
        <v>https://universidade.pipelovers.net/m/lessons/ciclo-de-feedback-de-leads-entre-pre-vendas-e-marketing-1785353653280?moduleId=1576&amp;classId=4451</v>
      </c>
      <c r="L209" s="305" t="str">
        <f>IFERROR(__xludf.DUMMYFUNCTION("""COMPUTED_VALUE"""),"https://universidade.pipelovers.net/m/lessons/ciclo-de-feedback-de-leads-entre-pre-vendas-e-marketing-1785353653280?moduleId=1576&amp;classId=4451")</f>
        <v>https://universidade.pipelovers.net/m/lessons/ciclo-de-feedback-de-leads-entre-pre-vendas-e-marketing-1785353653280?moduleId=1576&amp;classId=4451</v>
      </c>
      <c r="M209" s="379">
        <f>IFERROR(__xludf.DUMMYFUNCTION("""COMPUTED_VALUE"""),3.21)</f>
        <v>3.21</v>
      </c>
      <c r="N209" s="553"/>
      <c r="O209" s="389" t="str">
        <f>IFERROR(__xludf.DUMMYFUNCTION("""COMPUTED_VALUE"""),"")</f>
        <v/>
      </c>
      <c r="P209" s="601"/>
      <c r="Q209" s="389"/>
    </row>
    <row r="210">
      <c r="A210" s="73"/>
      <c r="B210" s="549" t="str">
        <f>IFERROR(__xludf.DUMMYFUNCTION("""COMPUTED_VALUE"""),"Pré-Vendas (Prospecção)")</f>
        <v>Pré-Vendas (Prospecção)</v>
      </c>
      <c r="C210" s="212" t="str">
        <f>IFERROR(__xludf.DUMMYFUNCTION("""COMPUTED_VALUE"""),"Criando discursos de prospecção para novas ofertas")</f>
        <v>Criando discursos de prospecção para novas ofertas</v>
      </c>
      <c r="D210" s="212" t="str">
        <f>IFERROR(__xludf.DUMMYFUNCTION("""COMPUTED_VALUE"""),"Mariana Correa")</f>
        <v>Mariana Correa</v>
      </c>
      <c r="E210" s="432" t="str">
        <f>IFERROR(__xludf.DUMMYFUNCTION("""COMPUTED_VALUE"""),"Founder")</f>
        <v>Founder</v>
      </c>
      <c r="F210" s="432" t="str">
        <f>IFERROR(__xludf.DUMMYFUNCTION("""COMPUTED_VALUE"""),"DM CO")</f>
        <v>DM CO</v>
      </c>
      <c r="G210" s="606" t="str">
        <f>IFERROR(__xludf.DUMMYFUNCTION("""COMPUTED_VALUE"""),"https://www.linkedin.com/in/correamari/")</f>
        <v>https://www.linkedin.com/in/correamari/</v>
      </c>
      <c r="H210" s="627" t="str">
        <f>IFERROR(__xludf.DUMMYFUNCTION("""COMPUTED_VALUE"""),"Visão de Negócios")</f>
        <v>Visão de Negócios</v>
      </c>
      <c r="I210" s="627" t="str">
        <f>IFERROR(__xludf.DUMMYFUNCTION("""COMPUTED_VALUE"""),"Conhecimento de Produto e Negócio")</f>
        <v>Conhecimento de Produto e Negócio</v>
      </c>
      <c r="J210" s="633" t="str">
        <f>IFERROR(__xludf.DUMMYFUNCTION("""COMPUTED_VALUE"""),"Ciclo de Vida de Produto")</f>
        <v>Ciclo de Vida de Produto</v>
      </c>
      <c r="K210" s="638" t="str">
        <f>IFERROR(__xludf.DUMMYFUNCTION("""COMPUTED_VALUE"""),"https://universidade.pipelovers.net/m/lessons/criando-discursos-de-prospeccao-para-novas-ofertas-1786047063655?moduleId=1584&amp;classId=4473")</f>
        <v>https://universidade.pipelovers.net/m/lessons/criando-discursos-de-prospeccao-para-novas-ofertas-1786047063655?moduleId=1584&amp;classId=4473</v>
      </c>
      <c r="L210" s="615"/>
      <c r="M210" s="379">
        <f>IFERROR(__xludf.DUMMYFUNCTION("""COMPUTED_VALUE"""),3.79)</f>
        <v>3.79</v>
      </c>
      <c r="N210" s="553"/>
      <c r="O210" s="389" t="str">
        <f>IFERROR(__xludf.DUMMYFUNCTION("""COMPUTED_VALUE"""),"")</f>
        <v/>
      </c>
      <c r="P210" s="601"/>
      <c r="Q210" s="389"/>
    </row>
    <row r="211">
      <c r="A211" s="73"/>
      <c r="B211" s="549" t="str">
        <f>IFERROR(__xludf.DUMMYFUNCTION("""COMPUTED_VALUE"""),"Pré-Vendas (Prospecção)")</f>
        <v>Pré-Vendas (Prospecção)</v>
      </c>
      <c r="C211" s="145" t="str">
        <f>IFERROR(__xludf.DUMMYFUNCTION("""COMPUTED_VALUE"""),"Reativação de leads com base histórica do CRM")</f>
        <v>Reativação de leads com base histórica do CRM</v>
      </c>
      <c r="D211" s="145" t="str">
        <f>IFERROR(__xludf.DUMMYFUNCTION("""COMPUTED_VALUE"""),"Juliana Eloi")</f>
        <v>Juliana Eloi</v>
      </c>
      <c r="E211" s="110" t="str">
        <f>IFERROR(__xludf.DUMMYFUNCTION("""COMPUTED_VALUE"""),"Sales Enablement Manager")</f>
        <v>Sales Enablement Manager</v>
      </c>
      <c r="F211" s="490" t="str">
        <f>IFERROR(__xludf.DUMMYFUNCTION("""COMPUTED_VALUE"""),"A+ Educação")</f>
        <v>A+ Educação</v>
      </c>
      <c r="G211" s="605" t="str">
        <f>IFERROR(__xludf.DUMMYFUNCTION("""COMPUTED_VALUE"""),"https://www.linkedin.com/in/juliana-eloi/")</f>
        <v>https://www.linkedin.com/in/juliana-eloi/</v>
      </c>
      <c r="H211" s="490" t="str">
        <f>IFERROR(__xludf.DUMMYFUNCTION("""COMPUTED_VALUE"""),"Autodesenvolvimento")</f>
        <v>Autodesenvolvimento</v>
      </c>
      <c r="I211" s="490" t="str">
        <f>IFERROR(__xludf.DUMMYFUNCTION("""COMPUTED_VALUE"""),"Gestão de Tempo e da Informação")</f>
        <v>Gestão de Tempo e da Informação</v>
      </c>
      <c r="J211" s="490" t="str">
        <f>IFERROR(__xludf.DUMMYFUNCTION("""COMPUTED_VALUE"""),"Melhores Práticas de CRM")</f>
        <v>Melhores Práticas de CRM</v>
      </c>
      <c r="K211" s="305" t="str">
        <f>IFERROR(__xludf.DUMMYFUNCTION("""COMPUTED_VALUE"""),"https://universidade.pipelovers.net/m/lessons/reativacao-de-leads-com-base-historica-do-crm-1787066536167?moduleId=1591&amp;classId=4482")</f>
        <v>https://universidade.pipelovers.net/m/lessons/reativacao-de-leads-com-base-historica-do-crm-1787066536167?moduleId=1591&amp;classId=4482</v>
      </c>
      <c r="L211" s="615"/>
      <c r="M211" s="379">
        <f>IFERROR(__xludf.DUMMYFUNCTION("""COMPUTED_VALUE"""),3.86)</f>
        <v>3.86</v>
      </c>
      <c r="N211" s="553"/>
      <c r="O211" s="389" t="str">
        <f>IFERROR(__xludf.DUMMYFUNCTION("""COMPUTED_VALUE"""),"")</f>
        <v/>
      </c>
      <c r="P211" s="601"/>
      <c r="Q211" s="389"/>
    </row>
    <row r="212">
      <c r="A212" s="73"/>
      <c r="B212" s="549" t="str">
        <f>IFERROR(__xludf.DUMMYFUNCTION("""COMPUTED_VALUE"""),"Pré-Vendas (Prospecção)")</f>
        <v>Pré-Vendas (Prospecção)</v>
      </c>
      <c r="C212" s="212" t="str">
        <f>IFERROR(__xludf.DUMMYFUNCTION("""COMPUTED_VALUE"""),"Criando credibilidade em poucos segundos em ligações")</f>
        <v>Criando credibilidade em poucos segundos em ligações</v>
      </c>
      <c r="D212" s="212" t="str">
        <f>IFERROR(__xludf.DUMMYFUNCTION("""COMPUTED_VALUE"""),"Ane Borba")</f>
        <v>Ane Borba</v>
      </c>
      <c r="E212" s="432" t="str">
        <f>IFERROR(__xludf.DUMMYFUNCTION("""COMPUTED_VALUE"""),"Fundadora")</f>
        <v>Fundadora</v>
      </c>
      <c r="F212" s="432" t="str">
        <f>IFERROR(__xludf.DUMMYFUNCTION("""COMPUTED_VALUE"""),"3AS")</f>
        <v>3AS</v>
      </c>
      <c r="G212" s="606" t="str">
        <f>IFERROR(__xludf.DUMMYFUNCTION("""COMPUTED_VALUE"""),"https://www.linkedin.com/in/anecarolineborba888/")</f>
        <v>https://www.linkedin.com/in/anecarolineborba888/</v>
      </c>
      <c r="H212" s="627" t="str">
        <f>IFERROR(__xludf.DUMMYFUNCTION("""COMPUTED_VALUE"""),"Conhecimento Técnico")</f>
        <v>Conhecimento Técnico</v>
      </c>
      <c r="I212" s="627" t="str">
        <f>IFERROR(__xludf.DUMMYFUNCTION("""COMPUTED_VALUE"""),"Técnicas de Vendas")</f>
        <v>Técnicas de Vendas</v>
      </c>
      <c r="J212" s="633" t="str">
        <f>IFERROR(__xludf.DUMMYFUNCTION("""COMPUTED_VALUE"""),"Qualificação e Entendimento da Dor")</f>
        <v>Qualificação e Entendimento da Dor</v>
      </c>
      <c r="K212" s="634" t="str">
        <f>IFERROR(__xludf.DUMMYFUNCTION("""COMPUTED_VALUE"""),"https://universidade.pipelovers.net/m/lessons/criando-credibilidade-em-poucos-segundos-em-ligacoes-1786046756616?moduleId=1583&amp;classId=4472")</f>
        <v>https://universidade.pipelovers.net/m/lessons/criando-credibilidade-em-poucos-segundos-em-ligacoes-1786046756616?moduleId=1583&amp;classId=4472</v>
      </c>
      <c r="L212" s="615"/>
      <c r="M212" s="379">
        <f>IFERROR(__xludf.DUMMYFUNCTION("""COMPUTED_VALUE"""),3.57)</f>
        <v>3.57</v>
      </c>
      <c r="N212" s="553"/>
      <c r="O212" s="389" t="str">
        <f>IFERROR(__xludf.DUMMYFUNCTION("""COMPUTED_VALUE"""),"")</f>
        <v/>
      </c>
      <c r="P212" s="601"/>
      <c r="Q212" s="389"/>
    </row>
    <row r="213">
      <c r="A213" s="73"/>
      <c r="B213" s="549" t="str">
        <f>IFERROR(__xludf.DUMMYFUNCTION("""COMPUTED_VALUE"""),"Pré-Vendas (Prospecção)")</f>
        <v>Pré-Vendas (Prospecção)</v>
      </c>
      <c r="C213" s="602" t="str">
        <f>IFERROR(__xludf.DUMMYFUNCTION("""COMPUTED_VALUE"""),"O impacto da saúde física na resiliência de prospecção")</f>
        <v>O impacto da saúde física na resiliência de prospecção</v>
      </c>
      <c r="D213" s="602" t="str">
        <f>IFERROR(__xludf.DUMMYFUNCTION("""COMPUTED_VALUE"""),"Debora Menezes")</f>
        <v>Debora Menezes</v>
      </c>
      <c r="E213" s="489" t="str">
        <f>IFERROR(__xludf.DUMMYFUNCTION("""COMPUTED_VALUE"""),"Abm Acount")</f>
        <v>Abm Acount</v>
      </c>
      <c r="F213" s="490" t="str">
        <f>IFERROR(__xludf.DUMMYFUNCTION("""COMPUTED_VALUE"""),"Cortex")</f>
        <v>Cortex</v>
      </c>
      <c r="G213" s="605" t="str">
        <f>IFERROR(__xludf.DUMMYFUNCTION("""COMPUTED_VALUE"""),"https://www.linkedin.com/in/d%C3%A9bora-menezes-06241094/")</f>
        <v>https://www.linkedin.com/in/d%C3%A9bora-menezes-06241094/</v>
      </c>
      <c r="H213" s="490" t="str">
        <f>IFERROR(__xludf.DUMMYFUNCTION("""COMPUTED_VALUE"""),"Autodesenvolvimento")</f>
        <v>Autodesenvolvimento</v>
      </c>
      <c r="I213" s="490" t="str">
        <f>IFERROR(__xludf.DUMMYFUNCTION("""COMPUTED_VALUE"""),"Inteligência Emocional")</f>
        <v>Inteligência Emocional</v>
      </c>
      <c r="J213" s="589" t="str">
        <f>IFERROR(__xludf.DUMMYFUNCTION("""COMPUTED_VALUE"""),"Resiliência")</f>
        <v>Resiliência</v>
      </c>
      <c r="K213" s="605" t="str">
        <f>IFERROR(__xludf.DUMMYFUNCTION("""COMPUTED_VALUE"""),"https://universidade.pipelovers.net/m/lessons/a-impacto-da-saude-fisica-na-resiliencia-de-prospeccao-1789502318244?moduleId=1673&amp;classId=4608")</f>
        <v>https://universidade.pipelovers.net/m/lessons/a-impacto-da-saude-fisica-na-resiliencia-de-prospeccao-1789502318244?moduleId=1673&amp;classId=4608</v>
      </c>
      <c r="L213" s="295"/>
      <c r="M213" s="379">
        <f>IFERROR(__xludf.DUMMYFUNCTION("""COMPUTED_VALUE"""),2.86)</f>
        <v>2.86</v>
      </c>
      <c r="N213" s="553"/>
      <c r="O213" s="389" t="str">
        <f>IFERROR(__xludf.DUMMYFUNCTION("""COMPUTED_VALUE"""),"")</f>
        <v/>
      </c>
      <c r="P213" s="601"/>
      <c r="Q213" s="389"/>
    </row>
    <row r="214">
      <c r="A214" s="73"/>
      <c r="B214" s="549" t="str">
        <f>IFERROR(__xludf.DUMMYFUNCTION("""COMPUTED_VALUE"""),"Pré-Vendas (Prospecção)")</f>
        <v>Pré-Vendas (Prospecção)</v>
      </c>
      <c r="C214" s="212" t="str">
        <f>IFERROR(__xludf.DUMMYFUNCTION("""COMPUTED_VALUE"""),"Técnicas de qualificação por WhatsApp")</f>
        <v>Técnicas de qualificação por WhatsApp</v>
      </c>
      <c r="D214" s="212" t="str">
        <f>IFERROR(__xludf.DUMMYFUNCTION("""COMPUTED_VALUE"""),"Matheus Gomes")</f>
        <v>Matheus Gomes</v>
      </c>
      <c r="E214" s="432" t="str">
        <f>IFERROR(__xludf.DUMMYFUNCTION("""COMPUTED_VALUE"""),"Especialista em Conteúdo")</f>
        <v>Especialista em Conteúdo</v>
      </c>
      <c r="F214" s="432" t="str">
        <f>IFERROR(__xludf.DUMMYFUNCTION("""COMPUTED_VALUE"""),"Pipelovers")</f>
        <v>Pipelovers</v>
      </c>
      <c r="G214" s="606" t="str">
        <f>IFERROR(__xludf.DUMMYFUNCTION("""COMPUTED_VALUE"""),"https://www.linkedin.com/in/matheus-gomes-dasilva/")</f>
        <v>https://www.linkedin.com/in/matheus-gomes-dasilva/</v>
      </c>
      <c r="H214" s="627" t="str">
        <f>IFERROR(__xludf.DUMMYFUNCTION("""COMPUTED_VALUE"""),"Conhecimento Técnico")</f>
        <v>Conhecimento Técnico</v>
      </c>
      <c r="I214" s="627" t="str">
        <f>IFERROR(__xludf.DUMMYFUNCTION("""COMPUTED_VALUE"""),"Gestão de Vendas")</f>
        <v>Gestão de Vendas</v>
      </c>
      <c r="J214" s="615" t="str">
        <f>IFERROR(__xludf.DUMMYFUNCTION("""COMPUTED_VALUE"""),"Rotinas e Rituais")</f>
        <v>Rotinas e Rituais</v>
      </c>
      <c r="K214" s="634" t="str">
        <f>IFERROR(__xludf.DUMMYFUNCTION("""COMPUTED_VALUE"""),"https://universidade.pipelovers.net/m/lessons/tecnicas-de-qualificacao-por-whatsapp-e-e-mail-1789502329420?moduleId=1674&amp;classId=4609")</f>
        <v>https://universidade.pipelovers.net/m/lessons/tecnicas-de-qualificacao-por-whatsapp-e-e-mail-1789502329420?moduleId=1674&amp;classId=4609</v>
      </c>
      <c r="L214" s="295"/>
      <c r="M214" s="379">
        <f>IFERROR(__xludf.DUMMYFUNCTION("""COMPUTED_VALUE"""),3.21)</f>
        <v>3.21</v>
      </c>
      <c r="N214" s="553"/>
      <c r="O214" s="389" t="str">
        <f>IFERROR(__xludf.DUMMYFUNCTION("""COMPUTED_VALUE"""),"")</f>
        <v/>
      </c>
      <c r="P214" s="601"/>
      <c r="Q214" s="389"/>
    </row>
    <row r="215">
      <c r="A215" s="73"/>
      <c r="B215" s="549" t="str">
        <f>IFERROR(__xludf.DUMMYFUNCTION("""COMPUTED_VALUE"""),"Pré-Vendas (Prospecção)")</f>
        <v>Pré-Vendas (Prospecção)</v>
      </c>
      <c r="C215" s="210" t="str">
        <f>IFERROR(__xludf.DUMMYFUNCTION("""COMPUTED_VALUE"""),"Definição do ""Perfil Ideal de Contato"" na prospecção")</f>
        <v>Definição do "Perfil Ideal de Contato" na prospecção</v>
      </c>
      <c r="D215" s="210" t="str">
        <f>IFERROR(__xludf.DUMMYFUNCTION("""COMPUTED_VALUE"""),"Debora Menezes")</f>
        <v>Debora Menezes</v>
      </c>
      <c r="E215" s="406" t="str">
        <f>IFERROR(__xludf.DUMMYFUNCTION("""COMPUTED_VALUE"""),"Abm Acount")</f>
        <v>Abm Acount</v>
      </c>
      <c r="F215" s="406" t="str">
        <f>IFERROR(__xludf.DUMMYFUNCTION("""COMPUTED_VALUE"""),"Cortex")</f>
        <v>Cortex</v>
      </c>
      <c r="G215" s="514" t="str">
        <f>IFERROR(__xludf.DUMMYFUNCTION("""COMPUTED_VALUE"""),"https://www.linkedin.com/in/d%C3%A9bora-menezes-06241094/")</f>
        <v>https://www.linkedin.com/in/d%C3%A9bora-menezes-06241094/</v>
      </c>
      <c r="H215" s="612" t="str">
        <f>IFERROR(__xludf.DUMMYFUNCTION("""COMPUTED_VALUE"""),"Visão de Negócios")</f>
        <v>Visão de Negócios</v>
      </c>
      <c r="I215" s="612" t="str">
        <f>IFERROR(__xludf.DUMMYFUNCTION("""COMPUTED_VALUE"""),"Conhecimento de Produto e Negócio")</f>
        <v>Conhecimento de Produto e Negócio</v>
      </c>
      <c r="J215" s="639" t="str">
        <f>IFERROR(__xludf.DUMMYFUNCTION("""COMPUTED_VALUE"""),"ICP (Perfil de Cliente Ideal)")</f>
        <v>ICP (Perfil de Cliente Ideal)</v>
      </c>
      <c r="K215" s="640" t="str">
        <f>IFERROR(__xludf.DUMMYFUNCTION("""COMPUTED_VALUE"""),"https://universidade.pipelovers.net/m/lessons/definicao-do-perfil-ideal-de-contato-na-prospeccao-1789157237371?moduleId=1661&amp;classId=4597")</f>
        <v>https://universidade.pipelovers.net/m/lessons/definicao-do-perfil-ideal-de-contato-na-prospeccao-1789157237371?moduleId=1661&amp;classId=4597</v>
      </c>
      <c r="L215" s="615"/>
      <c r="M215" s="379">
        <f>IFERROR(__xludf.DUMMYFUNCTION("""COMPUTED_VALUE"""),3.5)</f>
        <v>3.5</v>
      </c>
      <c r="N215" s="553"/>
      <c r="O215" s="389" t="str">
        <f>IFERROR(__xludf.DUMMYFUNCTION("""COMPUTED_VALUE"""),"")</f>
        <v/>
      </c>
      <c r="P215" s="601"/>
      <c r="Q215" s="389"/>
    </row>
    <row r="216">
      <c r="A216" s="73"/>
      <c r="B216" s="549" t="str">
        <f>IFERROR(__xludf.DUMMYFUNCTION("""COMPUTED_VALUE"""),"Pré-Vendas (Prospecção)")</f>
        <v>Pré-Vendas (Prospecção)</v>
      </c>
      <c r="C216" s="602" t="str">
        <f>IFERROR(__xludf.DUMMYFUNCTION("""COMPUTED_VALUE"""),"Técnicas de Cold Call para prospecção ativa")</f>
        <v>Técnicas de Cold Call para prospecção ativa</v>
      </c>
      <c r="D216" s="602" t="str">
        <f>IFERROR(__xludf.DUMMYFUNCTION("""COMPUTED_VALUE"""),"Ane Borba")</f>
        <v>Ane Borba</v>
      </c>
      <c r="E216" s="489" t="str">
        <f>IFERROR(__xludf.DUMMYFUNCTION("""COMPUTED_VALUE"""),"Fundadora")</f>
        <v>Fundadora</v>
      </c>
      <c r="F216" s="490" t="str">
        <f>IFERROR(__xludf.DUMMYFUNCTION("""COMPUTED_VALUE"""),"3AS")</f>
        <v>3AS</v>
      </c>
      <c r="G216" s="605" t="str">
        <f>IFERROR(__xludf.DUMMYFUNCTION("""COMPUTED_VALUE"""),"https://www.linkedin.com/in/anecarolineborba888/")</f>
        <v>https://www.linkedin.com/in/anecarolineborba888/</v>
      </c>
      <c r="H216" s="490" t="str">
        <f>IFERROR(__xludf.DUMMYFUNCTION("""COMPUTED_VALUE"""),"Relacionamento Interpessoal")</f>
        <v>Relacionamento Interpessoal</v>
      </c>
      <c r="I216" s="490" t="str">
        <f>IFERROR(__xludf.DUMMYFUNCTION("""COMPUTED_VALUE"""),"Liderança e Influência")</f>
        <v>Liderança e Influência</v>
      </c>
      <c r="J216" s="490" t="str">
        <f>IFERROR(__xludf.DUMMYFUNCTION("""COMPUTED_VALUE"""),"Credibilidade e Reputação")</f>
        <v>Credibilidade e Reputação</v>
      </c>
      <c r="K216" s="641" t="str">
        <f>IFERROR(__xludf.DUMMYFUNCTION("""COMPUTED_VALUE"""),"https://universidade.pipelovers.net/m/lessons/tecnicas-de-cold-call-para-prospeccao-ativa-1791468975221?moduleId=1730&amp;classId=4815")</f>
        <v>https://universidade.pipelovers.net/m/lessons/tecnicas-de-cold-call-para-prospeccao-ativa-1791468975221?moduleId=1730&amp;classId=4815</v>
      </c>
      <c r="L216" s="295"/>
      <c r="M216" s="379">
        <f>IFERROR(__xludf.DUMMYFUNCTION("""COMPUTED_VALUE"""),3.07)</f>
        <v>3.07</v>
      </c>
      <c r="N216" s="553"/>
      <c r="O216" s="389" t="str">
        <f>IFERROR(__xludf.DUMMYFUNCTION("""COMPUTED_VALUE"""),"")</f>
        <v/>
      </c>
      <c r="P216" s="601"/>
      <c r="Q216" s="389"/>
    </row>
    <row r="217">
      <c r="A217" s="73"/>
      <c r="B217" s="103" t="str">
        <f>IFERROR(__xludf.DUMMYFUNCTION("""COMPUTED_VALUE"""),"Pré-Vendas (Prospecção)")</f>
        <v>Pré-Vendas (Prospecção)</v>
      </c>
      <c r="C217" s="173" t="str">
        <f>IFERROR(__xludf.DUMMYFUNCTION("""COMPUTED_VALUE"""),"Elaborando um PDI para melhorar métricas de produtividade")</f>
        <v>Elaborando um PDI para melhorar métricas de produtividade</v>
      </c>
      <c r="D217" s="173" t="str">
        <f>IFERROR(__xludf.DUMMYFUNCTION("""COMPUTED_VALUE"""),"Gabriela Oliveira")</f>
        <v>Gabriela Oliveira</v>
      </c>
      <c r="E217" s="174" t="str">
        <f>IFERROR(__xludf.DUMMYFUNCTION("""COMPUTED_VALUE"""),"Especialista em ABM")</f>
        <v>Especialista em ABM</v>
      </c>
      <c r="F217" s="478" t="str">
        <f>IFERROR(__xludf.DUMMYFUNCTION("""COMPUTED_VALUE"""),"Woba")</f>
        <v>Woba</v>
      </c>
      <c r="G217" s="447" t="str">
        <f>IFERROR(__xludf.DUMMYFUNCTION("""COMPUTED_VALUE"""),"https://www.linkedin.com/in/gabriela5oliveira/")</f>
        <v>https://www.linkedin.com/in/gabriela5oliveira/</v>
      </c>
      <c r="H217" s="446" t="str">
        <f>IFERROR(__xludf.DUMMYFUNCTION("""COMPUTED_VALUE"""),"Autodesenvolvimento")</f>
        <v>Autodesenvolvimento</v>
      </c>
      <c r="I217" s="446" t="str">
        <f>IFERROR(__xludf.DUMMYFUNCTION("""COMPUTED_VALUE"""),"Aprendizado Ativo")</f>
        <v>Aprendizado Ativo</v>
      </c>
      <c r="J217" s="446" t="str">
        <f>IFERROR(__xludf.DUMMYFUNCTION("""COMPUTED_VALUE"""),"Plano de Desenvolvimento Individual")</f>
        <v>Plano de Desenvolvimento Individual</v>
      </c>
      <c r="K217" s="483" t="str">
        <f>IFERROR(__xludf.DUMMYFUNCTION("""COMPUTED_VALUE"""),"https://universidade.pipelovers.net/m/lessons/elaborando-um-pdi-para-melhorar-metricas-de-produtividade-1789502336839?moduleId=1675&amp;classId=4610")</f>
        <v>https://universidade.pipelovers.net/m/lessons/elaborando-um-pdi-para-melhorar-metricas-de-produtividade-1789502336839?moduleId=1675&amp;classId=4610</v>
      </c>
      <c r="L217" s="305" t="str">
        <f>IFERROR(__xludf.DUMMYFUNCTION("""COMPUTED_VALUE"""),"https://universidade.pipelovers.net/m/lessons/elaborando-um-pdi-para-melhorar-metricas-de-produtividade-1789502336839?moduleId=1675&amp;classId=4610")</f>
        <v>https://universidade.pipelovers.net/m/lessons/elaborando-um-pdi-para-melhorar-metricas-de-produtividade-1789502336839?moduleId=1675&amp;classId=4610</v>
      </c>
      <c r="M217" s="379">
        <f>IFERROR(__xludf.DUMMYFUNCTION("""COMPUTED_VALUE"""),4.0)</f>
        <v>4</v>
      </c>
      <c r="N217" s="553"/>
      <c r="O217" s="389" t="str">
        <f>IFERROR(__xludf.DUMMYFUNCTION("""COMPUTED_VALUE"""),"")</f>
        <v/>
      </c>
      <c r="P217" s="601"/>
      <c r="Q217" s="389"/>
    </row>
    <row r="218">
      <c r="A218" s="73"/>
      <c r="B218" s="103" t="str">
        <f>IFERROR(__xludf.DUMMYFUNCTION("""COMPUTED_VALUE"""),"")</f>
        <v/>
      </c>
      <c r="C218" s="175" t="str">
        <f>IFERROR(__xludf.DUMMYFUNCTION("""COMPUTED_VALUE"""),"")</f>
        <v/>
      </c>
      <c r="D218" s="173" t="str">
        <f>IFERROR(__xludf.DUMMYFUNCTION("""COMPUTED_VALUE"""),"")</f>
        <v/>
      </c>
      <c r="E218" s="174" t="str">
        <f>IFERROR(__xludf.DUMMYFUNCTION("""COMPUTED_VALUE"""),"")</f>
        <v/>
      </c>
      <c r="F218" s="478" t="str">
        <f>IFERROR(__xludf.DUMMYFUNCTION("""COMPUTED_VALUE"""),"")</f>
        <v/>
      </c>
      <c r="G218" s="446" t="str">
        <f>IFERROR(__xludf.DUMMYFUNCTION("""COMPUTED_VALUE"""),"")</f>
        <v/>
      </c>
      <c r="H218" s="446" t="str">
        <f>IFERROR(__xludf.DUMMYFUNCTION("""COMPUTED_VALUE"""),"")</f>
        <v/>
      </c>
      <c r="I218" s="446" t="str">
        <f>IFERROR(__xludf.DUMMYFUNCTION("""COMPUTED_VALUE"""),"")</f>
        <v/>
      </c>
      <c r="J218" s="446" t="str">
        <f>IFERROR(__xludf.DUMMYFUNCTION("""COMPUTED_VALUE"""),"")</f>
        <v/>
      </c>
      <c r="K218" s="114" t="str">
        <f>IFERROR(__xludf.DUMMYFUNCTION("""COMPUTED_VALUE"""),"")</f>
        <v/>
      </c>
      <c r="L218" s="535" t="str">
        <f>IFERROR(__xludf.DUMMYFUNCTION("""COMPUTED_VALUE"""),"")</f>
        <v/>
      </c>
      <c r="M218" s="117" t="str">
        <f>IFERROR(__xludf.DUMMYFUNCTION("""COMPUTED_VALUE"""),"")</f>
        <v/>
      </c>
      <c r="N218" s="553" t="str">
        <f>IFERROR(__xludf.DUMMYFUNCTION("""COMPUTED_VALUE"""),"")</f>
        <v/>
      </c>
      <c r="O218" s="389" t="str">
        <f>IFERROR(__xludf.DUMMYFUNCTION("""COMPUTED_VALUE"""),"")</f>
        <v/>
      </c>
      <c r="P218" s="601" t="str">
        <f>IFERROR(__xludf.DUMMYFUNCTION("""COMPUTED_VALUE"""),"")</f>
        <v/>
      </c>
      <c r="Q218" s="389"/>
    </row>
    <row r="219">
      <c r="A219" s="73"/>
      <c r="B219" s="103" t="str">
        <f>IFERROR(__xludf.DUMMYFUNCTION("""COMPUTED_VALUE"""),"Executivos de Vendas")</f>
        <v>Executivos de Vendas</v>
      </c>
      <c r="C219" s="173" t="str">
        <f>IFERROR(__xludf.DUMMYFUNCTION("""COMPUTED_VALUE"""),"Carreira e Crescimento em Vendas para Executivos de Vendas")</f>
        <v>Carreira e Crescimento em Vendas para Executivos de Vendas</v>
      </c>
      <c r="D219" s="175" t="str">
        <f>IFERROR(__xludf.DUMMYFUNCTION("""COMPUTED_VALUE"""),"Thiago Reis")</f>
        <v>Thiago Reis</v>
      </c>
      <c r="E219" s="174" t="str">
        <f>IFERROR(__xludf.DUMMYFUNCTION("""COMPUTED_VALUE"""),"CEO")</f>
        <v>CEO</v>
      </c>
      <c r="F219" s="478" t="str">
        <f>IFERROR(__xludf.DUMMYFUNCTION("""COMPUTED_VALUE"""),"Growth Machine")</f>
        <v>Growth Machine</v>
      </c>
      <c r="G219" s="447" t="str">
        <f>IFERROR(__xludf.DUMMYFUNCTION("""COMPUTED_VALUE"""),"https://www.linkedin.com/in/thiago-reis-/")</f>
        <v>https://www.linkedin.com/in/thiago-reis-/</v>
      </c>
      <c r="H219" s="446" t="str">
        <f>IFERROR(__xludf.DUMMYFUNCTION("""COMPUTED_VALUE"""),"Autodesenvolvimento")</f>
        <v>Autodesenvolvimento</v>
      </c>
      <c r="I219" s="446" t="str">
        <f>IFERROR(__xludf.DUMMYFUNCTION("""COMPUTED_VALUE"""),"Inteligência Emocional")</f>
        <v>Inteligência Emocional</v>
      </c>
      <c r="J219" s="642" t="str">
        <f>IFERROR(__xludf.DUMMYFUNCTION("""COMPUTED_VALUE"""),"Motivação")</f>
        <v>Motivação</v>
      </c>
      <c r="K219" s="128" t="str">
        <f>IFERROR(__xludf.DUMMYFUNCTION("""COMPUTED_VALUE"""),"https://universidade.pipelovers.net/m/lessons/carreira-e-crescimento-em-vendas-para-executivos-de-vendas1769552324735?classId=2703")</f>
        <v>https://universidade.pipelovers.net/m/lessons/carreira-e-crescimento-em-vendas-para-executivos-de-vendas1769552324735?classId=2703</v>
      </c>
      <c r="L219" s="535" t="str">
        <f>IFERROR(__xludf.DUMMYFUNCTION("""COMPUTED_VALUE"""),"https://universidade.pipelovers.net/m/lessons/carreira-e-crescimento-em-vendas-para-executivos-de-vendas1769552324735?classId=2703")</f>
        <v>https://universidade.pipelovers.net/m/lessons/carreira-e-crescimento-em-vendas-para-executivos-de-vendas1769552324735?classId=2703</v>
      </c>
      <c r="M219" s="379" t="str">
        <f>IFERROR(__xludf.DUMMYFUNCTION("""COMPUTED_VALUE"""),"4,36")</f>
        <v>4,36</v>
      </c>
      <c r="N219" s="643" t="str">
        <f>IFERROR(__xludf.DUMMYFUNCTION("""COMPUTED_VALUE"""),"00. PipeLovers 🧡 Executivos de Vendas com Thiago Reis ""Carreira &amp; Crescimento para Executivos de Vendas B2B"".mp4")</f>
        <v>00. PipeLovers 🧡 Executivos de Vendas com Thiago Reis "Carreira &amp; Crescimento para Executivos de Vendas B2B".mp4</v>
      </c>
      <c r="O219" s="389" t="str">
        <f>IFERROR(__xludf.DUMMYFUNCTION("""COMPUTED_VALUE"""),"")</f>
        <v/>
      </c>
      <c r="P219" s="601" t="str">
        <f>IFERROR(__xludf.DUMMYFUNCTION("""COMPUTED_VALUE"""),"22/03/2023")</f>
        <v>22/03/2023</v>
      </c>
      <c r="Q219" s="389"/>
    </row>
    <row r="220">
      <c r="A220" s="73"/>
      <c r="B220" s="103" t="str">
        <f>IFERROR(__xludf.DUMMYFUNCTION("""COMPUTED_VALUE"""),"Executivos de Vendas")</f>
        <v>Executivos de Vendas</v>
      </c>
      <c r="C220" s="175" t="str">
        <f>IFERROR(__xludf.DUMMYFUNCTION("""COMPUTED_VALUE"""),"De Vendedor a VP de Vendas")</f>
        <v>De Vendedor a VP de Vendas</v>
      </c>
      <c r="D220" s="173" t="str">
        <f>IFERROR(__xludf.DUMMYFUNCTION("""COMPUTED_VALUE"""),"Marcell Rosa")</f>
        <v>Marcell Rosa</v>
      </c>
      <c r="E220" s="174" t="str">
        <f>IFERROR(__xludf.DUMMYFUNCTION("""COMPUTED_VALUE"""),"Vice President of Sales")</f>
        <v>Vice President of Sales</v>
      </c>
      <c r="F220" s="478" t="str">
        <f>IFERROR(__xludf.DUMMYFUNCTION("""COMPUTED_VALUE"""),"DocuSign")</f>
        <v>DocuSign</v>
      </c>
      <c r="G220" s="447" t="str">
        <f>IFERROR(__xludf.DUMMYFUNCTION("""COMPUTED_VALUE"""),"https://www.linkedin.com/in/marcellrosa/")</f>
        <v>https://www.linkedin.com/in/marcellrosa/</v>
      </c>
      <c r="H220" s="446" t="str">
        <f>IFERROR(__xludf.DUMMYFUNCTION("""COMPUTED_VALUE"""),"Relacionamento Interpessoal")</f>
        <v>Relacionamento Interpessoal</v>
      </c>
      <c r="I220" s="446" t="str">
        <f>IFERROR(__xludf.DUMMYFUNCTION("""COMPUTED_VALUE"""),"Liderança e Influência")</f>
        <v>Liderança e Influência</v>
      </c>
      <c r="J220" s="642" t="str">
        <f>IFERROR(__xludf.DUMMYFUNCTION("""COMPUTED_VALUE"""),"Mentoria e Desenvolvimento de Talentos")</f>
        <v>Mentoria e Desenvolvimento de Talentos</v>
      </c>
      <c r="K220" s="114" t="str">
        <f>IFERROR(__xludf.DUMMYFUNCTION("""COMPUTED_VALUE"""),"https://universidade.pipelovers.net/m/lessons/de-vendedor-a-vp-de-vendas1769552324867?classId=3586")</f>
        <v>https://universidade.pipelovers.net/m/lessons/de-vendedor-a-vp-de-vendas1769552324867?classId=3586</v>
      </c>
      <c r="L220" s="535" t="str">
        <f>IFERROR(__xludf.DUMMYFUNCTION("""COMPUTED_VALUE"""),"https://universidade.pipelovers.net/m/lessons/de-vendedor-a-vp-de-vendas1769552324867?classId=3586")</f>
        <v>https://universidade.pipelovers.net/m/lessons/de-vendedor-a-vp-de-vendas1769552324867?classId=3586</v>
      </c>
      <c r="M220" s="379" t="str">
        <f>IFERROR(__xludf.DUMMYFUNCTION("""COMPUTED_VALUE"""),"4,07")</f>
        <v>4,07</v>
      </c>
      <c r="N220" s="553" t="str">
        <f>IFERROR(__xludf.DUMMYFUNCTION("""COMPUTED_VALUE"""),"01. PipeLovers 🧡 Executivos de Vendas com Marcell Rosa ""De Vendedor a VP de Vendas"".mp4")</f>
        <v>01. PipeLovers 🧡 Executivos de Vendas com Marcell Rosa "De Vendedor a VP de Vendas".mp4</v>
      </c>
      <c r="O220" s="389" t="str">
        <f>IFERROR(__xludf.DUMMYFUNCTION("""COMPUTED_VALUE"""),"")</f>
        <v/>
      </c>
      <c r="P220" s="601" t="str">
        <f>IFERROR(__xludf.DUMMYFUNCTION("""COMPUTED_VALUE"""),"29/03/2023")</f>
        <v>29/03/2023</v>
      </c>
      <c r="Q220" s="389"/>
    </row>
    <row r="221">
      <c r="A221" s="73"/>
      <c r="B221" s="103" t="str">
        <f>IFERROR(__xludf.DUMMYFUNCTION("""COMPUTED_VALUE"""),"Executivos de Vendas")</f>
        <v>Executivos de Vendas</v>
      </c>
      <c r="C221" s="173" t="str">
        <f>IFERROR(__xludf.DUMMYFUNCTION("""COMPUTED_VALUE"""),"Estratégias de Negociação")</f>
        <v>Estratégias de Negociação</v>
      </c>
      <c r="D221" s="175" t="str">
        <f>IFERROR(__xludf.DUMMYFUNCTION("""COMPUTED_VALUE"""),"Thaisa Fausto")</f>
        <v>Thaisa Fausto</v>
      </c>
      <c r="E221" s="110" t="str">
        <f>IFERROR(__xludf.DUMMYFUNCTION("""COMPUTED_VALUE"""),"Head of Enterprise Sales")</f>
        <v>Head of Enterprise Sales</v>
      </c>
      <c r="F221" s="446" t="str">
        <f>IFERROR(__xludf.DUMMYFUNCTION("""COMPUTED_VALUE"""),"PayPal")</f>
        <v>PayPal</v>
      </c>
      <c r="G221" s="447" t="str">
        <f>IFERROR(__xludf.DUMMYFUNCTION("""COMPUTED_VALUE"""),"https://www.linkedin.com/in/thaisa-cesar-fausto/")</f>
        <v>https://www.linkedin.com/in/thaisa-cesar-fausto/</v>
      </c>
      <c r="H221" s="446" t="str">
        <f>IFERROR(__xludf.DUMMYFUNCTION("""COMPUTED_VALUE"""),"Conhecimento Técnico")</f>
        <v>Conhecimento Técnico</v>
      </c>
      <c r="I221" s="446" t="str">
        <f>IFERROR(__xludf.DUMMYFUNCTION("""COMPUTED_VALUE"""),"Técnicas de Vendas")</f>
        <v>Técnicas de Vendas</v>
      </c>
      <c r="J221" s="642" t="str">
        <f>IFERROR(__xludf.DUMMYFUNCTION("""COMPUTED_VALUE"""),"Negociação e Fechamento de Vendas")</f>
        <v>Negociação e Fechamento de Vendas</v>
      </c>
      <c r="K221" s="128" t="str">
        <f>IFERROR(__xludf.DUMMYFUNCTION("""COMPUTED_VALUE"""),"https://universidade.pipelovers.net/m/lessons/estrategias-de-negociacao1769552324893?classId=3587")</f>
        <v>https://universidade.pipelovers.net/m/lessons/estrategias-de-negociacao1769552324893?classId=3587</v>
      </c>
      <c r="L221" s="535" t="str">
        <f>IFERROR(__xludf.DUMMYFUNCTION("""COMPUTED_VALUE"""),"https://universidade.pipelovers.net/m/lessons/estrategias-de-negociacao1769552324893?classId=3587")</f>
        <v>https://universidade.pipelovers.net/m/lessons/estrategias-de-negociacao1769552324893?classId=3587</v>
      </c>
      <c r="M221" s="379" t="str">
        <f>IFERROR(__xludf.DUMMYFUNCTION("""COMPUTED_VALUE"""),"3")</f>
        <v>3</v>
      </c>
      <c r="N221" s="644" t="str">
        <f>IFERROR(__xludf.DUMMYFUNCTION("""COMPUTED_VALUE"""),"https://drive.google.com/file/d/1nRY49bKvs483aFhX6_VfsBEQjwgy6CNA/view?usp=drive_link")</f>
        <v>https://drive.google.com/file/d/1nRY49bKvs483aFhX6_VfsBEQjwgy6CNA/view?usp=drive_link</v>
      </c>
      <c r="O221" s="389" t="str">
        <f>IFERROR(__xludf.DUMMYFUNCTION("""COMPUTED_VALUE"""),"")</f>
        <v/>
      </c>
      <c r="P221" s="601" t="str">
        <f>IFERROR(__xludf.DUMMYFUNCTION("""COMPUTED_VALUE"""),"05/04/2023")</f>
        <v>05/04/2023</v>
      </c>
      <c r="Q221" s="389"/>
    </row>
    <row r="222">
      <c r="A222" s="73"/>
      <c r="B222" s="103" t="str">
        <f>IFERROR(__xludf.DUMMYFUNCTION("""COMPUTED_VALUE"""),"Executivos de Vendas")</f>
        <v>Executivos de Vendas</v>
      </c>
      <c r="C222" s="175" t="str">
        <f>IFERROR(__xludf.DUMMYFUNCTION("""COMPUTED_VALUE"""),"Vendendo Produtos Líderes de Mercado")</f>
        <v>Vendendo Produtos Líderes de Mercado</v>
      </c>
      <c r="D222" s="173" t="str">
        <f>IFERROR(__xludf.DUMMYFUNCTION("""COMPUTED_VALUE"""),"Ricardo Dellova")</f>
        <v>Ricardo Dellova</v>
      </c>
      <c r="E222" s="174" t="str">
        <f>IFERROR(__xludf.DUMMYFUNCTION("""COMPUTED_VALUE"""),"Regional Vice President")</f>
        <v>Regional Vice President</v>
      </c>
      <c r="F222" s="478" t="str">
        <f>IFERROR(__xludf.DUMMYFUNCTION("""COMPUTED_VALUE"""),"Salesforce")</f>
        <v>Salesforce</v>
      </c>
      <c r="G222" s="447" t="str">
        <f>IFERROR(__xludf.DUMMYFUNCTION("""COMPUTED_VALUE"""),"https://www.linkedin.com/in/ricardo-dellova-5085427/")</f>
        <v>https://www.linkedin.com/in/ricardo-dellova-5085427/</v>
      </c>
      <c r="H222" s="446" t="str">
        <f>IFERROR(__xludf.DUMMYFUNCTION("""COMPUTED_VALUE"""),"Visão de Negócios")</f>
        <v>Visão de Negócios</v>
      </c>
      <c r="I222" s="446" t="str">
        <f>IFERROR(__xludf.DUMMYFUNCTION("""COMPUTED_VALUE"""),"Conhecimento de Produto e Negócio")</f>
        <v>Conhecimento de Produto e Negócio</v>
      </c>
      <c r="J222" s="642" t="str">
        <f>IFERROR(__xludf.DUMMYFUNCTION("""COMPUTED_VALUE"""),"Posicionamento de Produto")</f>
        <v>Posicionamento de Produto</v>
      </c>
      <c r="K222" s="114" t="str">
        <f>IFERROR(__xludf.DUMMYFUNCTION("""COMPUTED_VALUE"""),"https://universidade.pipelovers.net/m/lessons/vendendo-produtos-lideres-de-mercado1769552324928?classId=3588")</f>
        <v>https://universidade.pipelovers.net/m/lessons/vendendo-produtos-lideres-de-mercado1769552324928?classId=3588</v>
      </c>
      <c r="L222" s="535" t="str">
        <f>IFERROR(__xludf.DUMMYFUNCTION("""COMPUTED_VALUE"""),"https://universidade.pipelovers.net/m/lessons/vendendo-produtos-lideres-de-mercado1769552324928?classId=3588")</f>
        <v>https://universidade.pipelovers.net/m/lessons/vendendo-produtos-lideres-de-mercado1769552324928?classId=3588</v>
      </c>
      <c r="M222" s="379" t="str">
        <f>IFERROR(__xludf.DUMMYFUNCTION("""COMPUTED_VALUE"""),"4,07")</f>
        <v>4,07</v>
      </c>
      <c r="N222" s="644" t="str">
        <f>IFERROR(__xludf.DUMMYFUNCTION("""COMPUTED_VALUE"""),"https://drive.google.com/file/d/1w0D3Z3JWdjKFTIcJmoWEG1v-v7yHJ8ix/view?usp=drive_link")</f>
        <v>https://drive.google.com/file/d/1w0D3Z3JWdjKFTIcJmoWEG1v-v7yHJ8ix/view?usp=drive_link</v>
      </c>
      <c r="O222" s="389" t="str">
        <f>IFERROR(__xludf.DUMMYFUNCTION("""COMPUTED_VALUE"""),"")</f>
        <v/>
      </c>
      <c r="P222" s="601" t="str">
        <f>IFERROR(__xludf.DUMMYFUNCTION("""COMPUTED_VALUE"""),"12/04/2023")</f>
        <v>12/04/2023</v>
      </c>
      <c r="Q222" s="389"/>
    </row>
    <row r="223">
      <c r="A223" s="73"/>
      <c r="B223" s="103" t="str">
        <f>IFERROR(__xludf.DUMMYFUNCTION("""COMPUTED_VALUE"""),"Executivos de Vendas")</f>
        <v>Executivos de Vendas</v>
      </c>
      <c r="C223" s="173" t="str">
        <f>IFERROR(__xludf.DUMMYFUNCTION("""COMPUTED_VALUE"""),"Cross-Selling e Up-Selling")</f>
        <v>Cross-Selling e Up-Selling</v>
      </c>
      <c r="D223" s="175" t="str">
        <f>IFERROR(__xludf.DUMMYFUNCTION("""COMPUTED_VALUE"""),"Talita Passos")</f>
        <v>Talita Passos</v>
      </c>
      <c r="E223" s="110" t="str">
        <f>IFERROR(__xludf.DUMMYFUNCTION("""COMPUTED_VALUE"""),"Head of Sales")</f>
        <v>Head of Sales</v>
      </c>
      <c r="F223" s="478" t="str">
        <f>IFERROR(__xludf.DUMMYFUNCTION("""COMPUTED_VALUE"""),"Caju")</f>
        <v>Caju</v>
      </c>
      <c r="G223" s="447" t="str">
        <f>IFERROR(__xludf.DUMMYFUNCTION("""COMPUTED_VALUE"""),"https://www.linkedin.com/in/talitapassos/")</f>
        <v>https://www.linkedin.com/in/talitapassos/</v>
      </c>
      <c r="H223" s="446" t="str">
        <f>IFERROR(__xludf.DUMMYFUNCTION("""COMPUTED_VALUE"""),"Conhecimento Técnico")</f>
        <v>Conhecimento Técnico</v>
      </c>
      <c r="I223" s="446" t="str">
        <f>IFERROR(__xludf.DUMMYFUNCTION("""COMPUTED_VALUE"""),"Gestão de Vendas")</f>
        <v>Gestão de Vendas</v>
      </c>
      <c r="J223" s="642" t="str">
        <f>IFERROR(__xludf.DUMMYFUNCTION("""COMPUTED_VALUE"""),"UpSell e Cross Sell")</f>
        <v>UpSell e Cross Sell</v>
      </c>
      <c r="K223" s="128" t="str">
        <f>IFERROR(__xludf.DUMMYFUNCTION("""COMPUTED_VALUE"""),"https://universidade.pipelovers.net/m/lessons/cross-selling-e-up-selling1769552324956?classId=3589")</f>
        <v>https://universidade.pipelovers.net/m/lessons/cross-selling-e-up-selling1769552324956?classId=3589</v>
      </c>
      <c r="L223" s="535" t="str">
        <f>IFERROR(__xludf.DUMMYFUNCTION("""COMPUTED_VALUE"""),"https://universidade.pipelovers.net/m/lessons/cross-selling-e-up-selling1769552324956?classId=3589")</f>
        <v>https://universidade.pipelovers.net/m/lessons/cross-selling-e-up-selling1769552324956?classId=3589</v>
      </c>
      <c r="M223" s="379" t="str">
        <f>IFERROR(__xludf.DUMMYFUNCTION("""COMPUTED_VALUE"""),"3,71")</f>
        <v>3,71</v>
      </c>
      <c r="N223" s="644" t="str">
        <f>IFERROR(__xludf.DUMMYFUNCTION("""COMPUTED_VALUE"""),"https://drive.google.com/file/d/1ibZt276CeRw0AYS6zlAnUvGDKxO6xCgh/view?usp=drive_link")</f>
        <v>https://drive.google.com/file/d/1ibZt276CeRw0AYS6zlAnUvGDKxO6xCgh/view?usp=drive_link</v>
      </c>
      <c r="O223" s="389" t="str">
        <f>IFERROR(__xludf.DUMMYFUNCTION("""COMPUTED_VALUE"""),"")</f>
        <v/>
      </c>
      <c r="P223" s="601" t="str">
        <f>IFERROR(__xludf.DUMMYFUNCTION("""COMPUTED_VALUE"""),"19/04/2023")</f>
        <v>19/04/2023</v>
      </c>
      <c r="Q223" s="389"/>
    </row>
    <row r="224">
      <c r="A224" s="73"/>
      <c r="B224" s="103" t="str">
        <f>IFERROR(__xludf.DUMMYFUNCTION("""COMPUTED_VALUE"""),"Executivos de Vendas")</f>
        <v>Executivos de Vendas</v>
      </c>
      <c r="C224" s="104" t="str">
        <f>IFERROR(__xludf.DUMMYFUNCTION("""COMPUTED_VALUE"""),"Vendas para Grandes Contas")</f>
        <v>Vendas para Grandes Contas</v>
      </c>
      <c r="D224" s="173" t="str">
        <f>IFERROR(__xludf.DUMMYFUNCTION("""COMPUTED_VALUE"""),"Alan Schulte")</f>
        <v>Alan Schulte</v>
      </c>
      <c r="E224" s="110" t="str">
        <f>IFERROR(__xludf.DUMMYFUNCTION("""COMPUTED_VALUE"""),"Diretor de Vendas")</f>
        <v>Diretor de Vendas</v>
      </c>
      <c r="F224" s="478" t="str">
        <f>IFERROR(__xludf.DUMMYFUNCTION("""COMPUTED_VALUE"""),"Zendesk")</f>
        <v>Zendesk</v>
      </c>
      <c r="G224" s="447" t="str">
        <f>IFERROR(__xludf.DUMMYFUNCTION("""COMPUTED_VALUE"""),"https://www.linkedin.com/in/alanschultelinkedin/")</f>
        <v>https://www.linkedin.com/in/alanschultelinkedin/</v>
      </c>
      <c r="H224" s="446" t="str">
        <f>IFERROR(__xludf.DUMMYFUNCTION("""COMPUTED_VALUE"""),"Conhecimento Técnico")</f>
        <v>Conhecimento Técnico</v>
      </c>
      <c r="I224" s="446" t="str">
        <f>IFERROR(__xludf.DUMMYFUNCTION("""COMPUTED_VALUE"""),"Técnicas de Vendas")</f>
        <v>Técnicas de Vendas</v>
      </c>
      <c r="J224" s="642" t="str">
        <f>IFERROR(__xludf.DUMMYFUNCTION("""COMPUTED_VALUE"""),"Abordagem e Prospecção")</f>
        <v>Abordagem e Prospecção</v>
      </c>
      <c r="K224" s="114" t="str">
        <f>IFERROR(__xludf.DUMMYFUNCTION("""COMPUTED_VALUE"""),"https://universidade.pipelovers.net/m/lessons/vendas-para-grandes-contas1769552324984?classId=3590")</f>
        <v>https://universidade.pipelovers.net/m/lessons/vendas-para-grandes-contas1769552324984?classId=3590</v>
      </c>
      <c r="L224" s="535" t="str">
        <f>IFERROR(__xludf.DUMMYFUNCTION("""COMPUTED_VALUE"""),"https://universidade.pipelovers.net/m/lessons/vendas-para-grandes-contas1769552324984?classId=3590")</f>
        <v>https://universidade.pipelovers.net/m/lessons/vendas-para-grandes-contas1769552324984?classId=3590</v>
      </c>
      <c r="M224" s="379" t="str">
        <f>IFERROR(__xludf.DUMMYFUNCTION("""COMPUTED_VALUE"""),"3,36")</f>
        <v>3,36</v>
      </c>
      <c r="N224" s="644" t="str">
        <f>IFERROR(__xludf.DUMMYFUNCTION("""COMPUTED_VALUE"""),"https://drive.google.com/file/d/1vnfHe2Qc17gdbznuDxlH5jIdn-ZshXnK/view?usp=drive_link")</f>
        <v>https://drive.google.com/file/d/1vnfHe2Qc17gdbznuDxlH5jIdn-ZshXnK/view?usp=drive_link</v>
      </c>
      <c r="O224" s="389" t="str">
        <f>IFERROR(__xludf.DUMMYFUNCTION("""COMPUTED_VALUE"""),"")</f>
        <v/>
      </c>
      <c r="P224" s="601" t="str">
        <f>IFERROR(__xludf.DUMMYFUNCTION("""COMPUTED_VALUE"""),"26/04/2023")</f>
        <v>26/04/2023</v>
      </c>
      <c r="Q224" s="389"/>
    </row>
    <row r="225">
      <c r="A225" s="73"/>
      <c r="B225" s="103" t="str">
        <f>IFERROR(__xludf.DUMMYFUNCTION("""COMPUTED_VALUE"""),"Executivos de Vendas")</f>
        <v>Executivos de Vendas</v>
      </c>
      <c r="C225" s="173" t="str">
        <f>IFERROR(__xludf.DUMMYFUNCTION("""COMPUTED_VALUE"""),"O Papel do Vendedor Especialista")</f>
        <v>O Papel do Vendedor Especialista</v>
      </c>
      <c r="D225" s="175" t="str">
        <f>IFERROR(__xludf.DUMMYFUNCTION("""COMPUTED_VALUE"""),"Brunna Borghezan")</f>
        <v>Brunna Borghezan</v>
      </c>
      <c r="E225" s="110" t="str">
        <f>IFERROR(__xludf.DUMMYFUNCTION("""COMPUTED_VALUE"""),"Business Application Specialist for Enterprise")</f>
        <v>Business Application Specialist for Enterprise</v>
      </c>
      <c r="F225" s="446" t="str">
        <f>IFERROR(__xludf.DUMMYFUNCTION("""COMPUTED_VALUE"""),"Microsoft")</f>
        <v>Microsoft</v>
      </c>
      <c r="G225" s="447" t="str">
        <f>IFERROR(__xludf.DUMMYFUNCTION("""COMPUTED_VALUE"""),"https://www.linkedin.com/in/brunnaremorborghezan/")</f>
        <v>https://www.linkedin.com/in/brunnaremorborghezan/</v>
      </c>
      <c r="H225" s="446" t="str">
        <f>IFERROR(__xludf.DUMMYFUNCTION("""COMPUTED_VALUE"""),"Visão de Negócios")</f>
        <v>Visão de Negócios</v>
      </c>
      <c r="I225" s="446" t="str">
        <f>IFERROR(__xludf.DUMMYFUNCTION("""COMPUTED_VALUE"""),"Conhecimento de Produto e Negócio")</f>
        <v>Conhecimento de Produto e Negócio</v>
      </c>
      <c r="J225" s="642" t="str">
        <f>IFERROR(__xludf.DUMMYFUNCTION("""COMPUTED_VALUE"""),"Jornada de Compra do Cliente")</f>
        <v>Jornada de Compra do Cliente</v>
      </c>
      <c r="K225" s="128" t="str">
        <f>IFERROR(__xludf.DUMMYFUNCTION("""COMPUTED_VALUE"""),"https://universidade.pipelovers.net/m/lessons/o-papel-do-vendedor-especialista1769552325022?classId=3591")</f>
        <v>https://universidade.pipelovers.net/m/lessons/o-papel-do-vendedor-especialista1769552325022?classId=3591</v>
      </c>
      <c r="L225" s="535" t="str">
        <f>IFERROR(__xludf.DUMMYFUNCTION("""COMPUTED_VALUE"""),"https://universidade.pipelovers.net/m/lessons/o-papel-do-vendedor-especialista1769552325022?classId=3591")</f>
        <v>https://universidade.pipelovers.net/m/lessons/o-papel-do-vendedor-especialista1769552325022?classId=3591</v>
      </c>
      <c r="M225" s="379" t="str">
        <f>IFERROR(__xludf.DUMMYFUNCTION("""COMPUTED_VALUE"""),"3")</f>
        <v>3</v>
      </c>
      <c r="N225" s="644" t="str">
        <f>IFERROR(__xludf.DUMMYFUNCTION("""COMPUTED_VALUE"""),"https://drive.google.com/file/d/1cWYNV-r9bKl5wD32N96HQyiD-GuXQQZT/view?usp=drive_link")</f>
        <v>https://drive.google.com/file/d/1cWYNV-r9bKl5wD32N96HQyiD-GuXQQZT/view?usp=drive_link</v>
      </c>
      <c r="O225" s="389" t="str">
        <f>IFERROR(__xludf.DUMMYFUNCTION("""COMPUTED_VALUE"""),"")</f>
        <v/>
      </c>
      <c r="P225" s="601" t="str">
        <f>IFERROR(__xludf.DUMMYFUNCTION("""COMPUTED_VALUE"""),"03/05/2023")</f>
        <v>03/05/2023</v>
      </c>
      <c r="Q225" s="389"/>
    </row>
    <row r="226">
      <c r="A226" s="73"/>
      <c r="B226" s="103" t="str">
        <f>IFERROR(__xludf.DUMMYFUNCTION("""COMPUTED_VALUE"""),"Executivos de Vendas")</f>
        <v>Executivos de Vendas</v>
      </c>
      <c r="C226" s="175" t="str">
        <f>IFERROR(__xludf.DUMMYFUNCTION("""COMPUTED_VALUE"""),"Como provar valor ao cliente?")</f>
        <v>Como provar valor ao cliente?</v>
      </c>
      <c r="D226" s="173" t="str">
        <f>IFERROR(__xludf.DUMMYFUNCTION("""COMPUTED_VALUE"""),"Beatriz Padrão")</f>
        <v>Beatriz Padrão</v>
      </c>
      <c r="E226" s="110" t="str">
        <f>IFERROR(__xludf.DUMMYFUNCTION("""COMPUTED_VALUE"""),"Sênior Director")</f>
        <v>Sênior Director</v>
      </c>
      <c r="F226" s="478" t="str">
        <f>IFERROR(__xludf.DUMMYFUNCTION("""COMPUTED_VALUE"""),"Gympass")</f>
        <v>Gympass</v>
      </c>
      <c r="G226" s="447" t="str">
        <f>IFERROR(__xludf.DUMMYFUNCTION("""COMPUTED_VALUE"""),"https://www.linkedin.com/in/beatrizpadrao/")</f>
        <v>https://www.linkedin.com/in/beatrizpadrao/</v>
      </c>
      <c r="H226" s="446" t="str">
        <f>IFERROR(__xludf.DUMMYFUNCTION("""COMPUTED_VALUE"""),"Conhecimento Técnico")</f>
        <v>Conhecimento Técnico</v>
      </c>
      <c r="I226" s="446" t="str">
        <f>IFERROR(__xludf.DUMMYFUNCTION("""COMPUTED_VALUE"""),"Pensamento Crítico")</f>
        <v>Pensamento Crítico</v>
      </c>
      <c r="J226" s="642" t="str">
        <f>IFERROR(__xludf.DUMMYFUNCTION("""COMPUTED_VALUE"""),"ROI")</f>
        <v>ROI</v>
      </c>
      <c r="K226" s="114" t="str">
        <f>IFERROR(__xludf.DUMMYFUNCTION("""COMPUTED_VALUE"""),"https://universidade.pipelovers.net/m/lessons/como-provar-valor-ao-cliente1769552325063?classId=3592")</f>
        <v>https://universidade.pipelovers.net/m/lessons/como-provar-valor-ao-cliente1769552325063?classId=3592</v>
      </c>
      <c r="L226" s="535" t="str">
        <f>IFERROR(__xludf.DUMMYFUNCTION("""COMPUTED_VALUE"""),"https://universidade.pipelovers.net/m/lessons/como-provar-valor-ao-cliente1769552325063?classId=3592")</f>
        <v>https://universidade.pipelovers.net/m/lessons/como-provar-valor-ao-cliente1769552325063?classId=3592</v>
      </c>
      <c r="M226" s="379" t="str">
        <f>IFERROR(__xludf.DUMMYFUNCTION("""COMPUTED_VALUE"""),"3,71")</f>
        <v>3,71</v>
      </c>
      <c r="N226" s="644" t="str">
        <f>IFERROR(__xludf.DUMMYFUNCTION("""COMPUTED_VALUE"""),"https://drive.google.com/file/d/1XATeggYCDSDaFml5xQxZyQ7-sjpCqj4R/view?usp=drive_link")</f>
        <v>https://drive.google.com/file/d/1XATeggYCDSDaFml5xQxZyQ7-sjpCqj4R/view?usp=drive_link</v>
      </c>
      <c r="O226" s="389" t="str">
        <f>IFERROR(__xludf.DUMMYFUNCTION("""COMPUTED_VALUE"""),"")</f>
        <v/>
      </c>
      <c r="P226" s="601" t="str">
        <f>IFERROR(__xludf.DUMMYFUNCTION("""COMPUTED_VALUE"""),"10/05/2023")</f>
        <v>10/05/2023</v>
      </c>
      <c r="Q226" s="389"/>
    </row>
    <row r="227">
      <c r="A227" s="73"/>
      <c r="B227" s="103" t="str">
        <f>IFERROR(__xludf.DUMMYFUNCTION("""COMPUTED_VALUE"""),"Executivos de Vendas")</f>
        <v>Executivos de Vendas</v>
      </c>
      <c r="C227" s="173" t="str">
        <f>IFERROR(__xludf.DUMMYFUNCTION("""COMPUTED_VALUE"""),"Gerenciando Vendas Complexas")</f>
        <v>Gerenciando Vendas Complexas</v>
      </c>
      <c r="D227" s="175" t="str">
        <f>IFERROR(__xludf.DUMMYFUNCTION("""COMPUTED_VALUE"""),"Fabiano Correia")</f>
        <v>Fabiano Correia</v>
      </c>
      <c r="E227" s="110" t="str">
        <f>IFERROR(__xludf.DUMMYFUNCTION("""COMPUTED_VALUE"""),"Sales Director")</f>
        <v>Sales Director</v>
      </c>
      <c r="F227" s="478" t="str">
        <f>IFERROR(__xludf.DUMMYFUNCTION("""COMPUTED_VALUE"""),"SAP")</f>
        <v>SAP</v>
      </c>
      <c r="G227" s="447" t="str">
        <f>IFERROR(__xludf.DUMMYFUNCTION("""COMPUTED_VALUE"""),"https://www.linkedin.com/in/fabianocorreia/")</f>
        <v>https://www.linkedin.com/in/fabianocorreia/</v>
      </c>
      <c r="H227" s="446" t="str">
        <f>IFERROR(__xludf.DUMMYFUNCTION("""COMPUTED_VALUE"""),"Conhecimento Técnico")</f>
        <v>Conhecimento Técnico</v>
      </c>
      <c r="I227" s="446" t="str">
        <f>IFERROR(__xludf.DUMMYFUNCTION("""COMPUTED_VALUE"""),"Técnicas de Vendas")</f>
        <v>Técnicas de Vendas</v>
      </c>
      <c r="J227" s="642" t="str">
        <f>IFERROR(__xludf.DUMMYFUNCTION("""COMPUTED_VALUE"""),"Negociação e Fechamento de Vendas")</f>
        <v>Negociação e Fechamento de Vendas</v>
      </c>
      <c r="K227" s="128" t="str">
        <f>IFERROR(__xludf.DUMMYFUNCTION("""COMPUTED_VALUE"""),"https://universidade.pipelovers.net/m/lessons/gerenciando-vendas-complexas1769552328060?classId=3593")</f>
        <v>https://universidade.pipelovers.net/m/lessons/gerenciando-vendas-complexas1769552328060?classId=3593</v>
      </c>
      <c r="L227" s="535" t="str">
        <f>IFERROR(__xludf.DUMMYFUNCTION("""COMPUTED_VALUE"""),"https://universidade.pipelovers.net/m/lessons/gerenciando-vendas-complexas1769552328060?classId=3593")</f>
        <v>https://universidade.pipelovers.net/m/lessons/gerenciando-vendas-complexas1769552328060?classId=3593</v>
      </c>
      <c r="M227" s="379" t="str">
        <f>IFERROR(__xludf.DUMMYFUNCTION("""COMPUTED_VALUE"""),"3,57")</f>
        <v>3,57</v>
      </c>
      <c r="N227" s="644" t="str">
        <f>IFERROR(__xludf.DUMMYFUNCTION("""COMPUTED_VALUE"""),"https://drive.google.com/file/d/1XnKtbFflaK1Ltbko_YsV0TvPDy3-GPy3/view?usp=drive_link")</f>
        <v>https://drive.google.com/file/d/1XnKtbFflaK1Ltbko_YsV0TvPDy3-GPy3/view?usp=drive_link</v>
      </c>
      <c r="O227" s="389" t="str">
        <f>IFERROR(__xludf.DUMMYFUNCTION("""COMPUTED_VALUE"""),"")</f>
        <v/>
      </c>
      <c r="P227" s="601" t="str">
        <f>IFERROR(__xludf.DUMMYFUNCTION("""COMPUTED_VALUE"""),"17/05/2023")</f>
        <v>17/05/2023</v>
      </c>
      <c r="Q227" s="389"/>
    </row>
    <row r="228">
      <c r="A228" s="73"/>
      <c r="B228" s="103" t="str">
        <f>IFERROR(__xludf.DUMMYFUNCTION("""COMPUTED_VALUE"""),"Executivos de Vendas")</f>
        <v>Executivos de Vendas</v>
      </c>
      <c r="C228" s="555" t="str">
        <f>IFERROR(__xludf.DUMMYFUNCTION("""COMPUTED_VALUE"""),"Funil de Vendas Porta a Porta")</f>
        <v>Funil de Vendas Porta a Porta</v>
      </c>
      <c r="D228" s="173" t="str">
        <f>IFERROR(__xludf.DUMMYFUNCTION("""COMPUTED_VALUE"""),"Fernando Baldan")</f>
        <v>Fernando Baldan</v>
      </c>
      <c r="E228" s="174" t="str">
        <f>IFERROR(__xludf.DUMMYFUNCTION("""COMPUTED_VALUE"""),"Head of Sales &amp; Business Development")</f>
        <v>Head of Sales &amp; Business Development</v>
      </c>
      <c r="F228" s="478" t="str">
        <f>IFERROR(__xludf.DUMMYFUNCTION("""COMPUTED_VALUE"""),"Boltcard")</f>
        <v>Boltcard</v>
      </c>
      <c r="G228" s="447" t="str">
        <f>IFERROR(__xludf.DUMMYFUNCTION("""COMPUTED_VALUE"""),"https://www.linkedin.com/in/fernando-baldan/")</f>
        <v>https://www.linkedin.com/in/fernando-baldan/</v>
      </c>
      <c r="H228" s="446" t="str">
        <f>IFERROR(__xludf.DUMMYFUNCTION("""COMPUTED_VALUE"""),"Conhecimento Técnico")</f>
        <v>Conhecimento Técnico</v>
      </c>
      <c r="I228" s="446" t="str">
        <f>IFERROR(__xludf.DUMMYFUNCTION("""COMPUTED_VALUE"""),"Técnicas de Vendas")</f>
        <v>Técnicas de Vendas</v>
      </c>
      <c r="J228" s="642" t="str">
        <f>IFERROR(__xludf.DUMMYFUNCTION("""COMPUTED_VALUE"""),"Abordagem e Prospecção")</f>
        <v>Abordagem e Prospecção</v>
      </c>
      <c r="K228" s="114" t="str">
        <f>IFERROR(__xludf.DUMMYFUNCTION("""COMPUTED_VALUE"""),"https://universidade.pipelovers.net/m/lessons/funil-de-vendas-porta-a-porta1769552328092?classId=3594")</f>
        <v>https://universidade.pipelovers.net/m/lessons/funil-de-vendas-porta-a-porta1769552328092?classId=3594</v>
      </c>
      <c r="L228" s="535" t="str">
        <f>IFERROR(__xludf.DUMMYFUNCTION("""COMPUTED_VALUE"""),"https://universidade.pipelovers.net/m/lessons/funil-de-vendas-porta-a-porta1769552328092?classId=3594")</f>
        <v>https://universidade.pipelovers.net/m/lessons/funil-de-vendas-porta-a-porta1769552328092?classId=3594</v>
      </c>
      <c r="M228" s="379" t="str">
        <f>IFERROR(__xludf.DUMMYFUNCTION("""COMPUTED_VALUE"""),"3")</f>
        <v>3</v>
      </c>
      <c r="N228" s="644" t="str">
        <f>IFERROR(__xludf.DUMMYFUNCTION("""COMPUTED_VALUE"""),"https://drive.google.com/file/d/1xekoux1poIpTVRYb5nGFSq0b_WQmHoNb/view?usp=drive_link")</f>
        <v>https://drive.google.com/file/d/1xekoux1poIpTVRYb5nGFSq0b_WQmHoNb/view?usp=drive_link</v>
      </c>
      <c r="O228" s="389" t="str">
        <f>IFERROR(__xludf.DUMMYFUNCTION("""COMPUTED_VALUE"""),"")</f>
        <v/>
      </c>
      <c r="P228" s="601" t="str">
        <f>IFERROR(__xludf.DUMMYFUNCTION("""COMPUTED_VALUE"""),"24/05/2023")</f>
        <v>24/05/2023</v>
      </c>
      <c r="Q228" s="389"/>
    </row>
    <row r="229">
      <c r="A229" s="73"/>
      <c r="B229" s="103" t="str">
        <f>IFERROR(__xludf.DUMMYFUNCTION("""COMPUTED_VALUE"""),"Executivos de Vendas")</f>
        <v>Executivos de Vendas</v>
      </c>
      <c r="C229" s="173" t="str">
        <f>IFERROR(__xludf.DUMMYFUNCTION("""COMPUTED_VALUE"""),"O melhor vendedor do mundo (no LinkedIn)")</f>
        <v>O melhor vendedor do mundo (no LinkedIn)</v>
      </c>
      <c r="D229" s="175" t="str">
        <f>IFERROR(__xludf.DUMMYFUNCTION("""COMPUTED_VALUE"""),"Borja Castelar")</f>
        <v>Borja Castelar</v>
      </c>
      <c r="E229" s="110" t="str">
        <f>IFERROR(__xludf.DUMMYFUNCTION("""COMPUTED_VALUE"""),"Diretor LATAM")</f>
        <v>Diretor LATAM</v>
      </c>
      <c r="F229" s="446" t="str">
        <f>IFERROR(__xludf.DUMMYFUNCTION("""COMPUTED_VALUE"""),"Coach Hub")</f>
        <v>Coach Hub</v>
      </c>
      <c r="G229" s="447" t="str">
        <f>IFERROR(__xludf.DUMMYFUNCTION("""COMPUTED_VALUE"""),"https://www.linkedin.com/in/borjacastelar/")</f>
        <v>https://www.linkedin.com/in/borjacastelar/</v>
      </c>
      <c r="H229" s="446" t="str">
        <f>IFERROR(__xludf.DUMMYFUNCTION("""COMPUTED_VALUE"""),"Relacionamento Interpessoal")</f>
        <v>Relacionamento Interpessoal</v>
      </c>
      <c r="I229" s="446" t="str">
        <f>IFERROR(__xludf.DUMMYFUNCTION("""COMPUTED_VALUE"""),"Liderança e Influência")</f>
        <v>Liderança e Influência</v>
      </c>
      <c r="J229" s="642" t="str">
        <f>IFERROR(__xludf.DUMMYFUNCTION("""COMPUTED_VALUE"""),"Credibilidade e Reputação")</f>
        <v>Credibilidade e Reputação</v>
      </c>
      <c r="K229" s="128" t="str">
        <f>IFERROR(__xludf.DUMMYFUNCTION("""COMPUTED_VALUE"""),"https://universidade.pipelovers.net/m/lessons/o-melhor-vendedor-do-mundo-no-linkedin1769552328127?classId=3679")</f>
        <v>https://universidade.pipelovers.net/m/lessons/o-melhor-vendedor-do-mundo-no-linkedin1769552328127?classId=3679</v>
      </c>
      <c r="L229" s="535" t="str">
        <f>IFERROR(__xludf.DUMMYFUNCTION("""COMPUTED_VALUE"""),"https://universidade.pipelovers.net/m/lessons/o-melhor-vendedor-do-mundo-no-linkedin1769552328127?classId=3679")</f>
        <v>https://universidade.pipelovers.net/m/lessons/o-melhor-vendedor-do-mundo-no-linkedin1769552328127?classId=3679</v>
      </c>
      <c r="M229" s="379" t="str">
        <f>IFERROR(__xludf.DUMMYFUNCTION("""COMPUTED_VALUE"""),"4,29")</f>
        <v>4,29</v>
      </c>
      <c r="N229" s="644" t="str">
        <f>IFERROR(__xludf.DUMMYFUNCTION("""COMPUTED_VALUE"""),"https://drive.google.com/file/d/1YdXvfWqYlPaQpZNd4aKAlkgAOwbyGaVj/view?usp=drive_link")</f>
        <v>https://drive.google.com/file/d/1YdXvfWqYlPaQpZNd4aKAlkgAOwbyGaVj/view?usp=drive_link</v>
      </c>
      <c r="O229" s="389" t="str">
        <f>IFERROR(__xludf.DUMMYFUNCTION("""COMPUTED_VALUE"""),"")</f>
        <v/>
      </c>
      <c r="P229" s="601" t="str">
        <f>IFERROR(__xludf.DUMMYFUNCTION("""COMPUTED_VALUE"""),"31/05/2023")</f>
        <v>31/05/2023</v>
      </c>
      <c r="Q229" s="389"/>
    </row>
    <row r="230">
      <c r="A230" s="73"/>
      <c r="B230" s="103" t="str">
        <f>IFERROR(__xludf.DUMMYFUNCTION("""COMPUTED_VALUE"""),"Executivos de Vendas")</f>
        <v>Executivos de Vendas</v>
      </c>
      <c r="C230" s="175" t="str">
        <f>IFERROR(__xludf.DUMMYFUNCTION("""COMPUTED_VALUE"""),"Inteligência Artificial para Vendedores")</f>
        <v>Inteligência Artificial para Vendedores</v>
      </c>
      <c r="D230" s="173" t="str">
        <f>IFERROR(__xludf.DUMMYFUNCTION("""COMPUTED_VALUE"""),"Marcos do Canto")</f>
        <v>Marcos do Canto</v>
      </c>
      <c r="E230" s="174" t="str">
        <f>IFERROR(__xludf.DUMMYFUNCTION("""COMPUTED_VALUE"""),"-")</f>
        <v>-</v>
      </c>
      <c r="F230" s="478" t="str">
        <f>IFERROR(__xludf.DUMMYFUNCTION("""COMPUTED_VALUE"""),"Magic Write")</f>
        <v>Magic Write</v>
      </c>
      <c r="G230" s="447" t="str">
        <f>IFERROR(__xludf.DUMMYFUNCTION("""COMPUTED_VALUE"""),"https://www.linkedin.com/in/marcosdocanto/")</f>
        <v>https://www.linkedin.com/in/marcosdocanto/</v>
      </c>
      <c r="H230" s="446" t="str">
        <f>IFERROR(__xludf.DUMMYFUNCTION("""COMPUTED_VALUE"""),"Visão de Negócios")</f>
        <v>Visão de Negócios</v>
      </c>
      <c r="I230" s="446" t="str">
        <f>IFERROR(__xludf.DUMMYFUNCTION("""COMPUTED_VALUE"""),"Tendências de Mercado")</f>
        <v>Tendências de Mercado</v>
      </c>
      <c r="J230" s="642" t="str">
        <f>IFERROR(__xludf.DUMMYFUNCTION("""COMPUTED_VALUE"""),"Inovações Tecnológicas")</f>
        <v>Inovações Tecnológicas</v>
      </c>
      <c r="K230" s="114" t="str">
        <f>IFERROR(__xludf.DUMMYFUNCTION("""COMPUTED_VALUE"""),"https://universidade.pipelovers.net/m/lessons/inteligencia-artificial-para-vendedores1769552328155?classId=3595")</f>
        <v>https://universidade.pipelovers.net/m/lessons/inteligencia-artificial-para-vendedores1769552328155?classId=3595</v>
      </c>
      <c r="L230" s="535" t="str">
        <f>IFERROR(__xludf.DUMMYFUNCTION("""COMPUTED_VALUE"""),"https://universidade.pipelovers.net/m/lessons/inteligencia-artificial-para-vendedores1769552328155?classId=3595")</f>
        <v>https://universidade.pipelovers.net/m/lessons/inteligencia-artificial-para-vendedores1769552328155?classId=3595</v>
      </c>
      <c r="M230" s="379" t="str">
        <f>IFERROR(__xludf.DUMMYFUNCTION("""COMPUTED_VALUE"""),"4,14")</f>
        <v>4,14</v>
      </c>
      <c r="N230" s="644" t="str">
        <f>IFERROR(__xludf.DUMMYFUNCTION("""COMPUTED_VALUE"""),"https://drive.google.com/file/d/1rQR8mcKpmOxkIj4BVM2OdYgIrscah3IE/view?usp=drive_link")</f>
        <v>https://drive.google.com/file/d/1rQR8mcKpmOxkIj4BVM2OdYgIrscah3IE/view?usp=drive_link</v>
      </c>
      <c r="O230" s="389" t="str">
        <f>IFERROR(__xludf.DUMMYFUNCTION("""COMPUTED_VALUE"""),"")</f>
        <v/>
      </c>
      <c r="P230" s="601" t="str">
        <f>IFERROR(__xludf.DUMMYFUNCTION("""COMPUTED_VALUE"""),"07/06/2023")</f>
        <v>07/06/2023</v>
      </c>
      <c r="Q230" s="389"/>
    </row>
    <row r="231">
      <c r="A231" s="73"/>
      <c r="B231" s="103" t="str">
        <f>IFERROR(__xludf.DUMMYFUNCTION("""COMPUTED_VALUE"""),"Executivos de Vendas")</f>
        <v>Executivos de Vendas</v>
      </c>
      <c r="C231" s="216" t="str">
        <f>IFERROR(__xludf.DUMMYFUNCTION("""COMPUTED_VALUE"""),"Construindo relacionamento de confiança com o cliente")</f>
        <v>Construindo relacionamento de confiança com o cliente</v>
      </c>
      <c r="D231" s="175" t="str">
        <f>IFERROR(__xludf.DUMMYFUNCTION("""COMPUTED_VALUE"""),"Vanessa Pagotto")</f>
        <v>Vanessa Pagotto</v>
      </c>
      <c r="E231" s="206" t="str">
        <f>IFERROR(__xludf.DUMMYFUNCTION("""COMPUTED_VALUE"""),"Head of Sales Solutions")</f>
        <v>Head of Sales Solutions</v>
      </c>
      <c r="F231" s="646" t="str">
        <f>IFERROR(__xludf.DUMMYFUNCTION("""COMPUTED_VALUE"""),"Salt Pay")</f>
        <v>Salt Pay</v>
      </c>
      <c r="G231" s="647" t="str">
        <f>IFERROR(__xludf.DUMMYFUNCTION("""COMPUTED_VALUE"""),"https://www.linkedin.com/in/v-pagotto/")</f>
        <v>https://www.linkedin.com/in/v-pagotto/</v>
      </c>
      <c r="H231" s="648" t="str">
        <f>IFERROR(__xludf.DUMMYFUNCTION("""COMPUTED_VALUE"""),"Relacionamento Interpessoal")</f>
        <v>Relacionamento Interpessoal</v>
      </c>
      <c r="I231" s="648" t="str">
        <f>IFERROR(__xludf.DUMMYFUNCTION("""COMPUTED_VALUE"""),"Comunicação e Relacionamento")</f>
        <v>Comunicação e Relacionamento</v>
      </c>
      <c r="J231" s="649" t="str">
        <f>IFERROR(__xludf.DUMMYFUNCTION("""COMPUTED_VALUE"""),"Tecnicas de Rapport")</f>
        <v>Tecnicas de Rapport</v>
      </c>
      <c r="K231" s="650" t="str">
        <f>IFERROR(__xludf.DUMMYFUNCTION("""COMPUTED_VALUE"""),"https://universidade.pipelovers.net/m/lessons/construindo-relacionamento-de-confianca-com-o-cliente1769552328181?classId=3596")</f>
        <v>https://universidade.pipelovers.net/m/lessons/construindo-relacionamento-de-confianca-com-o-cliente1769552328181?classId=3596</v>
      </c>
      <c r="L231" s="474" t="str">
        <f>IFERROR(__xludf.DUMMYFUNCTION("""COMPUTED_VALUE"""),"https://universidade.pipelovers.net/m/lessons/construindo-relacionamento-de-confianca-com-o-cliente1769552328181?classId=3596")</f>
        <v>https://universidade.pipelovers.net/m/lessons/construindo-relacionamento-de-confianca-com-o-cliente1769552328181?classId=3596</v>
      </c>
      <c r="M231" s="379" t="str">
        <f>IFERROR(__xludf.DUMMYFUNCTION("""COMPUTED_VALUE"""),"3,93")</f>
        <v>3,93</v>
      </c>
      <c r="N231" s="644" t="str">
        <f>IFERROR(__xludf.DUMMYFUNCTION("""COMPUTED_VALUE"""),"https://drive.google.com/file/d/1jv5BjmU-pknBrAiDxp6Hih24NnzbRkFE/view?usp=drive_link")</f>
        <v>https://drive.google.com/file/d/1jv5BjmU-pknBrAiDxp6Hih24NnzbRkFE/view?usp=drive_link</v>
      </c>
      <c r="O231" s="389" t="str">
        <f>IFERROR(__xludf.DUMMYFUNCTION("""COMPUTED_VALUE"""),"")</f>
        <v/>
      </c>
      <c r="P231" s="601" t="str">
        <f>IFERROR(__xludf.DUMMYFUNCTION("""COMPUTED_VALUE"""),"14/06/2023")</f>
        <v>14/06/2023</v>
      </c>
      <c r="Q231" s="389"/>
    </row>
    <row r="232">
      <c r="A232" s="73"/>
      <c r="B232" s="103" t="str">
        <f>IFERROR(__xludf.DUMMYFUNCTION("""COMPUTED_VALUE"""),"Executivos de Vendas")</f>
        <v>Executivos de Vendas</v>
      </c>
      <c r="C232" s="173" t="str">
        <f>IFERROR(__xludf.DUMMYFUNCTION("""COMPUTED_VALUE"""),"Priorização de Carteira de Clientes")</f>
        <v>Priorização de Carteira de Clientes</v>
      </c>
      <c r="D232" s="173" t="str">
        <f>IFERROR(__xludf.DUMMYFUNCTION("""COMPUTED_VALUE"""),"João da Matta")</f>
        <v>João da Matta</v>
      </c>
      <c r="E232" s="206" t="str">
        <f>IFERROR(__xludf.DUMMYFUNCTION("""COMPUTED_VALUE"""),"-")</f>
        <v>-</v>
      </c>
      <c r="F232" s="646" t="str">
        <f>IFERROR(__xludf.DUMMYFUNCTION("""COMPUTED_VALUE"""),"-")</f>
        <v>-</v>
      </c>
      <c r="G232" s="647" t="str">
        <f>IFERROR(__xludf.DUMMYFUNCTION("""COMPUTED_VALUE"""),"https://www.linkedin.com/in/joaodamatta/")</f>
        <v>https://www.linkedin.com/in/joaodamatta/</v>
      </c>
      <c r="H232" s="648" t="str">
        <f>IFERROR(__xludf.DUMMYFUNCTION("""COMPUTED_VALUE"""),"Visão de Negócios")</f>
        <v>Visão de Negócios</v>
      </c>
      <c r="I232" s="648" t="str">
        <f>IFERROR(__xludf.DUMMYFUNCTION("""COMPUTED_VALUE"""),"Conhecimento de Produto e Negócio")</f>
        <v>Conhecimento de Produto e Negócio</v>
      </c>
      <c r="J232" s="649" t="str">
        <f>IFERROR(__xludf.DUMMYFUNCTION("""COMPUTED_VALUE"""),"ICP (Perfil de Cliente Ideal)")</f>
        <v>ICP (Perfil de Cliente Ideal)</v>
      </c>
      <c r="K232" s="128" t="str">
        <f>IFERROR(__xludf.DUMMYFUNCTION("""COMPUTED_VALUE"""),"https://universidade.pipelovers.net/m/lessons/priorizacao-de-carteira-de-clientes1769552328210?classId=3597")</f>
        <v>https://universidade.pipelovers.net/m/lessons/priorizacao-de-carteira-de-clientes1769552328210?classId=3597</v>
      </c>
      <c r="L232" s="535" t="str">
        <f>IFERROR(__xludf.DUMMYFUNCTION("""COMPUTED_VALUE"""),"https://universidade.pipelovers.net/m/lessons/priorizacao-de-carteira-de-clientes1769552328210?classId=3597")</f>
        <v>https://universidade.pipelovers.net/m/lessons/priorizacao-de-carteira-de-clientes1769552328210?classId=3597</v>
      </c>
      <c r="M232" s="379" t="str">
        <f>IFERROR(__xludf.DUMMYFUNCTION("""COMPUTED_VALUE"""),"4,5")</f>
        <v>4,5</v>
      </c>
      <c r="N232" s="644" t="str">
        <f>IFERROR(__xludf.DUMMYFUNCTION("""COMPUTED_VALUE"""),"https://drive.google.com/file/d/11PTrhSjgp71nUssBTJWFOlHYw4i4YjF-/view?usp=drive_link")</f>
        <v>https://drive.google.com/file/d/11PTrhSjgp71nUssBTJWFOlHYw4i4YjF-/view?usp=drive_link</v>
      </c>
      <c r="O232" s="389" t="str">
        <f>IFERROR(__xludf.DUMMYFUNCTION("""COMPUTED_VALUE"""),"")</f>
        <v/>
      </c>
      <c r="P232" s="601" t="str">
        <f>IFERROR(__xludf.DUMMYFUNCTION("""COMPUTED_VALUE"""),"21/06/2023")</f>
        <v>21/06/2023</v>
      </c>
      <c r="Q232" s="389"/>
    </row>
    <row r="233">
      <c r="A233" s="73"/>
      <c r="B233" s="103" t="str">
        <f>IFERROR(__xludf.DUMMYFUNCTION("""COMPUTED_VALUE"""),"Executivos de Vendas")</f>
        <v>Executivos de Vendas</v>
      </c>
      <c r="C233" s="104" t="str">
        <f>IFERROR(__xludf.DUMMYFUNCTION("""COMPUTED_VALUE"""),"Engenharia de Valor para Provar ROI")</f>
        <v>Engenharia de Valor para Provar ROI</v>
      </c>
      <c r="D233" s="104" t="str">
        <f>IFERROR(__xludf.DUMMYFUNCTION("""COMPUTED_VALUE"""),"Marcos Mylius")</f>
        <v>Marcos Mylius</v>
      </c>
      <c r="E233" s="652" t="str">
        <f>IFERROR(__xludf.DUMMYFUNCTION("""COMPUTED_VALUE"""),"CEO")</f>
        <v>CEO</v>
      </c>
      <c r="F233" s="648" t="str">
        <f>IFERROR(__xludf.DUMMYFUNCTION("""COMPUTED_VALUE"""),"Sales Coaching B2B")</f>
        <v>Sales Coaching B2B</v>
      </c>
      <c r="G233" s="647" t="str">
        <f>IFERROR(__xludf.DUMMYFUNCTION("""COMPUTED_VALUE"""),"https://www.linkedin.com/in/marcosmylius/")</f>
        <v>https://www.linkedin.com/in/marcosmylius/</v>
      </c>
      <c r="H233" s="648" t="str">
        <f>IFERROR(__xludf.DUMMYFUNCTION("""COMPUTED_VALUE"""),"Conhecimento Técnico")</f>
        <v>Conhecimento Técnico</v>
      </c>
      <c r="I233" s="648" t="str">
        <f>IFERROR(__xludf.DUMMYFUNCTION("""COMPUTED_VALUE"""),"Pensamento Crítico")</f>
        <v>Pensamento Crítico</v>
      </c>
      <c r="J233" s="649" t="str">
        <f>IFERROR(__xludf.DUMMYFUNCTION("""COMPUTED_VALUE"""),"ROI")</f>
        <v>ROI</v>
      </c>
      <c r="K233" s="114" t="str">
        <f>IFERROR(__xludf.DUMMYFUNCTION("""COMPUTED_VALUE"""),"https://universidade.pipelovers.net/m/lessons/engenharia-de-valor-para-provar-roi1769552328262?classId=3598")</f>
        <v>https://universidade.pipelovers.net/m/lessons/engenharia-de-valor-para-provar-roi1769552328262?classId=3598</v>
      </c>
      <c r="L233" s="535" t="str">
        <f>IFERROR(__xludf.DUMMYFUNCTION("""COMPUTED_VALUE"""),"https://universidade.pipelovers.net/m/lessons/engenharia-de-valor-para-provar-roi1769552328262?classId=3598")</f>
        <v>https://universidade.pipelovers.net/m/lessons/engenharia-de-valor-para-provar-roi1769552328262?classId=3598</v>
      </c>
      <c r="M233" s="379" t="str">
        <f>IFERROR(__xludf.DUMMYFUNCTION("""COMPUTED_VALUE"""),"4,36")</f>
        <v>4,36</v>
      </c>
      <c r="N233" s="644" t="str">
        <f>IFERROR(__xludf.DUMMYFUNCTION("""COMPUTED_VALUE"""),"https://drive.google.com/file/d/1AiUiYE4XKGa-Nh7m8QDQh_vVED8sTvd-/view?usp=drive_link")</f>
        <v>https://drive.google.com/file/d/1AiUiYE4XKGa-Nh7m8QDQh_vVED8sTvd-/view?usp=drive_link</v>
      </c>
      <c r="O233" s="389" t="str">
        <f>IFERROR(__xludf.DUMMYFUNCTION("""COMPUTED_VALUE"""),"")</f>
        <v/>
      </c>
      <c r="P233" s="601" t="str">
        <f>IFERROR(__xludf.DUMMYFUNCTION("""COMPUTED_VALUE"""),"28/06/2023")</f>
        <v>28/06/2023</v>
      </c>
      <c r="Q233" s="389"/>
    </row>
    <row r="234">
      <c r="A234" s="73"/>
      <c r="B234" s="103" t="str">
        <f>IFERROR(__xludf.DUMMYFUNCTION("""COMPUTED_VALUE"""),"Executivos de Vendas")</f>
        <v>Executivos de Vendas</v>
      </c>
      <c r="C234" s="654" t="str">
        <f>IFERROR(__xludf.DUMMYFUNCTION("""COMPUTED_VALUE"""),"Vendas Técnicas para Vendedores Generalistas")</f>
        <v>Vendas Técnicas para Vendedores Generalistas</v>
      </c>
      <c r="D234" s="119" t="str">
        <f>IFERROR(__xludf.DUMMYFUNCTION("""COMPUTED_VALUE"""),"Felipe Pervelli")</f>
        <v>Felipe Pervelli</v>
      </c>
      <c r="E234" s="208" t="str">
        <f>IFERROR(__xludf.DUMMYFUNCTION("""COMPUTED_VALUE"""),"Director of Marketing and Sales")</f>
        <v>Director of Marketing and Sales</v>
      </c>
      <c r="F234" s="655" t="str">
        <f>IFERROR(__xludf.DUMMYFUNCTION("""COMPUTED_VALUE"""),"MK Solutions")</f>
        <v>MK Solutions</v>
      </c>
      <c r="G234" s="656" t="str">
        <f>IFERROR(__xludf.DUMMYFUNCTION("""COMPUTED_VALUE"""),"https://www.linkedin.com/in/felipepervelli/")</f>
        <v>https://www.linkedin.com/in/felipepervelli/</v>
      </c>
      <c r="H234" s="655" t="str">
        <f>IFERROR(__xludf.DUMMYFUNCTION("""COMPUTED_VALUE"""),"Conhecimento Técnico")</f>
        <v>Conhecimento Técnico</v>
      </c>
      <c r="I234" s="655" t="str">
        <f>IFERROR(__xludf.DUMMYFUNCTION("""COMPUTED_VALUE"""),"Tendências de Mercado")</f>
        <v>Tendências de Mercado</v>
      </c>
      <c r="J234" s="657" t="str">
        <f>IFERROR(__xludf.DUMMYFUNCTION("""COMPUTED_VALUE"""),"Qualificação e Entendimento da Dor")</f>
        <v>Qualificação e Entendimento da Dor</v>
      </c>
      <c r="K234" s="167" t="str">
        <f>IFERROR(__xludf.DUMMYFUNCTION("""COMPUTED_VALUE"""),"https://universidade.pipelovers.net/m/lessons/vendas-tecnicas-para-vendedores-generalistas1769552333569?classId=3599")</f>
        <v>https://universidade.pipelovers.net/m/lessons/vendas-tecnicas-para-vendedores-generalistas1769552333569?classId=3599</v>
      </c>
      <c r="L234" s="500" t="str">
        <f>IFERROR(__xludf.DUMMYFUNCTION("""COMPUTED_VALUE"""),"https://universidade.pipelovers.net/m/lessons/vendas-tecnicas-para-vendedores-generalistas1769552333569?classId=3599")</f>
        <v>https://universidade.pipelovers.net/m/lessons/vendas-tecnicas-para-vendedores-generalistas1769552333569?classId=3599</v>
      </c>
      <c r="M234" s="379" t="str">
        <f>IFERROR(__xludf.DUMMYFUNCTION("""COMPUTED_VALUE"""),"3,71")</f>
        <v>3,71</v>
      </c>
      <c r="N234" s="644" t="str">
        <f>IFERROR(__xludf.DUMMYFUNCTION("""COMPUTED_VALUE"""),"https://drive.google.com/file/d/1_1a-Qag8dRzcIQSU97O9A9aS6ZAXzOBN/view?usp=drive_link")</f>
        <v>https://drive.google.com/file/d/1_1a-Qag8dRzcIQSU97O9A9aS6ZAXzOBN/view?usp=drive_link</v>
      </c>
      <c r="O234" s="389" t="str">
        <f>IFERROR(__xludf.DUMMYFUNCTION("""COMPUTED_VALUE"""),"")</f>
        <v/>
      </c>
      <c r="P234" s="601" t="str">
        <f>IFERROR(__xludf.DUMMYFUNCTION("""COMPUTED_VALUE"""),"05/07/2023")</f>
        <v>05/07/2023</v>
      </c>
      <c r="Q234" s="389"/>
    </row>
    <row r="235">
      <c r="A235" s="73"/>
      <c r="B235" s="103" t="str">
        <f>IFERROR(__xludf.DUMMYFUNCTION("""COMPUTED_VALUE"""),"Executivos de Vendas")</f>
        <v>Executivos de Vendas</v>
      </c>
      <c r="C235" s="216" t="str">
        <f>IFERROR(__xludf.DUMMYFUNCTION("""COMPUTED_VALUE"""),"A rota de vendedor a gerente de vendas")</f>
        <v>A rota de vendedor a gerente de vendas</v>
      </c>
      <c r="D235" s="104" t="str">
        <f>IFERROR(__xludf.DUMMYFUNCTION("""COMPUTED_VALUE"""),"Ciro Falcão")</f>
        <v>Ciro Falcão</v>
      </c>
      <c r="E235" s="208" t="str">
        <f>IFERROR(__xludf.DUMMYFUNCTION("""COMPUTED_VALUE"""),"Sales Manager B2B")</f>
        <v>Sales Manager B2B</v>
      </c>
      <c r="F235" s="655" t="str">
        <f>IFERROR(__xludf.DUMMYFUNCTION("""COMPUTED_VALUE"""),"Creditas")</f>
        <v>Creditas</v>
      </c>
      <c r="G235" s="656" t="str">
        <f>IFERROR(__xludf.DUMMYFUNCTION("""COMPUTED_VALUE"""),"https://www.linkedin.com/in/cirofalcao/")</f>
        <v>https://www.linkedin.com/in/cirofalcao/</v>
      </c>
      <c r="H235" s="655" t="str">
        <f>IFERROR(__xludf.DUMMYFUNCTION("""COMPUTED_VALUE"""),"Relacionamento Interpessoal")</f>
        <v>Relacionamento Interpessoal</v>
      </c>
      <c r="I235" s="655" t="str">
        <f>IFERROR(__xludf.DUMMYFUNCTION("""COMPUTED_VALUE"""),"Liderança e Influência")</f>
        <v>Liderança e Influência</v>
      </c>
      <c r="J235" s="657" t="str">
        <f>IFERROR(__xludf.DUMMYFUNCTION("""COMPUTED_VALUE"""),"Mentoria e Desenvolvimento de Talentos")</f>
        <v>Mentoria e Desenvolvimento de Talentos</v>
      </c>
      <c r="K235" s="650" t="str">
        <f>IFERROR(__xludf.DUMMYFUNCTION("""COMPUTED_VALUE"""),"https://universidade.pipelovers.net/aulas/motivacao-em-pre-vendas-como-descobrir-o-que-sustenta-sua-alta-performance-1775685383496")</f>
        <v>https://universidade.pipelovers.net/aulas/motivacao-em-pre-vendas-como-descobrir-o-que-sustenta-sua-alta-performance-1775685383496</v>
      </c>
      <c r="L235" s="474" t="str">
        <f>IFERROR(__xludf.DUMMYFUNCTION("""COMPUTED_VALUE"""),"https://universidade.pipelovers.net/aulas/motivacao-em-pre-vendas-como-descobrir-o-que-sustenta-sua-alta-performance-1775685383496")</f>
        <v>https://universidade.pipelovers.net/aulas/motivacao-em-pre-vendas-como-descobrir-o-que-sustenta-sua-alta-performance-1775685383496</v>
      </c>
      <c r="M235" s="379" t="str">
        <f>IFERROR(__xludf.DUMMYFUNCTION("""COMPUTED_VALUE"""),"1")</f>
        <v>1</v>
      </c>
      <c r="N235" s="644" t="str">
        <f>IFERROR(__xludf.DUMMYFUNCTION("""COMPUTED_VALUE"""),"https://drive.google.com/file/d/19BSbEUi5ANmguOp5jP4-mXn1ZVBBfa14/view?usp=drive_link")</f>
        <v>https://drive.google.com/file/d/19BSbEUi5ANmguOp5jP4-mXn1ZVBBfa14/view?usp=drive_link</v>
      </c>
      <c r="O235" s="389" t="str">
        <f>IFERROR(__xludf.DUMMYFUNCTION("""COMPUTED_VALUE"""),"")</f>
        <v/>
      </c>
      <c r="P235" s="601" t="str">
        <f>IFERROR(__xludf.DUMMYFUNCTION("""COMPUTED_VALUE"""),"12/07/2023")</f>
        <v>12/07/2023</v>
      </c>
      <c r="Q235" s="389"/>
    </row>
    <row r="236">
      <c r="A236" s="73"/>
      <c r="B236" s="103" t="str">
        <f>IFERROR(__xludf.DUMMYFUNCTION("""COMPUTED_VALUE"""),"Executivos de Vendas")</f>
        <v>Executivos de Vendas</v>
      </c>
      <c r="C236" s="119" t="str">
        <f>IFERROR(__xludf.DUMMYFUNCTION("""COMPUTED_VALUE"""),"White Spaces e priorização de portfólio")</f>
        <v>White Spaces e priorização de portfólio</v>
      </c>
      <c r="D236" s="119" t="str">
        <f>IFERROR(__xludf.DUMMYFUNCTION("""COMPUTED_VALUE"""),"Vinícius Vilela")</f>
        <v>Vinícius Vilela</v>
      </c>
      <c r="E236" s="218" t="str">
        <f>IFERROR(__xludf.DUMMYFUNCTION("""COMPUTED_VALUE"""),"-")</f>
        <v>-</v>
      </c>
      <c r="F236" s="667" t="str">
        <f>IFERROR(__xludf.DUMMYFUNCTION("""COMPUTED_VALUE"""),"-")</f>
        <v>-</v>
      </c>
      <c r="G236" s="668" t="str">
        <f>IFERROR(__xludf.DUMMYFUNCTION("""COMPUTED_VALUE"""),"https://www.linkedin.com/in/vinicius-vilela-vieira/")</f>
        <v>https://www.linkedin.com/in/vinicius-vilela-vieira/</v>
      </c>
      <c r="H236" s="667" t="str">
        <f>IFERROR(__xludf.DUMMYFUNCTION("""COMPUTED_VALUE"""),"Visão de Negócios")</f>
        <v>Visão de Negócios</v>
      </c>
      <c r="I236" s="667" t="str">
        <f>IFERROR(__xludf.DUMMYFUNCTION("""COMPUTED_VALUE"""),"Conhecimento de Produto e Negócio")</f>
        <v>Conhecimento de Produto e Negócio</v>
      </c>
      <c r="J236" s="669" t="str">
        <f>IFERROR(__xludf.DUMMYFUNCTION("""COMPUTED_VALUE"""),"Posicionamento de Produto")</f>
        <v>Posicionamento de Produto</v>
      </c>
      <c r="K236" s="650" t="str">
        <f>IFERROR(__xludf.DUMMYFUNCTION("""COMPUTED_VALUE"""),"https://universidade.pipelovers.net/m/lessons/white-spaces-e-priorizacao-de-portfolio1769552333856?classId=3601")</f>
        <v>https://universidade.pipelovers.net/m/lessons/white-spaces-e-priorizacao-de-portfolio1769552333856?classId=3601</v>
      </c>
      <c r="L236" s="474" t="str">
        <f>IFERROR(__xludf.DUMMYFUNCTION("""COMPUTED_VALUE"""),"https://universidade.pipelovers.net/m/lessons/white-spaces-e-priorizacao-de-portfolio1769552333856?classId=3601")</f>
        <v>https://universidade.pipelovers.net/m/lessons/white-spaces-e-priorizacao-de-portfolio1769552333856?classId=3601</v>
      </c>
      <c r="M236" s="379" t="str">
        <f>IFERROR(__xludf.DUMMYFUNCTION("""COMPUTED_VALUE"""),"1")</f>
        <v>1</v>
      </c>
      <c r="N236" s="644" t="str">
        <f>IFERROR(__xludf.DUMMYFUNCTION("""COMPUTED_VALUE"""),"https://drive.google.com/file/d/1L6gZb8U7prUDzu3eUH0qS_FuyGwf5uQ7/view?usp=drive_link")</f>
        <v>https://drive.google.com/file/d/1L6gZb8U7prUDzu3eUH0qS_FuyGwf5uQ7/view?usp=drive_link</v>
      </c>
      <c r="O236" s="389" t="str">
        <f>IFERROR(__xludf.DUMMYFUNCTION("""COMPUTED_VALUE"""),"")</f>
        <v/>
      </c>
      <c r="P236" s="601" t="str">
        <f>IFERROR(__xludf.DUMMYFUNCTION("""COMPUTED_VALUE"""),"19/07/2023")</f>
        <v>19/07/2023</v>
      </c>
      <c r="Q236" s="389"/>
    </row>
    <row r="237">
      <c r="A237" s="73"/>
      <c r="B237" s="209" t="str">
        <f>IFERROR(__xludf.DUMMYFUNCTION("""COMPUTED_VALUE"""),"Executivos de Vendas")</f>
        <v>Executivos de Vendas</v>
      </c>
      <c r="C237" s="119" t="str">
        <f>IFERROR(__xludf.DUMMYFUNCTION("""COMPUTED_VALUE"""),"Qualificação de Oportunidades")</f>
        <v>Qualificação de Oportunidades</v>
      </c>
      <c r="D237" s="104" t="str">
        <f>IFERROR(__xludf.DUMMYFUNCTION("""COMPUTED_VALUE"""),"Gustavo Souza")</f>
        <v>Gustavo Souza</v>
      </c>
      <c r="E237" s="218" t="str">
        <f>IFERROR(__xludf.DUMMYFUNCTION("""COMPUTED_VALUE"""),"Founder")</f>
        <v>Founder</v>
      </c>
      <c r="F237" s="667" t="str">
        <f>IFERROR(__xludf.DUMMYFUNCTION("""COMPUTED_VALUE"""),"Convertise")</f>
        <v>Convertise</v>
      </c>
      <c r="G237" s="668" t="str">
        <f>IFERROR(__xludf.DUMMYFUNCTION("""COMPUTED_VALUE"""),"https://www.linkedin.com/in/eugusouza/")</f>
        <v>https://www.linkedin.com/in/eugusouza/</v>
      </c>
      <c r="H237" s="667" t="str">
        <f>IFERROR(__xludf.DUMMYFUNCTION("""COMPUTED_VALUE"""),"Conhecimento Técnico")</f>
        <v>Conhecimento Técnico</v>
      </c>
      <c r="I237" s="667" t="str">
        <f>IFERROR(__xludf.DUMMYFUNCTION("""COMPUTED_VALUE"""),"Técnicas de Vendas")</f>
        <v>Técnicas de Vendas</v>
      </c>
      <c r="J237" s="669" t="str">
        <f>IFERROR(__xludf.DUMMYFUNCTION("""COMPUTED_VALUE"""),"Qualificação e Entendimento da Dor")</f>
        <v>Qualificação e Entendimento da Dor</v>
      </c>
      <c r="K237" s="128" t="str">
        <f>IFERROR(__xludf.DUMMYFUNCTION("""COMPUTED_VALUE"""),"https://universidade.pipelovers.net/m/lessons/qualificacao-de-oportunidades1769552333940?classId=3602")</f>
        <v>https://universidade.pipelovers.net/m/lessons/qualificacao-de-oportunidades1769552333940?classId=3602</v>
      </c>
      <c r="L237" s="535" t="str">
        <f>IFERROR(__xludf.DUMMYFUNCTION("""COMPUTED_VALUE"""),"https://universidade.pipelovers.net/m/lessons/qualificacao-de-oportunidades1769552333940?classId=3602")</f>
        <v>https://universidade.pipelovers.net/m/lessons/qualificacao-de-oportunidades1769552333940?classId=3602</v>
      </c>
      <c r="M237" s="379" t="str">
        <f>IFERROR(__xludf.DUMMYFUNCTION("""COMPUTED_VALUE"""),"4,21")</f>
        <v>4,21</v>
      </c>
      <c r="N237" s="644" t="str">
        <f>IFERROR(__xludf.DUMMYFUNCTION("""COMPUTED_VALUE"""),"https://drive.google.com/file/d/11wMV1qBwK_d_LpO8OGN0HRElAYktCWaB/view?usp=drive_link")</f>
        <v>https://drive.google.com/file/d/11wMV1qBwK_d_LpO8OGN0HRElAYktCWaB/view?usp=drive_link</v>
      </c>
      <c r="O237" s="389" t="str">
        <f>IFERROR(__xludf.DUMMYFUNCTION("""COMPUTED_VALUE"""),"")</f>
        <v/>
      </c>
      <c r="P237" s="601" t="str">
        <f>IFERROR(__xludf.DUMMYFUNCTION("""COMPUTED_VALUE"""),"26/07/2023")</f>
        <v>26/07/2023</v>
      </c>
      <c r="Q237" s="389"/>
    </row>
    <row r="238">
      <c r="A238" s="73"/>
      <c r="B238" s="103" t="str">
        <f>IFERROR(__xludf.DUMMYFUNCTION("""COMPUTED_VALUE"""),"Executivos de Vendas")</f>
        <v>Executivos de Vendas</v>
      </c>
      <c r="C238" s="119" t="str">
        <f>IFERROR(__xludf.DUMMYFUNCTION("""COMPUTED_VALUE"""),"Top performers: habitos , rotinas e atitudes de vendedores que batem meta")</f>
        <v>Top performers: habitos , rotinas e atitudes de vendedores que batem meta</v>
      </c>
      <c r="D238" s="119" t="str">
        <f>IFERROR(__xludf.DUMMYFUNCTION("""COMPUTED_VALUE"""),"Felipe Coelho")</f>
        <v>Felipe Coelho</v>
      </c>
      <c r="E238" s="218" t="str">
        <f>IFERROR(__xludf.DUMMYFUNCTION("""COMPUTED_VALUE"""),"Partner")</f>
        <v>Partner</v>
      </c>
      <c r="F238" s="667" t="str">
        <f>IFERROR(__xludf.DUMMYFUNCTION("""COMPUTED_VALUE"""),"ABSEED")</f>
        <v>ABSEED</v>
      </c>
      <c r="G238" s="668" t="str">
        <f>IFERROR(__xludf.DUMMYFUNCTION("""COMPUTED_VALUE"""),"https://www.linkedin.com/in/coelhofarc/")</f>
        <v>https://www.linkedin.com/in/coelhofarc/</v>
      </c>
      <c r="H238" s="667" t="str">
        <f>IFERROR(__xludf.DUMMYFUNCTION("""COMPUTED_VALUE"""),"Conhecimento Técnico")</f>
        <v>Conhecimento Técnico</v>
      </c>
      <c r="I238" s="667" t="str">
        <f>IFERROR(__xludf.DUMMYFUNCTION("""COMPUTED_VALUE"""),"Gestão de Vendas")</f>
        <v>Gestão de Vendas</v>
      </c>
      <c r="J238" s="669" t="str">
        <f>IFERROR(__xludf.DUMMYFUNCTION("""COMPUTED_VALUE"""),"Rotinas e Rituais")</f>
        <v>Rotinas e Rituais</v>
      </c>
      <c r="K238" s="650" t="str">
        <f>IFERROR(__xludf.DUMMYFUNCTION("""COMPUTED_VALUE"""),"https://universidade.pipelovers.net/m/lessons/top-performers-habitos-rotinas-e-atitudes-de-vendedores-que-batem-meta1769552334011?classId=3572")</f>
        <v>https://universidade.pipelovers.net/m/lessons/top-performers-habitos-rotinas-e-atitudes-de-vendedores-que-batem-meta1769552334011?classId=3572</v>
      </c>
      <c r="L238" s="474" t="str">
        <f>IFERROR(__xludf.DUMMYFUNCTION("""COMPUTED_VALUE"""),"https://universidade.pipelovers.net/m/lessons/top-performers-habitos-rotinas-e-atitudes-de-vendedores-que-batem-meta1769552334011?classId=3572")</f>
        <v>https://universidade.pipelovers.net/m/lessons/top-performers-habitos-rotinas-e-atitudes-de-vendedores-que-batem-meta1769552334011?classId=3572</v>
      </c>
      <c r="M238" s="379" t="str">
        <f>IFERROR(__xludf.DUMMYFUNCTION("""COMPUTED_VALUE"""),"4")</f>
        <v>4</v>
      </c>
      <c r="N238" s="644" t="str">
        <f>IFERROR(__xludf.DUMMYFUNCTION("""COMPUTED_VALUE"""),"https://drive.google.com/file/d/1Cu02dvWdb_BNjckBoNxbj9bbXrk8mHzY/view?usp=drive_link")</f>
        <v>https://drive.google.com/file/d/1Cu02dvWdb_BNjckBoNxbj9bbXrk8mHzY/view?usp=drive_link</v>
      </c>
      <c r="O238" s="389" t="str">
        <f>IFERROR(__xludf.DUMMYFUNCTION("""COMPUTED_VALUE"""),"")</f>
        <v/>
      </c>
      <c r="P238" s="601" t="str">
        <f>IFERROR(__xludf.DUMMYFUNCTION("""COMPUTED_VALUE"""),"02/08/2023")</f>
        <v>02/08/2023</v>
      </c>
      <c r="Q238" s="389"/>
    </row>
    <row r="239">
      <c r="A239" s="73"/>
      <c r="B239" s="103" t="str">
        <f>IFERROR(__xludf.DUMMYFUNCTION("""COMPUTED_VALUE"""),"Executivos de Vendas")</f>
        <v>Executivos de Vendas</v>
      </c>
      <c r="C239" s="104" t="str">
        <f>IFERROR(__xludf.DUMMYFUNCTION("""COMPUTED_VALUE"""),"Autogestão com metas de execução")</f>
        <v>Autogestão com metas de execução</v>
      </c>
      <c r="D239" s="104" t="str">
        <f>IFERROR(__xludf.DUMMYFUNCTION("""COMPUTED_VALUE"""),"Rodrigo Oliveira")</f>
        <v>Rodrigo Oliveira</v>
      </c>
      <c r="E239" s="208" t="str">
        <f>IFERROR(__xludf.DUMMYFUNCTION("""COMPUTED_VALUE"""),"Enterprise Account Executive")</f>
        <v>Enterprise Account Executive</v>
      </c>
      <c r="F239" s="655" t="str">
        <f>IFERROR(__xludf.DUMMYFUNCTION("""COMPUTED_VALUE"""),"Linkedin")</f>
        <v>Linkedin</v>
      </c>
      <c r="G239" s="656" t="str">
        <f>IFERROR(__xludf.DUMMYFUNCTION("""COMPUTED_VALUE"""),"https://www.linkedin.com/in/rodrigomdeoliveira/")</f>
        <v>https://www.linkedin.com/in/rodrigomdeoliveira/</v>
      </c>
      <c r="H239" s="655" t="str">
        <f>IFERROR(__xludf.DUMMYFUNCTION("""COMPUTED_VALUE"""),"Autodesenvolvimento")</f>
        <v>Autodesenvolvimento</v>
      </c>
      <c r="I239" s="655" t="str">
        <f>IFERROR(__xludf.DUMMYFUNCTION("""COMPUTED_VALUE"""),"Gestão de Tempo e da Informação")</f>
        <v>Gestão de Tempo e da Informação</v>
      </c>
      <c r="J239" s="657" t="str">
        <f>IFERROR(__xludf.DUMMYFUNCTION("""COMPUTED_VALUE"""),"Priorização de Atividades")</f>
        <v>Priorização de Atividades</v>
      </c>
      <c r="K239" s="650" t="str">
        <f>IFERROR(__xludf.DUMMYFUNCTION("""COMPUTED_VALUE"""),"https://universidade.pipelovers.net/m/lessons/autogestao-com-metas-de-execucao1769552334079?classId=3603")</f>
        <v>https://universidade.pipelovers.net/m/lessons/autogestao-com-metas-de-execucao1769552334079?classId=3603</v>
      </c>
      <c r="L239" s="474" t="str">
        <f>IFERROR(__xludf.DUMMYFUNCTION("""COMPUTED_VALUE"""),"https://universidade.pipelovers.net/m/lessons/autogestao-com-metas-de-execucao1769552334079?classId=3603")</f>
        <v>https://universidade.pipelovers.net/m/lessons/autogestao-com-metas-de-execucao1769552334079?classId=3603</v>
      </c>
      <c r="M239" s="379" t="str">
        <f>IFERROR(__xludf.DUMMYFUNCTION("""COMPUTED_VALUE"""),"4,07")</f>
        <v>4,07</v>
      </c>
      <c r="N239" s="644" t="str">
        <f>IFERROR(__xludf.DUMMYFUNCTION("""COMPUTED_VALUE"""),"https://drive.google.com/file/d/1ui47Iu0PTs5KiYIKNiaN8vAudQDof9ma/view?usp=drive_link")</f>
        <v>https://drive.google.com/file/d/1ui47Iu0PTs5KiYIKNiaN8vAudQDof9ma/view?usp=drive_link</v>
      </c>
      <c r="O239" s="389" t="str">
        <f>IFERROR(__xludf.DUMMYFUNCTION("""COMPUTED_VALUE"""),"")</f>
        <v/>
      </c>
      <c r="P239" s="601" t="str">
        <f>IFERROR(__xludf.DUMMYFUNCTION("""COMPUTED_VALUE"""),"09/08/2023")</f>
        <v>09/08/2023</v>
      </c>
      <c r="Q239" s="389"/>
    </row>
    <row r="240">
      <c r="A240" s="73"/>
      <c r="B240" s="209" t="str">
        <f>IFERROR(__xludf.DUMMYFUNCTION("""COMPUTED_VALUE"""),"Executivos de Vendas")</f>
        <v>Executivos de Vendas</v>
      </c>
      <c r="C240" s="104" t="str">
        <f>IFERROR(__xludf.DUMMYFUNCTION("""COMPUTED_VALUE"""),"O impacto do Ecommerce B2B para vendedores")</f>
        <v>O impacto do Ecommerce B2B para vendedores</v>
      </c>
      <c r="D240" s="119" t="str">
        <f>IFERROR(__xludf.DUMMYFUNCTION("""COMPUTED_VALUE"""),"Caio Araujo")</f>
        <v>Caio Araujo</v>
      </c>
      <c r="E240" s="218" t="str">
        <f>IFERROR(__xludf.DUMMYFUNCTION("""COMPUTED_VALUE"""),"Head of Sales")</f>
        <v>Head of Sales</v>
      </c>
      <c r="F240" s="667" t="str">
        <f>IFERROR(__xludf.DUMMYFUNCTION("""COMPUTED_VALUE"""),"OLIST")</f>
        <v>OLIST</v>
      </c>
      <c r="G240" s="668" t="str">
        <f>IFERROR(__xludf.DUMMYFUNCTION("""COMPUTED_VALUE"""),"https://www.linkedin.com/in/caraujo-ecomm/")</f>
        <v>https://www.linkedin.com/in/caraujo-ecomm/</v>
      </c>
      <c r="H240" s="667" t="str">
        <f>IFERROR(__xludf.DUMMYFUNCTION("""COMPUTED_VALUE"""),"Visão de Negócios")</f>
        <v>Visão de Negócios</v>
      </c>
      <c r="I240" s="667" t="str">
        <f>IFERROR(__xludf.DUMMYFUNCTION("""COMPUTED_VALUE"""),"Tendências de Mercado")</f>
        <v>Tendências de Mercado</v>
      </c>
      <c r="J240" s="669" t="str">
        <f>IFERROR(__xludf.DUMMYFUNCTION("""COMPUTED_VALUE"""),"Tendencias do Setor")</f>
        <v>Tendencias do Setor</v>
      </c>
      <c r="K240" s="114" t="str">
        <f>IFERROR(__xludf.DUMMYFUNCTION("""COMPUTED_VALUE"""),"https://universidade.pipelovers.net/m/lessons/o-impacto-do-ecommerce-b2b-para-vendedores1769552334177?classId=3604")</f>
        <v>https://universidade.pipelovers.net/m/lessons/o-impacto-do-ecommerce-b2b-para-vendedores1769552334177?classId=3604</v>
      </c>
      <c r="L240" s="535" t="str">
        <f>IFERROR(__xludf.DUMMYFUNCTION("""COMPUTED_VALUE"""),"https://universidade.pipelovers.net/m/lessons/o-impacto-do-ecommerce-b2b-para-vendedores1769552334177?moduleId=1014&amp;classId=3604")</f>
        <v>https://universidade.pipelovers.net/m/lessons/o-impacto-do-ecommerce-b2b-para-vendedores1769552334177?moduleId=1014&amp;classId=3604</v>
      </c>
      <c r="M240" s="379" t="str">
        <f>IFERROR(__xludf.DUMMYFUNCTION("""COMPUTED_VALUE"""),"4,07")</f>
        <v>4,07</v>
      </c>
      <c r="N240" s="644" t="str">
        <f>IFERROR(__xludf.DUMMYFUNCTION("""COMPUTED_VALUE"""),"https://drive.google.com/file/d/1Dv3NHPFXj0f3qEAo9RkSlx9DNuLB6onE/view?usp=drive_link")</f>
        <v>https://drive.google.com/file/d/1Dv3NHPFXj0f3qEAo9RkSlx9DNuLB6onE/view?usp=drive_link</v>
      </c>
      <c r="O240" s="389" t="str">
        <f>IFERROR(__xludf.DUMMYFUNCTION("""COMPUTED_VALUE"""),"")</f>
        <v/>
      </c>
      <c r="P240" s="601" t="str">
        <f>IFERROR(__xludf.DUMMYFUNCTION("""COMPUTED_VALUE"""),"16/08/2023")</f>
        <v>16/08/2023</v>
      </c>
      <c r="Q240" s="389"/>
    </row>
    <row r="241">
      <c r="A241" s="73"/>
      <c r="B241" s="209" t="str">
        <f>IFERROR(__xludf.DUMMYFUNCTION("""COMPUTED_VALUE"""),"Executivos de Vendas")</f>
        <v>Executivos de Vendas</v>
      </c>
      <c r="C241" s="104" t="str">
        <f>IFERROR(__xludf.DUMMYFUNCTION("""COMPUTED_VALUE"""),"Escolhendo sua metodologia de vendas")</f>
        <v>Escolhendo sua metodologia de vendas</v>
      </c>
      <c r="D241" s="104" t="str">
        <f>IFERROR(__xludf.DUMMYFUNCTION("""COMPUTED_VALUE"""),"Hélio Azevedo")</f>
        <v>Hélio Azevedo</v>
      </c>
      <c r="E241" s="218" t="str">
        <f>IFERROR(__xludf.DUMMYFUNCTION("""COMPUTED_VALUE"""),"Chief Growth Officer")</f>
        <v>Chief Growth Officer</v>
      </c>
      <c r="F241" s="667" t="str">
        <f>IFERROR(__xludf.DUMMYFUNCTION("""COMPUTED_VALUE"""),"Futurum TGP")</f>
        <v>Futurum TGP</v>
      </c>
      <c r="G241" s="668" t="str">
        <f>IFERROR(__xludf.DUMMYFUNCTION("""COMPUTED_VALUE"""),"https://www.linkedin.com/in/helioazevedo/")</f>
        <v>https://www.linkedin.com/in/helioazevedo/</v>
      </c>
      <c r="H241" s="667" t="str">
        <f>IFERROR(__xludf.DUMMYFUNCTION("""COMPUTED_VALUE"""),"Conhecimento Técnico")</f>
        <v>Conhecimento Técnico</v>
      </c>
      <c r="I241" s="667" t="str">
        <f>IFERROR(__xludf.DUMMYFUNCTION("""COMPUTED_VALUE"""),"Gestão de Vendas")</f>
        <v>Gestão de Vendas</v>
      </c>
      <c r="J241" s="669" t="str">
        <f>IFERROR(__xludf.DUMMYFUNCTION("""COMPUTED_VALUE"""),"Metodologias de Vendas")</f>
        <v>Metodologias de Vendas</v>
      </c>
      <c r="K241" s="650" t="str">
        <f>IFERROR(__xludf.DUMMYFUNCTION("""COMPUTED_VALUE"""),"https://universidade.pipelovers.net/m/lessons/escolhendo-sua-metodologia-de-vendas1769552334242?classId=3624")</f>
        <v>https://universidade.pipelovers.net/m/lessons/escolhendo-sua-metodologia-de-vendas1769552334242?classId=3624</v>
      </c>
      <c r="L241" s="474" t="str">
        <f>IFERROR(__xludf.DUMMYFUNCTION("""COMPUTED_VALUE"""),"https://universidade.pipelovers.net/m/lessons/escolhendo-sua-metodologia-de-vendas1769552334242?classId=3624")</f>
        <v>https://universidade.pipelovers.net/m/lessons/escolhendo-sua-metodologia-de-vendas1769552334242?classId=3624</v>
      </c>
      <c r="M241" s="379" t="str">
        <f>IFERROR(__xludf.DUMMYFUNCTION("""COMPUTED_VALUE"""),"4,36")</f>
        <v>4,36</v>
      </c>
      <c r="N241" s="644" t="str">
        <f>IFERROR(__xludf.DUMMYFUNCTION("""COMPUTED_VALUE"""),"https://drive.google.com/file/d/12xH2_jtwi2pj0DBcUdyk2TvBaBrAvtuo/view?usp=drive_link")</f>
        <v>https://drive.google.com/file/d/12xH2_jtwi2pj0DBcUdyk2TvBaBrAvtuo/view?usp=drive_link</v>
      </c>
      <c r="O241" s="389" t="str">
        <f>IFERROR(__xludf.DUMMYFUNCTION("""COMPUTED_VALUE"""),"")</f>
        <v/>
      </c>
      <c r="P241" s="601" t="str">
        <f>IFERROR(__xludf.DUMMYFUNCTION("""COMPUTED_VALUE"""),"23/08/2023")</f>
        <v>23/08/2023</v>
      </c>
      <c r="Q241" s="389"/>
    </row>
    <row r="242">
      <c r="A242" s="73"/>
      <c r="B242" s="209" t="str">
        <f>IFERROR(__xludf.DUMMYFUNCTION("""COMPUTED_VALUE"""),"Executivos de Vendas")</f>
        <v>Executivos de Vendas</v>
      </c>
      <c r="C242" s="268" t="str">
        <f>IFERROR(__xludf.DUMMYFUNCTION("""COMPUTED_VALUE"""),"Usando o CRM para gestão de tempo")</f>
        <v>Usando o CRM para gestão de tempo</v>
      </c>
      <c r="D242" s="119" t="str">
        <f>IFERROR(__xludf.DUMMYFUNCTION("""COMPUTED_VALUE"""),"Thiago Schioppa")</f>
        <v>Thiago Schioppa</v>
      </c>
      <c r="E242" s="218" t="str">
        <f>IFERROR(__xludf.DUMMYFUNCTION("""COMPUTED_VALUE"""),"Head of Sales")</f>
        <v>Head of Sales</v>
      </c>
      <c r="F242" s="667" t="str">
        <f>IFERROR(__xludf.DUMMYFUNCTION("""COMPUTED_VALUE"""),"ZOHO CRM")</f>
        <v>ZOHO CRM</v>
      </c>
      <c r="G242" s="668" t="str">
        <f>IFERROR(__xludf.DUMMYFUNCTION("""COMPUTED_VALUE"""),"https://www.linkedin.com/in/thiagoschioppa/")</f>
        <v>https://www.linkedin.com/in/thiagoschioppa/</v>
      </c>
      <c r="H242" s="667" t="str">
        <f>IFERROR(__xludf.DUMMYFUNCTION("""COMPUTED_VALUE"""),"Autodesenvolvimento")</f>
        <v>Autodesenvolvimento</v>
      </c>
      <c r="I242" s="667" t="str">
        <f>IFERROR(__xludf.DUMMYFUNCTION("""COMPUTED_VALUE"""),"Gestão de Tempo e da Informação")</f>
        <v>Gestão de Tempo e da Informação</v>
      </c>
      <c r="J242" s="669" t="str">
        <f>IFERROR(__xludf.DUMMYFUNCTION("""COMPUTED_VALUE"""),"Melhores Práticas de CRM")</f>
        <v>Melhores Práticas de CRM</v>
      </c>
      <c r="K242" s="128" t="str">
        <f>IFERROR(__xludf.DUMMYFUNCTION("""COMPUTED_VALUE"""),"https://universidade.pipelovers.net/m/lessons/usando-o-crm-para-gestao-de-tempo1769552334326?classId=3605")</f>
        <v>https://universidade.pipelovers.net/m/lessons/usando-o-crm-para-gestao-de-tempo1769552334326?classId=3605</v>
      </c>
      <c r="L242" s="535" t="str">
        <f>IFERROR(__xludf.DUMMYFUNCTION("""COMPUTED_VALUE"""),"https://universidade.pipelovers.net/m/lessons/usando-o-crm-para-gestao-de-tempo1769552334326?classId=3605")</f>
        <v>https://universidade.pipelovers.net/m/lessons/usando-o-crm-para-gestao-de-tempo1769552334326?classId=3605</v>
      </c>
      <c r="M242" s="379" t="str">
        <f>IFERROR(__xludf.DUMMYFUNCTION("""COMPUTED_VALUE"""),"4,36")</f>
        <v>4,36</v>
      </c>
      <c r="N242" s="644" t="str">
        <f>IFERROR(__xludf.DUMMYFUNCTION("""COMPUTED_VALUE"""),"https://drive.google.com/file/d/1vYQcR3lIQ4uqQktV29gFYETbNrPrQ-aK/view?usp=drive_link")</f>
        <v>https://drive.google.com/file/d/1vYQcR3lIQ4uqQktV29gFYETbNrPrQ-aK/view?usp=drive_link</v>
      </c>
      <c r="O242" s="389" t="str">
        <f>IFERROR(__xludf.DUMMYFUNCTION("""COMPUTED_VALUE"""),"")</f>
        <v/>
      </c>
      <c r="P242" s="601" t="str">
        <f>IFERROR(__xludf.DUMMYFUNCTION("""COMPUTED_VALUE"""),"30/08/2023")</f>
        <v>30/08/2023</v>
      </c>
      <c r="Q242" s="389"/>
    </row>
    <row r="243">
      <c r="A243" s="73"/>
      <c r="B243" s="209" t="str">
        <f>IFERROR(__xludf.DUMMYFUNCTION("""COMPUTED_VALUE"""),"Executivos de Vendas")</f>
        <v>Executivos de Vendas</v>
      </c>
      <c r="C243" s="104" t="str">
        <f>IFERROR(__xludf.DUMMYFUNCTION("""COMPUTED_VALUE"""),"A nova era das vendas sociais")</f>
        <v>A nova era das vendas sociais</v>
      </c>
      <c r="D243" s="104" t="str">
        <f>IFERROR(__xludf.DUMMYFUNCTION("""COMPUTED_VALUE"""),"Fernanda Nascimento")</f>
        <v>Fernanda Nascimento</v>
      </c>
      <c r="E243" s="218" t="str">
        <f>IFERROR(__xludf.DUMMYFUNCTION("""COMPUTED_VALUE"""),"Fundadora")</f>
        <v>Fundadora</v>
      </c>
      <c r="F243" s="667" t="str">
        <f>IFERROR(__xludf.DUMMYFUNCTION("""COMPUTED_VALUE"""),"Stratlab")</f>
        <v>Stratlab</v>
      </c>
      <c r="G243" s="668" t="str">
        <f>IFERROR(__xludf.DUMMYFUNCTION("""COMPUTED_VALUE"""),"https://www.linkedin.com/in/fernandanascimentow/")</f>
        <v>https://www.linkedin.com/in/fernandanascimentow/</v>
      </c>
      <c r="H243" s="667" t="str">
        <f>IFERROR(__xludf.DUMMYFUNCTION("""COMPUTED_VALUE"""),"Visão de Negócios")</f>
        <v>Visão de Negócios</v>
      </c>
      <c r="I243" s="667" t="str">
        <f>IFERROR(__xludf.DUMMYFUNCTION("""COMPUTED_VALUE"""),"Tendências de Mercado")</f>
        <v>Tendências de Mercado</v>
      </c>
      <c r="J243" s="669" t="str">
        <f>IFERROR(__xludf.DUMMYFUNCTION("""COMPUTED_VALUE"""),"Tendencias do Setor")</f>
        <v>Tendencias do Setor</v>
      </c>
      <c r="K243" s="114" t="str">
        <f>IFERROR(__xludf.DUMMYFUNCTION("""COMPUTED_VALUE"""),"https://universidade.pipelovers.net/m/lessons/a-nova-era-das-vendas-sociais1769552334377?classId=3625")</f>
        <v>https://universidade.pipelovers.net/m/lessons/a-nova-era-das-vendas-sociais1769552334377?classId=3625</v>
      </c>
      <c r="L243" s="535" t="str">
        <f>IFERROR(__xludf.DUMMYFUNCTION("""COMPUTED_VALUE"""),"https://universidade.pipelovers.net/m/lessons/a-nova-era-das-vendas-sociais1769552334377?classId=3625")</f>
        <v>https://universidade.pipelovers.net/m/lessons/a-nova-era-das-vendas-sociais1769552334377?classId=3625</v>
      </c>
      <c r="M243" s="379" t="str">
        <f>IFERROR(__xludf.DUMMYFUNCTION("""COMPUTED_VALUE"""),"3,5")</f>
        <v>3,5</v>
      </c>
      <c r="N243" s="644" t="str">
        <f>IFERROR(__xludf.DUMMYFUNCTION("""COMPUTED_VALUE"""),"https://drive.google.com/file/d/1-JWKAYy5L9i8g8Echp_AVzNWAcvhwlBq/view?usp=drive_link")</f>
        <v>https://drive.google.com/file/d/1-JWKAYy5L9i8g8Echp_AVzNWAcvhwlBq/view?usp=drive_link</v>
      </c>
      <c r="O243" s="389" t="str">
        <f>IFERROR(__xludf.DUMMYFUNCTION("""COMPUTED_VALUE"""),"")</f>
        <v/>
      </c>
      <c r="P243" s="601" t="str">
        <f>IFERROR(__xludf.DUMMYFUNCTION("""COMPUTED_VALUE"""),"06/09/2023")</f>
        <v>06/09/2023</v>
      </c>
      <c r="Q243" s="389"/>
    </row>
    <row r="244">
      <c r="A244" s="73"/>
      <c r="B244" s="209" t="str">
        <f>IFERROR(__xludf.DUMMYFUNCTION("""COMPUTED_VALUE"""),"Executivos de Vendas")</f>
        <v>Executivos de Vendas</v>
      </c>
      <c r="C244" s="119" t="str">
        <f>IFERROR(__xludf.DUMMYFUNCTION("""COMPUTED_VALUE"""),"Controlando a ansiedade em vendas")</f>
        <v>Controlando a ansiedade em vendas</v>
      </c>
      <c r="D244" s="119" t="str">
        <f>IFERROR(__xludf.DUMMYFUNCTION("""COMPUTED_VALUE"""),"Fabiano Brito ")</f>
        <v>Fabiano Brito </v>
      </c>
      <c r="E244" s="218" t="str">
        <f>IFERROR(__xludf.DUMMYFUNCTION("""COMPUTED_VALUE"""),"Diretor Geral e CEO")</f>
        <v>Diretor Geral e CEO</v>
      </c>
      <c r="F244" s="667" t="str">
        <f>IFERROR(__xludf.DUMMYFUNCTION("""COMPUTED_VALUE"""),"Inspira Capital")</f>
        <v>Inspira Capital</v>
      </c>
      <c r="G244" s="668" t="str">
        <f>IFERROR(__xludf.DUMMYFUNCTION("""COMPUTED_VALUE"""),"https://www.linkedin.com/in/fabiano-br")</f>
        <v>https://www.linkedin.com/in/fabiano-br</v>
      </c>
      <c r="H244" s="667" t="str">
        <f>IFERROR(__xludf.DUMMYFUNCTION("""COMPUTED_VALUE"""),"Autodesenvolvimento")</f>
        <v>Autodesenvolvimento</v>
      </c>
      <c r="I244" s="667" t="str">
        <f>IFERROR(__xludf.DUMMYFUNCTION("""COMPUTED_VALUE"""),"Inteligência Emocional")</f>
        <v>Inteligência Emocional</v>
      </c>
      <c r="J244" s="669" t="str">
        <f>IFERROR(__xludf.DUMMYFUNCTION("""COMPUTED_VALUE"""),"Gatilhos de Stress")</f>
        <v>Gatilhos de Stress</v>
      </c>
      <c r="K244" s="147" t="str">
        <f>IFERROR(__xludf.DUMMYFUNCTION("""COMPUTED_VALUE"""),"https://universidade.pipelovers.net/m/lessons/controlando-a-ansiedade-em-vendas1769552334427?classId=3606")</f>
        <v>https://universidade.pipelovers.net/m/lessons/controlando-a-ansiedade-em-vendas1769552334427?classId=3606</v>
      </c>
      <c r="L244" s="500" t="str">
        <f>IFERROR(__xludf.DUMMYFUNCTION("""COMPUTED_VALUE"""),"https://universidade.pipelovers.net/m/lessons/controlando-a-ansiedade-em-vendas1769552334427?classId=3606")</f>
        <v>https://universidade.pipelovers.net/m/lessons/controlando-a-ansiedade-em-vendas1769552334427?classId=3606</v>
      </c>
      <c r="M244" s="379" t="str">
        <f>IFERROR(__xludf.DUMMYFUNCTION("""COMPUTED_VALUE"""),"3,36")</f>
        <v>3,36</v>
      </c>
      <c r="N244" s="644" t="str">
        <f>IFERROR(__xludf.DUMMYFUNCTION("""COMPUTED_VALUE"""),"https://drive.google.com/file/d/1xXLQ-m2IYwLrxSp14ac0COFriiFiKf2G/view?usp=drive_link")</f>
        <v>https://drive.google.com/file/d/1xXLQ-m2IYwLrxSp14ac0COFriiFiKf2G/view?usp=drive_link</v>
      </c>
      <c r="O244" s="389" t="str">
        <f>IFERROR(__xludf.DUMMYFUNCTION("""COMPUTED_VALUE"""),"")</f>
        <v/>
      </c>
      <c r="P244" s="601" t="str">
        <f>IFERROR(__xludf.DUMMYFUNCTION("""COMPUTED_VALUE"""),"13/09/2023")</f>
        <v>13/09/2023</v>
      </c>
      <c r="Q244" s="389"/>
    </row>
    <row r="245">
      <c r="A245" s="73"/>
      <c r="B245" s="209" t="str">
        <f>IFERROR(__xludf.DUMMYFUNCTION("""COMPUTED_VALUE"""),"Executivos de Vendas")</f>
        <v>Executivos de Vendas</v>
      </c>
      <c r="C245" s="104" t="str">
        <f>IFERROR(__xludf.DUMMYFUNCTION("""COMPUTED_VALUE"""),"Técnicas de Negociação ")</f>
        <v>Técnicas de Negociação </v>
      </c>
      <c r="D245" s="104" t="str">
        <f>IFERROR(__xludf.DUMMYFUNCTION("""COMPUTED_VALUE"""),"Edney Quaresma")</f>
        <v>Edney Quaresma</v>
      </c>
      <c r="E245" s="151" t="str">
        <f>IFERROR(__xludf.DUMMYFUNCTION("""COMPUTED_VALUE"""),"Founder")</f>
        <v>Founder</v>
      </c>
      <c r="F245" s="648" t="str">
        <f>IFERROR(__xludf.DUMMYFUNCTION("""COMPUTED_VALUE"""),"Rocket")</f>
        <v>Rocket</v>
      </c>
      <c r="G245" s="647" t="str">
        <f>IFERROR(__xludf.DUMMYFUNCTION("""COMPUTED_VALUE"""),"https://www.linkedin.com/in/edney-quaresma-7a327564/")</f>
        <v>https://www.linkedin.com/in/edney-quaresma-7a327564/</v>
      </c>
      <c r="H245" s="648" t="str">
        <f>IFERROR(__xludf.DUMMYFUNCTION("""COMPUTED_VALUE"""),"Conhecimento Técnico")</f>
        <v>Conhecimento Técnico</v>
      </c>
      <c r="I245" s="648" t="str">
        <f>IFERROR(__xludf.DUMMYFUNCTION("""COMPUTED_VALUE"""),"Técnicas de Vendas")</f>
        <v>Técnicas de Vendas</v>
      </c>
      <c r="J245" s="649" t="str">
        <f>IFERROR(__xludf.DUMMYFUNCTION("""COMPUTED_VALUE"""),"Negociação e Fechamento de Vendas")</f>
        <v>Negociação e Fechamento de Vendas</v>
      </c>
      <c r="K245" s="650" t="str">
        <f>IFERROR(__xludf.DUMMYFUNCTION("""COMPUTED_VALUE"""),"https://universidade.pipelovers.net/aulas/tecnicas-de-negociacao-1775076476292")</f>
        <v>https://universidade.pipelovers.net/aulas/tecnicas-de-negociacao-1775076476292</v>
      </c>
      <c r="L245" s="474" t="str">
        <f>IFERROR(__xludf.DUMMYFUNCTION("""COMPUTED_VALUE"""),"https://universidade.pipelovers.net/aulas/tecnicas-de-negociacao-1775076476292")</f>
        <v>https://universidade.pipelovers.net/aulas/tecnicas-de-negociacao-1775076476292</v>
      </c>
      <c r="M245" s="379" t="str">
        <f>IFERROR(__xludf.DUMMYFUNCTION("""COMPUTED_VALUE"""),"3,71")</f>
        <v>3,71</v>
      </c>
      <c r="N245" s="644" t="str">
        <f>IFERROR(__xludf.DUMMYFUNCTION("""COMPUTED_VALUE"""),"https://drive.google.com/file/d/1rTzVntgxDJmwBNtHBZPdN6VRyckKo9IJ/view?usp=drive_link")</f>
        <v>https://drive.google.com/file/d/1rTzVntgxDJmwBNtHBZPdN6VRyckKo9IJ/view?usp=drive_link</v>
      </c>
      <c r="O245" s="385" t="str">
        <f>IFERROR(__xludf.DUMMYFUNCTION("""COMPUTED_VALUE"""),"")</f>
        <v/>
      </c>
      <c r="P245" s="601" t="str">
        <f>IFERROR(__xludf.DUMMYFUNCTION("""COMPUTED_VALUE"""),"20/09/2023")</f>
        <v>20/09/2023</v>
      </c>
      <c r="Q245" s="385"/>
    </row>
    <row r="246">
      <c r="A246" s="73"/>
      <c r="B246" s="209" t="str">
        <f>IFERROR(__xludf.DUMMYFUNCTION("""COMPUTED_VALUE"""),"Executivos de Vendas")</f>
        <v>Executivos de Vendas</v>
      </c>
      <c r="C246" s="119" t="str">
        <f>IFERROR(__xludf.DUMMYFUNCTION("""COMPUTED_VALUE"""),"Administrando a rejeição em vendas")</f>
        <v>Administrando a rejeição em vendas</v>
      </c>
      <c r="D246" s="119" t="str">
        <f>IFERROR(__xludf.DUMMYFUNCTION("""COMPUTED_VALUE"""),"Renato Lamardo")</f>
        <v>Renato Lamardo</v>
      </c>
      <c r="E246" s="228" t="str">
        <f>IFERROR(__xludf.DUMMYFUNCTION("""COMPUTED_VALUE"""),"Sales Executive")</f>
        <v>Sales Executive</v>
      </c>
      <c r="F246" s="453" t="str">
        <f>IFERROR(__xludf.DUMMYFUNCTION("""COMPUTED_VALUE"""),"Udemy")</f>
        <v>Udemy</v>
      </c>
      <c r="G246" s="455" t="str">
        <f>IFERROR(__xludf.DUMMYFUNCTION("""COMPUTED_VALUE"""),"https://www.linkedin.com/in/renatolamardo/")</f>
        <v>https://www.linkedin.com/in/renatolamardo/</v>
      </c>
      <c r="H246" s="453" t="str">
        <f>IFERROR(__xludf.DUMMYFUNCTION("""COMPUTED_VALUE"""),"Autodesenvolvimento")</f>
        <v>Autodesenvolvimento</v>
      </c>
      <c r="I246" s="453" t="str">
        <f>IFERROR(__xludf.DUMMYFUNCTION("""COMPUTED_VALUE"""),"Inteligência Emocional")</f>
        <v>Inteligência Emocional</v>
      </c>
      <c r="J246" s="679" t="str">
        <f>IFERROR(__xludf.DUMMYFUNCTION("""COMPUTED_VALUE"""),"Resiliência")</f>
        <v>Resiliência</v>
      </c>
      <c r="K246" s="650" t="str">
        <f>IFERROR(__xludf.DUMMYFUNCTION("""COMPUTED_VALUE"""),"https://universidade.pipelovers.net/m/lessons/administrando-a-rejeicao-em-vendas1769552344637?classId=3608")</f>
        <v>https://universidade.pipelovers.net/m/lessons/administrando-a-rejeicao-em-vendas1769552344637?classId=3608</v>
      </c>
      <c r="L246" s="474" t="str">
        <f>IFERROR(__xludf.DUMMYFUNCTION("""COMPUTED_VALUE"""),"https://universidade.pipelovers.net/m/lessons/administrando-a-rejeicao-em-vendas1769552344637?classId=3608")</f>
        <v>https://universidade.pipelovers.net/m/lessons/administrando-a-rejeicao-em-vendas1769552344637?classId=3608</v>
      </c>
      <c r="M246" s="379" t="str">
        <f>IFERROR(__xludf.DUMMYFUNCTION("""COMPUTED_VALUE"""),"3,5")</f>
        <v>3,5</v>
      </c>
      <c r="N246" s="644" t="str">
        <f>IFERROR(__xludf.DUMMYFUNCTION("""COMPUTED_VALUE"""),"https://drive.google.com/file/d/1JBWXIbQzovQVCt7EDJ16glJi4ENfC8jv/view?usp=drive_link")</f>
        <v>https://drive.google.com/file/d/1JBWXIbQzovQVCt7EDJ16glJi4ENfC8jv/view?usp=drive_link</v>
      </c>
      <c r="O246" s="385" t="str">
        <f>IFERROR(__xludf.DUMMYFUNCTION("""COMPUTED_VALUE"""),"")</f>
        <v/>
      </c>
      <c r="P246" s="601" t="str">
        <f>IFERROR(__xludf.DUMMYFUNCTION("""COMPUTED_VALUE"""),"27/09/2023")</f>
        <v>27/09/2023</v>
      </c>
      <c r="Q246" s="385"/>
    </row>
    <row r="247">
      <c r="A247" s="73"/>
      <c r="B247" s="209" t="str">
        <f>IFERROR(__xludf.DUMMYFUNCTION("""COMPUTED_VALUE"""),"Executivos de Vendas")</f>
        <v>Executivos de Vendas</v>
      </c>
      <c r="C247" s="104" t="str">
        <f>IFERROR(__xludf.DUMMYFUNCTION("""COMPUTED_VALUE"""),"Aprendendo com Oportunidades Perdidas")</f>
        <v>Aprendendo com Oportunidades Perdidas</v>
      </c>
      <c r="D247" s="104" t="str">
        <f>IFERROR(__xludf.DUMMYFUNCTION("""COMPUTED_VALUE"""),"Barbara Martins")</f>
        <v>Barbara Martins</v>
      </c>
      <c r="E247" s="151" t="str">
        <f>IFERROR(__xludf.DUMMYFUNCTION("""COMPUTED_VALUE"""),"Coordenadora de Vendas B2B")</f>
        <v>Coordenadora de Vendas B2B</v>
      </c>
      <c r="F247" s="648" t="str">
        <f>IFERROR(__xludf.DUMMYFUNCTION("""COMPUTED_VALUE"""),"TotalPass")</f>
        <v>TotalPass</v>
      </c>
      <c r="G247" s="647" t="str">
        <f>IFERROR(__xludf.DUMMYFUNCTION("""COMPUTED_VALUE"""),"https://www.linkedin.com/in/b%C3%A1rbara-ribeiro-martins-460aa764/")</f>
        <v>https://www.linkedin.com/in/b%C3%A1rbara-ribeiro-martins-460aa764/</v>
      </c>
      <c r="H247" s="648" t="str">
        <f>IFERROR(__xludf.DUMMYFUNCTION("""COMPUTED_VALUE"""),"Conhecimento Técnico")</f>
        <v>Conhecimento Técnico</v>
      </c>
      <c r="I247" s="648" t="str">
        <f>IFERROR(__xludf.DUMMYFUNCTION("""COMPUTED_VALUE"""),"Pensamento Crítico")</f>
        <v>Pensamento Crítico</v>
      </c>
      <c r="J247" s="649" t="str">
        <f>IFERROR(__xludf.DUMMYFUNCTION("""COMPUTED_VALUE"""),"Win Loss Analysis")</f>
        <v>Win Loss Analysis</v>
      </c>
      <c r="K247" s="114" t="str">
        <f>IFERROR(__xludf.DUMMYFUNCTION("""COMPUTED_VALUE"""),"https://universidade.pipelovers.net/m/lessons/aprendendo-com-oportunidades-perdidas1769552344431?classId=2775")</f>
        <v>https://universidade.pipelovers.net/m/lessons/aprendendo-com-oportunidades-perdidas1769552344431?classId=2775</v>
      </c>
      <c r="L247" s="535" t="str">
        <f>IFERROR(__xludf.DUMMYFUNCTION("""COMPUTED_VALUE"""),"https://universidade.pipelovers.net/m/lessons/aprendendo-com-oportunidades-perdidas1769552344431?classId=2775")</f>
        <v>https://universidade.pipelovers.net/m/lessons/aprendendo-com-oportunidades-perdidas1769552344431?classId=2775</v>
      </c>
      <c r="M247" s="379" t="str">
        <f>IFERROR(__xludf.DUMMYFUNCTION("""COMPUTED_VALUE"""),"1")</f>
        <v>1</v>
      </c>
      <c r="N247" s="644" t="str">
        <f>IFERROR(__xludf.DUMMYFUNCTION("""COMPUTED_VALUE"""),"https://drive.google.com/file/d/1G0Ithdnd1KqxW3NgqSzOScjb60S3U0Kw/view?usp=drive_link")</f>
        <v>https://drive.google.com/file/d/1G0Ithdnd1KqxW3NgqSzOScjb60S3U0Kw/view?usp=drive_link</v>
      </c>
      <c r="O247" s="385" t="str">
        <f>IFERROR(__xludf.DUMMYFUNCTION("""COMPUTED_VALUE"""),"")</f>
        <v/>
      </c>
      <c r="P247" s="601" t="str">
        <f>IFERROR(__xludf.DUMMYFUNCTION("""COMPUTED_VALUE"""),"04/10/2023")</f>
        <v>04/10/2023</v>
      </c>
      <c r="Q247" s="385"/>
    </row>
    <row r="248">
      <c r="A248" s="73"/>
      <c r="B248" s="209" t="str">
        <f>IFERROR(__xludf.DUMMYFUNCTION("""COMPUTED_VALUE"""),"Executivos de Vendas")</f>
        <v>Executivos de Vendas</v>
      </c>
      <c r="C248" s="268" t="str">
        <f>IFERROR(__xludf.DUMMYFUNCTION("""COMPUTED_VALUE"""),"Feiras e Eventos: hacks para valer a pena para o vendedor")</f>
        <v>Feiras e Eventos: hacks para valer a pena para o vendedor</v>
      </c>
      <c r="D248" s="119" t="str">
        <f>IFERROR(__xludf.DUMMYFUNCTION("""COMPUTED_VALUE"""),"Marcelo Sinhorini")</f>
        <v>Marcelo Sinhorini</v>
      </c>
      <c r="E248" s="228" t="str">
        <f>IFERROR(__xludf.DUMMYFUNCTION("""COMPUTED_VALUE"""),"Fundador")</f>
        <v>Fundador</v>
      </c>
      <c r="F248" s="453" t="str">
        <f>IFERROR(__xludf.DUMMYFUNCTION("""COMPUTED_VALUE"""),"Portal ERP &amp; ERP Summit")</f>
        <v>Portal ERP &amp; ERP Summit</v>
      </c>
      <c r="G248" s="455" t="str">
        <f>IFERROR(__xludf.DUMMYFUNCTION("""COMPUTED_VALUE"""),"https://www.linkedin.com/in/marcelosinhorini/")</f>
        <v>https://www.linkedin.com/in/marcelosinhorini/</v>
      </c>
      <c r="H248" s="453" t="str">
        <f>IFERROR(__xludf.DUMMYFUNCTION("""COMPUTED_VALUE"""),"Visão de Negócios")</f>
        <v>Visão de Negócios</v>
      </c>
      <c r="I248" s="453" t="str">
        <f>IFERROR(__xludf.DUMMYFUNCTION("""COMPUTED_VALUE"""),"Tendências de Mercado")</f>
        <v>Tendências de Mercado</v>
      </c>
      <c r="J248" s="679" t="str">
        <f>IFERROR(__xludf.DUMMYFUNCTION("""COMPUTED_VALUE"""),"Tendencias do Setor")</f>
        <v>Tendencias do Setor</v>
      </c>
      <c r="K248" s="128" t="str">
        <f>IFERROR(__xludf.DUMMYFUNCTION("""COMPUTED_VALUE"""),"https://universidade.pipelovers.net/m/lessons/feiras-e-eventos-hacks-para-valer-a-pena-para-o-vendedor1769552344753?classId=3609")</f>
        <v>https://universidade.pipelovers.net/m/lessons/feiras-e-eventos-hacks-para-valer-a-pena-para-o-vendedor1769552344753?classId=3609</v>
      </c>
      <c r="L248" s="535" t="str">
        <f>IFERROR(__xludf.DUMMYFUNCTION("""COMPUTED_VALUE"""),"https://universidade.pipelovers.net/m/lessons/feiras-e-eventos-hacks-para-valer-a-pena-para-o-vendedor1769552344753?classId=3609")</f>
        <v>https://universidade.pipelovers.net/m/lessons/feiras-e-eventos-hacks-para-valer-a-pena-para-o-vendedor1769552344753?classId=3609</v>
      </c>
      <c r="M248" s="379" t="str">
        <f>IFERROR(__xludf.DUMMYFUNCTION("""COMPUTED_VALUE"""),"3,71")</f>
        <v>3,71</v>
      </c>
      <c r="N248" s="644" t="str">
        <f>IFERROR(__xludf.DUMMYFUNCTION("""COMPUTED_VALUE"""),"https://drive.google.com/file/d/1Ytv1PpZFEX8k4L2f92IYcFp4Vg18JUrI/view?usp=drive_link")</f>
        <v>https://drive.google.com/file/d/1Ytv1PpZFEX8k4L2f92IYcFp4Vg18JUrI/view?usp=drive_link</v>
      </c>
      <c r="O248" s="294" t="str">
        <f>IFERROR(__xludf.DUMMYFUNCTION("""COMPUTED_VALUE"""),"")</f>
        <v/>
      </c>
      <c r="P248" s="601" t="str">
        <f>IFERROR(__xludf.DUMMYFUNCTION("""COMPUTED_VALUE"""),"11/10/2023")</f>
        <v>11/10/2023</v>
      </c>
      <c r="Q248" s="294"/>
    </row>
    <row r="249">
      <c r="A249" s="73"/>
      <c r="B249" s="209" t="str">
        <f>IFERROR(__xludf.DUMMYFUNCTION("""COMPUTED_VALUE"""),"Executivos de Vendas")</f>
        <v>Executivos de Vendas</v>
      </c>
      <c r="C249" s="104" t="str">
        <f>IFERROR(__xludf.DUMMYFUNCTION("""COMPUTED_VALUE"""),"Vendendo para cliente bilionários")</f>
        <v>Vendendo para cliente bilionários</v>
      </c>
      <c r="D249" s="104" t="str">
        <f>IFERROR(__xludf.DUMMYFUNCTION("""COMPUTED_VALUE"""),"Daniel Prado")</f>
        <v>Daniel Prado</v>
      </c>
      <c r="E249" s="151" t="str">
        <f>IFERROR(__xludf.DUMMYFUNCTION("""COMPUTED_VALUE"""),"Co-Founder")</f>
        <v>Co-Founder</v>
      </c>
      <c r="F249" s="648" t="str">
        <f>IFERROR(__xludf.DUMMYFUNCTION("""COMPUTED_VALUE"""),"Nau Capital")</f>
        <v>Nau Capital</v>
      </c>
      <c r="G249" s="647" t="str">
        <f>IFERROR(__xludf.DUMMYFUNCTION("""COMPUTED_VALUE"""),"https://www.linkedin.com/in/daniel-prado-3815b93b/")</f>
        <v>https://www.linkedin.com/in/daniel-prado-3815b93b/</v>
      </c>
      <c r="H249" s="648" t="str">
        <f>IFERROR(__xludf.DUMMYFUNCTION("""COMPUTED_VALUE"""),"Conhecimento Técnico")</f>
        <v>Conhecimento Técnico</v>
      </c>
      <c r="I249" s="648" t="str">
        <f>IFERROR(__xludf.DUMMYFUNCTION("""COMPUTED_VALUE"""),"Técnicas de Vendas")</f>
        <v>Técnicas de Vendas</v>
      </c>
      <c r="J249" s="649" t="str">
        <f>IFERROR(__xludf.DUMMYFUNCTION("""COMPUTED_VALUE"""),"Abordagem e Prospecção")</f>
        <v>Abordagem e Prospecção</v>
      </c>
      <c r="K249" s="114" t="str">
        <f>IFERROR(__xludf.DUMMYFUNCTION("""COMPUTED_VALUE"""),"https://universidade.pipelovers.net/m/lessons/vendendo-para-cliente-bilionarios1769552344699?classId=3610")</f>
        <v>https://universidade.pipelovers.net/m/lessons/vendendo-para-cliente-bilionarios1769552344699?classId=3610</v>
      </c>
      <c r="L249" s="535" t="str">
        <f>IFERROR(__xludf.DUMMYFUNCTION("""COMPUTED_VALUE"""),"https://universidade.pipelovers.net/m/lessons/vendendo-para-cliente-bilionarios1769552344699?classId=3610")</f>
        <v>https://universidade.pipelovers.net/m/lessons/vendendo-para-cliente-bilionarios1769552344699?classId=3610</v>
      </c>
      <c r="M249" s="379" t="str">
        <f>IFERROR(__xludf.DUMMYFUNCTION("""COMPUTED_VALUE"""),"4,36")</f>
        <v>4,36</v>
      </c>
      <c r="N249" s="644" t="str">
        <f>IFERROR(__xludf.DUMMYFUNCTION("""COMPUTED_VALUE"""),"https://drive.google.com/file/d/1cmYTjs_gFn_EsCAVeRaEXqMiYrv91Wmp/view?usp=drive_link")</f>
        <v>https://drive.google.com/file/d/1cmYTjs_gFn_EsCAVeRaEXqMiYrv91Wmp/view?usp=drive_link</v>
      </c>
      <c r="O249" s="684" t="str">
        <f>IFERROR(__xludf.DUMMYFUNCTION("""COMPUTED_VALUE"""),"")</f>
        <v/>
      </c>
      <c r="P249" s="601" t="str">
        <f>IFERROR(__xludf.DUMMYFUNCTION("""COMPUTED_VALUE"""),"18/10/2023")</f>
        <v>18/10/2023</v>
      </c>
      <c r="Q249" s="684"/>
    </row>
    <row r="250">
      <c r="A250" s="73"/>
      <c r="B250" s="209" t="str">
        <f>IFERROR(__xludf.DUMMYFUNCTION("""COMPUTED_VALUE"""),"Executivos de Vendas")</f>
        <v>Executivos de Vendas</v>
      </c>
      <c r="C250" s="119" t="str">
        <f>IFERROR(__xludf.DUMMYFUNCTION("""COMPUTED_VALUE"""),"Account Based Marketing: o papel do vendedor nessa estratégia")</f>
        <v>Account Based Marketing: o papel do vendedor nessa estratégia</v>
      </c>
      <c r="D250" s="119" t="str">
        <f>IFERROR(__xludf.DUMMYFUNCTION("""COMPUTED_VALUE"""),"Felipe Spina")</f>
        <v>Felipe Spina</v>
      </c>
      <c r="E250" s="228" t="str">
        <f>IFERROR(__xludf.DUMMYFUNCTION("""COMPUTED_VALUE"""),"Cofounder &amp; CEO")</f>
        <v>Cofounder &amp; CEO</v>
      </c>
      <c r="F250" s="453" t="str">
        <f>IFERROR(__xludf.DUMMYFUNCTION("""COMPUTED_VALUE"""),"Maestro ABM")</f>
        <v>Maestro ABM</v>
      </c>
      <c r="G250" s="455" t="str">
        <f>IFERROR(__xludf.DUMMYFUNCTION("""COMPUTED_VALUE"""),"https://www.linkedin.com/in/fspina/")</f>
        <v>https://www.linkedin.com/in/fspina/</v>
      </c>
      <c r="H250" s="453" t="str">
        <f>IFERROR(__xludf.DUMMYFUNCTION("""COMPUTED_VALUE"""),"Visão de Negócios")</f>
        <v>Visão de Negócios</v>
      </c>
      <c r="I250" s="453" t="str">
        <f>IFERROR(__xludf.DUMMYFUNCTION("""COMPUTED_VALUE"""),"Conhecimento de Produto e Negócio")</f>
        <v>Conhecimento de Produto e Negócio</v>
      </c>
      <c r="J250" s="679" t="str">
        <f>IFERROR(__xludf.DUMMYFUNCTION("""COMPUTED_VALUE"""),"Jornada de Compra do Cliente")</f>
        <v>Jornada de Compra do Cliente</v>
      </c>
      <c r="K250" s="650" t="str">
        <f>IFERROR(__xludf.DUMMYFUNCTION("""COMPUTED_VALUE"""),"https://universidade.pipelovers.net/m/lessons/account-based-marketing-o-papel-do-vendedor-nessa-estrategia1769552344814?classId=3611")</f>
        <v>https://universidade.pipelovers.net/m/lessons/account-based-marketing-o-papel-do-vendedor-nessa-estrategia1769552344814?classId=3611</v>
      </c>
      <c r="L250" s="474" t="str">
        <f>IFERROR(__xludf.DUMMYFUNCTION("""COMPUTED_VALUE"""),"https://universidade.pipelovers.net/m/lessons/account-based-marketing-o-papel-do-vendedor-nessa-estrategia1769552344814?classId=3611")</f>
        <v>https://universidade.pipelovers.net/m/lessons/account-based-marketing-o-papel-do-vendedor-nessa-estrategia1769552344814?classId=3611</v>
      </c>
      <c r="M250" s="379" t="str">
        <f>IFERROR(__xludf.DUMMYFUNCTION("""COMPUTED_VALUE"""),"4")</f>
        <v>4</v>
      </c>
      <c r="N250" s="644" t="str">
        <f>IFERROR(__xludf.DUMMYFUNCTION("""COMPUTED_VALUE"""),"https://drive.google.com/file/d/1SuLkDAXT_t0wbdyULxNodXlzUZQ9IrD6/view?usp=drive_link")</f>
        <v>https://drive.google.com/file/d/1SuLkDAXT_t0wbdyULxNodXlzUZQ9IrD6/view?usp=drive_link</v>
      </c>
      <c r="O250" s="684" t="str">
        <f>IFERROR(__xludf.DUMMYFUNCTION("""COMPUTED_VALUE"""),"")</f>
        <v/>
      </c>
      <c r="P250" s="601" t="str">
        <f>IFERROR(__xludf.DUMMYFUNCTION("""COMPUTED_VALUE"""),"25/10/2023")</f>
        <v>25/10/2023</v>
      </c>
      <c r="Q250" s="684"/>
    </row>
    <row r="251">
      <c r="A251" s="73"/>
      <c r="B251" s="209" t="str">
        <f>IFERROR(__xludf.DUMMYFUNCTION("""COMPUTED_VALUE"""),"Executivos de Vendas")</f>
        <v>Executivos de Vendas</v>
      </c>
      <c r="C251" s="216" t="str">
        <f>IFERROR(__xludf.DUMMYFUNCTION("""COMPUTED_VALUE"""),"Entendendo as raízes das objeções")</f>
        <v>Entendendo as raízes das objeções</v>
      </c>
      <c r="D251" s="104" t="str">
        <f>IFERROR(__xludf.DUMMYFUNCTION("""COMPUTED_VALUE"""),"Marina Rachewsky ")</f>
        <v>Marina Rachewsky </v>
      </c>
      <c r="E251" s="151" t="str">
        <f>IFERROR(__xludf.DUMMYFUNCTION("""COMPUTED_VALUE"""),"Head de vendas")</f>
        <v>Head de vendas</v>
      </c>
      <c r="F251" s="648" t="str">
        <f>IFERROR(__xludf.DUMMYFUNCTION("""COMPUTED_VALUE"""),"Grupo Farani")</f>
        <v>Grupo Farani</v>
      </c>
      <c r="G251" s="647" t="str">
        <f>IFERROR(__xludf.DUMMYFUNCTION("""COMPUTED_VALUE"""),"https://www.linkedin.com/in/marinarlemos/")</f>
        <v>https://www.linkedin.com/in/marinarlemos/</v>
      </c>
      <c r="H251" s="648" t="str">
        <f>IFERROR(__xludf.DUMMYFUNCTION("""COMPUTED_VALUE"""),"Conhecimento Técnico")</f>
        <v>Conhecimento Técnico</v>
      </c>
      <c r="I251" s="648" t="str">
        <f>IFERROR(__xludf.DUMMYFUNCTION("""COMPUTED_VALUE"""),"Técnicas de Vendas")</f>
        <v>Técnicas de Vendas</v>
      </c>
      <c r="J251" s="649" t="str">
        <f>IFERROR(__xludf.DUMMYFUNCTION("""COMPUTED_VALUE"""),"Contorno de Objeções")</f>
        <v>Contorno de Objeções</v>
      </c>
      <c r="K251" s="650" t="str">
        <f>IFERROR(__xludf.DUMMYFUNCTION("""COMPUTED_VALUE"""),"https://universidade.pipelovers.net/m/lessons/entendendo-as-raizes-das-objecoes1769552344891?classId=3612")</f>
        <v>https://universidade.pipelovers.net/m/lessons/entendendo-as-raizes-das-objecoes1769552344891?classId=3612</v>
      </c>
      <c r="L251" s="474" t="str">
        <f>IFERROR(__xludf.DUMMYFUNCTION("""COMPUTED_VALUE"""),"https://universidade.pipelovers.net/m/lessons/entendendo-as-raizes-das-objecoes1769552344891?classId=3612")</f>
        <v>https://universidade.pipelovers.net/m/lessons/entendendo-as-raizes-das-objecoes1769552344891?classId=3612</v>
      </c>
      <c r="M251" s="379" t="str">
        <f>IFERROR(__xludf.DUMMYFUNCTION("""COMPUTED_VALUE"""),"1")</f>
        <v>1</v>
      </c>
      <c r="N251" s="644" t="str">
        <f>IFERROR(__xludf.DUMMYFUNCTION("""COMPUTED_VALUE"""),"https://drive.google.com/file/d/1n8RRekHtI4suDuAKjCUyADxhcSHqKtrA/view?usp=drive_link")</f>
        <v>https://drive.google.com/file/d/1n8RRekHtI4suDuAKjCUyADxhcSHqKtrA/view?usp=drive_link</v>
      </c>
      <c r="O251" s="110" t="str">
        <f>IFERROR(__xludf.DUMMYFUNCTION("""COMPUTED_VALUE"""),"")</f>
        <v/>
      </c>
      <c r="P251" s="601" t="str">
        <f>IFERROR(__xludf.DUMMYFUNCTION("""COMPUTED_VALUE"""),"01/11/2023")</f>
        <v>01/11/2023</v>
      </c>
      <c r="Q251" s="110"/>
    </row>
    <row r="252">
      <c r="A252" s="73"/>
      <c r="B252" s="209" t="str">
        <f>IFERROR(__xludf.DUMMYFUNCTION("""COMPUTED_VALUE"""),"Executivos de Vendas")</f>
        <v>Executivos de Vendas</v>
      </c>
      <c r="C252" s="119" t="str">
        <f>IFERROR(__xludf.DUMMYFUNCTION("""COMPUTED_VALUE"""),"100% atualizado antes do seu cliente")</f>
        <v>100% atualizado antes do seu cliente</v>
      </c>
      <c r="D252" s="104" t="str">
        <f>IFERROR(__xludf.DUMMYFUNCTION("""COMPUTED_VALUE"""),"Caroline Andreola")</f>
        <v>Caroline Andreola</v>
      </c>
      <c r="E252" s="228" t="str">
        <f>IFERROR(__xludf.DUMMYFUNCTION("""COMPUTED_VALUE"""),"Founder")</f>
        <v>Founder</v>
      </c>
      <c r="F252" s="453" t="str">
        <f>IFERROR(__xludf.DUMMYFUNCTION("""COMPUTED_VALUE"""),"Carol Andreola | Customer Expert")</f>
        <v>Carol Andreola | Customer Expert</v>
      </c>
      <c r="G252" s="455" t="str">
        <f>IFERROR(__xludf.DUMMYFUNCTION("""COMPUTED_VALUE"""),"https://www.linkedin.com/in/caroline-andreola/")</f>
        <v>https://www.linkedin.com/in/caroline-andreola/</v>
      </c>
      <c r="H252" s="453" t="str">
        <f>IFERROR(__xludf.DUMMYFUNCTION("""COMPUTED_VALUE"""),"Visão de Negócios")</f>
        <v>Visão de Negócios</v>
      </c>
      <c r="I252" s="453" t="str">
        <f>IFERROR(__xludf.DUMMYFUNCTION("""COMPUTED_VALUE"""),"Tendências de Mercado")</f>
        <v>Tendências de Mercado</v>
      </c>
      <c r="J252" s="679" t="str">
        <f>IFERROR(__xludf.DUMMYFUNCTION("""COMPUTED_VALUE"""),"Tendencias do Setor")</f>
        <v>Tendencias do Setor</v>
      </c>
      <c r="K252" s="128" t="str">
        <f>IFERROR(__xludf.DUMMYFUNCTION("""COMPUTED_VALUE"""),"https://universidade.pipelovers.net/m/lessons/100-atualizado-antes-do-seu-cliente1769552345017?classId=3613")</f>
        <v>https://universidade.pipelovers.net/m/lessons/100-atualizado-antes-do-seu-cliente1769552345017?classId=3613</v>
      </c>
      <c r="L252" s="535" t="str">
        <f>IFERROR(__xludf.DUMMYFUNCTION("""COMPUTED_VALUE"""),"https://universidade.pipelovers.net/m/lessons/100-atualizado-antes-do-seu-cliente1769552345017?classId=3613")</f>
        <v>https://universidade.pipelovers.net/m/lessons/100-atualizado-antes-do-seu-cliente1769552345017?classId=3613</v>
      </c>
      <c r="M252" s="379" t="str">
        <f>IFERROR(__xludf.DUMMYFUNCTION("""COMPUTED_VALUE"""),"3,5")</f>
        <v>3,5</v>
      </c>
      <c r="N252" s="644" t="str">
        <f>IFERROR(__xludf.DUMMYFUNCTION("""COMPUTED_VALUE"""),"https://drive.google.com/file/d/1hg-0LSTErHjYGZXyqTLVP_trskxkS3ev/view?usp=drive_link")</f>
        <v>https://drive.google.com/file/d/1hg-0LSTErHjYGZXyqTLVP_trskxkS3ev/view?usp=drive_link</v>
      </c>
      <c r="O252" s="110" t="str">
        <f>IFERROR(__xludf.DUMMYFUNCTION("""COMPUTED_VALUE"""),"")</f>
        <v/>
      </c>
      <c r="P252" s="601" t="str">
        <f>IFERROR(__xludf.DUMMYFUNCTION("""COMPUTED_VALUE"""),"08/11/2023")</f>
        <v>08/11/2023</v>
      </c>
      <c r="Q252" s="110"/>
    </row>
    <row r="253">
      <c r="A253" s="73"/>
      <c r="B253" s="209" t="str">
        <f>IFERROR(__xludf.DUMMYFUNCTION("""COMPUTED_VALUE"""),"Executivos de Vendas")</f>
        <v>Executivos de Vendas</v>
      </c>
      <c r="C253" s="104" t="str">
        <f>IFERROR(__xludf.DUMMYFUNCTION("""COMPUTED_VALUE"""),"Contabilidade para Vendedores")</f>
        <v>Contabilidade para Vendedores</v>
      </c>
      <c r="D253" s="104" t="str">
        <f>IFERROR(__xludf.DUMMYFUNCTION("""COMPUTED_VALUE"""),"Fabio Moreira")</f>
        <v>Fabio Moreira</v>
      </c>
      <c r="E253" s="151" t="str">
        <f>IFERROR(__xludf.DUMMYFUNCTION("""COMPUTED_VALUE"""),"Chief Commercial Officer")</f>
        <v>Chief Commercial Officer</v>
      </c>
      <c r="F253" s="648" t="str">
        <f>IFERROR(__xludf.DUMMYFUNCTION("""COMPUTED_VALUE"""),"CreditCorpBR")</f>
        <v>CreditCorpBR</v>
      </c>
      <c r="G253" s="647" t="str">
        <f>IFERROR(__xludf.DUMMYFUNCTION("""COMPUTED_VALUE"""),"https://www.linkedin.com/in/fabio-moreira-0141b121/")</f>
        <v>https://www.linkedin.com/in/fabio-moreira-0141b121/</v>
      </c>
      <c r="H253" s="648" t="str">
        <f>IFERROR(__xludf.DUMMYFUNCTION("""COMPUTED_VALUE"""),"Visão de Negócios")</f>
        <v>Visão de Negócios</v>
      </c>
      <c r="I253" s="648" t="str">
        <f>IFERROR(__xludf.DUMMYFUNCTION("""COMPUTED_VALUE"""),"Conhecimento de Produto e Negócio")</f>
        <v>Conhecimento de Produto e Negócio</v>
      </c>
      <c r="J253" s="696" t="str">
        <f>IFERROR(__xludf.DUMMYFUNCTION("""COMPUTED_VALUE"""),"Unit Economics")</f>
        <v>Unit Economics</v>
      </c>
      <c r="K253" s="650" t="str">
        <f>IFERROR(__xludf.DUMMYFUNCTION("""COMPUTED_VALUE"""),"https://universidade.pipelovers.net/m/lessons/contabilidade-para-vendedores1769552344959?classId=3614")</f>
        <v>https://universidade.pipelovers.net/m/lessons/contabilidade-para-vendedores1769552344959?classId=3614</v>
      </c>
      <c r="L253" s="474" t="str">
        <f>IFERROR(__xludf.DUMMYFUNCTION("""COMPUTED_VALUE"""),"https://universidade.pipelovers.net/m/lessons/contabilidade-para-vendedores1769552344959?classId=3614")</f>
        <v>https://universidade.pipelovers.net/m/lessons/contabilidade-para-vendedores1769552344959?classId=3614</v>
      </c>
      <c r="M253" s="379" t="str">
        <f>IFERROR(__xludf.DUMMYFUNCTION("""COMPUTED_VALUE"""),"4,14")</f>
        <v>4,14</v>
      </c>
      <c r="N253" s="644" t="str">
        <f>IFERROR(__xludf.DUMMYFUNCTION("""COMPUTED_VALUE"""),"https://drive.google.com/file/d/1hlD9v5u_cLUkR7rixp9glWZ_VnESqxp_/view?usp=drive_link")</f>
        <v>https://drive.google.com/file/d/1hlD9v5u_cLUkR7rixp9glWZ_VnESqxp_/view?usp=drive_link</v>
      </c>
      <c r="O253" s="110" t="str">
        <f>IFERROR(__xludf.DUMMYFUNCTION("""COMPUTED_VALUE"""),"")</f>
        <v/>
      </c>
      <c r="P253" s="601" t="str">
        <f>IFERROR(__xludf.DUMMYFUNCTION("""COMPUTED_VALUE"""),"15/11/2023")</f>
        <v>15/11/2023</v>
      </c>
      <c r="Q253" s="110"/>
    </row>
    <row r="254">
      <c r="A254" s="73"/>
      <c r="B254" s="209" t="str">
        <f>IFERROR(__xludf.DUMMYFUNCTION("""COMPUTED_VALUE"""),"Executivos de Vendas")</f>
        <v>Executivos de Vendas</v>
      </c>
      <c r="C254" s="104" t="str">
        <f>IFERROR(__xludf.DUMMYFUNCTION("""COMPUTED_VALUE"""),"Propostas Comerciais Efetivas")</f>
        <v>Propostas Comerciais Efetivas</v>
      </c>
      <c r="D254" s="104" t="str">
        <f>IFERROR(__xludf.DUMMYFUNCTION("""COMPUTED_VALUE"""),"Mauricio Kigiela")</f>
        <v>Mauricio Kigiela</v>
      </c>
      <c r="E254" s="228" t="str">
        <f>IFERROR(__xludf.DUMMYFUNCTION("""COMPUTED_VALUE"""),"Fundador")</f>
        <v>Fundador</v>
      </c>
      <c r="F254" s="453" t="str">
        <f>IFERROR(__xludf.DUMMYFUNCTION("""COMPUTED_VALUE"""),"DocSales")</f>
        <v>DocSales</v>
      </c>
      <c r="G254" s="455" t="str">
        <f>IFERROR(__xludf.DUMMYFUNCTION("""COMPUTED_VALUE"""),"https://www.linkedin.com/in/mauriciokigiela/")</f>
        <v>https://www.linkedin.com/in/mauriciokigiela/</v>
      </c>
      <c r="H254" s="453" t="str">
        <f>IFERROR(__xludf.DUMMYFUNCTION("""COMPUTED_VALUE"""),"Conhecimento Técnico")</f>
        <v>Conhecimento Técnico</v>
      </c>
      <c r="I254" s="453" t="str">
        <f>IFERROR(__xludf.DUMMYFUNCTION("""COMPUTED_VALUE"""),"Técnicas de Vendas")</f>
        <v>Técnicas de Vendas</v>
      </c>
      <c r="J254" s="679" t="str">
        <f>IFERROR(__xludf.DUMMYFUNCTION("""COMPUTED_VALUE"""),"Vendas para o Setor Público")</f>
        <v>Vendas para o Setor Público</v>
      </c>
      <c r="K254" s="650" t="str">
        <f>IFERROR(__xludf.DUMMYFUNCTION("""COMPUTED_VALUE"""),"https://universidade.pipelovers.net/m/lessons/propostas-comerciais-efetivas1769552345090?classId=3615")</f>
        <v>https://universidade.pipelovers.net/m/lessons/propostas-comerciais-efetivas1769552345090?classId=3615</v>
      </c>
      <c r="L254" s="474" t="str">
        <f>IFERROR(__xludf.DUMMYFUNCTION("""COMPUTED_VALUE"""),"https://universidade.pipelovers.net/m/lessons/propostas-comerciais-efetivas1769552345090?classId=3615")</f>
        <v>https://universidade.pipelovers.net/m/lessons/propostas-comerciais-efetivas1769552345090?classId=3615</v>
      </c>
      <c r="M254" s="379" t="str">
        <f>IFERROR(__xludf.DUMMYFUNCTION("""COMPUTED_VALUE"""),"4,36")</f>
        <v>4,36</v>
      </c>
      <c r="N254" s="644" t="str">
        <f>IFERROR(__xludf.DUMMYFUNCTION("""COMPUTED_VALUE"""),"https://drive.google.com/file/d/1rCZkMQlrFS_WsNbEnveuNGwBTm_UzOau/view?usp=drive_link")</f>
        <v>https://drive.google.com/file/d/1rCZkMQlrFS_WsNbEnveuNGwBTm_UzOau/view?usp=drive_link</v>
      </c>
      <c r="O254" s="110" t="str">
        <f>IFERROR(__xludf.DUMMYFUNCTION("""COMPUTED_VALUE"""),"")</f>
        <v/>
      </c>
      <c r="P254" s="601" t="str">
        <f>IFERROR(__xludf.DUMMYFUNCTION("""COMPUTED_VALUE"""),"22/11/2023")</f>
        <v>22/11/2023</v>
      </c>
      <c r="Q254" s="110"/>
    </row>
    <row r="255">
      <c r="A255" s="73"/>
      <c r="B255" s="209" t="str">
        <f>IFERROR(__xludf.DUMMYFUNCTION("""COMPUTED_VALUE"""),"Executivos de Vendas")</f>
        <v>Executivos de Vendas</v>
      </c>
      <c r="C255" s="216" t="str">
        <f>IFERROR(__xludf.DUMMYFUNCTION("""COMPUTED_VALUE"""),"Vendas para o Setor Público")</f>
        <v>Vendas para o Setor Público</v>
      </c>
      <c r="D255" s="104" t="str">
        <f>IFERROR(__xludf.DUMMYFUNCTION("""COMPUTED_VALUE"""),"Raphael Fassoni")</f>
        <v>Raphael Fassoni</v>
      </c>
      <c r="E255" s="151" t="str">
        <f>IFERROR(__xludf.DUMMYFUNCTION("""COMPUTED_VALUE"""),"Fundador")</f>
        <v>Fundador</v>
      </c>
      <c r="F255" s="648" t="str">
        <f>IFERROR(__xludf.DUMMYFUNCTION("""COMPUTED_VALUE"""),"Estônia Hub")</f>
        <v>Estônia Hub</v>
      </c>
      <c r="G255" s="647" t="str">
        <f>IFERROR(__xludf.DUMMYFUNCTION("""COMPUTED_VALUE"""),"https://www.linkedin.com/in/rfassoni/")</f>
        <v>https://www.linkedin.com/in/rfassoni/</v>
      </c>
      <c r="H255" s="648" t="str">
        <f>IFERROR(__xludf.DUMMYFUNCTION("""COMPUTED_VALUE"""),"Visão de Negócios")</f>
        <v>Visão de Negócios</v>
      </c>
      <c r="I255" s="648" t="str">
        <f>IFERROR(__xludf.DUMMYFUNCTION("""COMPUTED_VALUE"""),"Tendências de Mercado")</f>
        <v>Tendências de Mercado</v>
      </c>
      <c r="J255" s="649" t="str">
        <f>IFERROR(__xludf.DUMMYFUNCTION("""COMPUTED_VALUE"""),"Tendencias do Setor")</f>
        <v>Tendencias do Setor</v>
      </c>
      <c r="K255" s="650" t="str">
        <f>IFERROR(__xludf.DUMMYFUNCTION("""COMPUTED_VALUE"""),"https://universidade.pipelovers.net/m/lessons/vendas-para-o-setor-publico1769552345148?classId=3616")</f>
        <v>https://universidade.pipelovers.net/m/lessons/vendas-para-o-setor-publico1769552345148?classId=3616</v>
      </c>
      <c r="L255" s="474" t="str">
        <f>IFERROR(__xludf.DUMMYFUNCTION("""COMPUTED_VALUE"""),"https://universidade.pipelovers.net/m/lessons/vendas-para-o-setor-publico1769552345148?classId=3616")</f>
        <v>https://universidade.pipelovers.net/m/lessons/vendas-para-o-setor-publico1769552345148?classId=3616</v>
      </c>
      <c r="M255" s="379" t="str">
        <f>IFERROR(__xludf.DUMMYFUNCTION("""COMPUTED_VALUE"""),"4,36")</f>
        <v>4,36</v>
      </c>
      <c r="N255" s="644" t="str">
        <f>IFERROR(__xludf.DUMMYFUNCTION("""COMPUTED_VALUE"""),"https://drive.google.com/file/d/1YA1kQxC0BstDWu1F2b9Y1KwIecgJ-qfe/view?usp=drive_link")</f>
        <v>https://drive.google.com/file/d/1YA1kQxC0BstDWu1F2b9Y1KwIecgJ-qfe/view?usp=drive_link</v>
      </c>
      <c r="O255" s="110" t="str">
        <f>IFERROR(__xludf.DUMMYFUNCTION("""COMPUTED_VALUE"""),"")</f>
        <v/>
      </c>
      <c r="P255" s="601" t="str">
        <f>IFERROR(__xludf.DUMMYFUNCTION("""COMPUTED_VALUE"""),"29/11/2023")</f>
        <v>29/11/2023</v>
      </c>
      <c r="Q255" s="110"/>
    </row>
    <row r="256">
      <c r="A256" s="73"/>
      <c r="B256" s="209" t="str">
        <f>IFERROR(__xludf.DUMMYFUNCTION("""COMPUTED_VALUE"""),"Executivos de Vendas")</f>
        <v>Executivos de Vendas</v>
      </c>
      <c r="C256" s="104" t="str">
        <f>IFERROR(__xludf.DUMMYFUNCTION("""COMPUTED_VALUE"""),"Gestão de crises com clientes")</f>
        <v>Gestão de crises com clientes</v>
      </c>
      <c r="D256" s="104" t="str">
        <f>IFERROR(__xludf.DUMMYFUNCTION("""COMPUTED_VALUE"""),"Maíra Bevilaqua  ")</f>
        <v>Maíra Bevilaqua  </v>
      </c>
      <c r="E256" s="228" t="str">
        <f>IFERROR(__xludf.DUMMYFUNCTION("""COMPUTED_VALUE"""),"-")</f>
        <v>-</v>
      </c>
      <c r="F256" s="453" t="str">
        <f>IFERROR(__xludf.DUMMYFUNCTION("""COMPUTED_VALUE"""),"-")</f>
        <v>-</v>
      </c>
      <c r="G256" s="455" t="str">
        <f>IFERROR(__xludf.DUMMYFUNCTION("""COMPUTED_VALUE"""),"https://www.linkedin.com/in/mairabevilaqua/")</f>
        <v>https://www.linkedin.com/in/mairabevilaqua/</v>
      </c>
      <c r="H256" s="453" t="str">
        <f>IFERROR(__xludf.DUMMYFUNCTION("""COMPUTED_VALUE"""),"Relacionamento Interpessoal")</f>
        <v>Relacionamento Interpessoal</v>
      </c>
      <c r="I256" s="453" t="str">
        <f>IFERROR(__xludf.DUMMYFUNCTION("""COMPUTED_VALUE"""),"Liderança e Influência")</f>
        <v>Liderança e Influência</v>
      </c>
      <c r="J256" s="679" t="str">
        <f>IFERROR(__xludf.DUMMYFUNCTION("""COMPUTED_VALUE"""),"Gestão de Conflitos e Resolução de Problemas")</f>
        <v>Gestão de Conflitos e Resolução de Problemas</v>
      </c>
      <c r="K256" s="114" t="str">
        <f>IFERROR(__xludf.DUMMYFUNCTION("""COMPUTED_VALUE"""),"https://universidade.pipelovers.net/m/lessons/gestao-de-crises-com-clientes1769552345297?classId=3617")</f>
        <v>https://universidade.pipelovers.net/m/lessons/gestao-de-crises-com-clientes1769552345297?classId=3617</v>
      </c>
      <c r="L256" s="535" t="str">
        <f>IFERROR(__xludf.DUMMYFUNCTION("""COMPUTED_VALUE"""),"https://universidade.pipelovers.net/m/lessons/gestao-de-crises-com-clientes1769552345297?classId=3617")</f>
        <v>https://universidade.pipelovers.net/m/lessons/gestao-de-crises-com-clientes1769552345297?classId=3617</v>
      </c>
      <c r="M256" s="379" t="str">
        <f>IFERROR(__xludf.DUMMYFUNCTION("""COMPUTED_VALUE"""),"2")</f>
        <v>2</v>
      </c>
      <c r="N256" s="644" t="str">
        <f>IFERROR(__xludf.DUMMYFUNCTION("""COMPUTED_VALUE"""),"https://drive.google.com/file/d/11DCKt4vBozB2LeGCbd2i7hyhWLos0dqz/view?usp=drive_link")</f>
        <v>https://drive.google.com/file/d/11DCKt4vBozB2LeGCbd2i7hyhWLos0dqz/view?usp=drive_link</v>
      </c>
      <c r="O256" s="293" t="str">
        <f>IFERROR(__xludf.DUMMYFUNCTION("""COMPUTED_VALUE"""),"")</f>
        <v/>
      </c>
      <c r="P256" s="601" t="str">
        <f>IFERROR(__xludf.DUMMYFUNCTION("""COMPUTED_VALUE"""),"06/12/2023")</f>
        <v>06/12/2023</v>
      </c>
      <c r="Q256" s="293"/>
    </row>
    <row r="257">
      <c r="A257" s="73"/>
      <c r="B257" s="209" t="str">
        <f>IFERROR(__xludf.DUMMYFUNCTION("""COMPUTED_VALUE"""),"Executivos de Vendas")</f>
        <v>Executivos de Vendas</v>
      </c>
      <c r="C257" s="104" t="str">
        <f>IFERROR(__xludf.DUMMYFUNCTION("""COMPUTED_VALUE"""),"A jornada do onboarding à promoção")</f>
        <v>A jornada do onboarding à promoção</v>
      </c>
      <c r="D257" s="104" t="str">
        <f>IFERROR(__xludf.DUMMYFUNCTION("""COMPUTED_VALUE"""),"Gabriela Paganotto ")</f>
        <v>Gabriela Paganotto </v>
      </c>
      <c r="E257" s="151" t="str">
        <f>IFERROR(__xludf.DUMMYFUNCTION("""COMPUTED_VALUE"""),"Engagement and Growth Sênior Analyst")</f>
        <v>Engagement and Growth Sênior Analyst</v>
      </c>
      <c r="F257" s="648" t="str">
        <f>IFERROR(__xludf.DUMMYFUNCTION("""COMPUTED_VALUE"""),"Mercado Livre")</f>
        <v>Mercado Livre</v>
      </c>
      <c r="G257" s="647" t="str">
        <f>IFERROR(__xludf.DUMMYFUNCTION("""COMPUTED_VALUE"""),"https://www.linkedin.com/in/gabrielapaganotto/")</f>
        <v>https://www.linkedin.com/in/gabrielapaganotto/</v>
      </c>
      <c r="H257" s="648" t="str">
        <f>IFERROR(__xludf.DUMMYFUNCTION("""COMPUTED_VALUE"""),"Relacionamento Interpessoal")</f>
        <v>Relacionamento Interpessoal</v>
      </c>
      <c r="I257" s="648" t="str">
        <f>IFERROR(__xludf.DUMMYFUNCTION("""COMPUTED_VALUE"""),"Liderança e Influência")</f>
        <v>Liderança e Influência</v>
      </c>
      <c r="J257" s="649" t="str">
        <f>IFERROR(__xludf.DUMMYFUNCTION("""COMPUTED_VALUE"""),"Mentoria e Desenvolvimento de Talentos")</f>
        <v>Mentoria e Desenvolvimento de Talentos</v>
      </c>
      <c r="K257" s="650" t="str">
        <f>IFERROR(__xludf.DUMMYFUNCTION("""COMPUTED_VALUE"""),"https://universidade.pipelovers.net/m/lessons/a-jornada-do-onboarding-a-promocao1769552345215?classId=3618")</f>
        <v>https://universidade.pipelovers.net/m/lessons/a-jornada-do-onboarding-a-promocao1769552345215?classId=3618</v>
      </c>
      <c r="L257" s="474" t="str">
        <f>IFERROR(__xludf.DUMMYFUNCTION("""COMPUTED_VALUE"""),"https://universidade.pipelovers.net/m/lessons/a-jornada-do-onboarding-a-promocao1769552345215?classId=3618")</f>
        <v>https://universidade.pipelovers.net/m/lessons/a-jornada-do-onboarding-a-promocao1769552345215?classId=3618</v>
      </c>
      <c r="M257" s="379" t="str">
        <f>IFERROR(__xludf.DUMMYFUNCTION("""COMPUTED_VALUE"""),"3,71")</f>
        <v>3,71</v>
      </c>
      <c r="N257" s="644" t="str">
        <f>IFERROR(__xludf.DUMMYFUNCTION("""COMPUTED_VALUE"""),"https://drive.google.com/file/d/1Fc-ZDmK6McqogN_tTJJoUlKtRCWJRkc_/view?usp=drive_link")</f>
        <v>https://drive.google.com/file/d/1Fc-ZDmK6McqogN_tTJJoUlKtRCWJRkc_/view?usp=drive_link</v>
      </c>
      <c r="O257" s="110" t="str">
        <f>IFERROR(__xludf.DUMMYFUNCTION("""COMPUTED_VALUE"""),"")</f>
        <v/>
      </c>
      <c r="P257" s="601" t="str">
        <f>IFERROR(__xludf.DUMMYFUNCTION("""COMPUTED_VALUE"""),"13/12/2023")</f>
        <v>13/12/2023</v>
      </c>
      <c r="Q257" s="110"/>
    </row>
    <row r="258">
      <c r="A258" s="73"/>
      <c r="B258" s="209" t="str">
        <f>IFERROR(__xludf.DUMMYFUNCTION("""COMPUTED_VALUE"""),"Executivos de Vendas")</f>
        <v>Executivos de Vendas</v>
      </c>
      <c r="C258" s="104" t="str">
        <f>IFERROR(__xludf.DUMMYFUNCTION("""COMPUTED_VALUE"""),"WhatsApp como ferramenta de vendas B2B")</f>
        <v>WhatsApp como ferramenta de vendas B2B</v>
      </c>
      <c r="D258" s="104" t="str">
        <f>IFERROR(__xludf.DUMMYFUNCTION("""COMPUTED_VALUE"""),"Malbio Mendes")</f>
        <v>Malbio Mendes</v>
      </c>
      <c r="E258" s="228" t="str">
        <f>IFERROR(__xludf.DUMMYFUNCTION("""COMPUTED_VALUE"""),"Head of Sales and Marketing")</f>
        <v>Head of Sales and Marketing</v>
      </c>
      <c r="F258" s="453" t="str">
        <f>IFERROR(__xludf.DUMMYFUNCTION("""COMPUTED_VALUE"""),"ChatGuru")</f>
        <v>ChatGuru</v>
      </c>
      <c r="G258" s="455" t="str">
        <f>IFERROR(__xludf.DUMMYFUNCTION("""COMPUTED_VALUE"""),"https://www.linkedin.com/in/malbio/")</f>
        <v>https://www.linkedin.com/in/malbio/</v>
      </c>
      <c r="H258" s="453" t="str">
        <f>IFERROR(__xludf.DUMMYFUNCTION("""COMPUTED_VALUE"""),"Relacionamento Interpessoal")</f>
        <v>Relacionamento Interpessoal</v>
      </c>
      <c r="I258" s="453" t="str">
        <f>IFERROR(__xludf.DUMMYFUNCTION("""COMPUTED_VALUE"""),"Comunicação e Relacionamento")</f>
        <v>Comunicação e Relacionamento</v>
      </c>
      <c r="J258" s="679" t="str">
        <f>IFERROR(__xludf.DUMMYFUNCTION("""COMPUTED_VALUE"""),"Comunicação Virtual")</f>
        <v>Comunicação Virtual</v>
      </c>
      <c r="K258" s="650" t="str">
        <f>IFERROR(__xludf.DUMMYFUNCTION("""COMPUTED_VALUE"""),"https://universidade.pipelovers.net/m/lessons/whatsapp-como-ferramenta-de-vendas-b2b1769552345360?classId=3619")</f>
        <v>https://universidade.pipelovers.net/m/lessons/whatsapp-como-ferramenta-de-vendas-b2b1769552345360?classId=3619</v>
      </c>
      <c r="L258" s="474" t="str">
        <f>IFERROR(__xludf.DUMMYFUNCTION("""COMPUTED_VALUE"""),"https://universidade.pipelovers.net/m/lessons/whatsapp-como-ferramenta-de-vendas-b2b1769552345360?classId=3619")</f>
        <v>https://universidade.pipelovers.net/m/lessons/whatsapp-como-ferramenta-de-vendas-b2b1769552345360?classId=3619</v>
      </c>
      <c r="M258" s="379" t="str">
        <f>IFERROR(__xludf.DUMMYFUNCTION("""COMPUTED_VALUE"""),"2")</f>
        <v>2</v>
      </c>
      <c r="N258" s="644" t="str">
        <f>IFERROR(__xludf.DUMMYFUNCTION("""COMPUTED_VALUE"""),"https://drive.google.com/file/d/1F3AHsDk_tq0HPgKboccDdb2RoQHO_dd6/view?usp=drive_link")</f>
        <v>https://drive.google.com/file/d/1F3AHsDk_tq0HPgKboccDdb2RoQHO_dd6/view?usp=drive_link</v>
      </c>
      <c r="O258" s="110" t="str">
        <f>IFERROR(__xludf.DUMMYFUNCTION("""COMPUTED_VALUE"""),"")</f>
        <v/>
      </c>
      <c r="P258" s="601" t="str">
        <f>IFERROR(__xludf.DUMMYFUNCTION("""COMPUTED_VALUE"""),"20/12/2023")</f>
        <v>20/12/2023</v>
      </c>
      <c r="Q258" s="110"/>
    </row>
    <row r="259">
      <c r="A259" s="73"/>
      <c r="B259" s="209" t="str">
        <f>IFERROR(__xludf.DUMMYFUNCTION("""COMPUTED_VALUE"""),"Executivos de Vendas")</f>
        <v>Executivos de Vendas</v>
      </c>
      <c r="C259" s="216" t="str">
        <f>IFERROR(__xludf.DUMMYFUNCTION("""COMPUTED_VALUE"""),"Os princípios de Dale Carnegie")</f>
        <v>Os princípios de Dale Carnegie</v>
      </c>
      <c r="D259" s="104" t="str">
        <f>IFERROR(__xludf.DUMMYFUNCTION("""COMPUTED_VALUE"""),"André Candido")</f>
        <v>André Candido</v>
      </c>
      <c r="E259" s="151" t="str">
        <f>IFERROR(__xludf.DUMMYFUNCTION("""COMPUTED_VALUE"""),"Fundador")</f>
        <v>Fundador</v>
      </c>
      <c r="F259" s="648" t="str">
        <f>IFERROR(__xludf.DUMMYFUNCTION("""COMPUTED_VALUE"""),"ClickMassa")</f>
        <v>ClickMassa</v>
      </c>
      <c r="G259" s="647" t="str">
        <f>IFERROR(__xludf.DUMMYFUNCTION("""COMPUTED_VALUE"""),"https://www.linkedin.com/in/candidoandre/")</f>
        <v>https://www.linkedin.com/in/candidoandre/</v>
      </c>
      <c r="H259" s="648" t="str">
        <f>IFERROR(__xludf.DUMMYFUNCTION("""COMPUTED_VALUE"""),"Relacionamento Interpessoal")</f>
        <v>Relacionamento Interpessoal</v>
      </c>
      <c r="I259" s="648" t="str">
        <f>IFERROR(__xludf.DUMMYFUNCTION("""COMPUTED_VALUE"""),"Liderança e Influência")</f>
        <v>Liderança e Influência</v>
      </c>
      <c r="J259" s="649" t="str">
        <f>IFERROR(__xludf.DUMMYFUNCTION("""COMPUTED_VALUE"""),"Principios de Dale Canergie")</f>
        <v>Principios de Dale Canergie</v>
      </c>
      <c r="K259" s="650" t="str">
        <f>IFERROR(__xludf.DUMMYFUNCTION("""COMPUTED_VALUE"""),"https://universidade.pipelovers.net/m/lessons/os-principios-de-dale-carnegie1769552345425?classId=3620")</f>
        <v>https://universidade.pipelovers.net/m/lessons/os-principios-de-dale-carnegie1769552345425?classId=3620</v>
      </c>
      <c r="L259" s="474" t="str">
        <f>IFERROR(__xludf.DUMMYFUNCTION("""COMPUTED_VALUE"""),"https://universidade.pipelovers.net/m/lessons/os-principios-de-dale-carnegie1769552345425?classId=3620")</f>
        <v>https://universidade.pipelovers.net/m/lessons/os-principios-de-dale-carnegie1769552345425?classId=3620</v>
      </c>
      <c r="M259" s="379" t="str">
        <f>IFERROR(__xludf.DUMMYFUNCTION("""COMPUTED_VALUE"""),"2")</f>
        <v>2</v>
      </c>
      <c r="N259" s="644" t="str">
        <f>IFERROR(__xludf.DUMMYFUNCTION("""COMPUTED_VALUE"""),"https://drive.google.com/file/d/1VgpWh5W7kLilpwzI9cYna0PKfLRHvof9/view?usp=drive_link")</f>
        <v>https://drive.google.com/file/d/1VgpWh5W7kLilpwzI9cYna0PKfLRHvof9/view?usp=drive_link</v>
      </c>
      <c r="O259" s="110" t="str">
        <f>IFERROR(__xludf.DUMMYFUNCTION("""COMPUTED_VALUE"""),"")</f>
        <v/>
      </c>
      <c r="P259" s="601" t="str">
        <f>IFERROR(__xludf.DUMMYFUNCTION("""COMPUTED_VALUE"""),"27/12/2023")</f>
        <v>27/12/2023</v>
      </c>
      <c r="Q259" s="110"/>
    </row>
    <row r="260">
      <c r="A260" s="73"/>
      <c r="B260" s="209" t="str">
        <f>IFERROR(__xludf.DUMMYFUNCTION("""COMPUTED_VALUE"""),"Executivos de Vendas")</f>
        <v>Executivos de Vendas</v>
      </c>
      <c r="C260" s="119" t="str">
        <f>IFERROR(__xludf.DUMMYFUNCTION("""COMPUTED_VALUE"""),"Como potencializar o seu pré-vendedor?")</f>
        <v>Como potencializar o seu pré-vendedor?</v>
      </c>
      <c r="D260" s="104" t="str">
        <f>IFERROR(__xludf.DUMMYFUNCTION("""COMPUTED_VALUE"""),"Orlando Rodriguez")</f>
        <v>Orlando Rodriguez</v>
      </c>
      <c r="E260" s="228" t="str">
        <f>IFERROR(__xludf.DUMMYFUNCTION("""COMPUTED_VALUE"""),"Ex-LinkedIn, SAP e Prezi")</f>
        <v>Ex-LinkedIn, SAP e Prezi</v>
      </c>
      <c r="F260" s="453" t="str">
        <f>IFERROR(__xludf.DUMMYFUNCTION("""COMPUTED_VALUE"""),"-")</f>
        <v>-</v>
      </c>
      <c r="G260" s="455" t="str">
        <f>IFERROR(__xludf.DUMMYFUNCTION("""COMPUTED_VALUE"""),"https://www.linkedin.com/in/orlandolatam")</f>
        <v>https://www.linkedin.com/in/orlandolatam</v>
      </c>
      <c r="H260" s="453" t="str">
        <f>IFERROR(__xludf.DUMMYFUNCTION("""COMPUTED_VALUE"""),"Relacionamento Interpessoal")</f>
        <v>Relacionamento Interpessoal</v>
      </c>
      <c r="I260" s="453" t="str">
        <f>IFERROR(__xludf.DUMMYFUNCTION("""COMPUTED_VALUE"""),"Liderança e Influência")</f>
        <v>Liderança e Influência</v>
      </c>
      <c r="J260" s="679" t="str">
        <f>IFERROR(__xludf.DUMMYFUNCTION("""COMPUTED_VALUE"""),"Reconhecimento e Recompensas")</f>
        <v>Reconhecimento e Recompensas</v>
      </c>
      <c r="K260" s="128" t="str">
        <f>IFERROR(__xludf.DUMMYFUNCTION("""COMPUTED_VALUE"""),"https://universidade.pipelovers.net/m/lessons/como-potencializar-o-seu-pre-vendedor1769552345486?classId=3621")</f>
        <v>https://universidade.pipelovers.net/m/lessons/como-potencializar-o-seu-pre-vendedor1769552345486?classId=3621</v>
      </c>
      <c r="L260" s="535" t="str">
        <f>IFERROR(__xludf.DUMMYFUNCTION("""COMPUTED_VALUE"""),"https://universidade.pipelovers.net/m/lessons/como-potencializar-o-seu-pre-vendedor1769552345486?classId=3621")</f>
        <v>https://universidade.pipelovers.net/m/lessons/como-potencializar-o-seu-pre-vendedor1769552345486?classId=3621</v>
      </c>
      <c r="M260" s="379" t="str">
        <f>IFERROR(__xludf.DUMMYFUNCTION("""COMPUTED_VALUE"""),"2")</f>
        <v>2</v>
      </c>
      <c r="N260" s="644" t="str">
        <f>IFERROR(__xludf.DUMMYFUNCTION("""COMPUTED_VALUE"""),"https://drive.google.com/file/d/1wODl6Y9-NdVusgBxTy1jQya0c43eo6gl/view?usp=drive_link")</f>
        <v>https://drive.google.com/file/d/1wODl6Y9-NdVusgBxTy1jQya0c43eo6gl/view?usp=drive_link</v>
      </c>
      <c r="O260" s="110" t="str">
        <f>IFERROR(__xludf.DUMMYFUNCTION("""COMPUTED_VALUE"""),"")</f>
        <v/>
      </c>
      <c r="P260" s="601" t="str">
        <f>IFERROR(__xludf.DUMMYFUNCTION("""COMPUTED_VALUE"""),"03/01/2024")</f>
        <v>03/01/2024</v>
      </c>
      <c r="Q260" s="110"/>
    </row>
    <row r="261">
      <c r="A261" s="73"/>
      <c r="B261" s="209" t="str">
        <f>IFERROR(__xludf.DUMMYFUNCTION("""COMPUTED_VALUE"""),"Executivos de Vendas")</f>
        <v>Executivos de Vendas</v>
      </c>
      <c r="C261" s="104" t="str">
        <f>IFERROR(__xludf.DUMMYFUNCTION("""COMPUTED_VALUE"""),"Como participar do planejamento estratégico do cliente?")</f>
        <v>Como participar do planejamento estratégico do cliente?</v>
      </c>
      <c r="D261" s="104" t="str">
        <f>IFERROR(__xludf.DUMMYFUNCTION("""COMPUTED_VALUE"""),"Marcelo Lourençon")</f>
        <v>Marcelo Lourençon</v>
      </c>
      <c r="E261" s="151" t="str">
        <f>IFERROR(__xludf.DUMMYFUNCTION("""COMPUTED_VALUE"""),"Sales Manager")</f>
        <v>Sales Manager</v>
      </c>
      <c r="F261" s="648" t="str">
        <f>IFERROR(__xludf.DUMMYFUNCTION("""COMPUTED_VALUE"""),"Pinterest")</f>
        <v>Pinterest</v>
      </c>
      <c r="G261" s="647" t="str">
        <f>IFERROR(__xludf.DUMMYFUNCTION("""COMPUTED_VALUE"""),"https://www.linkedin.com/in/marcelo-lourencon/")</f>
        <v>https://www.linkedin.com/in/marcelo-lourencon/</v>
      </c>
      <c r="H261" s="648" t="str">
        <f>IFERROR(__xludf.DUMMYFUNCTION("""COMPUTED_VALUE"""),"Visão de Negócios")</f>
        <v>Visão de Negócios</v>
      </c>
      <c r="I261" s="648" t="str">
        <f>IFERROR(__xludf.DUMMYFUNCTION("""COMPUTED_VALUE"""),"Conhecimento de Produto e Negócio")</f>
        <v>Conhecimento de Produto e Negócio</v>
      </c>
      <c r="J261" s="649" t="str">
        <f>IFERROR(__xludf.DUMMYFUNCTION("""COMPUTED_VALUE"""),"Jornada de Compra do Cliente")</f>
        <v>Jornada de Compra do Cliente</v>
      </c>
      <c r="K261" s="114" t="str">
        <f>IFERROR(__xludf.DUMMYFUNCTION("""COMPUTED_VALUE"""),"https://universidade.pipelovers.net/m/lessons/como-participar-do-planejamento-estrategico-do-cliente1769552345544?classId=3622")</f>
        <v>https://universidade.pipelovers.net/m/lessons/como-participar-do-planejamento-estrategico-do-cliente1769552345544?classId=3622</v>
      </c>
      <c r="L261" s="535" t="str">
        <f>IFERROR(__xludf.DUMMYFUNCTION("""COMPUTED_VALUE"""),"https://universidade.pipelovers.net/m/lessons/como-participar-do-planejamento-estrategico-do-cliente1769552345544?classId=3622")</f>
        <v>https://universidade.pipelovers.net/m/lessons/como-participar-do-planejamento-estrategico-do-cliente1769552345544?classId=3622</v>
      </c>
      <c r="M261" s="379" t="str">
        <f>IFERROR(__xludf.DUMMYFUNCTION("""COMPUTED_VALUE"""),"3,71")</f>
        <v>3,71</v>
      </c>
      <c r="N261" s="644" t="str">
        <f>IFERROR(__xludf.DUMMYFUNCTION("""COMPUTED_VALUE"""),"https://drive.google.com/file/d/1wsSw2uW6RdalAQhCPYthLTOlzsPQZyES/view?usp=drive_link")</f>
        <v>https://drive.google.com/file/d/1wsSw2uW6RdalAQhCPYthLTOlzsPQZyES/view?usp=drive_link</v>
      </c>
      <c r="O261" s="110" t="str">
        <f>IFERROR(__xludf.DUMMYFUNCTION("""COMPUTED_VALUE"""),"")</f>
        <v/>
      </c>
      <c r="P261" s="601" t="str">
        <f>IFERROR(__xludf.DUMMYFUNCTION("""COMPUTED_VALUE"""),"10/01/2024")</f>
        <v>10/01/2024</v>
      </c>
      <c r="Q261" s="110"/>
    </row>
    <row r="262">
      <c r="A262" s="73"/>
      <c r="B262" s="209" t="str">
        <f>IFERROR(__xludf.DUMMYFUNCTION("""COMPUTED_VALUE"""),"Executivos de Vendas")</f>
        <v>Executivos de Vendas</v>
      </c>
      <c r="C262" s="119" t="str">
        <f>IFERROR(__xludf.DUMMYFUNCTION("""COMPUTED_VALUE"""),"Teaching and Learning: aprendendo com seu cliente")</f>
        <v>Teaching and Learning: aprendendo com seu cliente</v>
      </c>
      <c r="D262" s="104" t="str">
        <f>IFERROR(__xludf.DUMMYFUNCTION("""COMPUTED_VALUE"""),"Luciene Souza")</f>
        <v>Luciene Souza</v>
      </c>
      <c r="E262" s="228" t="str">
        <f>IFERROR(__xludf.DUMMYFUNCTION("""COMPUTED_VALUE"""),"Sales Manager")</f>
        <v>Sales Manager</v>
      </c>
      <c r="F262" s="453" t="str">
        <f>IFERROR(__xludf.DUMMYFUNCTION("""COMPUTED_VALUE"""),"Twilio")</f>
        <v>Twilio</v>
      </c>
      <c r="G262" s="455" t="str">
        <f>IFERROR(__xludf.DUMMYFUNCTION("""COMPUTED_VALUE"""),"https://www.linkedin.com/in/luciene-souza/")</f>
        <v>https://www.linkedin.com/in/luciene-souza/</v>
      </c>
      <c r="H262" s="453" t="str">
        <f>IFERROR(__xludf.DUMMYFUNCTION("""COMPUTED_VALUE"""),"Conhecimento Técnico")</f>
        <v>Conhecimento Técnico</v>
      </c>
      <c r="I262" s="453" t="str">
        <f>IFERROR(__xludf.DUMMYFUNCTION("""COMPUTED_VALUE"""),"Técnicas de Vendas")</f>
        <v>Técnicas de Vendas</v>
      </c>
      <c r="J262" s="679" t="str">
        <f>IFERROR(__xludf.DUMMYFUNCTION("""COMPUTED_VALUE"""),"Qualificação e Entendimento da Dor")</f>
        <v>Qualificação e Entendimento da Dor</v>
      </c>
      <c r="K262" s="128" t="str">
        <f>IFERROR(__xludf.DUMMYFUNCTION("""COMPUTED_VALUE"""),"https://universidade.pipelovers.net/m/lessons/teaching-and-learning-aprendendo-com-seu-cliente1769552345612?classId=3623")</f>
        <v>https://universidade.pipelovers.net/m/lessons/teaching-and-learning-aprendendo-com-seu-cliente1769552345612?classId=3623</v>
      </c>
      <c r="L262" s="535" t="str">
        <f>IFERROR(__xludf.DUMMYFUNCTION("""COMPUTED_VALUE"""),"https://universidade.pipelovers.net/m/lessons/teaching-and-learning-aprendendo-com-seu-cliente1769552345612?classId=3623")</f>
        <v>https://universidade.pipelovers.net/m/lessons/teaching-and-learning-aprendendo-com-seu-cliente1769552345612?classId=3623</v>
      </c>
      <c r="M262" s="379" t="str">
        <f>IFERROR(__xludf.DUMMYFUNCTION("""COMPUTED_VALUE"""),"4")</f>
        <v>4</v>
      </c>
      <c r="N262" s="644" t="str">
        <f>IFERROR(__xludf.DUMMYFUNCTION("""COMPUTED_VALUE"""),"https://drive.google.com/file/d/1YsdBol8Hu0-c_I_gy-ZjCRVk5f_IfSOs/view?usp=drive_link")</f>
        <v>https://drive.google.com/file/d/1YsdBol8Hu0-c_I_gy-ZjCRVk5f_IfSOs/view?usp=drive_link</v>
      </c>
      <c r="O262" s="110" t="str">
        <f>IFERROR(__xludf.DUMMYFUNCTION("""COMPUTED_VALUE"""),"")</f>
        <v/>
      </c>
      <c r="P262" s="601" t="str">
        <f>IFERROR(__xludf.DUMMYFUNCTION("""COMPUTED_VALUE"""),"17/01/2024")</f>
        <v>17/01/2024</v>
      </c>
      <c r="Q262" s="110"/>
    </row>
    <row r="263">
      <c r="A263" s="73"/>
      <c r="B263" s="209" t="str">
        <f>IFERROR(__xludf.DUMMYFUNCTION("""COMPUTED_VALUE"""),"Executivos de Vendas")</f>
        <v>Executivos de Vendas</v>
      </c>
      <c r="C263" s="104" t="str">
        <f>IFERROR(__xludf.DUMMYFUNCTION("""COMPUTED_VALUE"""),"Aprendendo com a concorrência")</f>
        <v>Aprendendo com a concorrência</v>
      </c>
      <c r="D263" s="104" t="str">
        <f>IFERROR(__xludf.DUMMYFUNCTION("""COMPUTED_VALUE"""),"Guilherme Figueiredo")</f>
        <v>Guilherme Figueiredo</v>
      </c>
      <c r="E263" s="151" t="str">
        <f>IFERROR(__xludf.DUMMYFUNCTION("""COMPUTED_VALUE"""),"Head of Growth")</f>
        <v>Head of Growth</v>
      </c>
      <c r="F263" s="648" t="str">
        <f>IFERROR(__xludf.DUMMYFUNCTION("""COMPUTED_VALUE"""),"Targit Brasil")</f>
        <v>Targit Brasil</v>
      </c>
      <c r="G263" s="647" t="str">
        <f>IFERROR(__xludf.DUMMYFUNCTION("""COMPUTED_VALUE"""),"https://www.linkedin.com/in/fernandesfigueiredo/")</f>
        <v>https://www.linkedin.com/in/fernandesfigueiredo/</v>
      </c>
      <c r="H263" s="648" t="str">
        <f>IFERROR(__xludf.DUMMYFUNCTION("""COMPUTED_VALUE"""),"Visão de Negócios")</f>
        <v>Visão de Negócios</v>
      </c>
      <c r="I263" s="648" t="str">
        <f>IFERROR(__xludf.DUMMYFUNCTION("""COMPUTED_VALUE"""),"Conhecimento de Produto e Negócio")</f>
        <v>Conhecimento de Produto e Negócio</v>
      </c>
      <c r="J263" s="649" t="str">
        <f>IFERROR(__xludf.DUMMYFUNCTION("""COMPUTED_VALUE"""),"Análise da Concorrência")</f>
        <v>Análise da Concorrência</v>
      </c>
      <c r="K263" s="114" t="str">
        <f>IFERROR(__xludf.DUMMYFUNCTION("""COMPUTED_VALUE"""),"https://universidade.pipelovers.net/m/lessons/aprendendo-com-a-concorrencia1769552345692?classId=3706")</f>
        <v>https://universidade.pipelovers.net/m/lessons/aprendendo-com-a-concorrencia1769552345692?classId=3706</v>
      </c>
      <c r="L263" s="535" t="str">
        <f>IFERROR(__xludf.DUMMYFUNCTION("""COMPUTED_VALUE"""),"https://universidade.pipelovers.net/m/lessons/aprendendo-com-a-concorrencia1769552345692?classId=3706")</f>
        <v>https://universidade.pipelovers.net/m/lessons/aprendendo-com-a-concorrencia1769552345692?classId=3706</v>
      </c>
      <c r="M263" s="379" t="str">
        <f>IFERROR(__xludf.DUMMYFUNCTION("""COMPUTED_VALUE"""),"3,71")</f>
        <v>3,71</v>
      </c>
      <c r="N263" s="644" t="str">
        <f>IFERROR(__xludf.DUMMYFUNCTION("""COMPUTED_VALUE"""),"https://drive.google.com/file/d/1bMFZnMkLsFp150NQzceBtWew92fqXNVi/view?usp=drive_link")</f>
        <v>https://drive.google.com/file/d/1bMFZnMkLsFp150NQzceBtWew92fqXNVi/view?usp=drive_link</v>
      </c>
      <c r="O263" s="110" t="str">
        <f>IFERROR(__xludf.DUMMYFUNCTION("""COMPUTED_VALUE"""),"")</f>
        <v/>
      </c>
      <c r="P263" s="601" t="str">
        <f>IFERROR(__xludf.DUMMYFUNCTION("""COMPUTED_VALUE"""),"24/01/2024")</f>
        <v>24/01/2024</v>
      </c>
      <c r="Q263" s="110"/>
    </row>
    <row r="264">
      <c r="A264" s="73"/>
      <c r="B264" s="209" t="str">
        <f>IFERROR(__xludf.DUMMYFUNCTION("""COMPUTED_VALUE"""),"Executivos de Vendas")</f>
        <v>Executivos de Vendas</v>
      </c>
      <c r="C264" s="268" t="str">
        <f>IFERROR(__xludf.DUMMYFUNCTION("""COMPUTED_VALUE"""),"Palestra RD Summit 2023")</f>
        <v>Palestra RD Summit 2023</v>
      </c>
      <c r="D264" s="104" t="str">
        <f>IFERROR(__xludf.DUMMYFUNCTION("""COMPUTED_VALUE"""),"Gustavo Pagotto")</f>
        <v>Gustavo Pagotto</v>
      </c>
      <c r="E264" s="228" t="str">
        <f>IFERROR(__xludf.DUMMYFUNCTION("""COMPUTED_VALUE"""),"Fundador")</f>
        <v>Fundador</v>
      </c>
      <c r="F264" s="453" t="str">
        <f>IFERROR(__xludf.DUMMYFUNCTION("""COMPUTED_VALUE"""),"PipeLovers")</f>
        <v>PipeLovers</v>
      </c>
      <c r="G264" s="455" t="str">
        <f>IFERROR(__xludf.DUMMYFUNCTION("""COMPUTED_VALUE"""),"https://www.linkedin.com/in/gpagotto/")</f>
        <v>https://www.linkedin.com/in/gpagotto/</v>
      </c>
      <c r="H264" s="453" t="str">
        <f>IFERROR(__xludf.DUMMYFUNCTION("""COMPUTED_VALUE"""),"Autodesenvolvimento")</f>
        <v>Autodesenvolvimento</v>
      </c>
      <c r="I264" s="453" t="str">
        <f>IFERROR(__xludf.DUMMYFUNCTION("""COMPUTED_VALUE"""),"Aprendizado Ativo")</f>
        <v>Aprendizado Ativo</v>
      </c>
      <c r="J264" s="679" t="str">
        <f>IFERROR(__xludf.DUMMYFUNCTION("""COMPUTED_VALUE"""),"Benchmarking")</f>
        <v>Benchmarking</v>
      </c>
      <c r="K264" s="128" t="str">
        <f>IFERROR(__xludf.DUMMYFUNCTION("""COMPUTED_VALUE"""),"https://universidade.pipelovers.net/m/lessons/palestra-rd-summit-20231769552039345?classId=3108")</f>
        <v>https://universidade.pipelovers.net/m/lessons/palestra-rd-summit-20231769552039345?classId=3108</v>
      </c>
      <c r="L264" s="535" t="str">
        <f>IFERROR(__xludf.DUMMYFUNCTION("""COMPUTED_VALUE"""),"https://universidade.pipelovers.net/m/lessons/palestra-rd-summit-20231769552039345?classId=3108")</f>
        <v>https://universidade.pipelovers.net/m/lessons/palestra-rd-summit-20231769552039345?classId=3108</v>
      </c>
      <c r="M264" s="379" t="str">
        <f>IFERROR(__xludf.DUMMYFUNCTION("""COMPUTED_VALUE"""),"5")</f>
        <v>5</v>
      </c>
      <c r="N264" s="644" t="str">
        <f>IFERROR(__xludf.DUMMYFUNCTION("""COMPUTED_VALUE"""),"https://drive.google.com/file/d/1bxT0RxHSIQJdvGcLnoavzbnLBsGq1ybp/view?usp=drive_link")</f>
        <v>https://drive.google.com/file/d/1bxT0RxHSIQJdvGcLnoavzbnLBsGq1ybp/view?usp=drive_link</v>
      </c>
      <c r="O264" s="110" t="str">
        <f>IFERROR(__xludf.DUMMYFUNCTION("""COMPUTED_VALUE"""),"")</f>
        <v/>
      </c>
      <c r="P264" s="601" t="str">
        <f>IFERROR(__xludf.DUMMYFUNCTION("""COMPUTED_VALUE"""),"31/01/2024")</f>
        <v>31/01/2024</v>
      </c>
      <c r="Q264" s="110"/>
    </row>
    <row r="265">
      <c r="A265" s="73"/>
      <c r="B265" s="209" t="str">
        <f>IFERROR(__xludf.DUMMYFUNCTION("""COMPUTED_VALUE"""),"Executivos de Vendas")</f>
        <v>Executivos de Vendas</v>
      </c>
      <c r="C265" s="104" t="str">
        <f>IFERROR(__xludf.DUMMYFUNCTION("""COMPUTED_VALUE"""),"Como chegar ao ""Presidents Club""")</f>
        <v>Como chegar ao "Presidents Club"</v>
      </c>
      <c r="D265" s="104" t="str">
        <f>IFERROR(__xludf.DUMMYFUNCTION("""COMPUTED_VALUE"""),"Eduardo Lima")</f>
        <v>Eduardo Lima</v>
      </c>
      <c r="E265" s="151" t="str">
        <f>IFERROR(__xludf.DUMMYFUNCTION("""COMPUTED_VALUE"""),"Account Director")</f>
        <v>Account Director</v>
      </c>
      <c r="F265" s="648" t="str">
        <f>IFERROR(__xludf.DUMMYFUNCTION("""COMPUTED_VALUE"""),"Oracle")</f>
        <v>Oracle</v>
      </c>
      <c r="G265" s="647" t="str">
        <f>IFERROR(__xludf.DUMMYFUNCTION("""COMPUTED_VALUE"""),"https://www.linkedin.com/in/eduedulima/")</f>
        <v>https://www.linkedin.com/in/eduedulima/</v>
      </c>
      <c r="H265" s="648" t="str">
        <f>IFERROR(__xludf.DUMMYFUNCTION("""COMPUTED_VALUE"""),"Autodesenvolvimento")</f>
        <v>Autodesenvolvimento</v>
      </c>
      <c r="I265" s="648" t="str">
        <f>IFERROR(__xludf.DUMMYFUNCTION("""COMPUTED_VALUE"""),"Inteligência Emocional")</f>
        <v>Inteligência Emocional</v>
      </c>
      <c r="J265" s="649" t="str">
        <f>IFERROR(__xludf.DUMMYFUNCTION("""COMPUTED_VALUE"""),"Motivação")</f>
        <v>Motivação</v>
      </c>
      <c r="K265" s="650" t="str">
        <f>IFERROR(__xludf.DUMMYFUNCTION("""COMPUTED_VALUE"""),"https://universidade.pipelovers.net/m/lessons/como-chegar-ao-presidents-club1769552345813?classId=3006")</f>
        <v>https://universidade.pipelovers.net/m/lessons/como-chegar-ao-presidents-club1769552345813?classId=3006</v>
      </c>
      <c r="L265" s="474" t="str">
        <f>IFERROR(__xludf.DUMMYFUNCTION("""COMPUTED_VALUE"""),"https://universidade.pipelovers.net/m/lessons/como-chegar-ao-presidents-club1769552345813?classId=3006")</f>
        <v>https://universidade.pipelovers.net/m/lessons/como-chegar-ao-presidents-club1769552345813?classId=3006</v>
      </c>
      <c r="M265" s="379" t="str">
        <f>IFERROR(__xludf.DUMMYFUNCTION("""COMPUTED_VALUE"""),"3,57")</f>
        <v>3,57</v>
      </c>
      <c r="N265" s="644" t="str">
        <f>IFERROR(__xludf.DUMMYFUNCTION("""COMPUTED_VALUE"""),"https://drive.google.com/file/d/16k-LoD9YvrM7YikBOmD-TyNmtu7BXIX9/view?usp=drive_link")</f>
        <v>https://drive.google.com/file/d/16k-LoD9YvrM7YikBOmD-TyNmtu7BXIX9/view?usp=drive_link</v>
      </c>
      <c r="O265" s="110" t="str">
        <f>IFERROR(__xludf.DUMMYFUNCTION("""COMPUTED_VALUE"""),"")</f>
        <v/>
      </c>
      <c r="P265" s="601" t="str">
        <f>IFERROR(__xludf.DUMMYFUNCTION("""COMPUTED_VALUE"""),"07/02/2024")</f>
        <v>07/02/2024</v>
      </c>
      <c r="Q265" s="110"/>
    </row>
    <row r="266">
      <c r="A266" s="73"/>
      <c r="B266" s="209" t="str">
        <f>IFERROR(__xludf.DUMMYFUNCTION("""COMPUTED_VALUE"""),"Executivos de Vendas")</f>
        <v>Executivos de Vendas</v>
      </c>
      <c r="C266" s="104" t="str">
        <f>IFERROR(__xludf.DUMMYFUNCTION("""COMPUTED_VALUE"""),"Crescimento de carreira dentro da mesma organização")</f>
        <v>Crescimento de carreira dentro da mesma organização</v>
      </c>
      <c r="D266" s="104" t="str">
        <f>IFERROR(__xludf.DUMMYFUNCTION("""COMPUTED_VALUE"""),"Vinicius Tirapelle Silva")</f>
        <v>Vinicius Tirapelle Silva</v>
      </c>
      <c r="E266" s="228" t="str">
        <f>IFERROR(__xludf.DUMMYFUNCTION("""COMPUTED_VALUE"""),"Head of Inside Sales")</f>
        <v>Head of Inside Sales</v>
      </c>
      <c r="F266" s="453" t="str">
        <f>IFERROR(__xludf.DUMMYFUNCTION("""COMPUTED_VALUE"""),"Hiper ")</f>
        <v>Hiper </v>
      </c>
      <c r="G266" s="455" t="str">
        <f>IFERROR(__xludf.DUMMYFUNCTION("""COMPUTED_VALUE"""),"https://www.linkedin.com/in/vinicius-tirapelle-da-silva-51451349/")</f>
        <v>https://www.linkedin.com/in/vinicius-tirapelle-da-silva-51451349/</v>
      </c>
      <c r="H266" s="453" t="str">
        <f>IFERROR(__xludf.DUMMYFUNCTION("""COMPUTED_VALUE"""),"Relacionamento Interpessoal")</f>
        <v>Relacionamento Interpessoal</v>
      </c>
      <c r="I266" s="453" t="str">
        <f>IFERROR(__xludf.DUMMYFUNCTION("""COMPUTED_VALUE"""),"Liderança e Influência")</f>
        <v>Liderança e Influência</v>
      </c>
      <c r="J266" s="679" t="str">
        <f>IFERROR(__xludf.DUMMYFUNCTION("""COMPUTED_VALUE"""),"Credibilidade e Reputação")</f>
        <v>Credibilidade e Reputação</v>
      </c>
      <c r="K266" s="114" t="str">
        <f>IFERROR(__xludf.DUMMYFUNCTION("""COMPUTED_VALUE"""),"https://universidade.pipelovers.net/m/lessons/crescimento-de-carreira-dentro-da-mesma-organizacao1769552345927?classId=3005")</f>
        <v>https://universidade.pipelovers.net/m/lessons/crescimento-de-carreira-dentro-da-mesma-organizacao1769552345927?classId=3005</v>
      </c>
      <c r="L266" s="535" t="str">
        <f>IFERROR(__xludf.DUMMYFUNCTION("""COMPUTED_VALUE"""),"https://universidade.pipelovers.net/m/lessons/crescimento-de-carreira-dentro-da-mesma-organizacao1769552345927?classId=3005")</f>
        <v>https://universidade.pipelovers.net/m/lessons/crescimento-de-carreira-dentro-da-mesma-organizacao1769552345927?classId=3005</v>
      </c>
      <c r="M266" s="379" t="str">
        <f>IFERROR(__xludf.DUMMYFUNCTION("""COMPUTED_VALUE"""),"2")</f>
        <v>2</v>
      </c>
      <c r="N266" s="644" t="str">
        <f>IFERROR(__xludf.DUMMYFUNCTION("""COMPUTED_VALUE"""),"https://drive.google.com/file/d/1ubln9iH4G4aZLhR7iJLS6nNu_9FDZ5Cs/view?usp=drive_link")</f>
        <v>https://drive.google.com/file/d/1ubln9iH4G4aZLhR7iJLS6nNu_9FDZ5Cs/view?usp=drive_link</v>
      </c>
      <c r="O266" s="110" t="str">
        <f>IFERROR(__xludf.DUMMYFUNCTION("""COMPUTED_VALUE"""),"")</f>
        <v/>
      </c>
      <c r="P266" s="601" t="str">
        <f>IFERROR(__xludf.DUMMYFUNCTION("""COMPUTED_VALUE"""),"14/02/2024")</f>
        <v>14/02/2024</v>
      </c>
      <c r="Q266" s="110"/>
    </row>
    <row r="267">
      <c r="A267" s="73"/>
      <c r="B267" s="209" t="str">
        <f>IFERROR(__xludf.DUMMYFUNCTION("""COMPUTED_VALUE"""),"Executivos de Vendas")</f>
        <v>Executivos de Vendas</v>
      </c>
      <c r="C267" s="181" t="str">
        <f>IFERROR(__xludf.DUMMYFUNCTION("""COMPUTED_VALUE"""),"Aprendendo com benchmarking")</f>
        <v>Aprendendo com benchmarking</v>
      </c>
      <c r="D267" s="104" t="str">
        <f>IFERROR(__xludf.DUMMYFUNCTION("""COMPUTED_VALUE"""),"Manuela Lenzi")</f>
        <v>Manuela Lenzi</v>
      </c>
      <c r="E267" s="151" t="str">
        <f>IFERROR(__xludf.DUMMYFUNCTION("""COMPUTED_VALUE"""),"Enterprise Account Manager")</f>
        <v>Enterprise Account Manager</v>
      </c>
      <c r="F267" s="648" t="str">
        <f>IFERROR(__xludf.DUMMYFUNCTION("""COMPUTED_VALUE"""),"Monday")</f>
        <v>Monday</v>
      </c>
      <c r="G267" s="647" t="str">
        <f>IFERROR(__xludf.DUMMYFUNCTION("""COMPUTED_VALUE"""),"https://www.linkedin.com/in/manuelalenzi/")</f>
        <v>https://www.linkedin.com/in/manuelalenzi/</v>
      </c>
      <c r="H267" s="648" t="str">
        <f>IFERROR(__xludf.DUMMYFUNCTION("""COMPUTED_VALUE"""),"Autodesenvolvimento")</f>
        <v>Autodesenvolvimento</v>
      </c>
      <c r="I267" s="648" t="str">
        <f>IFERROR(__xludf.DUMMYFUNCTION("""COMPUTED_VALUE"""),"Aprendizado Ativo")</f>
        <v>Aprendizado Ativo</v>
      </c>
      <c r="J267" s="649" t="str">
        <f>IFERROR(__xludf.DUMMYFUNCTION("""COMPUTED_VALUE"""),"Benchmarking")</f>
        <v>Benchmarking</v>
      </c>
      <c r="K267" s="147" t="str">
        <f>IFERROR(__xludf.DUMMYFUNCTION("""COMPUTED_VALUE"""),"https://universidade.pipelovers.net/m/lessons/aprendendo-com-benchmarking1769552348296?classId=3004")</f>
        <v>https://universidade.pipelovers.net/m/lessons/aprendendo-com-benchmarking1769552348296?classId=3004</v>
      </c>
      <c r="L267" s="743" t="str">
        <f>IFERROR(__xludf.DUMMYFUNCTION("""COMPUTED_VALUE"""),"https://universidade.pipelovers.net/m/lessons/aprendendo-com-benchmarking1769552348296?classId=3004")</f>
        <v>https://universidade.pipelovers.net/m/lessons/aprendendo-com-benchmarking1769552348296?classId=3004</v>
      </c>
      <c r="M267" s="379" t="str">
        <f>IFERROR(__xludf.DUMMYFUNCTION("""COMPUTED_VALUE"""),"4")</f>
        <v>4</v>
      </c>
      <c r="N267" s="644" t="str">
        <f>IFERROR(__xludf.DUMMYFUNCTION("""COMPUTED_VALUE"""),"https://drive.google.com/file/d/1DCLBW5xrlWHHi4F9TyoFr_zPD8uiJhTk/view?usp=drive_link")</f>
        <v>https://drive.google.com/file/d/1DCLBW5xrlWHHi4F9TyoFr_zPD8uiJhTk/view?usp=drive_link</v>
      </c>
      <c r="O267" s="110" t="str">
        <f>IFERROR(__xludf.DUMMYFUNCTION("""COMPUTED_VALUE"""),"")</f>
        <v/>
      </c>
      <c r="P267" s="601" t="str">
        <f>IFERROR(__xludf.DUMMYFUNCTION("""COMPUTED_VALUE"""),"21/02/2024")</f>
        <v>21/02/2024</v>
      </c>
      <c r="Q267" s="110"/>
    </row>
    <row r="268">
      <c r="A268" s="73"/>
      <c r="B268" s="209" t="str">
        <f>IFERROR(__xludf.DUMMYFUNCTION("""COMPUTED_VALUE"""),"Executivos de Vendas")</f>
        <v>Executivos de Vendas</v>
      </c>
      <c r="C268" s="104" t="str">
        <f>IFERROR(__xludf.DUMMYFUNCTION("""COMPUTED_VALUE"""),"Como se preparar para uma reunião de forecast?")</f>
        <v>Como se preparar para uma reunião de forecast?</v>
      </c>
      <c r="D268" s="104" t="str">
        <f>IFERROR(__xludf.DUMMYFUNCTION("""COMPUTED_VALUE"""),"Carlos Bortolotto")</f>
        <v>Carlos Bortolotto</v>
      </c>
      <c r="E268" s="228" t="str">
        <f>IFERROR(__xludf.DUMMYFUNCTION("""COMPUTED_VALUE"""),"Head de Vendas")</f>
        <v>Head de Vendas</v>
      </c>
      <c r="F268" s="453" t="str">
        <f>IFERROR(__xludf.DUMMYFUNCTION("""COMPUTED_VALUE"""),"CRM PipeRun")</f>
        <v>CRM PipeRun</v>
      </c>
      <c r="G268" s="455" t="str">
        <f>IFERROR(__xludf.DUMMYFUNCTION("""COMPUTED_VALUE"""),"https://www.linkedin.com/in/carlos-gustavo-bortolotto/")</f>
        <v>https://www.linkedin.com/in/carlos-gustavo-bortolotto/</v>
      </c>
      <c r="H268" s="453" t="str">
        <f>IFERROR(__xludf.DUMMYFUNCTION("""COMPUTED_VALUE"""),"Conhecimento Técnico")</f>
        <v>Conhecimento Técnico</v>
      </c>
      <c r="I268" s="453" t="str">
        <f>IFERROR(__xludf.DUMMYFUNCTION("""COMPUTED_VALUE"""),"Gestão de Vendas")</f>
        <v>Gestão de Vendas</v>
      </c>
      <c r="J268" s="679" t="str">
        <f>IFERROR(__xludf.DUMMYFUNCTION("""COMPUTED_VALUE"""),"Rotinas e Rituais")</f>
        <v>Rotinas e Rituais</v>
      </c>
      <c r="K268" s="114" t="str">
        <f>IFERROR(__xludf.DUMMYFUNCTION("""COMPUTED_VALUE"""),"https://universidade.pipelovers.net/aulas/como-se-preparar-para-uma-reunia0-de-forecast-1775076746828")</f>
        <v>https://universidade.pipelovers.net/aulas/como-se-preparar-para-uma-reunia0-de-forecast-1775076746828</v>
      </c>
      <c r="L268" s="535" t="str">
        <f>IFERROR(__xludf.DUMMYFUNCTION("""COMPUTED_VALUE"""),"https://universidade.pipelovers.net/aulas/como-se-preparar-para-uma-reunia0-de-forecast-1775076746828")</f>
        <v>https://universidade.pipelovers.net/aulas/como-se-preparar-para-uma-reunia0-de-forecast-1775076746828</v>
      </c>
      <c r="M268" s="379" t="str">
        <f>IFERROR(__xludf.DUMMYFUNCTION("""COMPUTED_VALUE"""),"3,57")</f>
        <v>3,57</v>
      </c>
      <c r="N268" s="644" t="str">
        <f>IFERROR(__xludf.DUMMYFUNCTION("""COMPUTED_VALUE"""),"https://drive.google.com/file/d/1lJo0feJ2mjElWy_-ZvDtSaCuflNu_wh6/view?usp=drive_link")</f>
        <v>https://drive.google.com/file/d/1lJo0feJ2mjElWy_-ZvDtSaCuflNu_wh6/view?usp=drive_link</v>
      </c>
      <c r="O268" s="110" t="str">
        <f>IFERROR(__xludf.DUMMYFUNCTION("""COMPUTED_VALUE"""),"")</f>
        <v/>
      </c>
      <c r="P268" s="601" t="str">
        <f>IFERROR(__xludf.DUMMYFUNCTION("""COMPUTED_VALUE"""),"28/02/2024")</f>
        <v>28/02/2024</v>
      </c>
      <c r="Q268" s="110"/>
    </row>
    <row r="269">
      <c r="A269" s="73"/>
      <c r="B269" s="209" t="str">
        <f>IFERROR(__xludf.DUMMYFUNCTION("""COMPUTED_VALUE"""),"Executivos de Vendas")</f>
        <v>Executivos de Vendas</v>
      </c>
      <c r="C269" s="119" t="str">
        <f>IFERROR(__xludf.DUMMYFUNCTION("""COMPUTED_VALUE"""),"Planejamento e Estratégia de Territórios")</f>
        <v>Planejamento e Estratégia de Territórios</v>
      </c>
      <c r="D269" s="104" t="str">
        <f>IFERROR(__xludf.DUMMYFUNCTION("""COMPUTED_VALUE"""),"Diogo Marra")</f>
        <v>Diogo Marra</v>
      </c>
      <c r="E269" s="151" t="str">
        <f>IFERROR(__xludf.DUMMYFUNCTION("""COMPUTED_VALUE"""),"Head de CSX")</f>
        <v>Head de CSX</v>
      </c>
      <c r="F269" s="648" t="str">
        <f>IFERROR(__xludf.DUMMYFUNCTION("""COMPUTED_VALUE"""),"Cobli")</f>
        <v>Cobli</v>
      </c>
      <c r="G269" s="647" t="str">
        <f>IFERROR(__xludf.DUMMYFUNCTION("""COMPUTED_VALUE"""),"https://www.linkedin.com/in/diogomarra/")</f>
        <v>https://www.linkedin.com/in/diogomarra/</v>
      </c>
      <c r="H269" s="648" t="str">
        <f>IFERROR(__xludf.DUMMYFUNCTION("""COMPUTED_VALUE"""),"Visão de Negócios")</f>
        <v>Visão de Negócios</v>
      </c>
      <c r="I269" s="648" t="str">
        <f>IFERROR(__xludf.DUMMYFUNCTION("""COMPUTED_VALUE"""),"Conhecimento de Produto e Negócio")</f>
        <v>Conhecimento de Produto e Negócio</v>
      </c>
      <c r="J269" s="649" t="str">
        <f>IFERROR(__xludf.DUMMYFUNCTION("""COMPUTED_VALUE"""),"Segmentação de Mercado")</f>
        <v>Segmentação de Mercado</v>
      </c>
      <c r="K269" s="147" t="str">
        <f>IFERROR(__xludf.DUMMYFUNCTION("""COMPUTED_VALUE"""),"https://universidade.pipelovers.net/m/lessons/planejamento-e-estrategia-de-territorios1769552348416?classId=3002")</f>
        <v>https://universidade.pipelovers.net/m/lessons/planejamento-e-estrategia-de-territorios1769552348416?classId=3002</v>
      </c>
      <c r="L269" s="500" t="str">
        <f>IFERROR(__xludf.DUMMYFUNCTION("""COMPUTED_VALUE"""),"https://universidade.pipelovers.net/m/lessons/planejamento-e-estrategia-de-territorios1769552348416?classId=3002")</f>
        <v>https://universidade.pipelovers.net/m/lessons/planejamento-e-estrategia-de-territorios1769552348416?classId=3002</v>
      </c>
      <c r="M269" s="379" t="str">
        <f>IFERROR(__xludf.DUMMYFUNCTION("""COMPUTED_VALUE"""),"3")</f>
        <v>3</v>
      </c>
      <c r="N269" s="644" t="str">
        <f>IFERROR(__xludf.DUMMYFUNCTION("""COMPUTED_VALUE"""),"https://drive.google.com/file/d/14ws5nOWe3Qc79hrVupDdvR-BWyo0rvcd/view?usp=drive_link")</f>
        <v>https://drive.google.com/file/d/14ws5nOWe3Qc79hrVupDdvR-BWyo0rvcd/view?usp=drive_link</v>
      </c>
      <c r="O269" s="110" t="str">
        <f>IFERROR(__xludf.DUMMYFUNCTION("""COMPUTED_VALUE"""),"")</f>
        <v/>
      </c>
      <c r="P269" s="601" t="str">
        <f>IFERROR(__xludf.DUMMYFUNCTION("""COMPUTED_VALUE"""),"06/03/2024")</f>
        <v>06/03/2024</v>
      </c>
      <c r="Q269" s="110"/>
    </row>
    <row r="270">
      <c r="A270" s="73"/>
      <c r="B270" s="209" t="str">
        <f>IFERROR(__xludf.DUMMYFUNCTION("""COMPUTED_VALUE"""),"Executivos de Vendas")</f>
        <v>Executivos de Vendas</v>
      </c>
      <c r="C270" s="104" t="str">
        <f>IFERROR(__xludf.DUMMYFUNCTION("""COMPUTED_VALUE"""),"Negociação de Contratos com Jurídico                       ")</f>
        <v>Negociação de Contratos com Jurídico                       </v>
      </c>
      <c r="D270" s="104" t="str">
        <f>IFERROR(__xludf.DUMMYFUNCTION("""COMPUTED_VALUE"""),"Raquel Trindade 
Paula abreu")</f>
        <v>Raquel Trindade 
Paula abreu</v>
      </c>
      <c r="E270" s="228" t="str">
        <f>IFERROR(__xludf.DUMMYFUNCTION("""COMPUTED_VALUE"""),"Chief Business Officer  
Diretora Jurídica e de Compliance")</f>
        <v>Chief Business Officer  
Diretora Jurídica e de Compliance</v>
      </c>
      <c r="F270" s="453" t="str">
        <f>IFERROR(__xludf.DUMMYFUNCTION("""COMPUTED_VALUE"""),"ClickSign")</f>
        <v>ClickSign</v>
      </c>
      <c r="G270" s="453" t="str">
        <f>IFERROR(__xludf.DUMMYFUNCTION("""COMPUTED_VALUE"""),"https://www.linkedin.com/in/raquel-trindade.             
https://www.linkedin.com/in/paulasabreu/")</f>
        <v>https://www.linkedin.com/in/raquel-trindade.             
https://www.linkedin.com/in/paulasabreu/</v>
      </c>
      <c r="H270" s="453" t="str">
        <f>IFERROR(__xludf.DUMMYFUNCTION("""COMPUTED_VALUE"""),"Conhecimento Técnico")</f>
        <v>Conhecimento Técnico</v>
      </c>
      <c r="I270" s="453" t="str">
        <f>IFERROR(__xludf.DUMMYFUNCTION("""COMPUTED_VALUE"""),"Técnicas de Vendas")</f>
        <v>Técnicas de Vendas</v>
      </c>
      <c r="J270" s="679" t="str">
        <f>IFERROR(__xludf.DUMMYFUNCTION("""COMPUTED_VALUE"""),"Negociação e Fechamento de Vendas")</f>
        <v>Negociação e Fechamento de Vendas</v>
      </c>
      <c r="K270" s="114" t="str">
        <f>IFERROR(__xludf.DUMMYFUNCTION("""COMPUTED_VALUE"""),"https://universidade.pipelovers.net/aulas/negociacao-de-contratos-com-juridico-1775077264298")</f>
        <v>https://universidade.pipelovers.net/aulas/negociacao-de-contratos-com-juridico-1775077264298</v>
      </c>
      <c r="L270" s="535" t="str">
        <f>IFERROR(__xludf.DUMMYFUNCTION("""COMPUTED_VALUE"""),"https://universidade.pipelovers.net/aulas/negociacao-de-contratos-com-juridico-1775077264298")</f>
        <v>https://universidade.pipelovers.net/aulas/negociacao-de-contratos-com-juridico-1775077264298</v>
      </c>
      <c r="M270" s="379" t="str">
        <f>IFERROR(__xludf.DUMMYFUNCTION("""COMPUTED_VALUE"""),"3")</f>
        <v>3</v>
      </c>
      <c r="N270" s="644" t="str">
        <f>IFERROR(__xludf.DUMMYFUNCTION("""COMPUTED_VALUE"""),"https://drive.google.com/file/d/1-5a6_zyHc698MR0nkTqI_4wzES0OkunW/view?usp=drive_link")</f>
        <v>https://drive.google.com/file/d/1-5a6_zyHc698MR0nkTqI_4wzES0OkunW/view?usp=drive_link</v>
      </c>
      <c r="O270" s="110" t="str">
        <f>IFERROR(__xludf.DUMMYFUNCTION("""COMPUTED_VALUE"""),"")</f>
        <v/>
      </c>
      <c r="P270" s="601" t="str">
        <f>IFERROR(__xludf.DUMMYFUNCTION("""COMPUTED_VALUE"""),"13/03/2024")</f>
        <v>13/03/2024</v>
      </c>
      <c r="Q270" s="110"/>
    </row>
    <row r="271">
      <c r="A271" s="73"/>
      <c r="B271" s="209" t="str">
        <f>IFERROR(__xludf.DUMMYFUNCTION("""COMPUTED_VALUE"""),"Executivos de Vendas")</f>
        <v>Executivos de Vendas</v>
      </c>
      <c r="C271" s="216" t="str">
        <f>IFERROR(__xludf.DUMMYFUNCTION("""COMPUTED_VALUE"""),"Erros e acertos de 2023")</f>
        <v>Erros e acertos de 2023</v>
      </c>
      <c r="D271" s="104" t="str">
        <f>IFERROR(__xludf.DUMMYFUNCTION("""COMPUTED_VALUE"""),"Ezio Jemma")</f>
        <v>Ezio Jemma</v>
      </c>
      <c r="E271" s="151" t="str">
        <f>IFERROR(__xludf.DUMMYFUNCTION("""COMPUTED_VALUE"""),"Senior Growth Manager, Mobile Apps Sales")</f>
        <v>Senior Growth Manager, Mobile Apps Sales</v>
      </c>
      <c r="F271" s="648" t="str">
        <f>IFERROR(__xludf.DUMMYFUNCTION("""COMPUTED_VALUE"""),"Google")</f>
        <v>Google</v>
      </c>
      <c r="G271" s="647" t="str">
        <f>IFERROR(__xludf.DUMMYFUNCTION("""COMPUTED_VALUE"""),"https://www.linkedin.com/in/eziojemma/")</f>
        <v>https://www.linkedin.com/in/eziojemma/</v>
      </c>
      <c r="H271" s="648" t="str">
        <f>IFERROR(__xludf.DUMMYFUNCTION("""COMPUTED_VALUE"""),"Autodesenvolvimento")</f>
        <v>Autodesenvolvimento</v>
      </c>
      <c r="I271" s="648" t="str">
        <f>IFERROR(__xludf.DUMMYFUNCTION("""COMPUTED_VALUE"""),"Aprendizado Ativo")</f>
        <v>Aprendizado Ativo</v>
      </c>
      <c r="J271" s="649" t="str">
        <f>IFERROR(__xludf.DUMMYFUNCTION("""COMPUTED_VALUE"""),"Benchmarking")</f>
        <v>Benchmarking</v>
      </c>
      <c r="K271" s="650" t="str">
        <f>IFERROR(__xludf.DUMMYFUNCTION("""COMPUTED_VALUE"""),"https://universidade.pipelovers.net/m/lessons/erros-e-acertos-de-20231769552348476?classId=3000")</f>
        <v>https://universidade.pipelovers.net/m/lessons/erros-e-acertos-de-20231769552348476?classId=3000</v>
      </c>
      <c r="L271" s="474" t="str">
        <f>IFERROR(__xludf.DUMMYFUNCTION("""COMPUTED_VALUE"""),"https://universidade.pipelovers.net/m/lessons/erros-e-acertos-de-20231769552348476?classId=3000")</f>
        <v>https://universidade.pipelovers.net/m/lessons/erros-e-acertos-de-20231769552348476?classId=3000</v>
      </c>
      <c r="M271" s="379" t="str">
        <f>IFERROR(__xludf.DUMMYFUNCTION("""COMPUTED_VALUE"""),"3,14")</f>
        <v>3,14</v>
      </c>
      <c r="N271" s="644" t="str">
        <f>IFERROR(__xludf.DUMMYFUNCTION("""COMPUTED_VALUE"""),"https://drive.google.com/file/d/1DVz6n00lnW9RQajX-BB5mQAywo_3eA2Y/view?usp=drive_link")</f>
        <v>https://drive.google.com/file/d/1DVz6n00lnW9RQajX-BB5mQAywo_3eA2Y/view?usp=drive_link</v>
      </c>
      <c r="O271" s="110" t="str">
        <f>IFERROR(__xludf.DUMMYFUNCTION("""COMPUTED_VALUE"""),"")</f>
        <v/>
      </c>
      <c r="P271" s="601" t="str">
        <f>IFERROR(__xludf.DUMMYFUNCTION("""COMPUTED_VALUE"""),"20/03/2024")</f>
        <v>20/03/2024</v>
      </c>
      <c r="Q271" s="110"/>
    </row>
    <row r="272">
      <c r="A272" s="73"/>
      <c r="B272" s="209" t="str">
        <f>IFERROR(__xludf.DUMMYFUNCTION("""COMPUTED_VALUE"""),"Executivos de Vendas")</f>
        <v>Executivos de Vendas</v>
      </c>
      <c r="C272" s="119" t="str">
        <f>IFERROR(__xludf.DUMMYFUNCTION("""COMPUTED_VALUE"""),"Planejamento de Métricas de Execução")</f>
        <v>Planejamento de Métricas de Execução</v>
      </c>
      <c r="D272" s="104" t="str">
        <f>IFERROR(__xludf.DUMMYFUNCTION("""COMPUTED_VALUE"""),"Marcio Pereira")</f>
        <v>Marcio Pereira</v>
      </c>
      <c r="E272" s="228" t="str">
        <f>IFERROR(__xludf.DUMMYFUNCTION("""COMPUTED_VALUE"""),"Diretor de Marketing e Vendas")</f>
        <v>Diretor de Marketing e Vendas</v>
      </c>
      <c r="F272" s="453" t="str">
        <f>IFERROR(__xludf.DUMMYFUNCTION("""COMPUTED_VALUE"""),"Nibo")</f>
        <v>Nibo</v>
      </c>
      <c r="G272" s="455" t="str">
        <f>IFERROR(__xludf.DUMMYFUNCTION("""COMPUTED_VALUE"""),"https://www.linkedin.com/in/marcio-pereira-5327939/")</f>
        <v>https://www.linkedin.com/in/marcio-pereira-5327939/</v>
      </c>
      <c r="H272" s="453" t="str">
        <f>IFERROR(__xludf.DUMMYFUNCTION("""COMPUTED_VALUE"""),"Conhecimento Técnico")</f>
        <v>Conhecimento Técnico</v>
      </c>
      <c r="I272" s="453" t="str">
        <f>IFERROR(__xludf.DUMMYFUNCTION("""COMPUTED_VALUE"""),"Pensamento Crítico")</f>
        <v>Pensamento Crítico</v>
      </c>
      <c r="J272" s="679" t="str">
        <f>IFERROR(__xludf.DUMMYFUNCTION("""COMPUTED_VALUE"""),"Métricas de Funil")</f>
        <v>Métricas de Funil</v>
      </c>
      <c r="K272" s="128" t="str">
        <f>IFERROR(__xludf.DUMMYFUNCTION("""COMPUTED_VALUE"""),"https://universidade.pipelovers.net/m/lessons/planejamento-de-metricas-de-execucao1769552348507?classId=2999")</f>
        <v>https://universidade.pipelovers.net/m/lessons/planejamento-de-metricas-de-execucao1769552348507?classId=2999</v>
      </c>
      <c r="L272" s="535" t="str">
        <f>IFERROR(__xludf.DUMMYFUNCTION("""COMPUTED_VALUE"""),"https://universidade.pipelovers.net/m/lessons/planejamento-de-metricas-de-execucao1769552348507?classId=2999")</f>
        <v>https://universidade.pipelovers.net/m/lessons/planejamento-de-metricas-de-execucao1769552348507?classId=2999</v>
      </c>
      <c r="M272" s="379" t="str">
        <f>IFERROR(__xludf.DUMMYFUNCTION("""COMPUTED_VALUE"""),"2")</f>
        <v>2</v>
      </c>
      <c r="N272" s="644" t="str">
        <f>IFERROR(__xludf.DUMMYFUNCTION("""COMPUTED_VALUE"""),"https://drive.google.com/file/d/1fR4jA-IIq_xIZKUUqdKCEQJy3NaCUkox/view?usp=drive_link")</f>
        <v>https://drive.google.com/file/d/1fR4jA-IIq_xIZKUUqdKCEQJy3NaCUkox/view?usp=drive_link</v>
      </c>
      <c r="O272" s="110" t="str">
        <f>IFERROR(__xludf.DUMMYFUNCTION("""COMPUTED_VALUE"""),"")</f>
        <v/>
      </c>
      <c r="P272" s="601" t="str">
        <f>IFERROR(__xludf.DUMMYFUNCTION("""COMPUTED_VALUE"""),"27/03/2024")</f>
        <v>27/03/2024</v>
      </c>
      <c r="Q272" s="110"/>
    </row>
    <row r="273">
      <c r="A273" s="73"/>
      <c r="B273" s="209" t="str">
        <f>IFERROR(__xludf.DUMMYFUNCTION("""COMPUTED_VALUE"""),"Executivos de Vendas")</f>
        <v>Executivos de Vendas</v>
      </c>
      <c r="C273" s="104" t="str">
        <f>IFERROR(__xludf.DUMMYFUNCTION("""COMPUTED_VALUE"""),"Metodologia SPICED da Winning by Design")</f>
        <v>Metodologia SPICED da Winning by Design</v>
      </c>
      <c r="D273" s="104" t="str">
        <f>IFERROR(__xludf.DUMMYFUNCTION("""COMPUTED_VALUE"""),"Renata Centurion")</f>
        <v>Renata Centurion</v>
      </c>
      <c r="E273" s="151" t="str">
        <f>IFERROR(__xludf.DUMMYFUNCTION("""COMPUTED_VALUE"""),"Managing Partner Director")</f>
        <v>Managing Partner Director</v>
      </c>
      <c r="F273" s="648" t="str">
        <f>IFERROR(__xludf.DUMMYFUNCTION("""COMPUTED_VALUE"""),"Winning by Design")</f>
        <v>Winning by Design</v>
      </c>
      <c r="G273" s="647" t="str">
        <f>IFERROR(__xludf.DUMMYFUNCTION("""COMPUTED_VALUE"""),"https://www.linkedin.com/in/renatacenturion/")</f>
        <v>https://www.linkedin.com/in/renatacenturion/</v>
      </c>
      <c r="H273" s="648" t="str">
        <f>IFERROR(__xludf.DUMMYFUNCTION("""COMPUTED_VALUE"""),"Conhecimento Técnico")</f>
        <v>Conhecimento Técnico</v>
      </c>
      <c r="I273" s="648" t="str">
        <f>IFERROR(__xludf.DUMMYFUNCTION("""COMPUTED_VALUE"""),"Técnicas de Vendas")</f>
        <v>Técnicas de Vendas</v>
      </c>
      <c r="J273" s="649" t="str">
        <f>IFERROR(__xludf.DUMMYFUNCTION("""COMPUTED_VALUE"""),"Metodologias de Vendas")</f>
        <v>Metodologias de Vendas</v>
      </c>
      <c r="K273" s="167" t="str">
        <f>IFERROR(__xludf.DUMMYFUNCTION("""COMPUTED_VALUE"""),"https://universidade.pipelovers.net/m/lessons/metodologia-spiced-da-winning-by-design1769552348535?classId=2998")</f>
        <v>https://universidade.pipelovers.net/m/lessons/metodologia-spiced-da-winning-by-design1769552348535?classId=2998</v>
      </c>
      <c r="L273" s="500" t="str">
        <f>IFERROR(__xludf.DUMMYFUNCTION("""COMPUTED_VALUE"""),"https://universidade.pipelovers.net/m/lessons/metodologia-spiced-da-winning-by-design1769552348535?classId=2998")</f>
        <v>https://universidade.pipelovers.net/m/lessons/metodologia-spiced-da-winning-by-design1769552348535?classId=2998</v>
      </c>
      <c r="M273" s="379" t="str">
        <f>IFERROR(__xludf.DUMMYFUNCTION("""COMPUTED_VALUE"""),"4,71")</f>
        <v>4,71</v>
      </c>
      <c r="N273" s="644" t="str">
        <f>IFERROR(__xludf.DUMMYFUNCTION("""COMPUTED_VALUE"""),"https://drive.google.com/file/d/1ipKJs3ZZWUAIG5frpQGENxyWM72LUb9Y/view?usp=drive_link")</f>
        <v>https://drive.google.com/file/d/1ipKJs3ZZWUAIG5frpQGENxyWM72LUb9Y/view?usp=drive_link</v>
      </c>
      <c r="O273" s="110" t="str">
        <f>IFERROR(__xludf.DUMMYFUNCTION("""COMPUTED_VALUE"""),"")</f>
        <v/>
      </c>
      <c r="P273" s="601" t="str">
        <f>IFERROR(__xludf.DUMMYFUNCTION("""COMPUTED_VALUE"""),"03/04/2024")</f>
        <v>03/04/2024</v>
      </c>
      <c r="Q273" s="110"/>
    </row>
    <row r="274">
      <c r="A274" s="73"/>
      <c r="B274" s="209" t="str">
        <f>IFERROR(__xludf.DUMMYFUNCTION("""COMPUTED_VALUE"""),"Executivos de Vendas")</f>
        <v>Executivos de Vendas</v>
      </c>
      <c r="C274" s="119" t="str">
        <f>IFERROR(__xludf.DUMMYFUNCTION("""COMPUTED_VALUE"""),"Desafios de vender novas ofertas (lançamentos de produto) ")</f>
        <v>Desafios de vender novas ofertas (lançamentos de produto) </v>
      </c>
      <c r="D274" s="104" t="str">
        <f>IFERROR(__xludf.DUMMYFUNCTION("""COMPUTED_VALUE"""),"Karina Lima")</f>
        <v>Karina Lima</v>
      </c>
      <c r="E274" s="228" t="str">
        <f>IFERROR(__xludf.DUMMYFUNCTION("""COMPUTED_VALUE"""),"Head of Startups")</f>
        <v>Head of Startups</v>
      </c>
      <c r="F274" s="453" t="str">
        <f>IFERROR(__xludf.DUMMYFUNCTION("""COMPUTED_VALUE"""),"Amazon AWS")</f>
        <v>Amazon AWS</v>
      </c>
      <c r="G274" s="455" t="str">
        <f>IFERROR(__xludf.DUMMYFUNCTION("""COMPUTED_VALUE"""),"https://www.linkedin.com/in/karinagflima/")</f>
        <v>https://www.linkedin.com/in/karinagflima/</v>
      </c>
      <c r="H274" s="453" t="str">
        <f>IFERROR(__xludf.DUMMYFUNCTION("""COMPUTED_VALUE"""),"Conhecimento Técnico")</f>
        <v>Conhecimento Técnico</v>
      </c>
      <c r="I274" s="648" t="str">
        <f>IFERROR(__xludf.DUMMYFUNCTION("""COMPUTED_VALUE"""),"Técnicas de Vendas")</f>
        <v>Técnicas de Vendas</v>
      </c>
      <c r="J274" s="679" t="str">
        <f>IFERROR(__xludf.DUMMYFUNCTION("""COMPUTED_VALUE"""),"Pitch Comercial")</f>
        <v>Pitch Comercial</v>
      </c>
      <c r="K274" s="128" t="str">
        <f>IFERROR(__xludf.DUMMYFUNCTION("""COMPUTED_VALUE"""),"https://universidade.pipelovers.net/aulas/desafios-de-vender-novas-ofertas-lancamentos-de-produto-1775077697142")</f>
        <v>https://universidade.pipelovers.net/aulas/desafios-de-vender-novas-ofertas-lancamentos-de-produto-1775077697142</v>
      </c>
      <c r="L274" s="535" t="str">
        <f>IFERROR(__xludf.DUMMYFUNCTION("""COMPUTED_VALUE"""),"https://universidade.pipelovers.net/aulas/desafios-de-vender-novas-ofertas-lancamentos-de-produto-1775077697142")</f>
        <v>https://universidade.pipelovers.net/aulas/desafios-de-vender-novas-ofertas-lancamentos-de-produto-1775077697142</v>
      </c>
      <c r="M274" s="379" t="str">
        <f>IFERROR(__xludf.DUMMYFUNCTION("""COMPUTED_VALUE"""),"4,5")</f>
        <v>4,5</v>
      </c>
      <c r="N274" s="644" t="str">
        <f>IFERROR(__xludf.DUMMYFUNCTION("""COMPUTED_VALUE"""),"https://drive.google.com/file/d/1xHgQPFNm89a7a6KjClFER_Qo3zleCUaq/view?usp=drive_link")</f>
        <v>https://drive.google.com/file/d/1xHgQPFNm89a7a6KjClFER_Qo3zleCUaq/view?usp=drive_link</v>
      </c>
      <c r="O274" s="110" t="str">
        <f>IFERROR(__xludf.DUMMYFUNCTION("""COMPUTED_VALUE"""),"")</f>
        <v/>
      </c>
      <c r="P274" s="601" t="str">
        <f>IFERROR(__xludf.DUMMYFUNCTION("""COMPUTED_VALUE"""),"10/04/2024")</f>
        <v>10/04/2024</v>
      </c>
      <c r="Q274" s="110"/>
    </row>
    <row r="275">
      <c r="A275" s="73"/>
      <c r="B275" s="209" t="str">
        <f>IFERROR(__xludf.DUMMYFUNCTION("""COMPUTED_VALUE"""),"Executivos de Vendas")</f>
        <v>Executivos de Vendas</v>
      </c>
      <c r="C275" s="104" t="str">
        <f>IFERROR(__xludf.DUMMYFUNCTION("""COMPUTED_VALUE"""),"Como vender para o CTO?")</f>
        <v>Como vender para o CTO?</v>
      </c>
      <c r="D275" s="104" t="str">
        <f>IFERROR(__xludf.DUMMYFUNCTION("""COMPUTED_VALUE"""),"Vanessa Tiba")</f>
        <v>Vanessa Tiba</v>
      </c>
      <c r="E275" s="151" t="str">
        <f>IFERROR(__xludf.DUMMYFUNCTION("""COMPUTED_VALUE"""),"Chief Sales Officer")</f>
        <v>Chief Sales Officer</v>
      </c>
      <c r="F275" s="648" t="str">
        <f>IFERROR(__xludf.DUMMYFUNCTION("""COMPUTED_VALUE"""),"Plusoft")</f>
        <v>Plusoft</v>
      </c>
      <c r="G275" s="647" t="str">
        <f>IFERROR(__xludf.DUMMYFUNCTION("""COMPUTED_VALUE"""),"https://www.linkedin.com/in/vanessatiba/")</f>
        <v>https://www.linkedin.com/in/vanessatiba/</v>
      </c>
      <c r="H275" s="648" t="str">
        <f>IFERROR(__xludf.DUMMYFUNCTION("""COMPUTED_VALUE"""),"Conhecimento Técnico")</f>
        <v>Conhecimento Técnico</v>
      </c>
      <c r="I275" s="648" t="str">
        <f>IFERROR(__xludf.DUMMYFUNCTION("""COMPUTED_VALUE"""),"Técnicas de Vendas")</f>
        <v>Técnicas de Vendas</v>
      </c>
      <c r="J275" s="649" t="str">
        <f>IFERROR(__xludf.DUMMYFUNCTION("""COMPUTED_VALUE"""),"Abordagem e Prospecção")</f>
        <v>Abordagem e Prospecção</v>
      </c>
      <c r="K275" s="114" t="str">
        <f>IFERROR(__xludf.DUMMYFUNCTION("""COMPUTED_VALUE"""),"https://universidade.pipelovers.net/m/lessons/como-vender-para-o-cto1769552355238?classId=2996")</f>
        <v>https://universidade.pipelovers.net/m/lessons/como-vender-para-o-cto1769552355238?classId=2996</v>
      </c>
      <c r="L275" s="535" t="str">
        <f>IFERROR(__xludf.DUMMYFUNCTION("""COMPUTED_VALUE"""),"https://universidade.pipelovers.net/m/lessons/como-vender-para-o-cto1769552355238?classId=2996")</f>
        <v>https://universidade.pipelovers.net/m/lessons/como-vender-para-o-cto1769552355238?classId=2996</v>
      </c>
      <c r="M275" s="379" t="str">
        <f>IFERROR(__xludf.DUMMYFUNCTION("""COMPUTED_VALUE"""),"3,5")</f>
        <v>3,5</v>
      </c>
      <c r="N275" s="644" t="str">
        <f>IFERROR(__xludf.DUMMYFUNCTION("""COMPUTED_VALUE"""),"https://drive.google.com/file/d/1yhB0j4pWeHglwXGm-M0dG1q8fAIPkhS3/view?usp=drive_link")</f>
        <v>https://drive.google.com/file/d/1yhB0j4pWeHglwXGm-M0dG1q8fAIPkhS3/view?usp=drive_link</v>
      </c>
      <c r="O275" s="110" t="str">
        <f>IFERROR(__xludf.DUMMYFUNCTION("""COMPUTED_VALUE"""),"")</f>
        <v/>
      </c>
      <c r="P275" s="601" t="str">
        <f>IFERROR(__xludf.DUMMYFUNCTION("""COMPUTED_VALUE"""),"17/04/2024")</f>
        <v>17/04/2024</v>
      </c>
      <c r="Q275" s="110"/>
    </row>
    <row r="276">
      <c r="A276" s="73"/>
      <c r="B276" s="209" t="str">
        <f>IFERROR(__xludf.DUMMYFUNCTION("""COMPUTED_VALUE"""),"Executivos de Vendas")</f>
        <v>Executivos de Vendas</v>
      </c>
      <c r="C276" s="268" t="str">
        <f>IFERROR(__xludf.DUMMYFUNCTION("""COMPUTED_VALUE"""),"PDI - Plano de Desenvolvimento Individual")</f>
        <v>PDI - Plano de Desenvolvimento Individual</v>
      </c>
      <c r="D276" s="104" t="str">
        <f>IFERROR(__xludf.DUMMYFUNCTION("""COMPUTED_VALUE"""),"Marcelo Pereira")</f>
        <v>Marcelo Pereira</v>
      </c>
      <c r="E276" s="228" t="str">
        <f>IFERROR(__xludf.DUMMYFUNCTION("""COMPUTED_VALUE"""),"Consultor e Professor de Vendas")</f>
        <v>Consultor e Professor de Vendas</v>
      </c>
      <c r="F276" s="453" t="str">
        <f>IFERROR(__xludf.DUMMYFUNCTION("""COMPUTED_VALUE"""),"-")</f>
        <v>-</v>
      </c>
      <c r="G276" s="455" t="str">
        <f>IFERROR(__xludf.DUMMYFUNCTION("""COMPUTED_VALUE"""),"https://www.linkedin.com/in/marcelopereira/")</f>
        <v>https://www.linkedin.com/in/marcelopereira/</v>
      </c>
      <c r="H276" s="453" t="str">
        <f>IFERROR(__xludf.DUMMYFUNCTION("""COMPUTED_VALUE"""),"Autodesenvolvimento")</f>
        <v>Autodesenvolvimento</v>
      </c>
      <c r="I276" s="453" t="str">
        <f>IFERROR(__xludf.DUMMYFUNCTION("""COMPUTED_VALUE"""),"Gestão de Tempo e da Informação")</f>
        <v>Gestão de Tempo e da Informação</v>
      </c>
      <c r="J276" s="679" t="str">
        <f>IFERROR(__xludf.DUMMYFUNCTION("""COMPUTED_VALUE"""),"Técnicas de Organização e Rotina")</f>
        <v>Técnicas de Organização e Rotina</v>
      </c>
      <c r="K276" s="128" t="str">
        <f>IFERROR(__xludf.DUMMYFUNCTION("""COMPUTED_VALUE"""),"https://universidade.pipelovers.net/m/lessons/pdi-plano-de-desenvolvimento-individual1769552355308?classId=2995")</f>
        <v>https://universidade.pipelovers.net/m/lessons/pdi-plano-de-desenvolvimento-individual1769552355308?classId=2995</v>
      </c>
      <c r="L276" s="535" t="str">
        <f>IFERROR(__xludf.DUMMYFUNCTION("""COMPUTED_VALUE"""),"https://universidade.pipelovers.net/m/lessons/pdi-plano-de-desenvolvimento-individual1769552355308?classId=2995")</f>
        <v>https://universidade.pipelovers.net/m/lessons/pdi-plano-de-desenvolvimento-individual1769552355308?classId=2995</v>
      </c>
      <c r="M276" s="379" t="str">
        <f>IFERROR(__xludf.DUMMYFUNCTION("""COMPUTED_VALUE"""),"3,71")</f>
        <v>3,71</v>
      </c>
      <c r="N276" s="644" t="str">
        <f>IFERROR(__xludf.DUMMYFUNCTION("""COMPUTED_VALUE"""),"https://drive.google.com/file/d/1xGOiPM5v1oPLw8y7jxt2hzM7Rxnal34X/view?usp=drive_link")</f>
        <v>https://drive.google.com/file/d/1xGOiPM5v1oPLw8y7jxt2hzM7Rxnal34X/view?usp=drive_link</v>
      </c>
      <c r="O276" s="110" t="str">
        <f>IFERROR(__xludf.DUMMYFUNCTION("""COMPUTED_VALUE"""),"")</f>
        <v/>
      </c>
      <c r="P276" s="601" t="str">
        <f>IFERROR(__xludf.DUMMYFUNCTION("""COMPUTED_VALUE"""),"24/04/2024")</f>
        <v>24/04/2024</v>
      </c>
      <c r="Q276" s="110"/>
    </row>
    <row r="277">
      <c r="A277" s="73"/>
      <c r="B277" s="209" t="str">
        <f>IFERROR(__xludf.DUMMYFUNCTION("""COMPUTED_VALUE"""),"Executivos de Vendas")</f>
        <v>Executivos de Vendas</v>
      </c>
      <c r="C277" s="104" t="str">
        <f>IFERROR(__xludf.DUMMYFUNCTION("""COMPUTED_VALUE"""),"Desvendando a Cadeia de Valor do Cliente")</f>
        <v>Desvendando a Cadeia de Valor do Cliente</v>
      </c>
      <c r="D277" s="104" t="str">
        <f>IFERROR(__xludf.DUMMYFUNCTION("""COMPUTED_VALUE"""),"Vitor Ramos")</f>
        <v>Vitor Ramos</v>
      </c>
      <c r="E277" s="151" t="str">
        <f>IFERROR(__xludf.DUMMYFUNCTION("""COMPUTED_VALUE"""),"-")</f>
        <v>-</v>
      </c>
      <c r="F277" s="648" t="str">
        <f>IFERROR(__xludf.DUMMYFUNCTION("""COMPUTED_VALUE"""),"-")</f>
        <v>-</v>
      </c>
      <c r="G277" s="647" t="str">
        <f>IFERROR(__xludf.DUMMYFUNCTION("""COMPUTED_VALUE"""),"https://www.linkedin.com/in/-vitor-ramos/")</f>
        <v>https://www.linkedin.com/in/-vitor-ramos/</v>
      </c>
      <c r="H277" s="648" t="str">
        <f>IFERROR(__xludf.DUMMYFUNCTION("""COMPUTED_VALUE"""),"Visão de Negócios")</f>
        <v>Visão de Negócios</v>
      </c>
      <c r="I277" s="648" t="str">
        <f>IFERROR(__xludf.DUMMYFUNCTION("""COMPUTED_VALUE"""),"Conhecimento do Negócio e seu Produto")</f>
        <v>Conhecimento do Negócio e seu Produto</v>
      </c>
      <c r="J277" s="649" t="str">
        <f>IFERROR(__xludf.DUMMYFUNCTION("""COMPUTED_VALUE"""),"Jornada de Compra do Cliente")</f>
        <v>Jornada de Compra do Cliente</v>
      </c>
      <c r="K277" s="650" t="str">
        <f>IFERROR(__xludf.DUMMYFUNCTION("""COMPUTED_VALUE"""),"https://universidade.pipelovers.net/m/lessons/desvendando-a-cadeia-de-valor-do-cliente1769552355447?classId=3008")</f>
        <v>https://universidade.pipelovers.net/m/lessons/desvendando-a-cadeia-de-valor-do-cliente1769552355447?classId=3008</v>
      </c>
      <c r="L277" s="474" t="str">
        <f>IFERROR(__xludf.DUMMYFUNCTION("""COMPUTED_VALUE"""),"https://universidade.pipelovers.net/m/lessons/desvendando-a-cadeia-de-valor-do-cliente1769552355447?classId=3008")</f>
        <v>https://universidade.pipelovers.net/m/lessons/desvendando-a-cadeia-de-valor-do-cliente1769552355447?classId=3008</v>
      </c>
      <c r="M277" s="379" t="str">
        <f>IFERROR(__xludf.DUMMYFUNCTION("""COMPUTED_VALUE"""),"4,36")</f>
        <v>4,36</v>
      </c>
      <c r="N277" s="644" t="str">
        <f>IFERROR(__xludf.DUMMYFUNCTION("""COMPUTED_VALUE"""),"https://drive.google.com/file/d/1S7bqTRTF3_9TBgX7xLvYXb4eIhtvfu6n/view?usp=drive_link")</f>
        <v>https://drive.google.com/file/d/1S7bqTRTF3_9TBgX7xLvYXb4eIhtvfu6n/view?usp=drive_link</v>
      </c>
      <c r="O277" s="110" t="str">
        <f>IFERROR(__xludf.DUMMYFUNCTION("""COMPUTED_VALUE"""),"")</f>
        <v/>
      </c>
      <c r="P277" s="601" t="str">
        <f>IFERROR(__xludf.DUMMYFUNCTION("""COMPUTED_VALUE"""),"01/05/2024")</f>
        <v>01/05/2024</v>
      </c>
      <c r="Q277" s="110"/>
    </row>
    <row r="278">
      <c r="A278" s="73"/>
      <c r="B278" s="209" t="str">
        <f>IFERROR(__xludf.DUMMYFUNCTION("""COMPUTED_VALUE"""),"Executivos de Vendas")</f>
        <v>Executivos de Vendas</v>
      </c>
      <c r="C278" s="104" t="str">
        <f>IFERROR(__xludf.DUMMYFUNCTION("""COMPUTED_VALUE"""),"CRM Analytics para vendedores B2B")</f>
        <v>CRM Analytics para vendedores B2B</v>
      </c>
      <c r="D278" s="104" t="str">
        <f>IFERROR(__xludf.DUMMYFUNCTION("""COMPUTED_VALUE"""),"Lucas Scridelli")</f>
        <v>Lucas Scridelli</v>
      </c>
      <c r="E278" s="228" t="str">
        <f>IFERROR(__xludf.DUMMYFUNCTION("""COMPUTED_VALUE"""),"Senior Consultant")</f>
        <v>Senior Consultant</v>
      </c>
      <c r="F278" s="453" t="str">
        <f>IFERROR(__xludf.DUMMYFUNCTION("""COMPUTED_VALUE"""),"Curamando")</f>
        <v>Curamando</v>
      </c>
      <c r="G278" s="455" t="str">
        <f>IFERROR(__xludf.DUMMYFUNCTION("""COMPUTED_VALUE"""),"https://www.linkedin.com/in/lucasscridelli/")</f>
        <v>https://www.linkedin.com/in/lucasscridelli/</v>
      </c>
      <c r="H278" s="453" t="str">
        <f>IFERROR(__xludf.DUMMYFUNCTION("""COMPUTED_VALUE"""),"Conhecimento Técnico")</f>
        <v>Conhecimento Técnico</v>
      </c>
      <c r="I278" s="453" t="str">
        <f>IFERROR(__xludf.DUMMYFUNCTION("""COMPUTED_VALUE"""),"Pensamento Crítico")</f>
        <v>Pensamento Crítico</v>
      </c>
      <c r="J278" s="679" t="str">
        <f>IFERROR(__xludf.DUMMYFUNCTION("""COMPUTED_VALUE"""),"Métricas de Funil")</f>
        <v>Métricas de Funil</v>
      </c>
      <c r="K278" s="114" t="str">
        <f>IFERROR(__xludf.DUMMYFUNCTION("""COMPUTED_VALUE"""),"https://universidade.pipelovers.net/m/lessons/crm-analytics-para-vendedores-b2b1769552355610?classId=3007")</f>
        <v>https://universidade.pipelovers.net/m/lessons/crm-analytics-para-vendedores-b2b1769552355610?classId=3007</v>
      </c>
      <c r="L278" s="535" t="str">
        <f>IFERROR(__xludf.DUMMYFUNCTION("""COMPUTED_VALUE"""),"https://universidade.pipelovers.net/m/lessons/crm-analytics-para-vendedores-b2b1769552355610?classId=3007")</f>
        <v>https://universidade.pipelovers.net/m/lessons/crm-analytics-para-vendedores-b2b1769552355610?classId=3007</v>
      </c>
      <c r="M278" s="379" t="str">
        <f>IFERROR(__xludf.DUMMYFUNCTION("""COMPUTED_VALUE"""),"1")</f>
        <v>1</v>
      </c>
      <c r="N278" s="644" t="str">
        <f>IFERROR(__xludf.DUMMYFUNCTION("""COMPUTED_VALUE"""),"https://drive.google.com/file/d/1DtrmHR0o90S3KZuKA1k9LiGbLIw28MLt/view?usp=drive_link")</f>
        <v>https://drive.google.com/file/d/1DtrmHR0o90S3KZuKA1k9LiGbLIw28MLt/view?usp=drive_link</v>
      </c>
      <c r="O278" s="110" t="str">
        <f>IFERROR(__xludf.DUMMYFUNCTION("""COMPUTED_VALUE"""),"")</f>
        <v/>
      </c>
      <c r="P278" s="601" t="str">
        <f>IFERROR(__xludf.DUMMYFUNCTION("""COMPUTED_VALUE"""),"08/05/2024")</f>
        <v>08/05/2024</v>
      </c>
      <c r="Q278" s="110"/>
    </row>
    <row r="279">
      <c r="A279" s="73"/>
      <c r="B279" s="209" t="str">
        <f>IFERROR(__xludf.DUMMYFUNCTION("""COMPUTED_VALUE"""),"Executivos de Vendas")</f>
        <v>Executivos de Vendas</v>
      </c>
      <c r="C279" s="119" t="str">
        <f>IFERROR(__xludf.DUMMYFUNCTION("""COMPUTED_VALUE"""),"Construção de relacionamentos em grandes contas")</f>
        <v>Construção de relacionamentos em grandes contas</v>
      </c>
      <c r="D279" s="104" t="str">
        <f>IFERROR(__xludf.DUMMYFUNCTION("""COMPUTED_VALUE"""),"Bernardo Agosti")</f>
        <v>Bernardo Agosti</v>
      </c>
      <c r="E279" s="151" t="str">
        <f>IFERROR(__xludf.DUMMYFUNCTION("""COMPUTED_VALUE"""),"Head of New Business")</f>
        <v>Head of New Business</v>
      </c>
      <c r="F279" s="648" t="str">
        <f>IFERROR(__xludf.DUMMYFUNCTION("""COMPUTED_VALUE"""),"MindMiners")</f>
        <v>MindMiners</v>
      </c>
      <c r="G279" s="647" t="str">
        <f>IFERROR(__xludf.DUMMYFUNCTION("""COMPUTED_VALUE"""),"https://www.linkedin.com/in/bernardo-agosti-a5032423/")</f>
        <v>https://www.linkedin.com/in/bernardo-agosti-a5032423/</v>
      </c>
      <c r="H279" s="648" t="str">
        <f>IFERROR(__xludf.DUMMYFUNCTION("""COMPUTED_VALUE"""),"Relacionamento Interpessoal")</f>
        <v>Relacionamento Interpessoal</v>
      </c>
      <c r="I279" s="648" t="str">
        <f>IFERROR(__xludf.DUMMYFUNCTION("""COMPUTED_VALUE"""),"Comunicação e Relacionamento")</f>
        <v>Comunicação e Relacionamento</v>
      </c>
      <c r="J279" s="649" t="str">
        <f>IFERROR(__xludf.DUMMYFUNCTION("""COMPUTED_VALUE"""),"Tecnicas de Rapport")</f>
        <v>Tecnicas de Rapport</v>
      </c>
      <c r="K279" s="128" t="str">
        <f>IFERROR(__xludf.DUMMYFUNCTION("""COMPUTED_VALUE"""),"https://universidade.pipelovers.net/m/lessons/construcao-de-relacionamentos-em-grandes-contas1769552355679?classId=3009")</f>
        <v>https://universidade.pipelovers.net/m/lessons/construcao-de-relacionamentos-em-grandes-contas1769552355679?classId=3009</v>
      </c>
      <c r="L279" s="535" t="str">
        <f>IFERROR(__xludf.DUMMYFUNCTION("""COMPUTED_VALUE"""),"https://universidade.pipelovers.net/m/lessons/construcao-de-relacionamentos-em-grandes-contas1769552355679?classId=3009")</f>
        <v>https://universidade.pipelovers.net/m/lessons/construcao-de-relacionamentos-em-grandes-contas1769552355679?classId=3009</v>
      </c>
      <c r="M279" s="379" t="str">
        <f>IFERROR(__xludf.DUMMYFUNCTION("""COMPUTED_VALUE"""),"3,71")</f>
        <v>3,71</v>
      </c>
      <c r="N279" s="644" t="str">
        <f>IFERROR(__xludf.DUMMYFUNCTION("""COMPUTED_VALUE"""),"https://drive.google.com/file/d/1msn4fFIWt9nr2ouGohxWUg_WAAKac8vr/view?usp=drive_link")</f>
        <v>https://drive.google.com/file/d/1msn4fFIWt9nr2ouGohxWUg_WAAKac8vr/view?usp=drive_link</v>
      </c>
      <c r="O279" s="110" t="str">
        <f>IFERROR(__xludf.DUMMYFUNCTION("""COMPUTED_VALUE"""),"")</f>
        <v/>
      </c>
      <c r="P279" s="601" t="str">
        <f>IFERROR(__xludf.DUMMYFUNCTION("""COMPUTED_VALUE"""),"15/05/2024")</f>
        <v>15/05/2024</v>
      </c>
      <c r="Q279" s="110"/>
    </row>
    <row r="280">
      <c r="A280" s="73"/>
      <c r="B280" s="209" t="str">
        <f>IFERROR(__xludf.DUMMYFUNCTION("""COMPUTED_VALUE"""),"Executivos de Vendas")</f>
        <v>Executivos de Vendas</v>
      </c>
      <c r="C280" s="104" t="str">
        <f>IFERROR(__xludf.DUMMYFUNCTION("""COMPUTED_VALUE"""),"""Challenger Sales"": a venda desafiadora")</f>
        <v>"Challenger Sales": a venda desafiadora</v>
      </c>
      <c r="D280" s="104" t="str">
        <f>IFERROR(__xludf.DUMMYFUNCTION("""COMPUTED_VALUE"""),"Marcell Rosa")</f>
        <v>Marcell Rosa</v>
      </c>
      <c r="E280" s="228" t="str">
        <f>IFERROR(__xludf.DUMMYFUNCTION("""COMPUTED_VALUE"""),"General Manager LATAM")</f>
        <v>General Manager LATAM</v>
      </c>
      <c r="F280" s="453" t="str">
        <f>IFERROR(__xludf.DUMMYFUNCTION("""COMPUTED_VALUE"""),"Clever Tap")</f>
        <v>Clever Tap</v>
      </c>
      <c r="G280" s="455" t="str">
        <f>IFERROR(__xludf.DUMMYFUNCTION("""COMPUTED_VALUE"""),"https://www.linkedin.com/in/marcellrosa/")</f>
        <v>https://www.linkedin.com/in/marcellrosa/</v>
      </c>
      <c r="H280" s="453" t="str">
        <f>IFERROR(__xludf.DUMMYFUNCTION("""COMPUTED_VALUE"""),"Conhecimento Técnico")</f>
        <v>Conhecimento Técnico</v>
      </c>
      <c r="I280" s="453" t="str">
        <f>IFERROR(__xludf.DUMMYFUNCTION("""COMPUTED_VALUE"""),"Gestão de Vendas")</f>
        <v>Gestão de Vendas</v>
      </c>
      <c r="J280" s="679" t="str">
        <f>IFERROR(__xludf.DUMMYFUNCTION("""COMPUTED_VALUE"""),"Metodologias de Vendas")</f>
        <v>Metodologias de Vendas</v>
      </c>
      <c r="K280" s="114" t="str">
        <f>IFERROR(__xludf.DUMMYFUNCTION("""COMPUTED_VALUE"""),"https://universidade.pipelovers.net/m/lessons/challenger-sales-a-venda-desafiadora1769552355728?classId=3010")</f>
        <v>https://universidade.pipelovers.net/m/lessons/challenger-sales-a-venda-desafiadora1769552355728?classId=3010</v>
      </c>
      <c r="L280" s="535" t="str">
        <f>IFERROR(__xludf.DUMMYFUNCTION("""COMPUTED_VALUE"""),"https://universidade.pipelovers.net/m/lessons/challenger-sales-a-venda-desafiadora1769552355728?classId=3010")</f>
        <v>https://universidade.pipelovers.net/m/lessons/challenger-sales-a-venda-desafiadora1769552355728?classId=3010</v>
      </c>
      <c r="M280" s="379" t="str">
        <f>IFERROR(__xludf.DUMMYFUNCTION("""COMPUTED_VALUE"""),"4,5")</f>
        <v>4,5</v>
      </c>
      <c r="N280" s="644" t="str">
        <f>IFERROR(__xludf.DUMMYFUNCTION("""COMPUTED_VALUE"""),"https://drive.google.com/file/d/1CalXqTBxl_nA4xOXfuWhgHX2FhkvIUZr/view?usp=drive_link")</f>
        <v>https://drive.google.com/file/d/1CalXqTBxl_nA4xOXfuWhgHX2FhkvIUZr/view?usp=drive_link</v>
      </c>
      <c r="O280" s="208" t="str">
        <f>IFERROR(__xludf.DUMMYFUNCTION("""COMPUTED_VALUE"""),"")</f>
        <v/>
      </c>
      <c r="P280" s="601" t="str">
        <f>IFERROR(__xludf.DUMMYFUNCTION("""COMPUTED_VALUE"""),"22/05/2024")</f>
        <v>22/05/2024</v>
      </c>
      <c r="Q280" s="208"/>
    </row>
    <row r="281">
      <c r="A281" s="73"/>
      <c r="B281" s="209" t="str">
        <f>IFERROR(__xludf.DUMMYFUNCTION("""COMPUTED_VALUE"""),"Executivos de Vendas")</f>
        <v>Executivos de Vendas</v>
      </c>
      <c r="C281" s="119" t="str">
        <f>IFERROR(__xludf.DUMMYFUNCTION("""COMPUTED_VALUE"""),"Diferenças de papéis entre Account Manager e CSM")</f>
        <v>Diferenças de papéis entre Account Manager e CSM</v>
      </c>
      <c r="D281" s="104" t="str">
        <f>IFERROR(__xludf.DUMMYFUNCTION("""COMPUTED_VALUE"""),"Beatriz Pontes")</f>
        <v>Beatriz Pontes</v>
      </c>
      <c r="E281" s="151" t="str">
        <f>IFERROR(__xludf.DUMMYFUNCTION("""COMPUTED_VALUE"""),"Enterprise Customer Success Manager")</f>
        <v>Enterprise Customer Success Manager</v>
      </c>
      <c r="F281" s="648" t="str">
        <f>IFERROR(__xludf.DUMMYFUNCTION("""COMPUTED_VALUE"""),"Udemy")</f>
        <v>Udemy</v>
      </c>
      <c r="G281" s="647" t="str">
        <f>IFERROR(__xludf.DUMMYFUNCTION("""COMPUTED_VALUE"""),"https://www.linkedin.com/in/beatrizpontes/")</f>
        <v>https://www.linkedin.com/in/beatrizpontes/</v>
      </c>
      <c r="H281" s="648" t="str">
        <f>IFERROR(__xludf.DUMMYFUNCTION("""COMPUTED_VALUE"""),"Visão de Negócios")</f>
        <v>Visão de Negócios</v>
      </c>
      <c r="I281" s="648" t="str">
        <f>IFERROR(__xludf.DUMMYFUNCTION("""COMPUTED_VALUE"""),"Conhecimento do Negócio e seu Produto")</f>
        <v>Conhecimento do Negócio e seu Produto</v>
      </c>
      <c r="J281" s="649" t="str">
        <f>IFERROR(__xludf.DUMMYFUNCTION("""COMPUTED_VALUE"""),"Jornada de Compra do Cliente")</f>
        <v>Jornada de Compra do Cliente</v>
      </c>
      <c r="K281" s="128" t="str">
        <f>IFERROR(__xludf.DUMMYFUNCTION("""COMPUTED_VALUE"""),"https://universidade.pipelovers.net/m/lessons/diferencas-de-papeis-entre-account-manager-e-csm1769552355906?classId=3011")</f>
        <v>https://universidade.pipelovers.net/m/lessons/diferencas-de-papeis-entre-account-manager-e-csm1769552355906?classId=3011</v>
      </c>
      <c r="L281" s="535" t="str">
        <f>IFERROR(__xludf.DUMMYFUNCTION("""COMPUTED_VALUE"""),"https://universidade.pipelovers.net/m/lessons/diferencas-de-papeis-entre-account-manager-e-csm1769552355906?classId=3011")</f>
        <v>https://universidade.pipelovers.net/m/lessons/diferencas-de-papeis-entre-account-manager-e-csm1769552355906?classId=3011</v>
      </c>
      <c r="M281" s="379" t="str">
        <f>IFERROR(__xludf.DUMMYFUNCTION("""COMPUTED_VALUE"""),"4,36")</f>
        <v>4,36</v>
      </c>
      <c r="N281" s="644" t="str">
        <f>IFERROR(__xludf.DUMMYFUNCTION("""COMPUTED_VALUE"""),"https://drive.google.com/file/d/1BMxor0b1UOHZB7HVB1A7csZttmwkeO_5/view?usp=drive_link")</f>
        <v>https://drive.google.com/file/d/1BMxor0b1UOHZB7HVB1A7csZttmwkeO_5/view?usp=drive_link</v>
      </c>
      <c r="O281" s="208" t="str">
        <f>IFERROR(__xludf.DUMMYFUNCTION("""COMPUTED_VALUE"""),"")</f>
        <v/>
      </c>
      <c r="P281" s="601" t="str">
        <f>IFERROR(__xludf.DUMMYFUNCTION("""COMPUTED_VALUE"""),"29/05/2024")</f>
        <v>29/05/2024</v>
      </c>
      <c r="Q281" s="208"/>
    </row>
    <row r="282">
      <c r="A282" s="73"/>
      <c r="B282" s="209" t="str">
        <f>IFERROR(__xludf.DUMMYFUNCTION("""COMPUTED_VALUE"""),"Executivos de Vendas")</f>
        <v>Executivos de Vendas</v>
      </c>
      <c r="C282" s="104" t="str">
        <f>IFERROR(__xludf.DUMMYFUNCTION("""COMPUTED_VALUE"""),"Varejo: dores e oportunidades do setor")</f>
        <v>Varejo: dores e oportunidades do setor</v>
      </c>
      <c r="D282" s="104" t="str">
        <f>IFERROR(__xludf.DUMMYFUNCTION("""COMPUTED_VALUE"""),"Ronan Maia")</f>
        <v>Ronan Maia</v>
      </c>
      <c r="E282" s="228" t="str">
        <f>IFERROR(__xludf.DUMMYFUNCTION("""COMPUTED_VALUE"""),"CEO")</f>
        <v>CEO</v>
      </c>
      <c r="F282" s="453" t="str">
        <f>IFERROR(__xludf.DUMMYFUNCTION("""COMPUTED_VALUE"""),"IPOG")</f>
        <v>IPOG</v>
      </c>
      <c r="G282" s="455" t="str">
        <f>IFERROR(__xludf.DUMMYFUNCTION("""COMPUTED_VALUE"""),"https://www.linkedin.com/in/ronanmaia/")</f>
        <v>https://www.linkedin.com/in/ronanmaia/</v>
      </c>
      <c r="H282" s="453" t="str">
        <f>IFERROR(__xludf.DUMMYFUNCTION("""COMPUTED_VALUE"""),"Visão de Negócios")</f>
        <v>Visão de Negócios</v>
      </c>
      <c r="I282" s="453" t="str">
        <f>IFERROR(__xludf.DUMMYFUNCTION("""COMPUTED_VALUE"""),"Tendências de Mercado")</f>
        <v>Tendências de Mercado</v>
      </c>
      <c r="J282" s="679" t="str">
        <f>IFERROR(__xludf.DUMMYFUNCTION("""COMPUTED_VALUE"""),"Tendencias do Setor")</f>
        <v>Tendencias do Setor</v>
      </c>
      <c r="K282" s="114" t="str">
        <f>IFERROR(__xludf.DUMMYFUNCTION("""COMPUTED_VALUE"""),"https://universidade.pipelovers.net/m/lessons/varejo-dores-e-oportunidades-do-setor1769552355983?classId=3012")</f>
        <v>https://universidade.pipelovers.net/m/lessons/varejo-dores-e-oportunidades-do-setor1769552355983?classId=3012</v>
      </c>
      <c r="L282" s="535" t="str">
        <f>IFERROR(__xludf.DUMMYFUNCTION("""COMPUTED_VALUE"""),"https://universidade.pipelovers.net/m/lessons/varejo-dores-e-oportunidades-do-setor1769552355983?classId=3012")</f>
        <v>https://universidade.pipelovers.net/m/lessons/varejo-dores-e-oportunidades-do-setor1769552355983?classId=3012</v>
      </c>
      <c r="M282" s="379" t="str">
        <f>IFERROR(__xludf.DUMMYFUNCTION("""COMPUTED_VALUE"""),"4,36")</f>
        <v>4,36</v>
      </c>
      <c r="N282" s="644" t="str">
        <f>IFERROR(__xludf.DUMMYFUNCTION("""COMPUTED_VALUE"""),"https://drive.google.com/file/d/1jHV9oZLFY_o6g1B2fetonL54B-S8h8yX/view?usp=drive_link")</f>
        <v>https://drive.google.com/file/d/1jHV9oZLFY_o6g1B2fetonL54B-S8h8yX/view?usp=drive_link</v>
      </c>
      <c r="O282" s="208" t="str">
        <f>IFERROR(__xludf.DUMMYFUNCTION("""COMPUTED_VALUE"""),"")</f>
        <v/>
      </c>
      <c r="P282" s="601" t="str">
        <f>IFERROR(__xludf.DUMMYFUNCTION("""COMPUTED_VALUE"""),"05/06/2024")</f>
        <v>05/06/2024</v>
      </c>
      <c r="Q282" s="208"/>
    </row>
    <row r="283">
      <c r="A283" s="73"/>
      <c r="B283" s="209" t="str">
        <f>IFERROR(__xludf.DUMMYFUNCTION("""COMPUTED_VALUE"""),"Executivos de Vendas")</f>
        <v>Executivos de Vendas</v>
      </c>
      <c r="C283" s="119" t="str">
        <f>IFERROR(__xludf.DUMMYFUNCTION("""COMPUTED_VALUE"""),"Como virar a chave de uma venda transacional para uma relacional")</f>
        <v>Como virar a chave de uma venda transacional para uma relacional</v>
      </c>
      <c r="D283" s="104" t="str">
        <f>IFERROR(__xludf.DUMMYFUNCTION("""COMPUTED_VALUE"""),"Felipe Ceitlin")</f>
        <v>Felipe Ceitlin</v>
      </c>
      <c r="E283" s="151" t="str">
        <f>IFERROR(__xludf.DUMMYFUNCTION("""COMPUTED_VALUE"""),"Head Comercial B2B")</f>
        <v>Head Comercial B2B</v>
      </c>
      <c r="F283" s="648" t="str">
        <f>IFERROR(__xludf.DUMMYFUNCTION("""COMPUTED_VALUE"""),"StartSe")</f>
        <v>StartSe</v>
      </c>
      <c r="G283" s="647" t="str">
        <f>IFERROR(__xludf.DUMMYFUNCTION("""COMPUTED_VALUE"""),"https://www.linkedin.com/in/ronanmaia/")</f>
        <v>https://www.linkedin.com/in/ronanmaia/</v>
      </c>
      <c r="H283" s="648" t="str">
        <f>IFERROR(__xludf.DUMMYFUNCTION("""COMPUTED_VALUE"""),"Relacionamento Interpessoal")</f>
        <v>Relacionamento Interpessoal</v>
      </c>
      <c r="I283" s="648" t="str">
        <f>IFERROR(__xludf.DUMMYFUNCTION("""COMPUTED_VALUE"""),"Comunicação e Relacionamento")</f>
        <v>Comunicação e Relacionamento</v>
      </c>
      <c r="J283" s="649" t="str">
        <f>IFERROR(__xludf.DUMMYFUNCTION("""COMPUTED_VALUE"""),"Tecnicas de Rapport")</f>
        <v>Tecnicas de Rapport</v>
      </c>
      <c r="K283" s="128" t="str">
        <f>IFERROR(__xludf.DUMMYFUNCTION("""COMPUTED_VALUE"""),"https://universidade.pipelovers.net/m/lessons/como-virar-a-chave-de-uma-venda-transacional-para-uma-relacional1769552356033?classId=3013")</f>
        <v>https://universidade.pipelovers.net/m/lessons/como-virar-a-chave-de-uma-venda-transacional-para-uma-relacional1769552356033?classId=3013</v>
      </c>
      <c r="L283" s="535" t="str">
        <f>IFERROR(__xludf.DUMMYFUNCTION("""COMPUTED_VALUE"""),"https://universidade.pipelovers.net/m/lessons/como-virar-a-chave-de-uma-venda-transacional-para-uma-relacional1769552356033?classId=3013")</f>
        <v>https://universidade.pipelovers.net/m/lessons/como-virar-a-chave-de-uma-venda-transacional-para-uma-relacional1769552356033?classId=3013</v>
      </c>
      <c r="M283" s="379" t="str">
        <f>IFERROR(__xludf.DUMMYFUNCTION("""COMPUTED_VALUE"""),"4,36")</f>
        <v>4,36</v>
      </c>
      <c r="N283" s="644" t="str">
        <f>IFERROR(__xludf.DUMMYFUNCTION("""COMPUTED_VALUE"""),"https://drive.google.com/file/d/1RjjP9B88bbLkEC57JF4u2jumRMey9ExQ/view?usp=drive_link")</f>
        <v>https://drive.google.com/file/d/1RjjP9B88bbLkEC57JF4u2jumRMey9ExQ/view?usp=drive_link</v>
      </c>
      <c r="O283" s="684" t="str">
        <f>IFERROR(__xludf.DUMMYFUNCTION("""COMPUTED_VALUE"""),"")</f>
        <v/>
      </c>
      <c r="P283" s="601" t="str">
        <f>IFERROR(__xludf.DUMMYFUNCTION("""COMPUTED_VALUE"""),"12/06/2024")</f>
        <v>12/06/2024</v>
      </c>
      <c r="Q283" s="684"/>
    </row>
    <row r="284">
      <c r="A284" s="73"/>
      <c r="B284" s="209" t="str">
        <f>IFERROR(__xludf.DUMMYFUNCTION("""COMPUTED_VALUE"""),"Executivos de Vendas")</f>
        <v>Executivos de Vendas</v>
      </c>
      <c r="C284" s="268" t="str">
        <f>IFERROR(__xludf.DUMMYFUNCTION("""COMPUTED_VALUE"""),"Como vender para o CHRO?")</f>
        <v>Como vender para o CHRO?</v>
      </c>
      <c r="D284" s="104" t="str">
        <f>IFERROR(__xludf.DUMMYFUNCTION("""COMPUTED_VALUE"""),"Manoela Mitchell")</f>
        <v>Manoela Mitchell</v>
      </c>
      <c r="E284" s="228" t="str">
        <f>IFERROR(__xludf.DUMMYFUNCTION("""COMPUTED_VALUE"""),"CEO &amp; Founder")</f>
        <v>CEO &amp; Founder</v>
      </c>
      <c r="F284" s="453" t="str">
        <f>IFERROR(__xludf.DUMMYFUNCTION("""COMPUTED_VALUE"""),"Pipo Saúde")</f>
        <v>Pipo Saúde</v>
      </c>
      <c r="G284" s="455" t="str">
        <f>IFERROR(__xludf.DUMMYFUNCTION("""COMPUTED_VALUE"""),"https://www.linkedin.com/in/felipe-f-ceitlin-122653124/")</f>
        <v>https://www.linkedin.com/in/felipe-f-ceitlin-122653124/</v>
      </c>
      <c r="H284" s="453" t="str">
        <f>IFERROR(__xludf.DUMMYFUNCTION("""COMPUTED_VALUE"""),"Conhecimento Técnico")</f>
        <v>Conhecimento Técnico</v>
      </c>
      <c r="I284" s="453" t="str">
        <f>IFERROR(__xludf.DUMMYFUNCTION("""COMPUTED_VALUE"""),"Técnicas de Vendas")</f>
        <v>Técnicas de Vendas</v>
      </c>
      <c r="J284" s="679" t="str">
        <f>IFERROR(__xludf.DUMMYFUNCTION("""COMPUTED_VALUE"""),"Abordagem e Prospecção")</f>
        <v>Abordagem e Prospecção</v>
      </c>
      <c r="K284" s="114" t="str">
        <f>IFERROR(__xludf.DUMMYFUNCTION("""COMPUTED_VALUE"""),"https://universidade.pipelovers.net/m/lessons/como-vender-para-o-chro1769552356129?classId=3014")</f>
        <v>https://universidade.pipelovers.net/m/lessons/como-vender-para-o-chro1769552356129?classId=3014</v>
      </c>
      <c r="L284" s="535" t="str">
        <f>IFERROR(__xludf.DUMMYFUNCTION("""COMPUTED_VALUE"""),"https://universidade.pipelovers.net/m/lessons/como-vender-para-o-chro1769552356129?classId=3014")</f>
        <v>https://universidade.pipelovers.net/m/lessons/como-vender-para-o-chro1769552356129?classId=3014</v>
      </c>
      <c r="M284" s="379" t="str">
        <f>IFERROR(__xludf.DUMMYFUNCTION("""COMPUTED_VALUE"""),"4,36")</f>
        <v>4,36</v>
      </c>
      <c r="N284" s="644" t="str">
        <f>IFERROR(__xludf.DUMMYFUNCTION("""COMPUTED_VALUE"""),"https://drive.google.com/file/d/1jXPmcCbMvmkkzlymGaD5el7JGcriBzbH/view?usp=drive_link")</f>
        <v>https://drive.google.com/file/d/1jXPmcCbMvmkkzlymGaD5el7JGcriBzbH/view?usp=drive_link</v>
      </c>
      <c r="O284" s="208" t="str">
        <f>IFERROR(__xludf.DUMMYFUNCTION("""COMPUTED_VALUE"""),"")</f>
        <v/>
      </c>
      <c r="P284" s="601" t="str">
        <f>IFERROR(__xludf.DUMMYFUNCTION("""COMPUTED_VALUE"""),"19/06/2024")</f>
        <v>19/06/2024</v>
      </c>
      <c r="Q284" s="208"/>
    </row>
    <row r="285">
      <c r="A285" s="73"/>
      <c r="B285" s="209" t="str">
        <f>IFERROR(__xludf.DUMMYFUNCTION("""COMPUTED_VALUE"""),"Executivos de Vendas")</f>
        <v>Executivos de Vendas</v>
      </c>
      <c r="C285" s="104" t="str">
        <f>IFERROR(__xludf.DUMMYFUNCTION("""COMPUTED_VALUE"""),"Roadmap to Close para gestão de forecast")</f>
        <v>Roadmap to Close para gestão de forecast</v>
      </c>
      <c r="D285" s="104" t="str">
        <f>IFERROR(__xludf.DUMMYFUNCTION("""COMPUTED_VALUE"""),"Leandro Hirose")</f>
        <v>Leandro Hirose</v>
      </c>
      <c r="E285" s="151" t="str">
        <f>IFERROR(__xludf.DUMMYFUNCTION("""COMPUTED_VALUE"""),"Account Director")</f>
        <v>Account Director</v>
      </c>
      <c r="F285" s="648" t="str">
        <f>IFERROR(__xludf.DUMMYFUNCTION("""COMPUTED_VALUE"""),"Salesforce")</f>
        <v>Salesforce</v>
      </c>
      <c r="G285" s="647" t="str">
        <f>IFERROR(__xludf.DUMMYFUNCTION("""COMPUTED_VALUE"""),"https://www.linkedin.com/in/manoelamitchell/")</f>
        <v>https://www.linkedin.com/in/manoelamitchell/</v>
      </c>
      <c r="H285" s="648" t="str">
        <f>IFERROR(__xludf.DUMMYFUNCTION("""COMPUTED_VALUE"""),"Conhecimento Técnico")</f>
        <v>Conhecimento Técnico</v>
      </c>
      <c r="I285" s="648" t="str">
        <f>IFERROR(__xludf.DUMMYFUNCTION("""COMPUTED_VALUE"""),"Gestão de Vendas")</f>
        <v>Gestão de Vendas</v>
      </c>
      <c r="J285" s="649" t="str">
        <f>IFERROR(__xludf.DUMMYFUNCTION("""COMPUTED_VALUE"""),"Rotinas e Rituais")</f>
        <v>Rotinas e Rituais</v>
      </c>
      <c r="K285" s="650" t="str">
        <f>IFERROR(__xludf.DUMMYFUNCTION("""COMPUTED_VALUE"""),"https://universidade.pipelovers.net/m/lessons/roadmap-to-close-para-gestao-de-forecast1769552356215?classId=3709")</f>
        <v>https://universidade.pipelovers.net/m/lessons/roadmap-to-close-para-gestao-de-forecast1769552356215?classId=3709</v>
      </c>
      <c r="L285" s="474" t="str">
        <f>IFERROR(__xludf.DUMMYFUNCTION("""COMPUTED_VALUE"""),"https://universidade.pipelovers.net/m/lessons/roadmap-to-close-para-gestao-de-forecast1769552356215?classId=3709")</f>
        <v>https://universidade.pipelovers.net/m/lessons/roadmap-to-close-para-gestao-de-forecast1769552356215?classId=3709</v>
      </c>
      <c r="M285" s="379" t="str">
        <f>IFERROR(__xludf.DUMMYFUNCTION("""COMPUTED_VALUE"""),"4,21")</f>
        <v>4,21</v>
      </c>
      <c r="N285" s="644" t="str">
        <f>IFERROR(__xludf.DUMMYFUNCTION("""COMPUTED_VALUE"""),"https://drive.google.com/file/d/1x79t1umMzg0-igMVXLBm-5aZymaQnNYH/view?usp=drive_link")</f>
        <v>https://drive.google.com/file/d/1x79t1umMzg0-igMVXLBm-5aZymaQnNYH/view?usp=drive_link</v>
      </c>
      <c r="O285" s="218" t="str">
        <f>IFERROR(__xludf.DUMMYFUNCTION("""COMPUTED_VALUE"""),"")</f>
        <v/>
      </c>
      <c r="P285" s="601" t="str">
        <f>IFERROR(__xludf.DUMMYFUNCTION("""COMPUTED_VALUE"""),"26/06/2024")</f>
        <v>26/06/2024</v>
      </c>
      <c r="Q285" s="218"/>
    </row>
    <row r="286">
      <c r="A286" s="73"/>
      <c r="B286" s="209" t="str">
        <f>IFERROR(__xludf.DUMMYFUNCTION("""COMPUTED_VALUE"""),"Executivos de Vendas")</f>
        <v>Executivos de Vendas</v>
      </c>
      <c r="C286" s="104" t="str">
        <f>IFERROR(__xludf.DUMMYFUNCTION("""COMPUTED_VALUE"""),"Modelos de Autogestão para Vendedores")</f>
        <v>Modelos de Autogestão para Vendedores</v>
      </c>
      <c r="D286" s="104" t="str">
        <f>IFERROR(__xludf.DUMMYFUNCTION("""COMPUTED_VALUE"""),"Cassio Lopes")</f>
        <v>Cassio Lopes</v>
      </c>
      <c r="E286" s="218" t="str">
        <f>IFERROR(__xludf.DUMMYFUNCTION("""COMPUTED_VALUE"""),"Sales Manager")</f>
        <v>Sales Manager</v>
      </c>
      <c r="F286" s="667" t="str">
        <f>IFERROR(__xludf.DUMMYFUNCTION("""COMPUTED_VALUE"""),"Zoho CRM")</f>
        <v>Zoho CRM</v>
      </c>
      <c r="G286" s="668" t="str">
        <f>IFERROR(__xludf.DUMMYFUNCTION("""COMPUTED_VALUE"""),"https://www.linkedin.com/in/leandrohirose")</f>
        <v>https://www.linkedin.com/in/leandrohirose</v>
      </c>
      <c r="H286" s="667" t="str">
        <f>IFERROR(__xludf.DUMMYFUNCTION("""COMPUTED_VALUE"""),"Autodesenvolvimento")</f>
        <v>Autodesenvolvimento</v>
      </c>
      <c r="I286" s="667" t="str">
        <f>IFERROR(__xludf.DUMMYFUNCTION("""COMPUTED_VALUE"""),"Gestão de Tempo e da Informação")</f>
        <v>Gestão de Tempo e da Informação</v>
      </c>
      <c r="J286" s="669" t="str">
        <f>IFERROR(__xludf.DUMMYFUNCTION("""COMPUTED_VALUE"""),"Priorização de Atividades")</f>
        <v>Priorização de Atividades</v>
      </c>
      <c r="K286" s="650" t="str">
        <f>IFERROR(__xludf.DUMMYFUNCTION("""COMPUTED_VALUE"""),"https://universidade.pipelovers.net/m/lessons/modelos-de-autogestao-para-vendedores1769552356266?classId=3710")</f>
        <v>https://universidade.pipelovers.net/m/lessons/modelos-de-autogestao-para-vendedores1769552356266?classId=3710</v>
      </c>
      <c r="L286" s="474" t="str">
        <f>IFERROR(__xludf.DUMMYFUNCTION("""COMPUTED_VALUE"""),"https://universidade.pipelovers.net/m/lessons/modelos-de-autogestao-para-vendedores1769552356266?classId=3710")</f>
        <v>https://universidade.pipelovers.net/m/lessons/modelos-de-autogestao-para-vendedores1769552356266?classId=3710</v>
      </c>
      <c r="M286" s="379" t="str">
        <f>IFERROR(__xludf.DUMMYFUNCTION("""COMPUTED_VALUE"""),"2")</f>
        <v>2</v>
      </c>
      <c r="N286" s="644" t="str">
        <f>IFERROR(__xludf.DUMMYFUNCTION("""COMPUTED_VALUE"""),"https://drive.google.com/file/d/1xr1zNDth15mYRh9CsRuijxmujQzxBKuF/view?usp=drive_link")</f>
        <v>https://drive.google.com/file/d/1xr1zNDth15mYRh9CsRuijxmujQzxBKuF/view?usp=drive_link</v>
      </c>
      <c r="O286" s="218" t="str">
        <f>IFERROR(__xludf.DUMMYFUNCTION("""COMPUTED_VALUE"""),"")</f>
        <v/>
      </c>
      <c r="P286" s="601" t="str">
        <f>IFERROR(__xludf.DUMMYFUNCTION("""COMPUTED_VALUE"""),"03/07/2024")</f>
        <v>03/07/2024</v>
      </c>
      <c r="Q286" s="218"/>
    </row>
    <row r="287">
      <c r="A287" s="73"/>
      <c r="B287" s="209" t="str">
        <f>IFERROR(__xludf.DUMMYFUNCTION("""COMPUTED_VALUE"""),"Executivos de Vendas")</f>
        <v>Executivos de Vendas</v>
      </c>
      <c r="C287" s="119" t="str">
        <f>IFERROR(__xludf.DUMMYFUNCTION("""COMPUTED_VALUE"""),"Demonstrações de Produto: como escalar e acelerar suas vendas?")</f>
        <v>Demonstrações de Produto: como escalar e acelerar suas vendas?</v>
      </c>
      <c r="D287" s="104" t="str">
        <f>IFERROR(__xludf.DUMMYFUNCTION("""COMPUTED_VALUE"""),"Vitor Oliveira")</f>
        <v>Vitor Oliveira</v>
      </c>
      <c r="E287" s="208" t="str">
        <f>IFERROR(__xludf.DUMMYFUNCTION("""COMPUTED_VALUE"""),"COO &amp; Co-founder")</f>
        <v>COO &amp; Co-founder</v>
      </c>
      <c r="F287" s="655" t="str">
        <f>IFERROR(__xludf.DUMMYFUNCTION("""COMPUTED_VALUE"""),"Getdemo")</f>
        <v>Getdemo</v>
      </c>
      <c r="G287" s="656" t="str">
        <f>IFERROR(__xludf.DUMMYFUNCTION("""COMPUTED_VALUE"""),"https://www.linkedin.com/in/cassio-lopes/")</f>
        <v>https://www.linkedin.com/in/cassio-lopes/</v>
      </c>
      <c r="H287" s="655" t="str">
        <f>IFERROR(__xludf.DUMMYFUNCTION("""COMPUTED_VALUE"""),"Conhecimento Técnico")</f>
        <v>Conhecimento Técnico</v>
      </c>
      <c r="I287" s="655" t="str">
        <f>IFERROR(__xludf.DUMMYFUNCTION("""COMPUTED_VALUE"""),"Técnicas de Vendas")</f>
        <v>Técnicas de Vendas</v>
      </c>
      <c r="J287" s="657" t="str">
        <f>IFERROR(__xludf.DUMMYFUNCTION("""COMPUTED_VALUE"""),"Pitch Comercial")</f>
        <v>Pitch Comercial</v>
      </c>
      <c r="K287" s="128" t="str">
        <f>IFERROR(__xludf.DUMMYFUNCTION("""COMPUTED_VALUE"""),"https://universidade.pipelovers.net/m/lessons/demonstracoes-de-produto-como-escalar-e-acelerar-suas-vendas1769552356376?classId=3711")</f>
        <v>https://universidade.pipelovers.net/m/lessons/demonstracoes-de-produto-como-escalar-e-acelerar-suas-vendas1769552356376?classId=3711</v>
      </c>
      <c r="L287" s="535" t="str">
        <f>IFERROR(__xludf.DUMMYFUNCTION("""COMPUTED_VALUE"""),"https://universidade.pipelovers.net/m/lessons/demonstracoes-de-produto-como-escalar-e-acelerar-suas-vendas1769552356376?classId=3711")</f>
        <v>https://universidade.pipelovers.net/m/lessons/demonstracoes-de-produto-como-escalar-e-acelerar-suas-vendas1769552356376?classId=3711</v>
      </c>
      <c r="M287" s="379" t="str">
        <f>IFERROR(__xludf.DUMMYFUNCTION("""COMPUTED_VALUE"""),"2")</f>
        <v>2</v>
      </c>
      <c r="N287" s="644" t="str">
        <f>IFERROR(__xludf.DUMMYFUNCTION("""COMPUTED_VALUE"""),"https://drive.google.com/file/d/1Fqs2FUWUiNLg-FnN-rbovLQwZHFMKpVv/view?usp=drive_link")</f>
        <v>https://drive.google.com/file/d/1Fqs2FUWUiNLg-FnN-rbovLQwZHFMKpVv/view?usp=drive_link</v>
      </c>
      <c r="O287" s="218" t="str">
        <f>IFERROR(__xludf.DUMMYFUNCTION("""COMPUTED_VALUE"""),"")</f>
        <v/>
      </c>
      <c r="P287" s="601" t="str">
        <f>IFERROR(__xludf.DUMMYFUNCTION("""COMPUTED_VALUE"""),"10/07/2024")</f>
        <v>10/07/2024</v>
      </c>
      <c r="Q287" s="218"/>
    </row>
    <row r="288">
      <c r="A288" s="73"/>
      <c r="B288" s="209" t="str">
        <f>IFERROR(__xludf.DUMMYFUNCTION("""COMPUTED_VALUE"""),"Executivos de Vendas")</f>
        <v>Executivos de Vendas</v>
      </c>
      <c r="C288" s="104" t="str">
        <f>IFERROR(__xludf.DUMMYFUNCTION("""COMPUTED_VALUE"""),"Como fugir da guerra de preços com concorrentes?")</f>
        <v>Como fugir da guerra de preços com concorrentes?</v>
      </c>
      <c r="D288" s="104" t="str">
        <f>IFERROR(__xludf.DUMMYFUNCTION("""COMPUTED_VALUE"""),"Marcelo Zeferino")</f>
        <v>Marcelo Zeferino</v>
      </c>
      <c r="E288" s="208" t="str">
        <f>IFERROR(__xludf.DUMMYFUNCTION("""COMPUTED_VALUE"""),"Chief Commercial Officer")</f>
        <v>Chief Commercial Officer</v>
      </c>
      <c r="F288" s="655" t="str">
        <f>IFERROR(__xludf.DUMMYFUNCTION("""COMPUTED_VALUE"""),"Prestex")</f>
        <v>Prestex</v>
      </c>
      <c r="G288" s="656" t="str">
        <f>IFERROR(__xludf.DUMMYFUNCTION("""COMPUTED_VALUE"""),"https://www.linkedin.com/in/vitor-ramos-pereira-oliveira/")</f>
        <v>https://www.linkedin.com/in/vitor-ramos-pereira-oliveira/</v>
      </c>
      <c r="H288" s="655" t="str">
        <f>IFERROR(__xludf.DUMMYFUNCTION("""COMPUTED_VALUE"""),"Conhecimento Técnico")</f>
        <v>Conhecimento Técnico</v>
      </c>
      <c r="I288" s="655" t="str">
        <f>IFERROR(__xludf.DUMMYFUNCTION("""COMPUTED_VALUE"""),"Técnicas de Vendas")</f>
        <v>Técnicas de Vendas</v>
      </c>
      <c r="J288" s="657" t="str">
        <f>IFERROR(__xludf.DUMMYFUNCTION("""COMPUTED_VALUE"""),"Negociação e Fechamento de Vendas")</f>
        <v>Negociação e Fechamento de Vendas</v>
      </c>
      <c r="K288" s="114" t="str">
        <f>IFERROR(__xludf.DUMMYFUNCTION("""COMPUTED_VALUE"""),"https://universidade.pipelovers.net/m/lessons/como-fugir-da-guerra-de-precos-com-concorrentes1769552365255?classId=3712")</f>
        <v>https://universidade.pipelovers.net/m/lessons/como-fugir-da-guerra-de-precos-com-concorrentes1769552365255?classId=3712</v>
      </c>
      <c r="L288" s="535" t="str">
        <f>IFERROR(__xludf.DUMMYFUNCTION("""COMPUTED_VALUE"""),"https://universidade.pipelovers.net/m/lessons/como-fugir-da-guerra-de-precos-com-concorrentes1769552365255?classId=3712")</f>
        <v>https://universidade.pipelovers.net/m/lessons/como-fugir-da-guerra-de-precos-com-concorrentes1769552365255?classId=3712</v>
      </c>
      <c r="M288" s="379" t="str">
        <f>IFERROR(__xludf.DUMMYFUNCTION("""COMPUTED_VALUE"""),"4,5")</f>
        <v>4,5</v>
      </c>
      <c r="N288" s="644" t="str">
        <f>IFERROR(__xludf.DUMMYFUNCTION("""COMPUTED_VALUE"""),"https://drive.google.com/file/d/1T9RUzBn9OsdPBI4rWcX7ytuqeha4J05G/view?usp=drive_link")</f>
        <v>https://drive.google.com/file/d/1T9RUzBn9OsdPBI4rWcX7ytuqeha4J05G/view?usp=drive_link</v>
      </c>
      <c r="O288" s="208" t="str">
        <f>IFERROR(__xludf.DUMMYFUNCTION("""COMPUTED_VALUE"""),"")</f>
        <v/>
      </c>
      <c r="P288" s="601" t="str">
        <f>IFERROR(__xludf.DUMMYFUNCTION("""COMPUTED_VALUE"""),"17/07/2024")</f>
        <v>17/07/2024</v>
      </c>
      <c r="Q288" s="208"/>
    </row>
    <row r="289">
      <c r="A289" s="73"/>
      <c r="B289" s="209" t="str">
        <f>IFERROR(__xludf.DUMMYFUNCTION("""COMPUTED_VALUE"""),"Executivos de Vendas")</f>
        <v>Executivos de Vendas</v>
      </c>
      <c r="C289" s="119" t="str">
        <f>IFERROR(__xludf.DUMMYFUNCTION("""COMPUTED_VALUE"""),"As 4 disciplinas da execução (4DX)")</f>
        <v>As 4 disciplinas da execução (4DX)</v>
      </c>
      <c r="D289" s="104" t="str">
        <f>IFERROR(__xludf.DUMMYFUNCTION("""COMPUTED_VALUE"""),"Bill Moraes")</f>
        <v>Bill Moraes</v>
      </c>
      <c r="E289" s="208" t="str">
        <f>IFERROR(__xludf.DUMMYFUNCTION("""COMPUTED_VALUE"""),"Executive VP &amp; General Manager")</f>
        <v>Executive VP &amp; General Manager</v>
      </c>
      <c r="F289" s="655" t="str">
        <f>IFERROR(__xludf.DUMMYFUNCTION("""COMPUTED_VALUE"""),"FranklinCovey")</f>
        <v>FranklinCovey</v>
      </c>
      <c r="G289" s="656" t="str">
        <f>IFERROR(__xludf.DUMMYFUNCTION("""COMPUTED_VALUE"""),"https://www.linkedin.com/in/marcelo-zeferino-a9422837/")</f>
        <v>https://www.linkedin.com/in/marcelo-zeferino-a9422837/</v>
      </c>
      <c r="H289" s="655" t="str">
        <f>IFERROR(__xludf.DUMMYFUNCTION("""COMPUTED_VALUE"""),"Autodesenvolvimento")</f>
        <v>Autodesenvolvimento</v>
      </c>
      <c r="I289" s="655" t="str">
        <f>IFERROR(__xludf.DUMMYFUNCTION("""COMPUTED_VALUE"""),"Gestão de Tempo e da Informação")</f>
        <v>Gestão de Tempo e da Informação</v>
      </c>
      <c r="J289" s="657" t="str">
        <f>IFERROR(__xludf.DUMMYFUNCTION("""COMPUTED_VALUE"""),"Priorização de Atividades")</f>
        <v>Priorização de Atividades</v>
      </c>
      <c r="K289" s="128" t="str">
        <f>IFERROR(__xludf.DUMMYFUNCTION("""COMPUTED_VALUE"""),"https://universidade.pipelovers.net/m/lessons/as-4-disciplinas-da-execucao-4dx1769552364686?classId=3713")</f>
        <v>https://universidade.pipelovers.net/m/lessons/as-4-disciplinas-da-execucao-4dx1769552364686?classId=3713</v>
      </c>
      <c r="L289" s="535" t="str">
        <f>IFERROR(__xludf.DUMMYFUNCTION("""COMPUTED_VALUE"""),"https://universidade.pipelovers.net/m/lessons/as-4-disciplinas-da-execucao-4dx1769552364686?classId=3713")</f>
        <v>https://universidade.pipelovers.net/m/lessons/as-4-disciplinas-da-execucao-4dx1769552364686?classId=3713</v>
      </c>
      <c r="M289" s="379" t="str">
        <f>IFERROR(__xludf.DUMMYFUNCTION("""COMPUTED_VALUE"""),"4,71")</f>
        <v>4,71</v>
      </c>
      <c r="N289" s="644" t="str">
        <f>IFERROR(__xludf.DUMMYFUNCTION("""COMPUTED_VALUE"""),"https://drive.google.com/file/d/1q8i1EFZ-dj4-FjpGIb4Vs_0aFqN0SFtI/view?usp=drive_link")</f>
        <v>https://drive.google.com/file/d/1q8i1EFZ-dj4-FjpGIb4Vs_0aFqN0SFtI/view?usp=drive_link</v>
      </c>
      <c r="O289" s="218" t="str">
        <f>IFERROR(__xludf.DUMMYFUNCTION("""COMPUTED_VALUE"""),"")</f>
        <v/>
      </c>
      <c r="P289" s="601" t="str">
        <f>IFERROR(__xludf.DUMMYFUNCTION("""COMPUTED_VALUE"""),"24/07/2024")</f>
        <v>24/07/2024</v>
      </c>
      <c r="Q289" s="218"/>
    </row>
    <row r="290">
      <c r="A290" s="73"/>
      <c r="B290" s="209" t="str">
        <f>IFERROR(__xludf.DUMMYFUNCTION("""COMPUTED_VALUE"""),"Executivos de Vendas")</f>
        <v>Executivos de Vendas</v>
      </c>
      <c r="C290" s="104" t="str">
        <f>IFERROR(__xludf.DUMMYFUNCTION("""COMPUTED_VALUE"""),"Aprendendo na prática em eventos presenciais")</f>
        <v>Aprendendo na prática em eventos presenciais</v>
      </c>
      <c r="D290" s="104" t="str">
        <f>IFERROR(__xludf.DUMMYFUNCTION("""COMPUTED_VALUE"""),"Diego Cordovez")</f>
        <v>Diego Cordovez</v>
      </c>
      <c r="E290" s="208" t="str">
        <f>IFERROR(__xludf.DUMMYFUNCTION("""COMPUTED_VALUE"""),"Chief Marketing Officer")</f>
        <v>Chief Marketing Officer</v>
      </c>
      <c r="F290" s="655" t="str">
        <f>IFERROR(__xludf.DUMMYFUNCTION("""COMPUTED_VALUE"""),"Meetime")</f>
        <v>Meetime</v>
      </c>
      <c r="G290" s="656" t="str">
        <f>IFERROR(__xludf.DUMMYFUNCTION("""COMPUTED_VALUE"""),"https://www.linkedin.com/in/billmoraes/")</f>
        <v>https://www.linkedin.com/in/billmoraes/</v>
      </c>
      <c r="H290" s="655" t="str">
        <f>IFERROR(__xludf.DUMMYFUNCTION("""COMPUTED_VALUE"""),"Autodesenvolvimento")</f>
        <v>Autodesenvolvimento</v>
      </c>
      <c r="I290" s="655" t="str">
        <f>IFERROR(__xludf.DUMMYFUNCTION("""COMPUTED_VALUE"""),"Aprendizado Ativo")</f>
        <v>Aprendizado Ativo</v>
      </c>
      <c r="J290" s="657" t="str">
        <f>IFERROR(__xludf.DUMMYFUNCTION("""COMPUTED_VALUE"""),"Benchmarking")</f>
        <v>Benchmarking</v>
      </c>
      <c r="K290" s="114" t="str">
        <f>IFERROR(__xludf.DUMMYFUNCTION("""COMPUTED_VALUE"""),"https://universidade.pipelovers.net/m/lessons/aprendendo-na-pratica-em-eventos-presenciais1769552365337?classId=3714")</f>
        <v>https://universidade.pipelovers.net/m/lessons/aprendendo-na-pratica-em-eventos-presenciais1769552365337?classId=3714</v>
      </c>
      <c r="L290" s="535" t="str">
        <f>IFERROR(__xludf.DUMMYFUNCTION("""COMPUTED_VALUE"""),"https://universidade.pipelovers.net/m/lessons/aprendendo-na-pratica-em-eventos-presenciais1769552365337?classId=3714")</f>
        <v>https://universidade.pipelovers.net/m/lessons/aprendendo-na-pratica-em-eventos-presenciais1769552365337?classId=3714</v>
      </c>
      <c r="M290" s="379" t="str">
        <f>IFERROR(__xludf.DUMMYFUNCTION("""COMPUTED_VALUE"""),"4,36")</f>
        <v>4,36</v>
      </c>
      <c r="N290" s="644" t="str">
        <f>IFERROR(__xludf.DUMMYFUNCTION("""COMPUTED_VALUE"""),"https://drive.google.com/file/d/1r70MAVICPsEeAWM4wGGMC4ocf3R9DBCR/view?usp=drive_link")</f>
        <v>https://drive.google.com/file/d/1r70MAVICPsEeAWM4wGGMC4ocf3R9DBCR/view?usp=drive_link</v>
      </c>
      <c r="O290" s="218" t="str">
        <f>IFERROR(__xludf.DUMMYFUNCTION("""COMPUTED_VALUE"""),"")</f>
        <v/>
      </c>
      <c r="P290" s="601" t="str">
        <f>IFERROR(__xludf.DUMMYFUNCTION("""COMPUTED_VALUE"""),"31/07/2024")</f>
        <v>31/07/2024</v>
      </c>
      <c r="Q290" s="218"/>
    </row>
    <row r="291">
      <c r="A291" s="73"/>
      <c r="B291" s="209" t="str">
        <f>IFERROR(__xludf.DUMMYFUNCTION("""COMPUTED_VALUE"""),"Executivos de Vendas")</f>
        <v>Executivos de Vendas</v>
      </c>
      <c r="C291" s="119" t="str">
        <f>IFERROR(__xludf.DUMMYFUNCTION("""COMPUTED_VALUE"""),"Como vender para o CFO?")</f>
        <v>Como vender para o CFO?</v>
      </c>
      <c r="D291" s="104" t="str">
        <f>IFERROR(__xludf.DUMMYFUNCTION("""COMPUTED_VALUE"""),"Alexandre Mafra")</f>
        <v>Alexandre Mafra</v>
      </c>
      <c r="E291" s="208" t="str">
        <f>IFERROR(__xludf.DUMMYFUNCTION("""COMPUTED_VALUE"""),"CFO")</f>
        <v>CFO</v>
      </c>
      <c r="F291" s="655" t="str">
        <f>IFERROR(__xludf.DUMMYFUNCTION("""COMPUTED_VALUE"""),"Clearsale")</f>
        <v>Clearsale</v>
      </c>
      <c r="G291" s="656" t="str">
        <f>IFERROR(__xludf.DUMMYFUNCTION("""COMPUTED_VALUE"""),"https://www.linkedin.com/in/mafra/")</f>
        <v>https://www.linkedin.com/in/mafra/</v>
      </c>
      <c r="H291" s="655" t="str">
        <f>IFERROR(__xludf.DUMMYFUNCTION("""COMPUTED_VALUE"""),"Conhecimento Técnico")</f>
        <v>Conhecimento Técnico</v>
      </c>
      <c r="I291" s="655" t="str">
        <f>IFERROR(__xludf.DUMMYFUNCTION("""COMPUTED_VALUE"""),"Técnicas de Vendas")</f>
        <v>Técnicas de Vendas</v>
      </c>
      <c r="J291" s="657" t="str">
        <f>IFERROR(__xludf.DUMMYFUNCTION("""COMPUTED_VALUE"""),"Abordagem e Prospecção")</f>
        <v>Abordagem e Prospecção</v>
      </c>
      <c r="K291" s="128" t="str">
        <f>IFERROR(__xludf.DUMMYFUNCTION("""COMPUTED_VALUE"""),"https://universidade.pipelovers.net/m/lessons/como-vender-para-o-cfo1769552365068?classId=3708")</f>
        <v>https://universidade.pipelovers.net/m/lessons/como-vender-para-o-cfo1769552365068?classId=3708</v>
      </c>
      <c r="L291" s="535" t="str">
        <f>IFERROR(__xludf.DUMMYFUNCTION("""COMPUTED_VALUE"""),"https://universidade.pipelovers.net/m/lessons/como-vender-para-o-cfo1769552365068?classId=3708")</f>
        <v>https://universidade.pipelovers.net/m/lessons/como-vender-para-o-cfo1769552365068?classId=3708</v>
      </c>
      <c r="M291" s="379" t="str">
        <f>IFERROR(__xludf.DUMMYFUNCTION("""COMPUTED_VALUE"""),"4,36")</f>
        <v>4,36</v>
      </c>
      <c r="N291" s="644" t="str">
        <f>IFERROR(__xludf.DUMMYFUNCTION("""COMPUTED_VALUE"""),"https://drive.google.com/file/d/18Kzwl00KhII0emWkHAJjVV4Xg9GSI6LO/view?usp=drive_link")</f>
        <v>https://drive.google.com/file/d/18Kzwl00KhII0emWkHAJjVV4Xg9GSI6LO/view?usp=drive_link</v>
      </c>
      <c r="O291" s="218" t="str">
        <f>IFERROR(__xludf.DUMMYFUNCTION("""COMPUTED_VALUE"""),"")</f>
        <v/>
      </c>
      <c r="P291" s="601" t="str">
        <f>IFERROR(__xludf.DUMMYFUNCTION("""COMPUTED_VALUE"""),"07/08/2024")</f>
        <v>07/08/2024</v>
      </c>
      <c r="Q291" s="218"/>
    </row>
    <row r="292">
      <c r="A292" s="73"/>
      <c r="B292" s="209" t="str">
        <f>IFERROR(__xludf.DUMMYFUNCTION("""COMPUTED_VALUE"""),"Executivos de Vendas")</f>
        <v>Executivos de Vendas</v>
      </c>
      <c r="C292" s="104" t="str">
        <f>IFERROR(__xludf.DUMMYFUNCTION("""COMPUTED_VALUE"""),"Agronegócio: dores e oportunidades do setor")</f>
        <v>Agronegócio: dores e oportunidades do setor</v>
      </c>
      <c r="D292" s="119" t="str">
        <f>IFERROR(__xludf.DUMMYFUNCTION("""COMPUTED_VALUE"""),"Mauricio Pagotto")</f>
        <v>Mauricio Pagotto</v>
      </c>
      <c r="E292" s="208" t="str">
        <f>IFERROR(__xludf.DUMMYFUNCTION("""COMPUTED_VALUE"""),"Chief Transformation Officer")</f>
        <v>Chief Transformation Officer</v>
      </c>
      <c r="F292" s="655" t="str">
        <f>IFERROR(__xludf.DUMMYFUNCTION("""COMPUTED_VALUE"""),"Lavoro")</f>
        <v>Lavoro</v>
      </c>
      <c r="G292" s="783" t="str">
        <f>IFERROR(__xludf.DUMMYFUNCTION("""COMPUTED_VALUE"""),"https://www.linkedin.com/in/maur%C3%ADcio-pagotto-278b1959/")</f>
        <v>https://www.linkedin.com/in/maur%C3%ADcio-pagotto-278b1959/</v>
      </c>
      <c r="H292" s="655" t="str">
        <f>IFERROR(__xludf.DUMMYFUNCTION("""COMPUTED_VALUE"""),"Visão de Negócios")</f>
        <v>Visão de Negócios</v>
      </c>
      <c r="I292" s="655" t="str">
        <f>IFERROR(__xludf.DUMMYFUNCTION("""COMPUTED_VALUE"""),"Tendências de Mercado")</f>
        <v>Tendências de Mercado</v>
      </c>
      <c r="J292" s="657" t="str">
        <f>IFERROR(__xludf.DUMMYFUNCTION("""COMPUTED_VALUE"""),"Tendencias do Setor")</f>
        <v>Tendencias do Setor</v>
      </c>
      <c r="K292" s="114" t="str">
        <f>IFERROR(__xludf.DUMMYFUNCTION("""COMPUTED_VALUE"""),"https://universidade.pipelovers.net/m/lessons/agronegocio-dores-e-oportunidades-do-setor1769552365094?classId=3715")</f>
        <v>https://universidade.pipelovers.net/m/lessons/agronegocio-dores-e-oportunidades-do-setor1769552365094?classId=3715</v>
      </c>
      <c r="L292" s="535" t="str">
        <f>IFERROR(__xludf.DUMMYFUNCTION("""COMPUTED_VALUE"""),"https://universidade.pipelovers.net/m/lessons/agronegocio-dores-e-oportunidades-do-setor1769552365094?classId=3715")</f>
        <v>https://universidade.pipelovers.net/m/lessons/agronegocio-dores-e-oportunidades-do-setor1769552365094?classId=3715</v>
      </c>
      <c r="M292" s="379" t="str">
        <f>IFERROR(__xludf.DUMMYFUNCTION("""COMPUTED_VALUE"""),"4,36")</f>
        <v>4,36</v>
      </c>
      <c r="N292" s="644" t="str">
        <f>IFERROR(__xludf.DUMMYFUNCTION("""COMPUTED_VALUE"""),"https://drive.google.com/file/d/1u6ScdhaDUxApUxQPlfjLe-l23JC-4-kS/view?usp=drive_link")</f>
        <v>https://drive.google.com/file/d/1u6ScdhaDUxApUxQPlfjLe-l23JC-4-kS/view?usp=drive_link</v>
      </c>
      <c r="O292" s="218" t="str">
        <f>IFERROR(__xludf.DUMMYFUNCTION("""COMPUTED_VALUE"""),"")</f>
        <v/>
      </c>
      <c r="P292" s="601" t="str">
        <f>IFERROR(__xludf.DUMMYFUNCTION("""COMPUTED_VALUE"""),"14/08/2024")</f>
        <v>14/08/2024</v>
      </c>
      <c r="Q292" s="218"/>
    </row>
    <row r="293">
      <c r="A293" s="73"/>
      <c r="B293" s="209" t="str">
        <f>IFERROR(__xludf.DUMMYFUNCTION("""COMPUTED_VALUE"""),"Executivos de Vendas")</f>
        <v>Executivos de Vendas</v>
      </c>
      <c r="C293" s="279" t="str">
        <f>IFERROR(__xludf.DUMMYFUNCTION("""COMPUTED_VALUE"""),"Customer Health Score: indicadores para prevenir o churn")</f>
        <v>Customer Health Score: indicadores para prevenir o churn</v>
      </c>
      <c r="D293" s="104" t="str">
        <f>IFERROR(__xludf.DUMMYFUNCTION("""COMPUTED_VALUE"""),"Leonardo Superti")</f>
        <v>Leonardo Superti</v>
      </c>
      <c r="E293" s="208" t="str">
        <f>IFERROR(__xludf.DUMMYFUNCTION("""COMPUTED_VALUE"""),"CEO &amp; Founder")</f>
        <v>CEO &amp; Founder</v>
      </c>
      <c r="F293" s="655" t="str">
        <f>IFERROR(__xludf.DUMMYFUNCTION("""COMPUTED_VALUE"""),"CustomerX")</f>
        <v>CustomerX</v>
      </c>
      <c r="G293" s="783" t="str">
        <f>IFERROR(__xludf.DUMMYFUNCTION("""COMPUTED_VALUE"""),"https://www.linkedin.com/in/superti/")</f>
        <v>https://www.linkedin.com/in/superti/</v>
      </c>
      <c r="H293" s="655" t="str">
        <f>IFERROR(__xludf.DUMMYFUNCTION("""COMPUTED_VALUE"""),"Conhecimento Técnico")</f>
        <v>Conhecimento Técnico</v>
      </c>
      <c r="I293" s="655" t="str">
        <f>IFERROR(__xludf.DUMMYFUNCTION("""COMPUTED_VALUE"""),"Técnicas de Vendas")</f>
        <v>Técnicas de Vendas</v>
      </c>
      <c r="J293" s="657" t="str">
        <f>IFERROR(__xludf.DUMMYFUNCTION("""COMPUTED_VALUE"""),"Gestão de Carteira de Clientes")</f>
        <v>Gestão de Carteira de Clientes</v>
      </c>
      <c r="K293" s="788" t="str">
        <f>IFERROR(__xludf.DUMMYFUNCTION("""COMPUTED_VALUE"""),"https://universidade.pipelovers.net/m/lessons/customer-health-score-indicadores-para-prevenir-o-churn1769552365136?classId=3716")</f>
        <v>https://universidade.pipelovers.net/m/lessons/customer-health-score-indicadores-para-prevenir-o-churn1769552365136?classId=3716</v>
      </c>
      <c r="L293" s="789" t="str">
        <f>IFERROR(__xludf.DUMMYFUNCTION("""COMPUTED_VALUE"""),"https://universidade.pipelovers.net/m/lessons/customer-health-score-indicadores-para-prevenir-o-churn1769552365136?classId=3716")</f>
        <v>https://universidade.pipelovers.net/m/lessons/customer-health-score-indicadores-para-prevenir-o-churn1769552365136?classId=3716</v>
      </c>
      <c r="M293" s="379" t="str">
        <f>IFERROR(__xludf.DUMMYFUNCTION("""COMPUTED_VALUE"""),"4,57")</f>
        <v>4,57</v>
      </c>
      <c r="N293" s="791" t="str">
        <f>IFERROR(__xludf.DUMMYFUNCTION("""COMPUTED_VALUE"""),"https://drive.google.com/file/d/1O0Vppbmd4hD4bVpleAt8qvtvHzhYYXfq/view?usp=drive_link")</f>
        <v>https://drive.google.com/file/d/1O0Vppbmd4hD4bVpleAt8qvtvHzhYYXfq/view?usp=drive_link</v>
      </c>
      <c r="O293" s="218" t="str">
        <f>IFERROR(__xludf.DUMMYFUNCTION("""COMPUTED_VALUE"""),"")</f>
        <v/>
      </c>
      <c r="P293" s="601" t="str">
        <f>IFERROR(__xludf.DUMMYFUNCTION("""COMPUTED_VALUE"""),"21/08/2024")</f>
        <v>21/08/2024</v>
      </c>
      <c r="Q293" s="218"/>
    </row>
    <row r="294">
      <c r="A294" s="73"/>
      <c r="B294" s="209" t="str">
        <f>IFERROR(__xludf.DUMMYFUNCTION("""COMPUTED_VALUE"""),"Executivos de Vendas")</f>
        <v>Executivos de Vendas</v>
      </c>
      <c r="C294" s="119" t="str">
        <f>IFERROR(__xludf.DUMMYFUNCTION("""COMPUTED_VALUE"""),"Best Sellers - Receita Previsível")</f>
        <v>Best Sellers - Receita Previsível</v>
      </c>
      <c r="D294" s="119" t="str">
        <f>IFERROR(__xludf.DUMMYFUNCTION("""COMPUTED_VALUE"""),"Aaron Ross")</f>
        <v>Aaron Ross</v>
      </c>
      <c r="E294" s="208" t="str">
        <f>IFERROR(__xludf.DUMMYFUNCTION("""COMPUTED_VALUE"""),"Autor do livro “Receita Previsível”")</f>
        <v>Autor do livro “Receita Previsível”</v>
      </c>
      <c r="F294" s="655" t="str">
        <f>IFERROR(__xludf.DUMMYFUNCTION("""COMPUTED_VALUE"""),"-")</f>
        <v>-</v>
      </c>
      <c r="G294" s="656" t="str">
        <f>IFERROR(__xludf.DUMMYFUNCTION("""COMPUTED_VALUE"""),"https://www.linkedin.com/in/aaronross/")</f>
        <v>https://www.linkedin.com/in/aaronross/</v>
      </c>
      <c r="H294" s="655" t="str">
        <f>IFERROR(__xludf.DUMMYFUNCTION("""COMPUTED_VALUE"""),"Autodesenvolvimento")</f>
        <v>Autodesenvolvimento</v>
      </c>
      <c r="I294" s="655" t="str">
        <f>IFERROR(__xludf.DUMMYFUNCTION("""COMPUTED_VALUE"""),"Aprendizado Ativo")</f>
        <v>Aprendizado Ativo</v>
      </c>
      <c r="J294" s="657" t="str">
        <f>IFERROR(__xludf.DUMMYFUNCTION("""COMPUTED_VALUE"""),"Benchmarking")</f>
        <v>Benchmarking</v>
      </c>
      <c r="K294" s="650" t="str">
        <f>IFERROR(__xludf.DUMMYFUNCTION("""COMPUTED_VALUE"""),"https://universidade.pipelovers.net/aulas/bestsellers-1775504294126")</f>
        <v>https://universidade.pipelovers.net/aulas/bestsellers-1775504294126</v>
      </c>
      <c r="L294" s="474" t="str">
        <f>IFERROR(__xludf.DUMMYFUNCTION("""COMPUTED_VALUE"""),"https://universidade.pipelovers.net/aulas/bestsellers-1775504294126")</f>
        <v>https://universidade.pipelovers.net/aulas/bestsellers-1775504294126</v>
      </c>
      <c r="M294" s="379" t="str">
        <f>IFERROR(__xludf.DUMMYFUNCTION("""COMPUTED_VALUE"""),"2")</f>
        <v>2</v>
      </c>
      <c r="N294" s="553"/>
      <c r="O294" s="151" t="str">
        <f>IFERROR(__xludf.DUMMYFUNCTION("""COMPUTED_VALUE"""),"")</f>
        <v/>
      </c>
      <c r="P294" s="601" t="str">
        <f>IFERROR(__xludf.DUMMYFUNCTION("""COMPUTED_VALUE"""),"28/08/2024")</f>
        <v>28/08/2024</v>
      </c>
      <c r="Q294" s="151"/>
    </row>
    <row r="295">
      <c r="A295" s="73"/>
      <c r="B295" s="209" t="str">
        <f>IFERROR(__xludf.DUMMYFUNCTION("""COMPUTED_VALUE"""),"Executivos de Vendas")</f>
        <v>Executivos de Vendas</v>
      </c>
      <c r="C295" s="119" t="str">
        <f>IFERROR(__xludf.DUMMYFUNCTION("""COMPUTED_VALUE"""),"Como vender para o CMO?")</f>
        <v>Como vender para o CMO?</v>
      </c>
      <c r="D295" s="104" t="str">
        <f>IFERROR(__xludf.DUMMYFUNCTION("""COMPUTED_VALUE"""),"David Costa Lima")</f>
        <v>David Costa Lima</v>
      </c>
      <c r="E295" s="208" t="str">
        <f>IFERROR(__xludf.DUMMYFUNCTION("""COMPUTED_VALUE"""),"Co-fundador")</f>
        <v>Co-fundador</v>
      </c>
      <c r="F295" s="655" t="str">
        <f>IFERROR(__xludf.DUMMYFUNCTION("""COMPUTED_VALUE"""),"B2B Insiders")</f>
        <v>B2B Insiders</v>
      </c>
      <c r="G295" s="656" t="str">
        <f>IFERROR(__xludf.DUMMYFUNCTION("""COMPUTED_VALUE"""),"https://www.linkedin.com/in/dacarjb/")</f>
        <v>https://www.linkedin.com/in/dacarjb/</v>
      </c>
      <c r="H295" s="655" t="str">
        <f>IFERROR(__xludf.DUMMYFUNCTION("""COMPUTED_VALUE"""),"Conhecimento Técnico")</f>
        <v>Conhecimento Técnico</v>
      </c>
      <c r="I295" s="655" t="str">
        <f>IFERROR(__xludf.DUMMYFUNCTION("""COMPUTED_VALUE"""),"Técnicas de Vendas")</f>
        <v>Técnicas de Vendas</v>
      </c>
      <c r="J295" s="657" t="str">
        <f>IFERROR(__xludf.DUMMYFUNCTION("""COMPUTED_VALUE"""),"Abordagem e Prospecção")</f>
        <v>Abordagem e Prospecção</v>
      </c>
      <c r="K295" s="128" t="str">
        <f>IFERROR(__xludf.DUMMYFUNCTION("""COMPUTED_VALUE"""),"https://universidade.pipelovers.net/m/lessons/como-vender-para-o-cmo1769552365162?classId=3717")</f>
        <v>https://universidade.pipelovers.net/m/lessons/como-vender-para-o-cmo1769552365162?classId=3717</v>
      </c>
      <c r="L295" s="535" t="str">
        <f>IFERROR(__xludf.DUMMYFUNCTION("""COMPUTED_VALUE"""),"https://universidade.pipelovers.net/m/lessons/como-vender-para-o-cmo1769552365162?classId=3717")</f>
        <v>https://universidade.pipelovers.net/m/lessons/como-vender-para-o-cmo1769552365162?classId=3717</v>
      </c>
      <c r="M295" s="379" t="str">
        <f>IFERROR(__xludf.DUMMYFUNCTION("""COMPUTED_VALUE"""),"2")</f>
        <v>2</v>
      </c>
      <c r="N295" s="644" t="str">
        <f>IFERROR(__xludf.DUMMYFUNCTION("""COMPUTED_VALUE"""),"https://drive.google.com/file/d/1nfaWQ83vOzGHWPFPS646mUeuLHCa5-tm/view?usp=drive_link")</f>
        <v>https://drive.google.com/file/d/1nfaWQ83vOzGHWPFPS646mUeuLHCa5-tm/view?usp=drive_link</v>
      </c>
      <c r="O295" s="228" t="str">
        <f>IFERROR(__xludf.DUMMYFUNCTION("""COMPUTED_VALUE"""),"")</f>
        <v/>
      </c>
      <c r="P295" s="601" t="str">
        <f>IFERROR(__xludf.DUMMYFUNCTION("""COMPUTED_VALUE"""),"04/09/2024")</f>
        <v>04/09/2024</v>
      </c>
      <c r="Q295" s="228"/>
    </row>
    <row r="296">
      <c r="A296" s="73"/>
      <c r="B296" s="209" t="str">
        <f>IFERROR(__xludf.DUMMYFUNCTION("""COMPUTED_VALUE"""),"Executivos de Vendas")</f>
        <v>Executivos de Vendas</v>
      </c>
      <c r="C296" s="104" t="str">
        <f>IFERROR(__xludf.DUMMYFUNCTION("""COMPUTED_VALUE"""),"Qualificação de oportunidades com SPIN Selling")</f>
        <v>Qualificação de oportunidades com SPIN Selling</v>
      </c>
      <c r="D296" s="119" t="str">
        <f>IFERROR(__xludf.DUMMYFUNCTION("""COMPUTED_VALUE"""),"Lincon Beraldo")</f>
        <v>Lincon Beraldo</v>
      </c>
      <c r="E296" s="208" t="str">
        <f>IFERROR(__xludf.DUMMYFUNCTION("""COMPUTED_VALUE"""),"CEO")</f>
        <v>CEO</v>
      </c>
      <c r="F296" s="655" t="str">
        <f>IFERROR(__xludf.DUMMYFUNCTION("""COMPUTED_VALUE"""),"LB Company")</f>
        <v>LB Company</v>
      </c>
      <c r="G296" s="656" t="str">
        <f>IFERROR(__xludf.DUMMYFUNCTION("""COMPUTED_VALUE"""),"https://www.linkedin.com/in/lincon-beraldo/")</f>
        <v>https://www.linkedin.com/in/lincon-beraldo/</v>
      </c>
      <c r="H296" s="655" t="str">
        <f>IFERROR(__xludf.DUMMYFUNCTION("""COMPUTED_VALUE"""),"Conhecimento Técnico")</f>
        <v>Conhecimento Técnico</v>
      </c>
      <c r="I296" s="655" t="str">
        <f>IFERROR(__xludf.DUMMYFUNCTION("""COMPUTED_VALUE"""),"Técnicas de Vendas")</f>
        <v>Técnicas de Vendas</v>
      </c>
      <c r="J296" s="657" t="str">
        <f>IFERROR(__xludf.DUMMYFUNCTION("""COMPUTED_VALUE"""),"Qualificação e Entendimento da Dor")</f>
        <v>Qualificação e Entendimento da Dor</v>
      </c>
      <c r="K296" s="114" t="str">
        <f>IFERROR(__xludf.DUMMYFUNCTION("""COMPUTED_VALUE"""),"https://universidade.pipelovers.net/m/lessons/qualificacao-de-oportunidades-com-spin-selling1769552365187?classId=3718")</f>
        <v>https://universidade.pipelovers.net/m/lessons/qualificacao-de-oportunidades-com-spin-selling1769552365187?classId=3718</v>
      </c>
      <c r="L296" s="535" t="str">
        <f>IFERROR(__xludf.DUMMYFUNCTION("""COMPUTED_VALUE"""),"https://universidade.pipelovers.net/m/lessons/qualificacao-de-oportunidades-com-spin-selling1769552365187?classId=3718")</f>
        <v>https://universidade.pipelovers.net/m/lessons/qualificacao-de-oportunidades-com-spin-selling1769552365187?classId=3718</v>
      </c>
      <c r="M296" s="379" t="str">
        <f>IFERROR(__xludf.DUMMYFUNCTION("""COMPUTED_VALUE"""),"4,71")</f>
        <v>4,71</v>
      </c>
      <c r="N296" s="644" t="str">
        <f>IFERROR(__xludf.DUMMYFUNCTION("""COMPUTED_VALUE"""),"https://drive.google.com/file/d/1aPBZ9Cxxtz0KBqqSpzdycDGpuVdSRRwu/view?usp=drive_link")</f>
        <v>https://drive.google.com/file/d/1aPBZ9Cxxtz0KBqqSpzdycDGpuVdSRRwu/view?usp=drive_link</v>
      </c>
      <c r="O296" s="151" t="str">
        <f>IFERROR(__xludf.DUMMYFUNCTION("""COMPUTED_VALUE"""),"")</f>
        <v/>
      </c>
      <c r="P296" s="601" t="str">
        <f>IFERROR(__xludf.DUMMYFUNCTION("""COMPUTED_VALUE"""),"11/09/2024")</f>
        <v>11/09/2024</v>
      </c>
      <c r="Q296" s="151"/>
    </row>
    <row r="297">
      <c r="A297" s="73"/>
      <c r="B297" s="209" t="str">
        <f>IFERROR(__xludf.DUMMYFUNCTION("""COMPUTED_VALUE"""),"Executivos de Vendas")</f>
        <v>Executivos de Vendas</v>
      </c>
      <c r="C297" s="119" t="str">
        <f>IFERROR(__xludf.DUMMYFUNCTION("""COMPUTED_VALUE"""),"Segmentação de Mercado e Priorização de Clientes")</f>
        <v>Segmentação de Mercado e Priorização de Clientes</v>
      </c>
      <c r="D297" s="104" t="str">
        <f>IFERROR(__xludf.DUMMYFUNCTION("""COMPUTED_VALUE"""),"Pedro Lage")</f>
        <v>Pedro Lage</v>
      </c>
      <c r="E297" s="218" t="str">
        <f>IFERROR(__xludf.DUMMYFUNCTION("""COMPUTED_VALUE"""),"Sales Director")</f>
        <v>Sales Director</v>
      </c>
      <c r="F297" s="667" t="str">
        <f>IFERROR(__xludf.DUMMYFUNCTION("""COMPUTED_VALUE"""),"Cortex")</f>
        <v>Cortex</v>
      </c>
      <c r="G297" s="668" t="str">
        <f>IFERROR(__xludf.DUMMYFUNCTION("""COMPUTED_VALUE"""),"https://www.linkedin.com/in/pedro-lage/")</f>
        <v>https://www.linkedin.com/in/pedro-lage/</v>
      </c>
      <c r="H297" s="667" t="str">
        <f>IFERROR(__xludf.DUMMYFUNCTION("""COMPUTED_VALUE"""),"Visão de Negócios")</f>
        <v>Visão de Negócios</v>
      </c>
      <c r="I297" s="667" t="str">
        <f>IFERROR(__xludf.DUMMYFUNCTION("""COMPUTED_VALUE"""),"Conhecimento de Produto e Negócio")</f>
        <v>Conhecimento de Produto e Negócio</v>
      </c>
      <c r="J297" s="669" t="str">
        <f>IFERROR(__xludf.DUMMYFUNCTION("""COMPUTED_VALUE"""),"Segmentação de Mercado")</f>
        <v>Segmentação de Mercado</v>
      </c>
      <c r="K297" s="128" t="str">
        <f>IFERROR(__xludf.DUMMYFUNCTION("""COMPUTED_VALUE"""),"https://universidade.pipelovers.net/m/lessons/segmentacao-de-mercado-e-priorizacao-de-clientes1769552365215?classId=3722")</f>
        <v>https://universidade.pipelovers.net/m/lessons/segmentacao-de-mercado-e-priorizacao-de-clientes1769552365215?classId=3722</v>
      </c>
      <c r="L297" s="535" t="str">
        <f>IFERROR(__xludf.DUMMYFUNCTION("""COMPUTED_VALUE"""),"https://universidade.pipelovers.net/m/lessons/segmentacao-de-mercado-e-priorizacao-de-clientes1769552365215?classId=3722")</f>
        <v>https://universidade.pipelovers.net/m/lessons/segmentacao-de-mercado-e-priorizacao-de-clientes1769552365215?classId=3722</v>
      </c>
      <c r="M297" s="379" t="str">
        <f>IFERROR(__xludf.DUMMYFUNCTION("""COMPUTED_VALUE"""),"4,57")</f>
        <v>4,57</v>
      </c>
      <c r="N297" s="644" t="str">
        <f>IFERROR(__xludf.DUMMYFUNCTION("""COMPUTED_VALUE"""),"https://drive.google.com/file/d/1bx8sprQ434DbTeoZT6M8TakrAGLpfdWL/view?usp=drive_link")</f>
        <v>https://drive.google.com/file/d/1bx8sprQ434DbTeoZT6M8TakrAGLpfdWL/view?usp=drive_link</v>
      </c>
      <c r="O297" s="228" t="str">
        <f>IFERROR(__xludf.DUMMYFUNCTION("""COMPUTED_VALUE"""),"")</f>
        <v/>
      </c>
      <c r="P297" s="601" t="str">
        <f>IFERROR(__xludf.DUMMYFUNCTION("""COMPUTED_VALUE"""),"18/09/2024")</f>
        <v>18/09/2024</v>
      </c>
      <c r="Q297" s="228"/>
    </row>
    <row r="298">
      <c r="A298" s="73"/>
      <c r="B298" s="209" t="str">
        <f>IFERROR(__xludf.DUMMYFUNCTION("""COMPUTED_VALUE"""),"Executivos de Vendas")</f>
        <v>Executivos de Vendas</v>
      </c>
      <c r="C298" s="104" t="str">
        <f>IFERROR(__xludf.DUMMYFUNCTION("""COMPUTED_VALUE"""),"Técnicas de organização de funil para previsibilidade")</f>
        <v>Técnicas de organização de funil para previsibilidade</v>
      </c>
      <c r="D298" s="119" t="str">
        <f>IFERROR(__xludf.DUMMYFUNCTION("""COMPUTED_VALUE"""),"Rodrigo Becker Cabral")</f>
        <v>Rodrigo Becker Cabral</v>
      </c>
      <c r="E298" s="208" t="str">
        <f>IFERROR(__xludf.DUMMYFUNCTION("""COMPUTED_VALUE"""),"Diretor de vendas e marketing")</f>
        <v>Diretor de vendas e marketing</v>
      </c>
      <c r="F298" s="655" t="str">
        <f>IFERROR(__xludf.DUMMYFUNCTION("""COMPUTED_VALUE"""),"Progic")</f>
        <v>Progic</v>
      </c>
      <c r="G298" s="656" t="str">
        <f>IFERROR(__xludf.DUMMYFUNCTION("""COMPUTED_VALUE"""),"https://www.linkedin.com/in/rodrigobeckecabral/")</f>
        <v>https://www.linkedin.com/in/rodrigobeckecabral/</v>
      </c>
      <c r="H298" s="655" t="str">
        <f>IFERROR(__xludf.DUMMYFUNCTION("""COMPUTED_VALUE"""),"Conhecimento Técnico")</f>
        <v>Conhecimento Técnico</v>
      </c>
      <c r="I298" s="655" t="str">
        <f>IFERROR(__xludf.DUMMYFUNCTION("""COMPUTED_VALUE"""),"Gestão de Vendas")</f>
        <v>Gestão de Vendas</v>
      </c>
      <c r="J298" s="657" t="str">
        <f>IFERROR(__xludf.DUMMYFUNCTION("""COMPUTED_VALUE"""),"Rotinas e Rituais")</f>
        <v>Rotinas e Rituais</v>
      </c>
      <c r="K298" s="114" t="str">
        <f>IFERROR(__xludf.DUMMYFUNCTION("""COMPUTED_VALUE"""),"https://universidade.pipelovers.net/m/lessons/tecnicas-de-organizacao-de-funil-para-previsibilidade1769552365452?classId=3721")</f>
        <v>https://universidade.pipelovers.net/m/lessons/tecnicas-de-organizacao-de-funil-para-previsibilidade1769552365452?classId=3721</v>
      </c>
      <c r="L298" s="535" t="str">
        <f>IFERROR(__xludf.DUMMYFUNCTION("""COMPUTED_VALUE"""),"https://universidade.pipelovers.net/m/lessons/tecnicas-de-organizacao-de-funil-para-previsibilidade1769552365452?classId=3721")</f>
        <v>https://universidade.pipelovers.net/m/lessons/tecnicas-de-organizacao-de-funil-para-previsibilidade1769552365452?classId=3721</v>
      </c>
      <c r="M298" s="379" t="str">
        <f>IFERROR(__xludf.DUMMYFUNCTION("""COMPUTED_VALUE"""),"3,5")</f>
        <v>3,5</v>
      </c>
      <c r="N298" s="644" t="str">
        <f>IFERROR(__xludf.DUMMYFUNCTION("""COMPUTED_VALUE"""),"https://drive.google.com/file/d/1HSLHJBczT4nYRImGdvdScHl_2NzuZ0wp/view?usp=drive_link")</f>
        <v>https://drive.google.com/file/d/1HSLHJBczT4nYRImGdvdScHl_2NzuZ0wp/view?usp=drive_link</v>
      </c>
      <c r="O298" s="151" t="str">
        <f>IFERROR(__xludf.DUMMYFUNCTION("""COMPUTED_VALUE"""),"")</f>
        <v/>
      </c>
      <c r="P298" s="601" t="str">
        <f>IFERROR(__xludf.DUMMYFUNCTION("""COMPUTED_VALUE"""),"25/09/2024")</f>
        <v>25/09/2024</v>
      </c>
      <c r="Q298" s="151"/>
    </row>
    <row r="299">
      <c r="A299" s="73"/>
      <c r="B299" s="209" t="str">
        <f>IFERROR(__xludf.DUMMYFUNCTION("""COMPUTED_VALUE"""),"Executivos de Vendas")</f>
        <v>Executivos de Vendas</v>
      </c>
      <c r="C299" s="119" t="str">
        <f>IFERROR(__xludf.DUMMYFUNCTION("""COMPUTED_VALUE"""),"Autodidata: vendedores aprendendo por conta própria")</f>
        <v>Autodidata: vendedores aprendendo por conta própria</v>
      </c>
      <c r="D299" s="104" t="str">
        <f>IFERROR(__xludf.DUMMYFUNCTION("""COMPUTED_VALUE"""),"Izabela Guarino")</f>
        <v>Izabela Guarino</v>
      </c>
      <c r="E299" s="208" t="str">
        <f>IFERROR(__xludf.DUMMYFUNCTION("""COMPUTED_VALUE"""),"Head of Product &amp; Content")</f>
        <v>Head of Product &amp; Content</v>
      </c>
      <c r="F299" s="655" t="str">
        <f>IFERROR(__xludf.DUMMYFUNCTION("""COMPUTED_VALUE"""),"Triple Session")</f>
        <v>Triple Session</v>
      </c>
      <c r="G299" s="656" t="str">
        <f>IFERROR(__xludf.DUMMYFUNCTION("""COMPUTED_VALUE"""),"https://www.linkedin.com/in/izabelaguarino/")</f>
        <v>https://www.linkedin.com/in/izabelaguarino/</v>
      </c>
      <c r="H299" s="655" t="str">
        <f>IFERROR(__xludf.DUMMYFUNCTION("""COMPUTED_VALUE"""),"Autodesenvolvimento")</f>
        <v>Autodesenvolvimento</v>
      </c>
      <c r="I299" s="655" t="str">
        <f>IFERROR(__xludf.DUMMYFUNCTION("""COMPUTED_VALUE"""),"Aprendizado Ativo")</f>
        <v>Aprendizado Ativo</v>
      </c>
      <c r="J299" s="657" t="str">
        <f>IFERROR(__xludf.DUMMYFUNCTION("""COMPUTED_VALUE"""),"Benchmarking")</f>
        <v>Benchmarking</v>
      </c>
      <c r="K299" s="128" t="str">
        <f>IFERROR(__xludf.DUMMYFUNCTION("""COMPUTED_VALUE"""),"https://universidade.pipelovers.net/m/lessons/autodidata-vendedores-aprendendo-por-conta-propria1769552365413?classId=3720")</f>
        <v>https://universidade.pipelovers.net/m/lessons/autodidata-vendedores-aprendendo-por-conta-propria1769552365413?classId=3720</v>
      </c>
      <c r="L299" s="535" t="str">
        <f>IFERROR(__xludf.DUMMYFUNCTION("""COMPUTED_VALUE"""),"https://universidade.pipelovers.net/m/lessons/autodidata-vendedores-aprendendo-por-conta-propria1769552365413?classId=3720")</f>
        <v>https://universidade.pipelovers.net/m/lessons/autodidata-vendedores-aprendendo-por-conta-propria1769552365413?classId=3720</v>
      </c>
      <c r="M299" s="379" t="str">
        <f>IFERROR(__xludf.DUMMYFUNCTION("""COMPUTED_VALUE"""),"4,14")</f>
        <v>4,14</v>
      </c>
      <c r="N299" s="644" t="str">
        <f>IFERROR(__xludf.DUMMYFUNCTION("""COMPUTED_VALUE"""),"https://drive.google.com/file/d/14UE-U2BLeek_Z6fJMvZUyz7L9sILQCO7/view?usp=drive_link")</f>
        <v>https://drive.google.com/file/d/14UE-U2BLeek_Z6fJMvZUyz7L9sILQCO7/view?usp=drive_link</v>
      </c>
      <c r="O299" s="228" t="str">
        <f>IFERROR(__xludf.DUMMYFUNCTION("""COMPUTED_VALUE"""),"")</f>
        <v/>
      </c>
      <c r="P299" s="601" t="str">
        <f>IFERROR(__xludf.DUMMYFUNCTION("""COMPUTED_VALUE"""),"02/10/2024")</f>
        <v>02/10/2024</v>
      </c>
      <c r="Q299" s="228"/>
    </row>
    <row r="300">
      <c r="A300" s="73"/>
      <c r="B300" s="209" t="str">
        <f>IFERROR(__xludf.DUMMYFUNCTION("""COMPUTED_VALUE"""),"Executivos de Vendas")</f>
        <v>Executivos de Vendas</v>
      </c>
      <c r="C300" s="268" t="str">
        <f>IFERROR(__xludf.DUMMYFUNCTION("""COMPUTED_VALUE"""),"Mapeamento e influência no comitê de compras")</f>
        <v>Mapeamento e influência no comitê de compras</v>
      </c>
      <c r="D300" s="119" t="str">
        <f>IFERROR(__xludf.DUMMYFUNCTION("""COMPUTED_VALUE"""),"André Ribeiro")</f>
        <v>André Ribeiro</v>
      </c>
      <c r="E300" s="208" t="str">
        <f>IFERROR(__xludf.DUMMYFUNCTION("""COMPUTED_VALUE"""),"Outbound Sales Leader")</f>
        <v>Outbound Sales Leader</v>
      </c>
      <c r="F300" s="655" t="str">
        <f>IFERROR(__xludf.DUMMYFUNCTION("""COMPUTED_VALUE"""),"Pipefy")</f>
        <v>Pipefy</v>
      </c>
      <c r="G300" s="656" t="str">
        <f>IFERROR(__xludf.DUMMYFUNCTION("""COMPUTED_VALUE"""),"https://www.linkedin.com/in/andrepribeiro/")</f>
        <v>https://www.linkedin.com/in/andrepribeiro/</v>
      </c>
      <c r="H300" s="655" t="str">
        <f>IFERROR(__xludf.DUMMYFUNCTION("""COMPUTED_VALUE"""),"Relacionamento Interpessoal")</f>
        <v>Relacionamento Interpessoal</v>
      </c>
      <c r="I300" s="655" t="str">
        <f>IFERROR(__xludf.DUMMYFUNCTION("""COMPUTED_VALUE"""),"Liderança e Influência")</f>
        <v>Liderança e Influência</v>
      </c>
      <c r="J300" s="657" t="str">
        <f>IFERROR(__xludf.DUMMYFUNCTION("""COMPUTED_VALUE"""),"Stakeholder Management")</f>
        <v>Stakeholder Management</v>
      </c>
      <c r="K300" s="114" t="str">
        <f>IFERROR(__xludf.DUMMYFUNCTION("""COMPUTED_VALUE"""),"https://universidade.pipelovers.net/m/lessons/mapeamento-e-influencia-no-comite-de-compras1769552365486?classId=3719")</f>
        <v>https://universidade.pipelovers.net/m/lessons/mapeamento-e-influencia-no-comite-de-compras1769552365486?classId=3719</v>
      </c>
      <c r="L300" s="535" t="str">
        <f>IFERROR(__xludf.DUMMYFUNCTION("""COMPUTED_VALUE"""),"https://universidade.pipelovers.net/m/lessons/mapeamento-e-influencia-no-comite-de-compras1769552365486?classId=3719")</f>
        <v>https://universidade.pipelovers.net/m/lessons/mapeamento-e-influencia-no-comite-de-compras1769552365486?classId=3719</v>
      </c>
      <c r="M300" s="379" t="str">
        <f>IFERROR(__xludf.DUMMYFUNCTION("""COMPUTED_VALUE"""),"3,71")</f>
        <v>3,71</v>
      </c>
      <c r="N300" s="644" t="str">
        <f>IFERROR(__xludf.DUMMYFUNCTION("""COMPUTED_VALUE"""),"https://drive.google.com/file/d/1naf6-9vUHA4frZJ62_C3XWtNogooW9la/view?usp=drive_link")</f>
        <v>https://drive.google.com/file/d/1naf6-9vUHA4frZJ62_C3XWtNogooW9la/view?usp=drive_link</v>
      </c>
      <c r="O300" s="151" t="str">
        <f>IFERROR(__xludf.DUMMYFUNCTION("""COMPUTED_VALUE"""),"")</f>
        <v/>
      </c>
      <c r="P300" s="601" t="str">
        <f>IFERROR(__xludf.DUMMYFUNCTION("""COMPUTED_VALUE"""),"09/10/2024")</f>
        <v>09/10/2024</v>
      </c>
      <c r="Q300" s="151"/>
    </row>
    <row r="301">
      <c r="A301" s="73"/>
      <c r="B301" s="209" t="str">
        <f>IFERROR(__xludf.DUMMYFUNCTION("""COMPUTED_VALUE"""),"Executivos de Vendas")</f>
        <v>Executivos de Vendas</v>
      </c>
      <c r="C301" s="119" t="str">
        <f>IFERROR(__xludf.DUMMYFUNCTION("""COMPUTED_VALUE"""),"Recuperando a confiança em momentos de baixo desempenho")</f>
        <v>Recuperando a confiança em momentos de baixo desempenho</v>
      </c>
      <c r="D301" s="104" t="str">
        <f>IFERROR(__xludf.DUMMYFUNCTION("""COMPUTED_VALUE"""),"Filipe Bento")</f>
        <v>Filipe Bento</v>
      </c>
      <c r="E301" s="208" t="str">
        <f>IFERROR(__xludf.DUMMYFUNCTION("""COMPUTED_VALUE"""),"CEO")</f>
        <v>CEO</v>
      </c>
      <c r="F301" s="655" t="str">
        <f>IFERROR(__xludf.DUMMYFUNCTION("""COMPUTED_VALUE"""),"Br24")</f>
        <v>Br24</v>
      </c>
      <c r="G301" s="656" t="str">
        <f>IFERROR(__xludf.DUMMYFUNCTION("""COMPUTED_VALUE"""),"https://www.linkedin.com/in/filipegbento/")</f>
        <v>https://www.linkedin.com/in/filipegbento/</v>
      </c>
      <c r="H301" s="655" t="str">
        <f>IFERROR(__xludf.DUMMYFUNCTION("""COMPUTED_VALUE"""),"Autodesenvolvimento")</f>
        <v>Autodesenvolvimento</v>
      </c>
      <c r="I301" s="655" t="str">
        <f>IFERROR(__xludf.DUMMYFUNCTION("""COMPUTED_VALUE"""),"Inteligência Emocional")</f>
        <v>Inteligência Emocional</v>
      </c>
      <c r="J301" s="657" t="str">
        <f>IFERROR(__xludf.DUMMYFUNCTION("""COMPUTED_VALUE"""),"Resiliência")</f>
        <v>Resiliência</v>
      </c>
      <c r="K301" s="128" t="str">
        <f>IFERROR(__xludf.DUMMYFUNCTION("""COMPUTED_VALUE"""),"https://universidade.pipelovers.net/m/lessons/recuperando-a-confianca-em-momentos-de-baixo-desempenho1769552365512?classId=3661")</f>
        <v>https://universidade.pipelovers.net/m/lessons/recuperando-a-confianca-em-momentos-de-baixo-desempenho1769552365512?classId=3661</v>
      </c>
      <c r="L301" s="535" t="str">
        <f>IFERROR(__xludf.DUMMYFUNCTION("""COMPUTED_VALUE"""),"https://universidade.pipelovers.net/m/lessons/recuperando-a-confianca-em-momentos-de-baixo-desempenho1769552365512?classId=3661")</f>
        <v>https://universidade.pipelovers.net/m/lessons/recuperando-a-confianca-em-momentos-de-baixo-desempenho1769552365512?classId=3661</v>
      </c>
      <c r="M301" s="379" t="str">
        <f>IFERROR(__xludf.DUMMYFUNCTION("""COMPUTED_VALUE"""),"4,14")</f>
        <v>4,14</v>
      </c>
      <c r="N301" s="644" t="str">
        <f>IFERROR(__xludf.DUMMYFUNCTION("""COMPUTED_VALUE"""),"https://drive.google.com/file/d/17j1KtaBDNlNYWRtnl4p0JplJeAFfp391/view?usp=drive_link")</f>
        <v>https://drive.google.com/file/d/17j1KtaBDNlNYWRtnl4p0JplJeAFfp391/view?usp=drive_link</v>
      </c>
      <c r="O301" s="228" t="str">
        <f>IFERROR(__xludf.DUMMYFUNCTION("""COMPUTED_VALUE"""),"")</f>
        <v/>
      </c>
      <c r="P301" s="601" t="str">
        <f>IFERROR(__xludf.DUMMYFUNCTION("""COMPUTED_VALUE"""),"16/10/2024")</f>
        <v>16/10/2024</v>
      </c>
      <c r="Q301" s="228"/>
    </row>
    <row r="302">
      <c r="A302" s="73"/>
      <c r="B302" s="209" t="str">
        <f>IFERROR(__xludf.DUMMYFUNCTION("""COMPUTED_VALUE"""),"Executivos de Vendas")</f>
        <v>Executivos de Vendas</v>
      </c>
      <c r="C302" s="104" t="str">
        <f>IFERROR(__xludf.DUMMYFUNCTION("""COMPUTED_VALUE"""),"Segmento de Serviços: dores e oportunidades do setor")</f>
        <v>Segmento de Serviços: dores e oportunidades do setor</v>
      </c>
      <c r="D302" s="119" t="str">
        <f>IFERROR(__xludf.DUMMYFUNCTION("""COMPUTED_VALUE"""),"Alberto Lopes")</f>
        <v>Alberto Lopes</v>
      </c>
      <c r="E302" s="208" t="str">
        <f>IFERROR(__xludf.DUMMYFUNCTION("""COMPUTED_VALUE"""),"Chief Sales Officer")</f>
        <v>Chief Sales Officer</v>
      </c>
      <c r="F302" s="655" t="str">
        <f>IFERROR(__xludf.DUMMYFUNCTION("""COMPUTED_VALUE"""),"Solides")</f>
        <v>Solides</v>
      </c>
      <c r="G302" s="656" t="str">
        <f>IFERROR(__xludf.DUMMYFUNCTION("""COMPUTED_VALUE"""),"https://www.linkedin.com/in/albertolopes/")</f>
        <v>https://www.linkedin.com/in/albertolopes/</v>
      </c>
      <c r="H302" s="655" t="str">
        <f>IFERROR(__xludf.DUMMYFUNCTION("""COMPUTED_VALUE"""),"Visão de Negócios")</f>
        <v>Visão de Negócios</v>
      </c>
      <c r="I302" s="655" t="str">
        <f>IFERROR(__xludf.DUMMYFUNCTION("""COMPUTED_VALUE"""),"Tendências de Mercado")</f>
        <v>Tendências de Mercado</v>
      </c>
      <c r="J302" s="657" t="str">
        <f>IFERROR(__xludf.DUMMYFUNCTION("""COMPUTED_VALUE"""),"Tendencias do Setor")</f>
        <v>Tendencias do Setor</v>
      </c>
      <c r="K302" s="114" t="str">
        <f>IFERROR(__xludf.DUMMYFUNCTION("""COMPUTED_VALUE"""),"https://universidade.pipelovers.net/m/lessons/segmento-de-servicos-dores-e-oportunidades-do-setor1769552365538?classId=3660")</f>
        <v>https://universidade.pipelovers.net/m/lessons/segmento-de-servicos-dores-e-oportunidades-do-setor1769552365538?classId=3660</v>
      </c>
      <c r="L302" s="535" t="str">
        <f>IFERROR(__xludf.DUMMYFUNCTION("""COMPUTED_VALUE"""),"https://universidade.pipelovers.net/m/lessons/segmento-de-servicos-dores-e-oportunidades-do-setor1769552365538?classId=3660")</f>
        <v>https://universidade.pipelovers.net/m/lessons/segmento-de-servicos-dores-e-oportunidades-do-setor1769552365538?classId=3660</v>
      </c>
      <c r="M302" s="379" t="str">
        <f>IFERROR(__xludf.DUMMYFUNCTION("""COMPUTED_VALUE"""),"4,5")</f>
        <v>4,5</v>
      </c>
      <c r="N302" s="644" t="str">
        <f>IFERROR(__xludf.DUMMYFUNCTION("""COMPUTED_VALUE"""),"https://drive.google.com/file/d/1htQxQ45GBFqdSPZrHBYEq_Q87g8-xLYO/view?usp=drive_link")</f>
        <v>https://drive.google.com/file/d/1htQxQ45GBFqdSPZrHBYEq_Q87g8-xLYO/view?usp=drive_link</v>
      </c>
      <c r="O302" s="151" t="str">
        <f>IFERROR(__xludf.DUMMYFUNCTION("""COMPUTED_VALUE"""),"")</f>
        <v/>
      </c>
      <c r="P302" s="601" t="str">
        <f>IFERROR(__xludf.DUMMYFUNCTION("""COMPUTED_VALUE"""),"23/10/2024")</f>
        <v>23/10/2024</v>
      </c>
      <c r="Q302" s="151"/>
    </row>
    <row r="303">
      <c r="A303" s="73"/>
      <c r="B303" s="209" t="str">
        <f>IFERROR(__xludf.DUMMYFUNCTION("""COMPUTED_VALUE"""),"Executivos de Vendas")</f>
        <v>Executivos de Vendas</v>
      </c>
      <c r="C303" s="119" t="str">
        <f>IFERROR(__xludf.DUMMYFUNCTION("""COMPUTED_VALUE"""),"Melhores práticas de role plays e simulações de venda")</f>
        <v>Melhores práticas de role plays e simulações de venda</v>
      </c>
      <c r="D303" s="104" t="str">
        <f>IFERROR(__xludf.DUMMYFUNCTION("""COMPUTED_VALUE"""),"Raquel Avelar")</f>
        <v>Raquel Avelar</v>
      </c>
      <c r="E303" s="208" t="str">
        <f>IFERROR(__xludf.DUMMYFUNCTION("""COMPUTED_VALUE"""),"Analista de Sales Enablement Sr")</f>
        <v>Analista de Sales Enablement Sr</v>
      </c>
      <c r="F303" s="655" t="str">
        <f>IFERROR(__xludf.DUMMYFUNCTION("""COMPUTED_VALUE"""),"Gupy")</f>
        <v>Gupy</v>
      </c>
      <c r="G303" s="656" t="str">
        <f>IFERROR(__xludf.DUMMYFUNCTION("""COMPUTED_VALUE"""),"https://www.linkedin.com/in/raquelavelar/")</f>
        <v>https://www.linkedin.com/in/raquelavelar/</v>
      </c>
      <c r="H303" s="655" t="str">
        <f>IFERROR(__xludf.DUMMYFUNCTION("""COMPUTED_VALUE"""),"Conhecimento Técnico")</f>
        <v>Conhecimento Técnico</v>
      </c>
      <c r="I303" s="655" t="str">
        <f>IFERROR(__xludf.DUMMYFUNCTION("""COMPUTED_VALUE"""),"Gestão de Vendas")</f>
        <v>Gestão de Vendas</v>
      </c>
      <c r="J303" s="657" t="str">
        <f>IFERROR(__xludf.DUMMYFUNCTION("""COMPUTED_VALUE"""),"Rotinas e Rituais")</f>
        <v>Rotinas e Rituais</v>
      </c>
      <c r="K303" s="128" t="str">
        <f>IFERROR(__xludf.DUMMYFUNCTION("""COMPUTED_VALUE"""),"https://universidade.pipelovers.net/m/lessons/melhores-praticas-de-role-plays-e-simulacoes-de-venda1769552365588?classId=3659")</f>
        <v>https://universidade.pipelovers.net/m/lessons/melhores-praticas-de-role-plays-e-simulacoes-de-venda1769552365588?classId=3659</v>
      </c>
      <c r="L303" s="535" t="str">
        <f>IFERROR(__xludf.DUMMYFUNCTION("""COMPUTED_VALUE"""),"https://universidade.pipelovers.net/m/lessons/melhores-praticas-de-role-plays-e-simulacoes-de-venda1769552365588?classId=3659")</f>
        <v>https://universidade.pipelovers.net/m/lessons/melhores-praticas-de-role-plays-e-simulacoes-de-venda1769552365588?classId=3659</v>
      </c>
      <c r="M303" s="379" t="str">
        <f>IFERROR(__xludf.DUMMYFUNCTION("""COMPUTED_VALUE"""),"3,71")</f>
        <v>3,71</v>
      </c>
      <c r="N303" s="644" t="str">
        <f>IFERROR(__xludf.DUMMYFUNCTION("""COMPUTED_VALUE"""),"https://drive.google.com/file/d/12U2jDjxVdC5iK0DAH-Yp-QNI8knMz4J1/view?usp=drive_link")</f>
        <v>https://drive.google.com/file/d/12U2jDjxVdC5iK0DAH-Yp-QNI8knMz4J1/view?usp=drive_link</v>
      </c>
      <c r="O303" s="228" t="str">
        <f>IFERROR(__xludf.DUMMYFUNCTION("""COMPUTED_VALUE"""),"")</f>
        <v/>
      </c>
      <c r="P303" s="601" t="str">
        <f>IFERROR(__xludf.DUMMYFUNCTION("""COMPUTED_VALUE"""),"30/10/2024")</f>
        <v>30/10/2024</v>
      </c>
      <c r="Q303" s="228"/>
    </row>
    <row r="304">
      <c r="A304" s="73"/>
      <c r="B304" s="209" t="str">
        <f>IFERROR(__xludf.DUMMYFUNCTION("""COMPUTED_VALUE"""),"Executivos de Vendas")</f>
        <v>Executivos de Vendas</v>
      </c>
      <c r="C304" s="119" t="str">
        <f>IFERROR(__xludf.DUMMYFUNCTION("""COMPUTED_VALUE"""),"Blockchain e Crypto: como isso irá transformar vendas B2B?")</f>
        <v>Blockchain e Crypto: como isso irá transformar vendas B2B?</v>
      </c>
      <c r="D304" s="119" t="str">
        <f>IFERROR(__xludf.DUMMYFUNCTION("""COMPUTED_VALUE"""),"Fabiano Miranda")</f>
        <v>Fabiano Miranda</v>
      </c>
      <c r="E304" s="208" t="str">
        <f>IFERROR(__xludf.DUMMYFUNCTION("""COMPUTED_VALUE"""),"CEO &amp; Founder")</f>
        <v>CEO &amp; Founder</v>
      </c>
      <c r="F304" s="655" t="str">
        <f>IFERROR(__xludf.DUMMYFUNCTION("""COMPUTED_VALUE"""),"Soul Prime")</f>
        <v>Soul Prime</v>
      </c>
      <c r="G304" s="656" t="str">
        <f>IFERROR(__xludf.DUMMYFUNCTION("""COMPUTED_VALUE"""),"https://www.linkedin.com/in/fmsoul/")</f>
        <v>https://www.linkedin.com/in/fmsoul/</v>
      </c>
      <c r="H304" s="655" t="str">
        <f>IFERROR(__xludf.DUMMYFUNCTION("""COMPUTED_VALUE"""),"Visão de Negócios")</f>
        <v>Visão de Negócios</v>
      </c>
      <c r="I304" s="655" t="str">
        <f>IFERROR(__xludf.DUMMYFUNCTION("""COMPUTED_VALUE"""),"Tendências de Mercado")</f>
        <v>Tendências de Mercado</v>
      </c>
      <c r="J304" s="657" t="str">
        <f>IFERROR(__xludf.DUMMYFUNCTION("""COMPUTED_VALUE"""),"Inovações Tecnológicas")</f>
        <v>Inovações Tecnológicas</v>
      </c>
      <c r="K304" s="650" t="str">
        <f>IFERROR(__xludf.DUMMYFUNCTION("""COMPUTED_VALUE"""),"https://universidade.pipelovers.net/m/lessons/blockchain-e-crypto-como-isso-ira-transformar-vendas-b2b1769552365640?classId=3658")</f>
        <v>https://universidade.pipelovers.net/m/lessons/blockchain-e-crypto-como-isso-ira-transformar-vendas-b2b1769552365640?classId=3658</v>
      </c>
      <c r="L304" s="474" t="str">
        <f>IFERROR(__xludf.DUMMYFUNCTION("""COMPUTED_VALUE"""),"https://universidade.pipelovers.net/m/lessons/blockchain-e-crypto-como-isso-ira-transformar-vendas-b2b1769552365640?classId=3658")</f>
        <v>https://universidade.pipelovers.net/m/lessons/blockchain-e-crypto-como-isso-ira-transformar-vendas-b2b1769552365640?classId=3658</v>
      </c>
      <c r="M304" s="379" t="str">
        <f>IFERROR(__xludf.DUMMYFUNCTION("""COMPUTED_VALUE"""),"4,36")</f>
        <v>4,36</v>
      </c>
      <c r="N304" s="644" t="str">
        <f>IFERROR(__xludf.DUMMYFUNCTION("""COMPUTED_VALUE"""),"https://drive.google.com/file/d/1ngaAA3ZYnx5cIs59KP67yJzSiVNcqIrP/view?usp=drive_link")</f>
        <v>https://drive.google.com/file/d/1ngaAA3ZYnx5cIs59KP67yJzSiVNcqIrP/view?usp=drive_link</v>
      </c>
      <c r="O304" s="151" t="str">
        <f>IFERROR(__xludf.DUMMYFUNCTION("""COMPUTED_VALUE"""),"")</f>
        <v/>
      </c>
      <c r="P304" s="601" t="str">
        <f>IFERROR(__xludf.DUMMYFUNCTION("""COMPUTED_VALUE"""),"06/11/2024")</f>
        <v>06/11/2024</v>
      </c>
      <c r="Q304" s="151"/>
    </row>
    <row r="305">
      <c r="A305" s="73"/>
      <c r="B305" s="209" t="str">
        <f>IFERROR(__xludf.DUMMYFUNCTION("""COMPUTED_VALUE"""),"Executivos de Vendas")</f>
        <v>Executivos de Vendas</v>
      </c>
      <c r="C305" s="104" t="str">
        <f>IFERROR(__xludf.DUMMYFUNCTION("""COMPUTED_VALUE"""),"Criação de um Territory Plan")</f>
        <v>Criação de um Territory Plan</v>
      </c>
      <c r="D305" s="104" t="str">
        <f>IFERROR(__xludf.DUMMYFUNCTION("""COMPUTED_VALUE"""),"Eduardo Mattos")</f>
        <v>Eduardo Mattos</v>
      </c>
      <c r="E305" s="208" t="str">
        <f>IFERROR(__xludf.DUMMYFUNCTION("""COMPUTED_VALUE"""),"CEO")</f>
        <v>CEO</v>
      </c>
      <c r="F305" s="655" t="str">
        <f>IFERROR(__xludf.DUMMYFUNCTION("""COMPUTED_VALUE"""),"Intexfy")</f>
        <v>Intexfy</v>
      </c>
      <c r="G305" s="656" t="str">
        <f>IFERROR(__xludf.DUMMYFUNCTION("""COMPUTED_VALUE"""),"https://www.linkedin.com/in/edusmattos/")</f>
        <v>https://www.linkedin.com/in/edusmattos/</v>
      </c>
      <c r="H305" s="655" t="str">
        <f>IFERROR(__xludf.DUMMYFUNCTION("""COMPUTED_VALUE"""),"Visão de Negócios")</f>
        <v>Visão de Negócios</v>
      </c>
      <c r="I305" s="655" t="str">
        <f>IFERROR(__xludf.DUMMYFUNCTION("""COMPUTED_VALUE"""),"Conhecimento do Negócio e seu Produto")</f>
        <v>Conhecimento do Negócio e seu Produto</v>
      </c>
      <c r="J305" s="657" t="str">
        <f>IFERROR(__xludf.DUMMYFUNCTION("""COMPUTED_VALUE"""),"Segmentação de Mercado")</f>
        <v>Segmentação de Mercado</v>
      </c>
      <c r="K305" s="114" t="str">
        <f>IFERROR(__xludf.DUMMYFUNCTION("""COMPUTED_VALUE"""),"https://universidade.pipelovers.net/m/lessons/criacao-de-um-territory-plan1769552365670?classId=3657")</f>
        <v>https://universidade.pipelovers.net/m/lessons/criacao-de-um-territory-plan1769552365670?classId=3657</v>
      </c>
      <c r="L305" s="535" t="str">
        <f>IFERROR(__xludf.DUMMYFUNCTION("""COMPUTED_VALUE"""),"https://universidade.pipelovers.net/m/lessons/criacao-de-um-territory-plan1769552365670?classId=3657")</f>
        <v>https://universidade.pipelovers.net/m/lessons/criacao-de-um-territory-plan1769552365670?classId=3657</v>
      </c>
      <c r="M305" s="379" t="str">
        <f>IFERROR(__xludf.DUMMYFUNCTION("""COMPUTED_VALUE"""),"1")</f>
        <v>1</v>
      </c>
      <c r="N305" s="644" t="str">
        <f>IFERROR(__xludf.DUMMYFUNCTION("""COMPUTED_VALUE"""),"https://drive.google.com/file/d/1FSEOeHMUlATTm4_h7wzo1ltXe3QWrMMv/view?usp=drive_link")</f>
        <v>https://drive.google.com/file/d/1FSEOeHMUlATTm4_h7wzo1ltXe3QWrMMv/view?usp=drive_link</v>
      </c>
      <c r="O305" s="228" t="str">
        <f>IFERROR(__xludf.DUMMYFUNCTION("""COMPUTED_VALUE"""),"")</f>
        <v/>
      </c>
      <c r="P305" s="601" t="str">
        <f>IFERROR(__xludf.DUMMYFUNCTION("""COMPUTED_VALUE"""),"13/11/2024")</f>
        <v>13/11/2024</v>
      </c>
      <c r="Q305" s="228"/>
    </row>
    <row r="306">
      <c r="A306" s="73"/>
      <c r="B306" s="209" t="str">
        <f>IFERROR(__xludf.DUMMYFUNCTION("""COMPUTED_VALUE"""),"Executivos de Vendas")</f>
        <v>Executivos de Vendas</v>
      </c>
      <c r="C306" s="268" t="str">
        <f>IFERROR(__xludf.DUMMYFUNCTION("""COMPUTED_VALUE"""),"Características em comum dos melhores vendedores")</f>
        <v>Características em comum dos melhores vendedores</v>
      </c>
      <c r="D306" s="119" t="str">
        <f>IFERROR(__xludf.DUMMYFUNCTION("""COMPUTED_VALUE"""),"Octavio Garbi")</f>
        <v>Octavio Garbi</v>
      </c>
      <c r="E306" s="208" t="str">
        <f>IFERROR(__xludf.DUMMYFUNCTION("""COMPUTED_VALUE"""),"Diretor comercial")</f>
        <v>Diretor comercial</v>
      </c>
      <c r="F306" s="655" t="str">
        <f>IFERROR(__xludf.DUMMYFUNCTION("""COMPUTED_VALUE"""),"Ploomes")</f>
        <v>Ploomes</v>
      </c>
      <c r="G306" s="656" t="str">
        <f>IFERROR(__xludf.DUMMYFUNCTION("""COMPUTED_VALUE"""),"https://www.linkedin.com/in/octavio-garbi/")</f>
        <v>https://www.linkedin.com/in/octavio-garbi/</v>
      </c>
      <c r="H306" s="655" t="str">
        <f>IFERROR(__xludf.DUMMYFUNCTION("""COMPUTED_VALUE"""),"Conhecimento Técnico")</f>
        <v>Conhecimento Técnico</v>
      </c>
      <c r="I306" s="655" t="str">
        <f>IFERROR(__xludf.DUMMYFUNCTION("""COMPUTED_VALUE"""),"Gestão de Vendas")</f>
        <v>Gestão de Vendas</v>
      </c>
      <c r="J306" s="657" t="str">
        <f>IFERROR(__xludf.DUMMYFUNCTION("""COMPUTED_VALUE"""),"Rotinas e Rituais")</f>
        <v>Rotinas e Rituais</v>
      </c>
      <c r="K306" s="128" t="str">
        <f>IFERROR(__xludf.DUMMYFUNCTION("""COMPUTED_VALUE"""),"https://universidade.pipelovers.net/m/lessons/caracteristicas-em-comum-dos-melhores-vendedores1769552365701?classId=3656")</f>
        <v>https://universidade.pipelovers.net/m/lessons/caracteristicas-em-comum-dos-melhores-vendedores1769552365701?classId=3656</v>
      </c>
      <c r="L306" s="535" t="str">
        <f>IFERROR(__xludf.DUMMYFUNCTION("""COMPUTED_VALUE"""),"https://universidade.pipelovers.net/m/lessons/caracteristicas-em-comum-dos-melhores-vendedores1769552365701?classId=3656")</f>
        <v>https://universidade.pipelovers.net/m/lessons/caracteristicas-em-comum-dos-melhores-vendedores1769552365701?classId=3656</v>
      </c>
      <c r="M306" s="379" t="str">
        <f>IFERROR(__xludf.DUMMYFUNCTION("""COMPUTED_VALUE"""),"4,36")</f>
        <v>4,36</v>
      </c>
      <c r="N306" s="644" t="str">
        <f>IFERROR(__xludf.DUMMYFUNCTION("""COMPUTED_VALUE"""),"https://drive.google.com/file/d/15XmPJbmuovX3qhEvuMAp-KfRvkN6S7c1/view?usp=drive_link")</f>
        <v>https://drive.google.com/file/d/15XmPJbmuovX3qhEvuMAp-KfRvkN6S7c1/view?usp=drive_link</v>
      </c>
      <c r="O306" s="151" t="str">
        <f>IFERROR(__xludf.DUMMYFUNCTION("""COMPUTED_VALUE"""),"")</f>
        <v/>
      </c>
      <c r="P306" s="601" t="str">
        <f>IFERROR(__xludf.DUMMYFUNCTION("""COMPUTED_VALUE"""),"20/11/2024")</f>
        <v>20/11/2024</v>
      </c>
      <c r="Q306" s="151"/>
    </row>
    <row r="307">
      <c r="A307" s="73"/>
      <c r="B307" s="209" t="str">
        <f>IFERROR(__xludf.DUMMYFUNCTION("""COMPUTED_VALUE"""),"Executivos de Vendas")</f>
        <v>Executivos de Vendas</v>
      </c>
      <c r="C307" s="104" t="str">
        <f>IFERROR(__xludf.DUMMYFUNCTION("""COMPUTED_VALUE"""),"Value Based Selling: entregando valor ao seu cliente")</f>
        <v>Value Based Selling: entregando valor ao seu cliente</v>
      </c>
      <c r="D307" s="104" t="str">
        <f>IFERROR(__xludf.DUMMYFUNCTION("""COMPUTED_VALUE"""),"André Santos")</f>
        <v>André Santos</v>
      </c>
      <c r="E307" s="208" t="str">
        <f>IFERROR(__xludf.DUMMYFUNCTION("""COMPUTED_VALUE"""),"Global Account Manager")</f>
        <v>Global Account Manager</v>
      </c>
      <c r="F307" s="655" t="str">
        <f>IFERROR(__xludf.DUMMYFUNCTION("""COMPUTED_VALUE"""),"Zendesk")</f>
        <v>Zendesk</v>
      </c>
      <c r="G307" s="656" t="str">
        <f>IFERROR(__xludf.DUMMYFUNCTION("""COMPUTED_VALUE"""),"https://www.linkedin.com/in/santosandre/")</f>
        <v>https://www.linkedin.com/in/santosandre/</v>
      </c>
      <c r="H307" s="655" t="str">
        <f>IFERROR(__xludf.DUMMYFUNCTION("""COMPUTED_VALUE"""),"Conhecimento Técnico")</f>
        <v>Conhecimento Técnico</v>
      </c>
      <c r="I307" s="655" t="str">
        <f>IFERROR(__xludf.DUMMYFUNCTION("""COMPUTED_VALUE"""),"Técnicas de Vendas")</f>
        <v>Técnicas de Vendas</v>
      </c>
      <c r="J307" s="657" t="str">
        <f>IFERROR(__xludf.DUMMYFUNCTION("""COMPUTED_VALUE"""),"Negociação e Fechamento de Vendas")</f>
        <v>Negociação e Fechamento de Vendas</v>
      </c>
      <c r="K307" s="650" t="str">
        <f>IFERROR(__xludf.DUMMYFUNCTION("""COMPUTED_VALUE"""),"https://universidade.pipelovers.net/m/lessons/value-based-selling-entregando-valor-ao-seu-cliente1769552368468?classId=3655")</f>
        <v>https://universidade.pipelovers.net/m/lessons/value-based-selling-entregando-valor-ao-seu-cliente1769552368468?classId=3655</v>
      </c>
      <c r="L307" s="474" t="str">
        <f>IFERROR(__xludf.DUMMYFUNCTION("""COMPUTED_VALUE"""),"https://universidade.pipelovers.net/m/lessons/value-based-selling-entregando-valor-ao-seu-cliente1769552368468?classId=3655")</f>
        <v>https://universidade.pipelovers.net/m/lessons/value-based-selling-entregando-valor-ao-seu-cliente1769552368468?classId=3655</v>
      </c>
      <c r="M307" s="379" t="str">
        <f>IFERROR(__xludf.DUMMYFUNCTION("""COMPUTED_VALUE"""),"5")</f>
        <v>5</v>
      </c>
      <c r="N307" s="644" t="str">
        <f>IFERROR(__xludf.DUMMYFUNCTION("""COMPUTED_VALUE"""),"https://drive.google.com/file/d/1uAH_Ni8q7A_TjwBt00BSDTOBIrF1G1Ln/view?usp=drive_link")</f>
        <v>https://drive.google.com/file/d/1uAH_Ni8q7A_TjwBt00BSDTOBIrF1G1Ln/view?usp=drive_link</v>
      </c>
      <c r="O307" s="228" t="str">
        <f>IFERROR(__xludf.DUMMYFUNCTION("""COMPUTED_VALUE"""),"")</f>
        <v/>
      </c>
      <c r="P307" s="601" t="str">
        <f>IFERROR(__xludf.DUMMYFUNCTION("""COMPUTED_VALUE"""),"27/11/2024")</f>
        <v>27/11/2024</v>
      </c>
      <c r="Q307" s="228"/>
    </row>
    <row r="308">
      <c r="A308" s="73"/>
      <c r="B308" s="209" t="str">
        <f>IFERROR(__xludf.DUMMYFUNCTION("""COMPUTED_VALUE"""),"Executivos de Vendas")</f>
        <v>Executivos de Vendas</v>
      </c>
      <c r="C308" s="104" t="str">
        <f>IFERROR(__xludf.DUMMYFUNCTION("""COMPUTED_VALUE"""),"Mapeando Objeções: Como antecipar e reduzir resistências")</f>
        <v>Mapeando Objeções: Como antecipar e reduzir resistências</v>
      </c>
      <c r="D308" s="119" t="str">
        <f>IFERROR(__xludf.DUMMYFUNCTION("""COMPUTED_VALUE"""),"Raphael Portugal")</f>
        <v>Raphael Portugal</v>
      </c>
      <c r="E308" s="208" t="str">
        <f>IFERROR(__xludf.DUMMYFUNCTION("""COMPUTED_VALUE"""),"Growth Manager")</f>
        <v>Growth Manager</v>
      </c>
      <c r="F308" s="655" t="str">
        <f>IFERROR(__xludf.DUMMYFUNCTION("""COMPUTED_VALUE"""),"Portugal Imóveis na Riviera")</f>
        <v>Portugal Imóveis na Riviera</v>
      </c>
      <c r="G308" s="656" t="str">
        <f>IFERROR(__xludf.DUMMYFUNCTION("""COMPUTED_VALUE"""),"https://www.linkedin.com/in/raphael-gonzalez-portugal-b723a7115/")</f>
        <v>https://www.linkedin.com/in/raphael-gonzalez-portugal-b723a7115/</v>
      </c>
      <c r="H308" s="655" t="str">
        <f>IFERROR(__xludf.DUMMYFUNCTION("""COMPUTED_VALUE"""),"Conhecimento Técnico")</f>
        <v>Conhecimento Técnico</v>
      </c>
      <c r="I308" s="655" t="str">
        <f>IFERROR(__xludf.DUMMYFUNCTION("""COMPUTED_VALUE"""),"Técnicas de Vendas")</f>
        <v>Técnicas de Vendas</v>
      </c>
      <c r="J308" s="657" t="str">
        <f>IFERROR(__xludf.DUMMYFUNCTION("""COMPUTED_VALUE"""),"Contorno de Objeções")</f>
        <v>Contorno de Objeções</v>
      </c>
      <c r="K308" s="114" t="str">
        <f>IFERROR(__xludf.DUMMYFUNCTION("""COMPUTED_VALUE"""),"https://universidade.pipelovers.net/m/lessons/mapeando-objecoes-como-antecipar-e-reduzir-resistencias1769552368499?classId=3654")</f>
        <v>https://universidade.pipelovers.net/m/lessons/mapeando-objecoes-como-antecipar-e-reduzir-resistencias1769552368499?classId=3654</v>
      </c>
      <c r="L308" s="535" t="str">
        <f>IFERROR(__xludf.DUMMYFUNCTION("""COMPUTED_VALUE"""),"https://universidade.pipelovers.net/m/lessons/mapeando-objecoes-como-antecipar-e-reduzir-resistencias1769552368499?classId=3654")</f>
        <v>https://universidade.pipelovers.net/m/lessons/mapeando-objecoes-como-antecipar-e-reduzir-resistencias1769552368499?classId=3654</v>
      </c>
      <c r="M308" s="379" t="str">
        <f>IFERROR(__xludf.DUMMYFUNCTION("""COMPUTED_VALUE"""),"1")</f>
        <v>1</v>
      </c>
      <c r="N308" s="644" t="str">
        <f>IFERROR(__xludf.DUMMYFUNCTION("""COMPUTED_VALUE"""),"https://drive.google.com/file/d/1HqVD6UyUuo7MVuJ_VX2964spNFyHPwhD/view?usp=drive_link")</f>
        <v>https://drive.google.com/file/d/1HqVD6UyUuo7MVuJ_VX2964spNFyHPwhD/view?usp=drive_link</v>
      </c>
      <c r="O308" s="151" t="str">
        <f>IFERROR(__xludf.DUMMYFUNCTION("""COMPUTED_VALUE"""),"")</f>
        <v/>
      </c>
      <c r="P308" s="601" t="str">
        <f>IFERROR(__xludf.DUMMYFUNCTION("""COMPUTED_VALUE"""),"04/12/2024")</f>
        <v>04/12/2024</v>
      </c>
      <c r="Q308" s="151"/>
    </row>
    <row r="309">
      <c r="A309" s="73"/>
      <c r="B309" s="209" t="str">
        <f>IFERROR(__xludf.DUMMYFUNCTION("""COMPUTED_VALUE"""),"Executivos de Vendas")</f>
        <v>Executivos de Vendas</v>
      </c>
      <c r="C309" s="119" t="str">
        <f>IFERROR(__xludf.DUMMYFUNCTION("""COMPUTED_VALUE"""),"Como se preparar para suas reuniões comerciais usando IA")</f>
        <v>Como se preparar para suas reuniões comerciais usando IA</v>
      </c>
      <c r="D309" s="104" t="str">
        <f>IFERROR(__xludf.DUMMYFUNCTION("""COMPUTED_VALUE"""),"Marcelo Hamu")</f>
        <v>Marcelo Hamu</v>
      </c>
      <c r="E309" s="208" t="str">
        <f>IFERROR(__xludf.DUMMYFUNCTION("""COMPUTED_VALUE"""),"Chief Revenue Officer")</f>
        <v>Chief Revenue Officer</v>
      </c>
      <c r="F309" s="655" t="str">
        <f>IFERROR(__xludf.DUMMYFUNCTION("""COMPUTED_VALUE"""),"Eva People")</f>
        <v>Eva People</v>
      </c>
      <c r="G309" s="656" t="str">
        <f>IFERROR(__xludf.DUMMYFUNCTION("""COMPUTED_VALUE"""),"https://www.linkedin.com/in/marcelohamu/")</f>
        <v>https://www.linkedin.com/in/marcelohamu/</v>
      </c>
      <c r="H309" s="655" t="str">
        <f>IFERROR(__xludf.DUMMYFUNCTION("""COMPUTED_VALUE"""),"Conhecimento Técnico")</f>
        <v>Conhecimento Técnico</v>
      </c>
      <c r="I309" s="655" t="str">
        <f>IFERROR(__xludf.DUMMYFUNCTION("""COMPUTED_VALUE"""),"Gestão de Vendas")</f>
        <v>Gestão de Vendas</v>
      </c>
      <c r="J309" s="657" t="str">
        <f>IFERROR(__xludf.DUMMYFUNCTION("""COMPUTED_VALUE"""),"Rotinas e Rituais")</f>
        <v>Rotinas e Rituais</v>
      </c>
      <c r="K309" s="128" t="str">
        <f>IFERROR(__xludf.DUMMYFUNCTION("""COMPUTED_VALUE"""),"https://universidade.pipelovers.net/m/lessons/como-se-preparar-para-suas-reunioes-comerciais-usando-ia1769552368528?classId=3653")</f>
        <v>https://universidade.pipelovers.net/m/lessons/como-se-preparar-para-suas-reunioes-comerciais-usando-ia1769552368528?classId=3653</v>
      </c>
      <c r="L309" s="535" t="str">
        <f>IFERROR(__xludf.DUMMYFUNCTION("""COMPUTED_VALUE"""),"https://universidade.pipelovers.net/m/lessons/como-se-preparar-para-suas-reunioes-comerciais-usando-ia1769552368528?classId=3653")</f>
        <v>https://universidade.pipelovers.net/m/lessons/como-se-preparar-para-suas-reunioes-comerciais-usando-ia1769552368528?classId=3653</v>
      </c>
      <c r="M309" s="379" t="str">
        <f>IFERROR(__xludf.DUMMYFUNCTION("""COMPUTED_VALUE"""),"3")</f>
        <v>3</v>
      </c>
      <c r="N309" s="644" t="str">
        <f>IFERROR(__xludf.DUMMYFUNCTION("""COMPUTED_VALUE"""),"https://drive.google.com/file/d/1XK-iKq5Plh3j8SEPqoRSYVhkUuWfx0Hw/view?usp=drive_link")</f>
        <v>https://drive.google.com/file/d/1XK-iKq5Plh3j8SEPqoRSYVhkUuWfx0Hw/view?usp=drive_link</v>
      </c>
      <c r="O309" s="228" t="str">
        <f>IFERROR(__xludf.DUMMYFUNCTION("""COMPUTED_VALUE"""),"")</f>
        <v/>
      </c>
      <c r="P309" s="601" t="str">
        <f>IFERROR(__xludf.DUMMYFUNCTION("""COMPUTED_VALUE"""),"11/12/2024")</f>
        <v>11/12/2024</v>
      </c>
      <c r="Q309" s="228"/>
    </row>
    <row r="310">
      <c r="A310" s="73"/>
      <c r="B310" s="209" t="str">
        <f>IFERROR(__xludf.DUMMYFUNCTION("""COMPUTED_VALUE"""),"Executivos de Vendas")</f>
        <v>Executivos de Vendas</v>
      </c>
      <c r="C310" s="104" t="str">
        <f>IFERROR(__xludf.DUMMYFUNCTION("""COMPUTED_VALUE"""),"RD Summit 2024 : Níveis de Maturidade em vendas B2B")</f>
        <v>RD Summit 2024 : Níveis de Maturidade em vendas B2B</v>
      </c>
      <c r="D310" s="119" t="str">
        <f>IFERROR(__xludf.DUMMYFUNCTION("""COMPUTED_VALUE"""),"Gustavo Pagotto")</f>
        <v>Gustavo Pagotto</v>
      </c>
      <c r="E310" s="208" t="str">
        <f>IFERROR(__xludf.DUMMYFUNCTION("""COMPUTED_VALUE"""),"Fundador")</f>
        <v>Fundador</v>
      </c>
      <c r="F310" s="655" t="str">
        <f>IFERROR(__xludf.DUMMYFUNCTION("""COMPUTED_VALUE"""),"PipeLovers")</f>
        <v>PipeLovers</v>
      </c>
      <c r="G310" s="656" t="str">
        <f>IFERROR(__xludf.DUMMYFUNCTION("""COMPUTED_VALUE"""),"https://www.linkedin.com/in/gpagotto/")</f>
        <v>https://www.linkedin.com/in/gpagotto/</v>
      </c>
      <c r="H310" s="655" t="str">
        <f>IFERROR(__xludf.DUMMYFUNCTION("""COMPUTED_VALUE"""),"Autodesenvolvimento")</f>
        <v>Autodesenvolvimento</v>
      </c>
      <c r="I310" s="655" t="str">
        <f>IFERROR(__xludf.DUMMYFUNCTION("""COMPUTED_VALUE"""),"Aprendizado Ativo")</f>
        <v>Aprendizado Ativo</v>
      </c>
      <c r="J310" s="657" t="str">
        <f>IFERROR(__xludf.DUMMYFUNCTION("""COMPUTED_VALUE"""),"Benchmarking")</f>
        <v>Benchmarking</v>
      </c>
      <c r="K310" s="114" t="str">
        <f>IFERROR(__xludf.DUMMYFUNCTION("""COMPUTED_VALUE"""),"https://universidade.pipelovers.net/m/lessons/rd-summit-2024-niveis-de-maturidade-em-vendas-b2b1769552060152?classId=3026")</f>
        <v>https://universidade.pipelovers.net/m/lessons/rd-summit-2024-niveis-de-maturidade-em-vendas-b2b1769552060152?classId=3026</v>
      </c>
      <c r="L310" s="535" t="str">
        <f>IFERROR(__xludf.DUMMYFUNCTION("""COMPUTED_VALUE"""),"https://universidade.pipelovers.net/m/lessons/rd-summit-2024-niveis-de-maturidade-em-vendas-b2b1769552060152?classId=3026")</f>
        <v>https://universidade.pipelovers.net/m/lessons/rd-summit-2024-niveis-de-maturidade-em-vendas-b2b1769552060152?classId=3026</v>
      </c>
      <c r="M310" s="379" t="str">
        <f>IFERROR(__xludf.DUMMYFUNCTION("""COMPUTED_VALUE"""),"5")</f>
        <v>5</v>
      </c>
      <c r="N310" s="644" t="str">
        <f>IFERROR(__xludf.DUMMYFUNCTION("""COMPUTED_VALUE"""),"https://drive.google.com/file/d/1pWIC9wAgARv5cMHcraPbzw7_0EsKI8Jx/view?usp=drive_link")</f>
        <v>https://drive.google.com/file/d/1pWIC9wAgARv5cMHcraPbzw7_0EsKI8Jx/view?usp=drive_link</v>
      </c>
      <c r="O310" s="151" t="str">
        <f>IFERROR(__xludf.DUMMYFUNCTION("""COMPUTED_VALUE"""),"")</f>
        <v/>
      </c>
      <c r="P310" s="601" t="str">
        <f>IFERROR(__xludf.DUMMYFUNCTION("""COMPUTED_VALUE"""),"18/12/2024")</f>
        <v>18/12/2024</v>
      </c>
      <c r="Q310" s="151"/>
    </row>
    <row r="311">
      <c r="A311" s="73"/>
      <c r="B311" s="209" t="str">
        <f>IFERROR(__xludf.DUMMYFUNCTION("""COMPUTED_VALUE"""),"Executivos de Vendas")</f>
        <v>Executivos de Vendas</v>
      </c>
      <c r="C311" s="119" t="str">
        <f>IFERROR(__xludf.DUMMYFUNCTION("""COMPUTED_VALUE"""),"Desafios comerciais do Interior")</f>
        <v>Desafios comerciais do Interior</v>
      </c>
      <c r="D311" s="104" t="str">
        <f>IFERROR(__xludf.DUMMYFUNCTION("""COMPUTED_VALUE"""),"Jandrey Nogueira")</f>
        <v>Jandrey Nogueira</v>
      </c>
      <c r="E311" s="208" t="str">
        <f>IFERROR(__xludf.DUMMYFUNCTION("""COMPUTED_VALUE"""),"Sócio e Diretor Comercial")</f>
        <v>Sócio e Diretor Comercial</v>
      </c>
      <c r="F311" s="655" t="str">
        <f>IFERROR(__xludf.DUMMYFUNCTION("""COMPUTED_VALUE"""),"ISOPOWER Indústria")</f>
        <v>ISOPOWER Indústria</v>
      </c>
      <c r="G311" s="656" t="str">
        <f>IFERROR(__xludf.DUMMYFUNCTION("""COMPUTED_VALUE"""),"https://www.linkedin.com/in/jandreynogueira/")</f>
        <v>https://www.linkedin.com/in/jandreynogueira/</v>
      </c>
      <c r="H311" s="655" t="str">
        <f>IFERROR(__xludf.DUMMYFUNCTION("""COMPUTED_VALUE"""),"Visão de Negócios")</f>
        <v>Visão de Negócios</v>
      </c>
      <c r="I311" s="655" t="str">
        <f>IFERROR(__xludf.DUMMYFUNCTION("""COMPUTED_VALUE"""),"Conhecimento de Produto e Negócio")</f>
        <v>Conhecimento de Produto e Negócio</v>
      </c>
      <c r="J311" s="657" t="str">
        <f>IFERROR(__xludf.DUMMYFUNCTION("""COMPUTED_VALUE"""),"Segmentação de Mercado")</f>
        <v>Segmentação de Mercado</v>
      </c>
      <c r="K311" s="128" t="str">
        <f>IFERROR(__xludf.DUMMYFUNCTION("""COMPUTED_VALUE"""),"https://universidade.pipelovers.net/m/lessons/desafios-comerciais-do-interior1769552368611?classId=3652")</f>
        <v>https://universidade.pipelovers.net/m/lessons/desafios-comerciais-do-interior1769552368611?classId=3652</v>
      </c>
      <c r="L311" s="535" t="str">
        <f>IFERROR(__xludf.DUMMYFUNCTION("""COMPUTED_VALUE"""),"https://universidade.pipelovers.net/m/lessons/desafios-comerciais-do-interior1769552368611?classId=3652")</f>
        <v>https://universidade.pipelovers.net/m/lessons/desafios-comerciais-do-interior1769552368611?classId=3652</v>
      </c>
      <c r="M311" s="379" t="str">
        <f>IFERROR(__xludf.DUMMYFUNCTION("""COMPUTED_VALUE"""),"3,93")</f>
        <v>3,93</v>
      </c>
      <c r="N311" s="644" t="str">
        <f>IFERROR(__xludf.DUMMYFUNCTION("""COMPUTED_VALUE"""),"https://drive.google.com/file/d/1kg6PpAmSi-6HAobs-ksYqT0wnisV4E4R/view?usp=drive_link")</f>
        <v>https://drive.google.com/file/d/1kg6PpAmSi-6HAobs-ksYqT0wnisV4E4R/view?usp=drive_link</v>
      </c>
      <c r="O311" s="228" t="str">
        <f>IFERROR(__xludf.DUMMYFUNCTION("""COMPUTED_VALUE"""),"")</f>
        <v/>
      </c>
      <c r="P311" s="601" t="str">
        <f>IFERROR(__xludf.DUMMYFUNCTION("""COMPUTED_VALUE"""),"25/12/2024")</f>
        <v>25/12/2024</v>
      </c>
      <c r="Q311" s="228"/>
    </row>
    <row r="312">
      <c r="A312" s="73"/>
      <c r="B312" s="209" t="str">
        <f>IFERROR(__xludf.DUMMYFUNCTION("""COMPUTED_VALUE"""),"Executivos de Vendas")</f>
        <v>Executivos de Vendas</v>
      </c>
      <c r="C312" s="104" t="str">
        <f>IFERROR(__xludf.DUMMYFUNCTION("""COMPUTED_VALUE"""),"Consistência em resultados: como ter previsibilidade para bater metas")</f>
        <v>Consistência em resultados: como ter previsibilidade para bater metas</v>
      </c>
      <c r="D312" s="119" t="str">
        <f>IFERROR(__xludf.DUMMYFUNCTION("""COMPUTED_VALUE"""),"Henrique Carrer")</f>
        <v>Henrique Carrer</v>
      </c>
      <c r="E312" s="208" t="str">
        <f>IFERROR(__xludf.DUMMYFUNCTION("""COMPUTED_VALUE"""),"Account Executive - High touch")</f>
        <v>Account Executive - High touch</v>
      </c>
      <c r="F312" s="655" t="str">
        <f>IFERROR(__xludf.DUMMYFUNCTION("""COMPUTED_VALUE"""),"Ramper")</f>
        <v>Ramper</v>
      </c>
      <c r="G312" s="656" t="str">
        <f>IFERROR(__xludf.DUMMYFUNCTION("""COMPUTED_VALUE"""),"https://www.linkedin.com/in/henrique-carrer/")</f>
        <v>https://www.linkedin.com/in/henrique-carrer/</v>
      </c>
      <c r="H312" s="655" t="str">
        <f>IFERROR(__xludf.DUMMYFUNCTION("""COMPUTED_VALUE"""),"Conhecimento Técnico")</f>
        <v>Conhecimento Técnico</v>
      </c>
      <c r="I312" s="655" t="str">
        <f>IFERROR(__xludf.DUMMYFUNCTION("""COMPUTED_VALUE"""),"Gestão de Vendas")</f>
        <v>Gestão de Vendas</v>
      </c>
      <c r="J312" s="657" t="str">
        <f>IFERROR(__xludf.DUMMYFUNCTION("""COMPUTED_VALUE"""),"Rotinas e Rituais")</f>
        <v>Rotinas e Rituais</v>
      </c>
      <c r="K312" s="114" t="str">
        <f>IFERROR(__xludf.DUMMYFUNCTION("""COMPUTED_VALUE"""),"https://universidade.pipelovers.net/m/lessons/consistencia-em-resultados-como-ter-previsibilidade-para-bater-metas1769552368647?classId=3651")</f>
        <v>https://universidade.pipelovers.net/m/lessons/consistencia-em-resultados-como-ter-previsibilidade-para-bater-metas1769552368647?classId=3651</v>
      </c>
      <c r="L312" s="535" t="str">
        <f>IFERROR(__xludf.DUMMYFUNCTION("""COMPUTED_VALUE"""),"https://universidade.pipelovers.net/m/lessons/consistencia-em-resultados-como-ter-previsibilidade-para-bater-metas1769552368647?classId=3651")</f>
        <v>https://universidade.pipelovers.net/m/lessons/consistencia-em-resultados-como-ter-previsibilidade-para-bater-metas1769552368647?classId=3651</v>
      </c>
      <c r="M312" s="379" t="str">
        <f>IFERROR(__xludf.DUMMYFUNCTION("""COMPUTED_VALUE"""),"3,71")</f>
        <v>3,71</v>
      </c>
      <c r="N312" s="644" t="str">
        <f>IFERROR(__xludf.DUMMYFUNCTION("""COMPUTED_VALUE"""),"https://drive.google.com/file/d/1LjI-lGaBxKjqh7pMNrGtyR2ZqBIVy__e/view?usp=drive_link")</f>
        <v>https://drive.google.com/file/d/1LjI-lGaBxKjqh7pMNrGtyR2ZqBIVy__e/view?usp=drive_link</v>
      </c>
      <c r="O312" s="151" t="str">
        <f>IFERROR(__xludf.DUMMYFUNCTION("""COMPUTED_VALUE"""),"")</f>
        <v/>
      </c>
      <c r="P312" s="601" t="str">
        <f>IFERROR(__xludf.DUMMYFUNCTION("""COMPUTED_VALUE"""),"01/01/2025")</f>
        <v>01/01/2025</v>
      </c>
      <c r="Q312" s="151"/>
    </row>
    <row r="313">
      <c r="A313" s="73"/>
      <c r="B313" s="209" t="str">
        <f>IFERROR(__xludf.DUMMYFUNCTION("""COMPUTED_VALUE"""),"Executivos de Vendas")</f>
        <v>Executivos de Vendas</v>
      </c>
      <c r="C313" s="216" t="str">
        <f>IFERROR(__xludf.DUMMYFUNCTION("""COMPUTED_VALUE"""),"Como influenciar a percepção de valor do cliente")</f>
        <v>Como influenciar a percepção de valor do cliente</v>
      </c>
      <c r="D313" s="104" t="str">
        <f>IFERROR(__xludf.DUMMYFUNCTION("""COMPUTED_VALUE"""),"Elder Jascolka")</f>
        <v>Elder Jascolka</v>
      </c>
      <c r="E313" s="208" t="str">
        <f>IFERROR(__xludf.DUMMYFUNCTION("""COMPUTED_VALUE"""),"Regional Vice President")</f>
        <v>Regional Vice President</v>
      </c>
      <c r="F313" s="655" t="str">
        <f>IFERROR(__xludf.DUMMYFUNCTION("""COMPUTED_VALUE"""),"MongoDB")</f>
        <v>MongoDB</v>
      </c>
      <c r="G313" s="656" t="str">
        <f>IFERROR(__xludf.DUMMYFUNCTION("""COMPUTED_VALUE"""),"https://www.linkedin.com/in/elderjascolka/")</f>
        <v>https://www.linkedin.com/in/elderjascolka/</v>
      </c>
      <c r="H313" s="655" t="str">
        <f>IFERROR(__xludf.DUMMYFUNCTION("""COMPUTED_VALUE"""),"Conhecimento Técnico")</f>
        <v>Conhecimento Técnico</v>
      </c>
      <c r="I313" s="655" t="str">
        <f>IFERROR(__xludf.DUMMYFUNCTION("""COMPUTED_VALUE"""),"Pensamento Crítico")</f>
        <v>Pensamento Crítico</v>
      </c>
      <c r="J313" s="657" t="str">
        <f>IFERROR(__xludf.DUMMYFUNCTION("""COMPUTED_VALUE"""),"ROI")</f>
        <v>ROI</v>
      </c>
      <c r="K313" s="128" t="str">
        <f>IFERROR(__xludf.DUMMYFUNCTION("""COMPUTED_VALUE"""),"https://universidade.pipelovers.net/m/lessons/como-influenciar-a-percepcao-de-valor-do-cliente1769552368711?classId=3650")</f>
        <v>https://universidade.pipelovers.net/m/lessons/como-influenciar-a-percepcao-de-valor-do-cliente1769552368711?classId=3650</v>
      </c>
      <c r="L313" s="535" t="str">
        <f>IFERROR(__xludf.DUMMYFUNCTION("""COMPUTED_VALUE"""),"https://universidade.pipelovers.net/m/lessons/como-influenciar-a-percepcao-de-valor-do-cliente1769552368711?classId=3650")</f>
        <v>https://universidade.pipelovers.net/m/lessons/como-influenciar-a-percepcao-de-valor-do-cliente1769552368711?classId=3650</v>
      </c>
      <c r="M313" s="379" t="str">
        <f>IFERROR(__xludf.DUMMYFUNCTION("""COMPUTED_VALUE"""),"5")</f>
        <v>5</v>
      </c>
      <c r="N313" s="644" t="str">
        <f>IFERROR(__xludf.DUMMYFUNCTION("""COMPUTED_VALUE"""),"https://drive.google.com/file/d/1hhbK64FGtdKVG-aVvU-_9G4ulFknA0yC/view?usp=drive_link")</f>
        <v>https://drive.google.com/file/d/1hhbK64FGtdKVG-aVvU-_9G4ulFknA0yC/view?usp=drive_link</v>
      </c>
      <c r="O313" s="228" t="str">
        <f>IFERROR(__xludf.DUMMYFUNCTION("""COMPUTED_VALUE"""),"")</f>
        <v/>
      </c>
      <c r="P313" s="601" t="str">
        <f>IFERROR(__xludf.DUMMYFUNCTION("""COMPUTED_VALUE"""),"08/01/2025")</f>
        <v>08/01/2025</v>
      </c>
      <c r="Q313" s="228"/>
    </row>
    <row r="314">
      <c r="A314" s="73"/>
      <c r="B314" s="209" t="str">
        <f>IFERROR(__xludf.DUMMYFUNCTION("""COMPUTED_VALUE"""),"Executivos de Vendas")</f>
        <v>Executivos de Vendas</v>
      </c>
      <c r="C314" s="104" t="str">
        <f>IFERROR(__xludf.DUMMYFUNCTION("""COMPUTED_VALUE"""),"Como fortalecer sua marca pessoal no LinkedIn")</f>
        <v>Como fortalecer sua marca pessoal no LinkedIn</v>
      </c>
      <c r="D314" s="119" t="str">
        <f>IFERROR(__xludf.DUMMYFUNCTION("""COMPUTED_VALUE"""),"Guilherme Bonaroti")</f>
        <v>Guilherme Bonaroti</v>
      </c>
      <c r="E314" s="208" t="str">
        <f>IFERROR(__xludf.DUMMYFUNCTION("""COMPUTED_VALUE"""),"Head de Operações e RH")</f>
        <v>Head de Operações e RH</v>
      </c>
      <c r="F314" s="655" t="str">
        <f>IFERROR(__xludf.DUMMYFUNCTION("""COMPUTED_VALUE"""),"Better Now")</f>
        <v>Better Now</v>
      </c>
      <c r="G314" s="656" t="str">
        <f>IFERROR(__xludf.DUMMYFUNCTION("""COMPUTED_VALUE"""),"https://www.linkedin.com/in/bonaroti/")</f>
        <v>https://www.linkedin.com/in/bonaroti/</v>
      </c>
      <c r="H314" s="655" t="str">
        <f>IFERROR(__xludf.DUMMYFUNCTION("""COMPUTED_VALUE"""),"Relacionamento Interpessoal")</f>
        <v>Relacionamento Interpessoal</v>
      </c>
      <c r="I314" s="655" t="str">
        <f>IFERROR(__xludf.DUMMYFUNCTION("""COMPUTED_VALUE"""),"Liderança e Influência")</f>
        <v>Liderança e Influência</v>
      </c>
      <c r="J314" s="657" t="str">
        <f>IFERROR(__xludf.DUMMYFUNCTION("""COMPUTED_VALUE"""),"Credibilidade e Reputação")</f>
        <v>Credibilidade e Reputação</v>
      </c>
      <c r="K314" s="114" t="str">
        <f>IFERROR(__xludf.DUMMYFUNCTION("""COMPUTED_VALUE"""),"https://universidade.pipelovers.net/m/lessons/como-fortalecer-sua-marca-pessoal-no-linkedin1769552375801?classId=3649")</f>
        <v>https://universidade.pipelovers.net/m/lessons/como-fortalecer-sua-marca-pessoal-no-linkedin1769552375801?classId=3649</v>
      </c>
      <c r="L314" s="535" t="str">
        <f>IFERROR(__xludf.DUMMYFUNCTION("""COMPUTED_VALUE"""),"https://universidade.pipelovers.net/m/lessons/como-fortalecer-sua-marca-pessoal-no-linkedin1769552375801?classId=3649")</f>
        <v>https://universidade.pipelovers.net/m/lessons/como-fortalecer-sua-marca-pessoal-no-linkedin1769552375801?classId=3649</v>
      </c>
      <c r="M314" s="379" t="str">
        <f>IFERROR(__xludf.DUMMYFUNCTION("""COMPUTED_VALUE"""),"3,93")</f>
        <v>3,93</v>
      </c>
      <c r="N314" s="644" t="str">
        <f>IFERROR(__xludf.DUMMYFUNCTION("""COMPUTED_VALUE"""),"https://drive.google.com/file/d/1P_2i1kDJogXG_DxhY8gvkuDNjkazeBuJ/view?usp=drive_link")</f>
        <v>https://drive.google.com/file/d/1P_2i1kDJogXG_DxhY8gvkuDNjkazeBuJ/view?usp=drive_link</v>
      </c>
      <c r="O314" s="151" t="str">
        <f>IFERROR(__xludf.DUMMYFUNCTION("""COMPUTED_VALUE"""),"")</f>
        <v/>
      </c>
      <c r="P314" s="601" t="str">
        <f>IFERROR(__xludf.DUMMYFUNCTION("""COMPUTED_VALUE"""),"15/01/2025")</f>
        <v>15/01/2025</v>
      </c>
      <c r="Q314" s="151"/>
    </row>
    <row r="315">
      <c r="A315" s="73"/>
      <c r="B315" s="209" t="str">
        <f>IFERROR(__xludf.DUMMYFUNCTION("""COMPUTED_VALUE"""),"Executivos de Vendas")</f>
        <v>Executivos de Vendas</v>
      </c>
      <c r="C315" s="119" t="str">
        <f>IFERROR(__xludf.DUMMYFUNCTION("""COMPUTED_VALUE"""),"Técnicas de oratória para executivos de vendas")</f>
        <v>Técnicas de oratória para executivos de vendas</v>
      </c>
      <c r="D315" s="104" t="str">
        <f>IFERROR(__xludf.DUMMYFUNCTION("""COMPUTED_VALUE"""),"Beatriz Kobal")</f>
        <v>Beatriz Kobal</v>
      </c>
      <c r="E315" s="208" t="str">
        <f>IFERROR(__xludf.DUMMYFUNCTION("""COMPUTED_VALUE"""),"Mentora especialista em treinamentos de oratória")</f>
        <v>Mentora especialista em treinamentos de oratória</v>
      </c>
      <c r="F315" s="655"/>
      <c r="G315" s="656" t="str">
        <f>IFERROR(__xludf.DUMMYFUNCTION("""COMPUTED_VALUE"""),"https://www.linkedin.com/in/biakobal/")</f>
        <v>https://www.linkedin.com/in/biakobal/</v>
      </c>
      <c r="H315" s="655" t="str">
        <f>IFERROR(__xludf.DUMMYFUNCTION("""COMPUTED_VALUE"""),"Relacionamento Interpessoal")</f>
        <v>Relacionamento Interpessoal</v>
      </c>
      <c r="I315" s="655" t="str">
        <f>IFERROR(__xludf.DUMMYFUNCTION("""COMPUTED_VALUE"""),"Comunicação e Relacionamento")</f>
        <v>Comunicação e Relacionamento</v>
      </c>
      <c r="J315" s="657" t="str">
        <f>IFERROR(__xludf.DUMMYFUNCTION("""COMPUTED_VALUE"""),"Comunicação Não-Agressiva")</f>
        <v>Comunicação Não-Agressiva</v>
      </c>
      <c r="K315" s="128" t="str">
        <f>IFERROR(__xludf.DUMMYFUNCTION("""COMPUTED_VALUE"""),"https://universidade.pipelovers.net/m/lessons/tecnicas-de-oratoria-para-executivos-de-vendas1769552376065?classId=3571")</f>
        <v>https://universidade.pipelovers.net/m/lessons/tecnicas-de-oratoria-para-executivos-de-vendas1769552376065?classId=3571</v>
      </c>
      <c r="L315" s="535" t="str">
        <f>IFERROR(__xludf.DUMMYFUNCTION("""COMPUTED_VALUE"""),"https://universidade.pipelovers.net/m/lessons/tecnicas-de-oratoria-para-executivos-de-vendas1769552376065?classId=3571")</f>
        <v>https://universidade.pipelovers.net/m/lessons/tecnicas-de-oratoria-para-executivos-de-vendas1769552376065?classId=3571</v>
      </c>
      <c r="M315" s="379" t="str">
        <f>IFERROR(__xludf.DUMMYFUNCTION("""COMPUTED_VALUE"""),"4,71")</f>
        <v>4,71</v>
      </c>
      <c r="N315" s="644" t="str">
        <f>IFERROR(__xludf.DUMMYFUNCTION("""COMPUTED_VALUE"""),"https://drive.google.com/file/d/1aXmSTzQ0IE4MxT1fDb7gutqAtsf4h4GO/view?usp=drive_link")</f>
        <v>https://drive.google.com/file/d/1aXmSTzQ0IE4MxT1fDb7gutqAtsf4h4GO/view?usp=drive_link</v>
      </c>
      <c r="O315" s="228" t="str">
        <f>IFERROR(__xludf.DUMMYFUNCTION("""COMPUTED_VALUE"""),"")</f>
        <v/>
      </c>
      <c r="P315" s="601" t="str">
        <f>IFERROR(__xludf.DUMMYFUNCTION("""COMPUTED_VALUE"""),"22/01/2025")</f>
        <v>22/01/2025</v>
      </c>
      <c r="Q315" s="228"/>
    </row>
    <row r="316">
      <c r="A316" s="73"/>
      <c r="B316" s="209" t="str">
        <f>IFERROR(__xludf.DUMMYFUNCTION("""COMPUTED_VALUE"""),"Executivos de Vendas")</f>
        <v>Executivos de Vendas</v>
      </c>
      <c r="C316" s="268" t="str">
        <f>IFERROR(__xludf.DUMMYFUNCTION("""COMPUTED_VALUE"""),"Estratégias para aplicação de descontos comerciais")</f>
        <v>Estratégias para aplicação de descontos comerciais</v>
      </c>
      <c r="D316" s="119" t="str">
        <f>IFERROR(__xludf.DUMMYFUNCTION("""COMPUTED_VALUE"""),"Pedro Henrique")</f>
        <v>Pedro Henrique</v>
      </c>
      <c r="E316" s="208" t="str">
        <f>IFERROR(__xludf.DUMMYFUNCTION("""COMPUTED_VALUE"""),"Head of Sales")</f>
        <v>Head of Sales</v>
      </c>
      <c r="F316" s="655" t="str">
        <f>IFERROR(__xludf.DUMMYFUNCTION("""COMPUTED_VALUE"""),"OUT")</f>
        <v>OUT</v>
      </c>
      <c r="G316" s="656" t="str">
        <f>IFERROR(__xludf.DUMMYFUNCTION("""COMPUTED_VALUE"""),"https://www.linkedin.com/in/pedro-henrique-alves-872b0245/")</f>
        <v>https://www.linkedin.com/in/pedro-henrique-alves-872b0245/</v>
      </c>
      <c r="H316" s="655" t="str">
        <f>IFERROR(__xludf.DUMMYFUNCTION("""COMPUTED_VALUE"""),"Conhecimento Técnico")</f>
        <v>Conhecimento Técnico</v>
      </c>
      <c r="I316" s="655" t="str">
        <f>IFERROR(__xludf.DUMMYFUNCTION("""COMPUTED_VALUE"""),"Técnicas de Vendas")</f>
        <v>Técnicas de Vendas</v>
      </c>
      <c r="J316" s="657" t="str">
        <f>IFERROR(__xludf.DUMMYFUNCTION("""COMPUTED_VALUE"""),"Negociação e Fechamento de Vendas")</f>
        <v>Negociação e Fechamento de Vendas</v>
      </c>
      <c r="K316" s="114" t="str">
        <f>IFERROR(__xludf.DUMMYFUNCTION("""COMPUTED_VALUE"""),"https://universidade.pipelovers.net/m/lessons/estrategias-para-aplicacao-de-descontos-comerciais1769552376115?classId=3648")</f>
        <v>https://universidade.pipelovers.net/m/lessons/estrategias-para-aplicacao-de-descontos-comerciais1769552376115?classId=3648</v>
      </c>
      <c r="L316" s="535" t="str">
        <f>IFERROR(__xludf.DUMMYFUNCTION("""COMPUTED_VALUE"""),"https://universidade.pipelovers.net/m/lessons/estrategias-para-aplicacao-de-descontos-comerciais1769552376115?classId=3648")</f>
        <v>https://universidade.pipelovers.net/m/lessons/estrategias-para-aplicacao-de-descontos-comerciais1769552376115?classId=3648</v>
      </c>
      <c r="M316" s="379" t="str">
        <f>IFERROR(__xludf.DUMMYFUNCTION("""COMPUTED_VALUE"""),"4")</f>
        <v>4</v>
      </c>
      <c r="N316" s="644" t="str">
        <f>IFERROR(__xludf.DUMMYFUNCTION("""COMPUTED_VALUE"""),"https://drive.google.com/file/d/1agWjKDKkvDpw4-6MDkyjQ9nzl63yovja/view?usp=drive_link")</f>
        <v>https://drive.google.com/file/d/1agWjKDKkvDpw4-6MDkyjQ9nzl63yovja/view?usp=drive_link</v>
      </c>
      <c r="O316" s="151" t="str">
        <f>IFERROR(__xludf.DUMMYFUNCTION("""COMPUTED_VALUE"""),"")</f>
        <v/>
      </c>
      <c r="P316" s="601" t="str">
        <f>IFERROR(__xludf.DUMMYFUNCTION("""COMPUTED_VALUE"""),"29/01/2025")</f>
        <v>29/01/2025</v>
      </c>
      <c r="Q316" s="151"/>
    </row>
    <row r="317">
      <c r="A317" s="73"/>
      <c r="B317" s="209" t="str">
        <f>IFERROR(__xludf.DUMMYFUNCTION("""COMPUTED_VALUE"""),"Executivos de Vendas")</f>
        <v>Executivos de Vendas</v>
      </c>
      <c r="C317" s="119" t="str">
        <f>IFERROR(__xludf.DUMMYFUNCTION("""COMPUTED_VALUE"""),"Acelerando fechamentos no inicio do ano")</f>
        <v>Acelerando fechamentos no inicio do ano</v>
      </c>
      <c r="D317" s="104" t="str">
        <f>IFERROR(__xludf.DUMMYFUNCTION("""COMPUTED_VALUE"""),"Gabriel Brasil")</f>
        <v>Gabriel Brasil</v>
      </c>
      <c r="E317" s="208" t="str">
        <f>IFERROR(__xludf.DUMMYFUNCTION("""COMPUTED_VALUE"""),"Head of Revenue")</f>
        <v>Head of Revenue</v>
      </c>
      <c r="F317" s="655" t="str">
        <f>IFERROR(__xludf.DUMMYFUNCTION("""COMPUTED_VALUE"""),"PipeLovers")</f>
        <v>PipeLovers</v>
      </c>
      <c r="G317" s="656" t="str">
        <f>IFERROR(__xludf.DUMMYFUNCTION("""COMPUTED_VALUE"""),"https://www.linkedin.com/in/gabriel-sbrasil/")</f>
        <v>https://www.linkedin.com/in/gabriel-sbrasil/</v>
      </c>
      <c r="H317" s="655" t="str">
        <f>IFERROR(__xludf.DUMMYFUNCTION("""COMPUTED_VALUE"""),"Conhecimento Técnico")</f>
        <v>Conhecimento Técnico</v>
      </c>
      <c r="I317" s="655" t="str">
        <f>IFERROR(__xludf.DUMMYFUNCTION("""COMPUTED_VALUE"""),"Técnicas de Vendas")</f>
        <v>Técnicas de Vendas</v>
      </c>
      <c r="J317" s="657" t="str">
        <f>IFERROR(__xludf.DUMMYFUNCTION("""COMPUTED_VALUE"""),"Negociação e Fechamento de Vendas")</f>
        <v>Negociação e Fechamento de Vendas</v>
      </c>
      <c r="K317" s="128" t="str">
        <f>IFERROR(__xludf.DUMMYFUNCTION("""COMPUTED_VALUE"""),"https://universidade.pipelovers.net/m/lessons/acelerando-fechamentos-no-inicio-do-ano1769552376164?classId=3647")</f>
        <v>https://universidade.pipelovers.net/m/lessons/acelerando-fechamentos-no-inicio-do-ano1769552376164?classId=3647</v>
      </c>
      <c r="L317" s="535" t="str">
        <f>IFERROR(__xludf.DUMMYFUNCTION("""COMPUTED_VALUE"""),"https://universidade.pipelovers.net/m/lessons/acelerando-fechamentos-no-inicio-do-ano1769552376164?classId=3647")</f>
        <v>https://universidade.pipelovers.net/m/lessons/acelerando-fechamentos-no-inicio-do-ano1769552376164?classId=3647</v>
      </c>
      <c r="M317" s="379" t="str">
        <f>IFERROR(__xludf.DUMMYFUNCTION("""COMPUTED_VALUE"""),"4,57")</f>
        <v>4,57</v>
      </c>
      <c r="N317" s="644" t="str">
        <f>IFERROR(__xludf.DUMMYFUNCTION("""COMPUTED_VALUE"""),"https://drive.google.com/file/d/1ECIf7wPJ7gfZZ_CKF97AEg1ZC0VAVxRz/view?usp=drive_link")</f>
        <v>https://drive.google.com/file/d/1ECIf7wPJ7gfZZ_CKF97AEg1ZC0VAVxRz/view?usp=drive_link</v>
      </c>
      <c r="O317" s="228" t="str">
        <f>IFERROR(__xludf.DUMMYFUNCTION("""COMPUTED_VALUE"""),"")</f>
        <v/>
      </c>
      <c r="P317" s="601" t="str">
        <f>IFERROR(__xludf.DUMMYFUNCTION("""COMPUTED_VALUE"""),"05/02/2025")</f>
        <v>05/02/2025</v>
      </c>
      <c r="Q317" s="228"/>
    </row>
    <row r="318">
      <c r="A318" s="73"/>
      <c r="B318" s="209" t="str">
        <f>IFERROR(__xludf.DUMMYFUNCTION("""COMPUTED_VALUE"""),"Executivos de Vendas")</f>
        <v>Executivos de Vendas</v>
      </c>
      <c r="C318" s="104" t="str">
        <f>IFERROR(__xludf.DUMMYFUNCTION("""COMPUTED_VALUE"""),"Gatilhos para upsell e cross-sell na jornada do cliente")</f>
        <v>Gatilhos para upsell e cross-sell na jornada do cliente</v>
      </c>
      <c r="D318" s="119" t="str">
        <f>IFERROR(__xludf.DUMMYFUNCTION("""COMPUTED_VALUE"""),"Mariana assis")</f>
        <v>Mariana assis</v>
      </c>
      <c r="E318" s="208" t="str">
        <f>IFERROR(__xludf.DUMMYFUNCTION("""COMPUTED_VALUE"""),"Global Head of CX &amp; International Expansion")</f>
        <v>Global Head of CX &amp; International Expansion</v>
      </c>
      <c r="F318" s="655" t="str">
        <f>IFERROR(__xludf.DUMMYFUNCTION("""COMPUTED_VALUE"""),"Humand")</f>
        <v>Humand</v>
      </c>
      <c r="G318" s="656" t="str">
        <f>IFERROR(__xludf.DUMMYFUNCTION("""COMPUTED_VALUE"""),"https://www.linkedin.com/in/marianaassis/")</f>
        <v>https://www.linkedin.com/in/marianaassis/</v>
      </c>
      <c r="H318" s="655" t="str">
        <f>IFERROR(__xludf.DUMMYFUNCTION("""COMPUTED_VALUE"""),"Conhecimento Técnico")</f>
        <v>Conhecimento Técnico</v>
      </c>
      <c r="I318" s="655" t="str">
        <f>IFERROR(__xludf.DUMMYFUNCTION("""COMPUTED_VALUE"""),"Gestão de Vendas")</f>
        <v>Gestão de Vendas</v>
      </c>
      <c r="J318" s="657" t="str">
        <f>IFERROR(__xludf.DUMMYFUNCTION("""COMPUTED_VALUE"""),"UpSell e Cross Sell")</f>
        <v>UpSell e Cross Sell</v>
      </c>
      <c r="K318" s="114" t="str">
        <f>IFERROR(__xludf.DUMMYFUNCTION("""COMPUTED_VALUE"""),"https://universidade.pipelovers.net/m/lessons/gatilhos-para-upsell-e-cross-sell-na-jornada-do-cliente1769552376252?classId=3645")</f>
        <v>https://universidade.pipelovers.net/m/lessons/gatilhos-para-upsell-e-cross-sell-na-jornada-do-cliente1769552376252?classId=3645</v>
      </c>
      <c r="L318" s="535" t="str">
        <f>IFERROR(__xludf.DUMMYFUNCTION("""COMPUTED_VALUE"""),"https://universidade.pipelovers.net/m/lessons/gatilhos-para-upsell-e-cross-sell-na-jornada-do-cliente1769552376252?classId=3645")</f>
        <v>https://universidade.pipelovers.net/m/lessons/gatilhos-para-upsell-e-cross-sell-na-jornada-do-cliente1769552376252?classId=3645</v>
      </c>
      <c r="M318" s="379" t="str">
        <f>IFERROR(__xludf.DUMMYFUNCTION("""COMPUTED_VALUE"""),"4,57")</f>
        <v>4,57</v>
      </c>
      <c r="N318" s="644" t="str">
        <f>IFERROR(__xludf.DUMMYFUNCTION("""COMPUTED_VALUE"""),"https://drive.google.com/file/d/1vH3Lrl2olMfOII1kWmL7rdDYlejYr8av/view?usp=drive_link")</f>
        <v>https://drive.google.com/file/d/1vH3Lrl2olMfOII1kWmL7rdDYlejYr8av/view?usp=drive_link</v>
      </c>
      <c r="O318" s="151" t="str">
        <f>IFERROR(__xludf.DUMMYFUNCTION("""COMPUTED_VALUE"""),"")</f>
        <v/>
      </c>
      <c r="P318" s="601" t="str">
        <f>IFERROR(__xludf.DUMMYFUNCTION("""COMPUTED_VALUE"""),"12/02/2025")</f>
        <v>12/02/2025</v>
      </c>
      <c r="Q318" s="151"/>
    </row>
    <row r="319">
      <c r="A319" s="73"/>
      <c r="B319" s="209" t="str">
        <f>IFERROR(__xludf.DUMMYFUNCTION("""COMPUTED_VALUE"""),"Executivos de Vendas")</f>
        <v>Executivos de Vendas</v>
      </c>
      <c r="C319" s="204" t="str">
        <f>IFERROR(__xludf.DUMMYFUNCTION("""COMPUTED_VALUE"""),"SPIN Selling em negociações complexas")</f>
        <v>SPIN Selling em negociações complexas</v>
      </c>
      <c r="D319" s="104" t="str">
        <f>IFERROR(__xludf.DUMMYFUNCTION("""COMPUTED_VALUE"""),"Pamela Gottschalk")</f>
        <v>Pamela Gottschalk</v>
      </c>
      <c r="E319" s="208" t="str">
        <f>IFERROR(__xludf.DUMMYFUNCTION("""COMPUTED_VALUE"""),"Founder")</f>
        <v>Founder</v>
      </c>
      <c r="F319" s="655" t="str">
        <f>IFERROR(__xludf.DUMMYFUNCTION("""COMPUTED_VALUE"""),"Urano Management")</f>
        <v>Urano Management</v>
      </c>
      <c r="G319" s="656" t="str">
        <f>IFERROR(__xludf.DUMMYFUNCTION("""COMPUTED_VALUE"""),"https://www.linkedin.com/in/pamelagottschalk/")</f>
        <v>https://www.linkedin.com/in/pamelagottschalk/</v>
      </c>
      <c r="H319" s="655" t="str">
        <f>IFERROR(__xludf.DUMMYFUNCTION("""COMPUTED_VALUE"""),"Conhecimento Técnico")</f>
        <v>Conhecimento Técnico</v>
      </c>
      <c r="I319" s="655" t="str">
        <f>IFERROR(__xludf.DUMMYFUNCTION("""COMPUTED_VALUE"""),"Gestão de Vendas")</f>
        <v>Gestão de Vendas</v>
      </c>
      <c r="J319" s="657" t="str">
        <f>IFERROR(__xludf.DUMMYFUNCTION("""COMPUTED_VALUE"""),"Metodologias de Vendas")</f>
        <v>Metodologias de Vendas</v>
      </c>
      <c r="K319" s="167" t="str">
        <f>IFERROR(__xludf.DUMMYFUNCTION("""COMPUTED_VALUE"""),"https://universidade.pipelovers.net/m/lessons/spin-selling-em-negociacoes-complexas1769552376302?classId=3573")</f>
        <v>https://universidade.pipelovers.net/m/lessons/spin-selling-em-negociacoes-complexas1769552376302?classId=3573</v>
      </c>
      <c r="L319" s="500" t="str">
        <f>IFERROR(__xludf.DUMMYFUNCTION("""COMPUTED_VALUE"""),"https://universidade.pipelovers.net/m/lessons/spin-selling-em-negociacoes-complexas1769552376302?classId=3573")</f>
        <v>https://universidade.pipelovers.net/m/lessons/spin-selling-em-negociacoes-complexas1769552376302?classId=3573</v>
      </c>
      <c r="M319" s="379" t="str">
        <f>IFERROR(__xludf.DUMMYFUNCTION("""COMPUTED_VALUE"""),"4,71")</f>
        <v>4,71</v>
      </c>
      <c r="N319" s="644" t="str">
        <f>IFERROR(__xludf.DUMMYFUNCTION("""COMPUTED_VALUE"""),"https://drive.google.com/file/d/1yr6t1HdcjoSzcj94tFcFkLZIPD4Hd_3n/view?usp=drive_link")</f>
        <v>https://drive.google.com/file/d/1yr6t1HdcjoSzcj94tFcFkLZIPD4Hd_3n/view?usp=drive_link</v>
      </c>
      <c r="O319" s="228" t="str">
        <f>IFERROR(__xludf.DUMMYFUNCTION("""COMPUTED_VALUE"""),"")</f>
        <v/>
      </c>
      <c r="P319" s="601" t="str">
        <f>IFERROR(__xludf.DUMMYFUNCTION("""COMPUTED_VALUE"""),"19/02/2025")</f>
        <v>19/02/2025</v>
      </c>
      <c r="Q319" s="228"/>
    </row>
    <row r="320">
      <c r="A320" s="73"/>
      <c r="B320" s="209" t="str">
        <f>IFERROR(__xludf.DUMMYFUNCTION("""COMPUTED_VALUE"""),"Executivos de Vendas")</f>
        <v>Executivos de Vendas</v>
      </c>
      <c r="C320" s="119" t="str">
        <f>IFERROR(__xludf.DUMMYFUNCTION("""COMPUTED_VALUE"""),"Acelerando Negociações: Técnicas práticas para fechamento")</f>
        <v>Acelerando Negociações: Técnicas práticas para fechamento</v>
      </c>
      <c r="D320" s="119" t="str">
        <f>IFERROR(__xludf.DUMMYFUNCTION("""COMPUTED_VALUE"""),"Arnold Frota")</f>
        <v>Arnold Frota</v>
      </c>
      <c r="E320" s="208" t="str">
        <f>IFERROR(__xludf.DUMMYFUNCTION("""COMPUTED_VALUE"""),"Gerente de Vendas")</f>
        <v>Gerente de Vendas</v>
      </c>
      <c r="F320" s="655" t="str">
        <f>IFERROR(__xludf.DUMMYFUNCTION("""COMPUTED_VALUE"""),"RD Station")</f>
        <v>RD Station</v>
      </c>
      <c r="G320" s="656" t="str">
        <f>IFERROR(__xludf.DUMMYFUNCTION("""COMPUTED_VALUE"""),"https://www.linkedin.com/in/arnold-frota-13974a182/")</f>
        <v>https://www.linkedin.com/in/arnold-frota-13974a182/</v>
      </c>
      <c r="H320" s="655" t="str">
        <f>IFERROR(__xludf.DUMMYFUNCTION("""COMPUTED_VALUE"""),"Conhecimento Técnico")</f>
        <v>Conhecimento Técnico</v>
      </c>
      <c r="I320" s="655" t="str">
        <f>IFERROR(__xludf.DUMMYFUNCTION("""COMPUTED_VALUE"""),"Técnicas de Vendas")</f>
        <v>Técnicas de Vendas</v>
      </c>
      <c r="J320" s="657" t="str">
        <f>IFERROR(__xludf.DUMMYFUNCTION("""COMPUTED_VALUE"""),"Negociação e Fechamento de Vendas")</f>
        <v>Negociação e Fechamento de Vendas</v>
      </c>
      <c r="K320" s="128" t="str">
        <f>IFERROR(__xludf.DUMMYFUNCTION("""COMPUTED_VALUE"""),"https://universidade.pipelovers.net/aulas/acelerando-negociacoes-hacks-praticos-para-fechamento-1775686254317")</f>
        <v>https://universidade.pipelovers.net/aulas/acelerando-negociacoes-hacks-praticos-para-fechamento-1775686254317</v>
      </c>
      <c r="L320" s="535" t="str">
        <f>IFERROR(__xludf.DUMMYFUNCTION("""COMPUTED_VALUE"""),"https://universidade.pipelovers.net/aulas/acelerando-negociacoes-hacks-praticos-para-fechamento-1775686254317")</f>
        <v>https://universidade.pipelovers.net/aulas/acelerando-negociacoes-hacks-praticos-para-fechamento-1775686254317</v>
      </c>
      <c r="M320" s="379" t="str">
        <f>IFERROR(__xludf.DUMMYFUNCTION("""COMPUTED_VALUE"""),"2")</f>
        <v>2</v>
      </c>
      <c r="N320" s="644" t="str">
        <f>IFERROR(__xludf.DUMMYFUNCTION("""COMPUTED_VALUE"""),"https://drive.google.com/file/d/1YPEVYeSYNdC3irr733EJbsHJRNINNdK3/view?usp=drive_link")</f>
        <v>https://drive.google.com/file/d/1YPEVYeSYNdC3irr733EJbsHJRNINNdK3/view?usp=drive_link</v>
      </c>
      <c r="O320" s="151" t="str">
        <f>IFERROR(__xludf.DUMMYFUNCTION("""COMPUTED_VALUE"""),"")</f>
        <v/>
      </c>
      <c r="P320" s="601" t="str">
        <f>IFERROR(__xludf.DUMMYFUNCTION("""COMPUTED_VALUE"""),"26/02/2025")</f>
        <v>26/02/2025</v>
      </c>
      <c r="Q320" s="151"/>
    </row>
    <row r="321">
      <c r="A321" s="73"/>
      <c r="B321" s="209" t="str">
        <f>IFERROR(__xludf.DUMMYFUNCTION("""COMPUTED_VALUE"""),"Executivos de Vendas")</f>
        <v>Executivos de Vendas</v>
      </c>
      <c r="C321" s="104" t="str">
        <f>IFERROR(__xludf.DUMMYFUNCTION("""COMPUTED_VALUE"""),"Vendas Enterprise: Estratégias para fechar grandes contas")</f>
        <v>Vendas Enterprise: Estratégias para fechar grandes contas</v>
      </c>
      <c r="D321" s="104" t="str">
        <f>IFERROR(__xludf.DUMMYFUNCTION("""COMPUTED_VALUE"""),"Julio Vigna")</f>
        <v>Julio Vigna</v>
      </c>
      <c r="E321" s="218" t="str">
        <f>IFERROR(__xludf.DUMMYFUNCTION("""COMPUTED_VALUE"""),"-")</f>
        <v>-</v>
      </c>
      <c r="F321" s="667" t="str">
        <f>IFERROR(__xludf.DUMMYFUNCTION("""COMPUTED_VALUE"""),"-")</f>
        <v>-</v>
      </c>
      <c r="G321" s="668" t="str">
        <f>IFERROR(__xludf.DUMMYFUNCTION("""COMPUTED_VALUE"""),"https://www.linkedin.com/in/julio--vigna/")</f>
        <v>https://www.linkedin.com/in/julio--vigna/</v>
      </c>
      <c r="H321" s="667" t="str">
        <f>IFERROR(__xludf.DUMMYFUNCTION("""COMPUTED_VALUE"""),"Conhecimento Técnico")</f>
        <v>Conhecimento Técnico</v>
      </c>
      <c r="I321" s="667" t="str">
        <f>IFERROR(__xludf.DUMMYFUNCTION("""COMPUTED_VALUE"""),"Técnicas de Vendas")</f>
        <v>Técnicas de Vendas</v>
      </c>
      <c r="J321" s="669" t="str">
        <f>IFERROR(__xludf.DUMMYFUNCTION("""COMPUTED_VALUE"""),"Negociação e Fechamento de Vendas")</f>
        <v>Negociação e Fechamento de Vendas</v>
      </c>
      <c r="K321" s="114" t="str">
        <f>IFERROR(__xludf.DUMMYFUNCTION("""COMPUTED_VALUE"""),"https://universidade.pipelovers.net/m/lessons/vendas-enterprise-estrategias-para-fechar-grandes-contas1769552376494?classId=3640")</f>
        <v>https://universidade.pipelovers.net/m/lessons/vendas-enterprise-estrategias-para-fechar-grandes-contas1769552376494?classId=3640</v>
      </c>
      <c r="L321" s="535" t="str">
        <f>IFERROR(__xludf.DUMMYFUNCTION("""COMPUTED_VALUE"""),"https://universidade.pipelovers.net/m/lessons/vendas-enterprise-estrategias-para-fechar-grandes-contas1769552376494?classId=3640")</f>
        <v>https://universidade.pipelovers.net/m/lessons/vendas-enterprise-estrategias-para-fechar-grandes-contas1769552376494?classId=3640</v>
      </c>
      <c r="M321" s="379" t="str">
        <f>IFERROR(__xludf.DUMMYFUNCTION("""COMPUTED_VALUE"""),"4")</f>
        <v>4</v>
      </c>
      <c r="N321" s="644" t="str">
        <f>IFERROR(__xludf.DUMMYFUNCTION("""COMPUTED_VALUE"""),"https://drive.google.com/file/d/1hDGFdPHp4_6jXKc80ra8RHVyoYxgIWLu/view?usp=drive_link")</f>
        <v>https://drive.google.com/file/d/1hDGFdPHp4_6jXKc80ra8RHVyoYxgIWLu/view?usp=drive_link</v>
      </c>
      <c r="O321" s="228" t="str">
        <f>IFERROR(__xludf.DUMMYFUNCTION("""COMPUTED_VALUE"""),"")</f>
        <v/>
      </c>
      <c r="P321" s="601" t="str">
        <f>IFERROR(__xludf.DUMMYFUNCTION("""COMPUTED_VALUE"""),"05/03/2025")</f>
        <v>05/03/2025</v>
      </c>
      <c r="Q321" s="228"/>
    </row>
    <row r="322">
      <c r="A322" s="73"/>
      <c r="B322" s="209" t="str">
        <f>IFERROR(__xludf.DUMMYFUNCTION("""COMPUTED_VALUE"""),"Executivos de Vendas")</f>
        <v>Executivos de Vendas</v>
      </c>
      <c r="C322" s="268" t="str">
        <f>IFERROR(__xludf.DUMMYFUNCTION("""COMPUTED_VALUE"""),"Estratégias de cadência no WhatsApp para leads inbound")</f>
        <v>Estratégias de cadência no WhatsApp para leads inbound</v>
      </c>
      <c r="D322" s="119" t="str">
        <f>IFERROR(__xludf.DUMMYFUNCTION("""COMPUTED_VALUE"""),"Leandro Munhoz")</f>
        <v>Leandro Munhoz</v>
      </c>
      <c r="E322" s="218" t="str">
        <f>IFERROR(__xludf.DUMMYFUNCTION("""COMPUTED_VALUE"""),"Fundador &amp; CEO")</f>
        <v>Fundador &amp; CEO</v>
      </c>
      <c r="F322" s="667" t="str">
        <f>IFERROR(__xludf.DUMMYFUNCTION("""COMPUTED_VALUE"""),"SuperVendedores")</f>
        <v>SuperVendedores</v>
      </c>
      <c r="G322" s="668" t="str">
        <f>IFERROR(__xludf.DUMMYFUNCTION("""COMPUTED_VALUE"""),"https://www.linkedin.com/in/leandromunhozmoreira/")</f>
        <v>https://www.linkedin.com/in/leandromunhozmoreira/</v>
      </c>
      <c r="H322" s="667" t="str">
        <f>IFERROR(__xludf.DUMMYFUNCTION("""COMPUTED_VALUE"""),"Relacionamento Interpessoal")</f>
        <v>Relacionamento Interpessoal</v>
      </c>
      <c r="I322" s="667" t="str">
        <f>IFERROR(__xludf.DUMMYFUNCTION("""COMPUTED_VALUE"""),"Comunicação e Relacionamento")</f>
        <v>Comunicação e Relacionamento</v>
      </c>
      <c r="J322" s="669" t="str">
        <f>IFERROR(__xludf.DUMMYFUNCTION("""COMPUTED_VALUE"""),"Comunicação Virtual")</f>
        <v>Comunicação Virtual</v>
      </c>
      <c r="K322" s="650" t="str">
        <f>IFERROR(__xludf.DUMMYFUNCTION("""COMPUTED_VALUE"""),"https://universidade.pipelovers.net/m/lessons/estrategias-de-cadencia-no-whatsapp-para-leads-inbound1769552376588?classId=3639")</f>
        <v>https://universidade.pipelovers.net/m/lessons/estrategias-de-cadencia-no-whatsapp-para-leads-inbound1769552376588?classId=3639</v>
      </c>
      <c r="L322" s="474" t="str">
        <f>IFERROR(__xludf.DUMMYFUNCTION("""COMPUTED_VALUE"""),"https://universidade.pipelovers.net/m/lessons/estrategias-de-cadencia-no-whatsapp-para-leads-inbound1769552376588?classId=3639")</f>
        <v>https://universidade.pipelovers.net/m/lessons/estrategias-de-cadencia-no-whatsapp-para-leads-inbound1769552376588?classId=3639</v>
      </c>
      <c r="M322" s="379" t="str">
        <f>IFERROR(__xludf.DUMMYFUNCTION("""COMPUTED_VALUE"""),"4,5")</f>
        <v>4,5</v>
      </c>
      <c r="N322" s="644" t="str">
        <f>IFERROR(__xludf.DUMMYFUNCTION("""COMPUTED_VALUE"""),"https://drive.google.com/file/d/1hDGFdPHp4_6jXKc80ra8RHVyoYxgIWLu/view?usp=drive_link")</f>
        <v>https://drive.google.com/file/d/1hDGFdPHp4_6jXKc80ra8RHVyoYxgIWLu/view?usp=drive_link</v>
      </c>
      <c r="O322" s="151" t="str">
        <f>IFERROR(__xludf.DUMMYFUNCTION("""COMPUTED_VALUE"""),"")</f>
        <v/>
      </c>
      <c r="P322" s="601" t="str">
        <f>IFERROR(__xludf.DUMMYFUNCTION("""COMPUTED_VALUE"""),"12/03/2025")</f>
        <v>12/03/2025</v>
      </c>
      <c r="Q322" s="151"/>
    </row>
    <row r="323">
      <c r="A323" s="73"/>
      <c r="B323" s="209" t="str">
        <f>IFERROR(__xludf.DUMMYFUNCTION("""COMPUTED_VALUE"""),"Executivos de Vendas")</f>
        <v>Executivos de Vendas</v>
      </c>
      <c r="C323" s="104" t="str">
        <f>IFERROR(__xludf.DUMMYFUNCTION("""COMPUTED_VALUE"""),"Como estruturar um roadmap to close alinhado ao ciclo de compra")</f>
        <v>Como estruturar um roadmap to close alinhado ao ciclo de compra</v>
      </c>
      <c r="D323" s="104" t="str">
        <f>IFERROR(__xludf.DUMMYFUNCTION("""COMPUTED_VALUE"""),"Thiago Cherem")</f>
        <v>Thiago Cherem</v>
      </c>
      <c r="E323" s="218" t="str">
        <f>IFERROR(__xludf.DUMMYFUNCTION("""COMPUTED_VALUE"""),"Fundador")</f>
        <v>Fundador</v>
      </c>
      <c r="F323" s="667" t="str">
        <f>IFERROR(__xludf.DUMMYFUNCTION("""COMPUTED_VALUE"""),"Linqo")</f>
        <v>Linqo</v>
      </c>
      <c r="G323" s="668" t="str">
        <f>IFERROR(__xludf.DUMMYFUNCTION("""COMPUTED_VALUE"""),"https://www.linkedin.com/in/thiagocherem/")</f>
        <v>https://www.linkedin.com/in/thiagocherem/</v>
      </c>
      <c r="H323" s="667" t="str">
        <f>IFERROR(__xludf.DUMMYFUNCTION("""COMPUTED_VALUE"""),"Conhecimento Técnico")</f>
        <v>Conhecimento Técnico</v>
      </c>
      <c r="I323" s="667" t="str">
        <f>IFERROR(__xludf.DUMMYFUNCTION("""COMPUTED_VALUE"""),"Gestão de Vendas")</f>
        <v>Gestão de Vendas</v>
      </c>
      <c r="J323" s="669" t="str">
        <f>IFERROR(__xludf.DUMMYFUNCTION("""COMPUTED_VALUE"""),"Rotinas e Rituais")</f>
        <v>Rotinas e Rituais</v>
      </c>
      <c r="K323" s="650" t="str">
        <f>IFERROR(__xludf.DUMMYFUNCTION("""COMPUTED_VALUE"""),"https://universidade.pipelovers.net/m/lessons/como-estruturar-um-roadmap-to-close-alinhado-ao-ciclo-de-compra1769552376649?classId=3638")</f>
        <v>https://universidade.pipelovers.net/m/lessons/como-estruturar-um-roadmap-to-close-alinhado-ao-ciclo-de-compra1769552376649?classId=3638</v>
      </c>
      <c r="L323" s="474" t="str">
        <f>IFERROR(__xludf.DUMMYFUNCTION("""COMPUTED_VALUE"""),"https://universidade.pipelovers.net/m/lessons/como-estruturar-um-roadmap-to-close-alinhado-ao-ciclo-de-compra1769552376649?classId=3638")</f>
        <v>https://universidade.pipelovers.net/m/lessons/como-estruturar-um-roadmap-to-close-alinhado-ao-ciclo-de-compra1769552376649?classId=3638</v>
      </c>
      <c r="M323" s="379" t="str">
        <f>IFERROR(__xludf.DUMMYFUNCTION("""COMPUTED_VALUE"""),"2")</f>
        <v>2</v>
      </c>
      <c r="N323" s="644" t="str">
        <f>IFERROR(__xludf.DUMMYFUNCTION("""COMPUTED_VALUE"""),"https://drive.google.com/file/d/1UkBd0eki_AU3Z-bFuCS7KDJbPPHdtyHU/view?usp=drive_link")</f>
        <v>https://drive.google.com/file/d/1UkBd0eki_AU3Z-bFuCS7KDJbPPHdtyHU/view?usp=drive_link</v>
      </c>
      <c r="O323" s="228" t="str">
        <f>IFERROR(__xludf.DUMMYFUNCTION("""COMPUTED_VALUE"""),"")</f>
        <v/>
      </c>
      <c r="P323" s="601" t="str">
        <f>IFERROR(__xludf.DUMMYFUNCTION("""COMPUTED_VALUE"""),"19/03/2025")</f>
        <v>19/03/2025</v>
      </c>
      <c r="Q323" s="228"/>
    </row>
    <row r="324">
      <c r="A324" s="73"/>
      <c r="B324" s="209" t="str">
        <f>IFERROR(__xludf.DUMMYFUNCTION("""COMPUTED_VALUE"""),"Executivos de Vendas")</f>
        <v>Executivos de Vendas</v>
      </c>
      <c r="C324" s="119" t="str">
        <f>IFERROR(__xludf.DUMMYFUNCTION("""COMPUTED_VALUE"""),"Descomplicando a venda de Serviços: Dicas para fechar mais negócios")</f>
        <v>Descomplicando a venda de Serviços: Dicas para fechar mais negócios</v>
      </c>
      <c r="D324" s="119" t="str">
        <f>IFERROR(__xludf.DUMMYFUNCTION("""COMPUTED_VALUE"""),"Gustavo Torrente")</f>
        <v>Gustavo Torrente</v>
      </c>
      <c r="E324" s="218" t="str">
        <f>IFERROR(__xludf.DUMMYFUNCTION("""COMPUTED_VALUE"""),"Head of B2B")</f>
        <v>Head of B2B</v>
      </c>
      <c r="F324" s="667" t="str">
        <f>IFERROR(__xludf.DUMMYFUNCTION("""COMPUTED_VALUE"""),"FIAP &amp; Alura")</f>
        <v>FIAP &amp; Alura</v>
      </c>
      <c r="G324" s="668" t="str">
        <f>IFERROR(__xludf.DUMMYFUNCTION("""COMPUTED_VALUE"""),"https://www.linkedin.com/in/gustavotorrente/")</f>
        <v>https://www.linkedin.com/in/gustavotorrente/</v>
      </c>
      <c r="H324" s="667" t="str">
        <f>IFERROR(__xludf.DUMMYFUNCTION("""COMPUTED_VALUE"""),"Conhecimento Técnico")</f>
        <v>Conhecimento Técnico</v>
      </c>
      <c r="I324" s="667" t="str">
        <f>IFERROR(__xludf.DUMMYFUNCTION("""COMPUTED_VALUE"""),"Técnicas de Vendas")</f>
        <v>Técnicas de Vendas</v>
      </c>
      <c r="J324" s="669" t="str">
        <f>IFERROR(__xludf.DUMMYFUNCTION("""COMPUTED_VALUE"""),"Negociação e Fechamento de Vendas")</f>
        <v>Negociação e Fechamento de Vendas</v>
      </c>
      <c r="K324" s="128" t="str">
        <f>IFERROR(__xludf.DUMMYFUNCTION("""COMPUTED_VALUE"""),"https://universidade.pipelovers.net/m/lessons/descomplicando-a-venda-de-servicos-dicas-para-fechar-mais-negocios1769552376715?classId=3637")</f>
        <v>https://universidade.pipelovers.net/m/lessons/descomplicando-a-venda-de-servicos-dicas-para-fechar-mais-negocios1769552376715?classId=3637</v>
      </c>
      <c r="L324" s="535" t="str">
        <f>IFERROR(__xludf.DUMMYFUNCTION("""COMPUTED_VALUE"""),"https://universidade.pipelovers.net/m/lessons/descomplicando-a-venda-de-servicos-dicas-para-fechar-mais-negocios1769552376715?classId=3637")</f>
        <v>https://universidade.pipelovers.net/m/lessons/descomplicando-a-venda-de-servicos-dicas-para-fechar-mais-negocios1769552376715?classId=3637</v>
      </c>
      <c r="M324" s="379" t="str">
        <f>IFERROR(__xludf.DUMMYFUNCTION("""COMPUTED_VALUE"""),"2")</f>
        <v>2</v>
      </c>
      <c r="N324" s="644" t="str">
        <f>IFERROR(__xludf.DUMMYFUNCTION("""COMPUTED_VALUE"""),"https://drive.google.com/file/d/1r2hRc9bXKNIvPnyv22DqZJi-4u88xHUY/view?usp=drive_link")</f>
        <v>https://drive.google.com/file/d/1r2hRc9bXKNIvPnyv22DqZJi-4u88xHUY/view?usp=drive_link</v>
      </c>
      <c r="O324" s="151" t="str">
        <f>IFERROR(__xludf.DUMMYFUNCTION("""COMPUTED_VALUE"""),"")</f>
        <v/>
      </c>
      <c r="P324" s="601" t="str">
        <f>IFERROR(__xludf.DUMMYFUNCTION("""COMPUTED_VALUE"""),"26/03/2025")</f>
        <v>26/03/2025</v>
      </c>
      <c r="Q324" s="151"/>
    </row>
    <row r="325">
      <c r="A325" s="73"/>
      <c r="B325" s="209" t="str">
        <f>IFERROR(__xludf.DUMMYFUNCTION("""COMPUTED_VALUE"""),"Executivos de Vendas")</f>
        <v>Executivos de Vendas</v>
      </c>
      <c r="C325" s="104" t="str">
        <f>IFERROR(__xludf.DUMMYFUNCTION("""COMPUTED_VALUE"""),"Jolt Effect: Como vencer a indecisão do cliente")</f>
        <v>Jolt Effect: Como vencer a indecisão do cliente</v>
      </c>
      <c r="D325" s="104" t="str">
        <f>IFERROR(__xludf.DUMMYFUNCTION("""COMPUTED_VALUE"""),"Chris Cornehl")</f>
        <v>Chris Cornehl</v>
      </c>
      <c r="E325" s="218" t="str">
        <f>IFERROR(__xludf.DUMMYFUNCTION("""COMPUTED_VALUE"""),"CEO")</f>
        <v>CEO</v>
      </c>
      <c r="F325" s="667" t="str">
        <f>IFERROR(__xludf.DUMMYFUNCTION("""COMPUTED_VALUE"""),"MeetRox")</f>
        <v>MeetRox</v>
      </c>
      <c r="G325" s="668" t="str">
        <f>IFERROR(__xludf.DUMMYFUNCTION("""COMPUTED_VALUE"""),"https://www.linkedin.com/in/chriscornehl/")</f>
        <v>https://www.linkedin.com/in/chriscornehl/</v>
      </c>
      <c r="H325" s="667" t="str">
        <f>IFERROR(__xludf.DUMMYFUNCTION("""COMPUTED_VALUE"""),"Conhecimento Técnico")</f>
        <v>Conhecimento Técnico</v>
      </c>
      <c r="I325" s="667" t="str">
        <f>IFERROR(__xludf.DUMMYFUNCTION("""COMPUTED_VALUE"""),"Técnicas de Vendas")</f>
        <v>Técnicas de Vendas</v>
      </c>
      <c r="J325" s="669" t="str">
        <f>IFERROR(__xludf.DUMMYFUNCTION("""COMPUTED_VALUE"""),"Contorno de Objeções")</f>
        <v>Contorno de Objeções</v>
      </c>
      <c r="K325" s="114" t="str">
        <f>IFERROR(__xludf.DUMMYFUNCTION("""COMPUTED_VALUE"""),"https://universidade.pipelovers.net/m/lessons/jolt-effect-como-vencer-a-indecisao-do-cliente1769552376803?classId=3636")</f>
        <v>https://universidade.pipelovers.net/m/lessons/jolt-effect-como-vencer-a-indecisao-do-cliente1769552376803?classId=3636</v>
      </c>
      <c r="L325" s="535" t="str">
        <f>IFERROR(__xludf.DUMMYFUNCTION("""COMPUTED_VALUE"""),"https://universidade.pipelovers.net/m/lessons/jolt-effect-como-vencer-a-indecisao-do-cliente1769552376803?classId=3636")</f>
        <v>https://universidade.pipelovers.net/m/lessons/jolt-effect-como-vencer-a-indecisao-do-cliente1769552376803?classId=3636</v>
      </c>
      <c r="M325" s="379" t="str">
        <f>IFERROR(__xludf.DUMMYFUNCTION("""COMPUTED_VALUE"""),"4,36")</f>
        <v>4,36</v>
      </c>
      <c r="N325" s="644" t="str">
        <f>IFERROR(__xludf.DUMMYFUNCTION("""COMPUTED_VALUE"""),"https://drive.google.com/file/d/1VflqUYOve91nXNr8lq2B7YMwg0ABu8ky/view?usp=drive_link")</f>
        <v>https://drive.google.com/file/d/1VflqUYOve91nXNr8lq2B7YMwg0ABu8ky/view?usp=drive_link</v>
      </c>
      <c r="O325" s="228" t="str">
        <f>IFERROR(__xludf.DUMMYFUNCTION("""COMPUTED_VALUE"""),"")</f>
        <v/>
      </c>
      <c r="P325" s="601" t="str">
        <f>IFERROR(__xludf.DUMMYFUNCTION("""COMPUTED_VALUE"""),"02/04/2025")</f>
        <v>02/04/2025</v>
      </c>
      <c r="Q325" s="228"/>
    </row>
    <row r="326">
      <c r="A326" s="73"/>
      <c r="B326" s="209" t="str">
        <f>IFERROR(__xludf.DUMMYFUNCTION("""COMPUTED_VALUE"""),"Executivos de Vendas")</f>
        <v>Executivos de Vendas</v>
      </c>
      <c r="C326" s="119" t="str">
        <f>IFERROR(__xludf.DUMMYFUNCTION("""COMPUTED_VALUE"""),"Reuniões com C-level: abordagem consultiva para ganhar credibilidade")</f>
        <v>Reuniões com C-level: abordagem consultiva para ganhar credibilidade</v>
      </c>
      <c r="D326" s="119" t="str">
        <f>IFERROR(__xludf.DUMMYFUNCTION("""COMPUTED_VALUE"""),"Luiz Felipe Rosa")</f>
        <v>Luiz Felipe Rosa</v>
      </c>
      <c r="E326" s="857" t="str">
        <f>IFERROR(__xludf.DUMMYFUNCTION("""COMPUTED_VALUE"""),"Sales Director")</f>
        <v>Sales Director</v>
      </c>
      <c r="F326" s="858" t="str">
        <f>IFERROR(__xludf.DUMMYFUNCTION("""COMPUTED_VALUE"""),"Insider")</f>
        <v>Insider</v>
      </c>
      <c r="G326" s="860" t="str">
        <f>IFERROR(__xludf.DUMMYFUNCTION("""COMPUTED_VALUE"""),"https://www.linkedin.com/in/luizfelipecrosa/")</f>
        <v>https://www.linkedin.com/in/luizfelipecrosa/</v>
      </c>
      <c r="H326" s="858" t="str">
        <f>IFERROR(__xludf.DUMMYFUNCTION("""COMPUTED_VALUE"""),"Conhecimento Técnico")</f>
        <v>Conhecimento Técnico</v>
      </c>
      <c r="I326" s="858" t="str">
        <f>IFERROR(__xludf.DUMMYFUNCTION("""COMPUTED_VALUE"""),"Técnicas de Vendas")</f>
        <v>Técnicas de Vendas</v>
      </c>
      <c r="J326" s="669" t="str">
        <f>IFERROR(__xludf.DUMMYFUNCTION("""COMPUTED_VALUE"""),"Abordagem e Prospecção")</f>
        <v>Abordagem e Prospecção</v>
      </c>
      <c r="K326" s="128" t="str">
        <f>IFERROR(__xludf.DUMMYFUNCTION("""COMPUTED_VALUE"""),"https://universidade.pipelovers.net/m/lessons/reunioes-com-c-level-abordagem-consultiva-para-ganhar-credibilidade1769552376876?classId=3774")</f>
        <v>https://universidade.pipelovers.net/m/lessons/reunioes-com-c-level-abordagem-consultiva-para-ganhar-credibilidade1769552376876?classId=3774</v>
      </c>
      <c r="L326" s="535" t="str">
        <f>IFERROR(__xludf.DUMMYFUNCTION("""COMPUTED_VALUE"""),"https://universidade.pipelovers.net/m/lessons/reunioes-com-c-level-abordagem-consultiva-para-ganhar-credibilidade1769552376876?classId=3774")</f>
        <v>https://universidade.pipelovers.net/m/lessons/reunioes-com-c-level-abordagem-consultiva-para-ganhar-credibilidade1769552376876?classId=3774</v>
      </c>
      <c r="M326" s="379" t="str">
        <f>IFERROR(__xludf.DUMMYFUNCTION("""COMPUTED_VALUE"""),"5")</f>
        <v>5</v>
      </c>
      <c r="N326" s="644" t="str">
        <f>IFERROR(__xludf.DUMMYFUNCTION("""COMPUTED_VALUE"""),"https://drive.google.com/file/d/1RYIMQf5ti5Rz72EUHTq413XxUn-MW3N4/view?usp=drive_link")</f>
        <v>https://drive.google.com/file/d/1RYIMQf5ti5Rz72EUHTq413XxUn-MW3N4/view?usp=drive_link</v>
      </c>
      <c r="O326" s="151" t="str">
        <f>IFERROR(__xludf.DUMMYFUNCTION("""COMPUTED_VALUE"""),"")</f>
        <v/>
      </c>
      <c r="P326" s="601" t="str">
        <f>IFERROR(__xludf.DUMMYFUNCTION("""COMPUTED_VALUE"""),"09/04/2025")</f>
        <v>09/04/2025</v>
      </c>
      <c r="Q326" s="151"/>
    </row>
    <row r="327">
      <c r="A327" s="73"/>
      <c r="B327" s="209" t="str">
        <f>IFERROR(__xludf.DUMMYFUNCTION("""COMPUTED_VALUE"""),"Executivos de Vendas")</f>
        <v>Executivos de Vendas</v>
      </c>
      <c r="C327" s="302" t="str">
        <f>IFERROR(__xludf.DUMMYFUNCTION("""COMPUTED_VALUE"""),"Dar e receber feedback com clareza")</f>
        <v>Dar e receber feedback com clareza</v>
      </c>
      <c r="D327" s="302" t="str">
        <f>IFERROR(__xludf.DUMMYFUNCTION("""COMPUTED_VALUE"""),"Carol Deberaldini")</f>
        <v>Carol Deberaldini</v>
      </c>
      <c r="E327" s="865" t="str">
        <f>IFERROR(__xludf.DUMMYFUNCTION("""COMPUTED_VALUE"""),"Head de Produtos")</f>
        <v>Head de Produtos</v>
      </c>
      <c r="F327" s="482" t="str">
        <f>IFERROR(__xludf.DUMMYFUNCTION("""COMPUTED_VALUE"""),"PipeLovers")</f>
        <v>PipeLovers</v>
      </c>
      <c r="G327" s="866" t="str">
        <f>IFERROR(__xludf.DUMMYFUNCTION("""COMPUTED_VALUE"""),"https://www.linkedin.com/in/carol-deberaldini-21793442/")</f>
        <v>https://www.linkedin.com/in/carol-deberaldini-21793442/</v>
      </c>
      <c r="H327" s="484" t="str">
        <f>IFERROR(__xludf.DUMMYFUNCTION("""COMPUTED_VALUE"""),"Relacionamento Interpessoal")</f>
        <v>Relacionamento Interpessoal</v>
      </c>
      <c r="I327" s="484" t="str">
        <f>IFERROR(__xludf.DUMMYFUNCTION("""COMPUTED_VALUE"""),"Comunicação e Relacionamento")</f>
        <v>Comunicação e Relacionamento</v>
      </c>
      <c r="J327" s="867" t="str">
        <f>IFERROR(__xludf.DUMMYFUNCTION("""COMPUTED_VALUE"""),"Dar e Receber Feedbacks")</f>
        <v>Dar e Receber Feedbacks</v>
      </c>
      <c r="K327" s="473" t="str">
        <f>IFERROR(__xludf.DUMMYFUNCTION("""COMPUTED_VALUE"""),"https://universidade.pipelovers.net/m/lessons/dar-e-receber-feedback-com-clareza1769552060864?classId=3028")</f>
        <v>https://universidade.pipelovers.net/m/lessons/dar-e-receber-feedback-com-clareza1769552060864?classId=3028</v>
      </c>
      <c r="L327" s="474" t="str">
        <f>IFERROR(__xludf.DUMMYFUNCTION("""COMPUTED_VALUE"""),"https://universidade.pipelovers.net/m/lessons/dar-e-receber-feedback-com-clareza1769552060864?classId=3028")</f>
        <v>https://universidade.pipelovers.net/m/lessons/dar-e-receber-feedback-com-clareza1769552060864?classId=3028</v>
      </c>
      <c r="M327" s="379" t="str">
        <f>IFERROR(__xludf.DUMMYFUNCTION("""COMPUTED_VALUE"""),"5")</f>
        <v>5</v>
      </c>
      <c r="N327" s="644" t="str">
        <f>IFERROR(__xludf.DUMMYFUNCTION("""COMPUTED_VALUE"""),"https://drive.google.com/file/d/1j0crhYJwWfmMrhXvUI4m1RHrmE1Bnzxn/view?usp=drive_link")</f>
        <v>https://drive.google.com/file/d/1j0crhYJwWfmMrhXvUI4m1RHrmE1Bnzxn/view?usp=drive_link</v>
      </c>
      <c r="O327" s="228" t="str">
        <f>IFERROR(__xludf.DUMMYFUNCTION("""COMPUTED_VALUE"""),"")</f>
        <v/>
      </c>
      <c r="P327" s="601" t="str">
        <f>IFERROR(__xludf.DUMMYFUNCTION("""COMPUTED_VALUE"""),"16/04/2025")</f>
        <v>16/04/2025</v>
      </c>
      <c r="Q327" s="228"/>
    </row>
    <row r="328">
      <c r="A328" s="73"/>
      <c r="B328" s="209" t="str">
        <f>IFERROR(__xludf.DUMMYFUNCTION("""COMPUTED_VALUE"""),"Executivos de Vendas")</f>
        <v>Executivos de Vendas</v>
      </c>
      <c r="C328" s="268" t="str">
        <f>IFERROR(__xludf.DUMMYFUNCTION("""COMPUTED_VALUE"""),"Técnicas para redução do ciclo de venda: Ativando senso de urgência")</f>
        <v>Técnicas para redução do ciclo de venda: Ativando senso de urgência</v>
      </c>
      <c r="D328" s="289" t="str">
        <f>IFERROR(__xludf.DUMMYFUNCTION("""COMPUTED_VALUE"""),"Flaubi Farias")</f>
        <v>Flaubi Farias</v>
      </c>
      <c r="E328" s="857" t="str">
        <f>IFERROR(__xludf.DUMMYFUNCTION("""COMPUTED_VALUE"""),"Fundador")</f>
        <v>Fundador</v>
      </c>
      <c r="F328" s="858" t="str">
        <f>IFERROR(__xludf.DUMMYFUNCTION("""COMPUTED_VALUE"""),"The Update")</f>
        <v>The Update</v>
      </c>
      <c r="G328" s="860" t="str">
        <f>IFERROR(__xludf.DUMMYFUNCTION("""COMPUTED_VALUE"""),"https://www.linkedin.com/in/flaubifarias/")</f>
        <v>https://www.linkedin.com/in/flaubifarias/</v>
      </c>
      <c r="H328" s="667" t="str">
        <f>IFERROR(__xludf.DUMMYFUNCTION("""COMPUTED_VALUE"""),"Conhecimento Técnico")</f>
        <v>Conhecimento Técnico</v>
      </c>
      <c r="I328" s="667" t="str">
        <f>IFERROR(__xludf.DUMMYFUNCTION("""COMPUTED_VALUE"""),"Técnicas de Vendas")</f>
        <v>Técnicas de Vendas</v>
      </c>
      <c r="J328" s="669" t="str">
        <f>IFERROR(__xludf.DUMMYFUNCTION("""COMPUTED_VALUE"""),"Negociação e Fechamento de Vendas")</f>
        <v>Negociação e Fechamento de Vendas</v>
      </c>
      <c r="K328" s="273" t="str">
        <f>IFERROR(__xludf.DUMMYFUNCTION("""COMPUTED_VALUE"""),"https://universidade.pipelovers.net/m/lessons/tecnicas-para-reducao-do-ciclo-de-venda-ativando-senso-de-urgencia1769552376960?classId=3635")</f>
        <v>https://universidade.pipelovers.net/m/lessons/tecnicas-para-reducao-do-ciclo-de-venda-ativando-senso-de-urgencia1769552376960?classId=3635</v>
      </c>
      <c r="L328" s="535" t="str">
        <f>IFERROR(__xludf.DUMMYFUNCTION("""COMPUTED_VALUE"""),"https://universidade.pipelovers.net/m/lessons/tecnicas-para-reducao-do-ciclo-de-venda-ativando-senso-de-urgencia1769552376960?classId=3635")</f>
        <v>https://universidade.pipelovers.net/m/lessons/tecnicas-para-reducao-do-ciclo-de-venda-ativando-senso-de-urgencia1769552376960?classId=3635</v>
      </c>
      <c r="M328" s="379" t="str">
        <f>IFERROR(__xludf.DUMMYFUNCTION("""COMPUTED_VALUE"""),"2")</f>
        <v>2</v>
      </c>
      <c r="N328" s="644" t="str">
        <f>IFERROR(__xludf.DUMMYFUNCTION("""COMPUTED_VALUE"""),"https://drive.google.com/file/d/1LidZuuIg6m0TkGgGJQNcT1R4MdMGumBn/view?usp=drive_link")</f>
        <v>https://drive.google.com/file/d/1LidZuuIg6m0TkGgGJQNcT1R4MdMGumBn/view?usp=drive_link</v>
      </c>
      <c r="O328" s="151" t="str">
        <f>IFERROR(__xludf.DUMMYFUNCTION("""COMPUTED_VALUE"""),"")</f>
        <v/>
      </c>
      <c r="P328" s="601" t="str">
        <f>IFERROR(__xludf.DUMMYFUNCTION("""COMPUTED_VALUE"""),"23/04/2025")</f>
        <v>23/04/2025</v>
      </c>
      <c r="Q328" s="151"/>
    </row>
    <row r="329">
      <c r="A329" s="73"/>
      <c r="B329" s="209" t="str">
        <f>IFERROR(__xludf.DUMMYFUNCTION("""COMPUTED_VALUE"""),"Executivos de Vendas")</f>
        <v>Executivos de Vendas</v>
      </c>
      <c r="C329" s="216" t="str">
        <f>IFERROR(__xludf.DUMMYFUNCTION("""COMPUTED_VALUE"""),"Venda com autoridade: como dominar o negócio e segmento do cliente")</f>
        <v>Venda com autoridade: como dominar o negócio e segmento do cliente</v>
      </c>
      <c r="D329" s="296" t="str">
        <f>IFERROR(__xludf.DUMMYFUNCTION("""COMPUTED_VALUE"""),"Gabriel Lopes")</f>
        <v>Gabriel Lopes</v>
      </c>
      <c r="E329" s="857" t="str">
        <f>IFERROR(__xludf.DUMMYFUNCTION("""COMPUTED_VALUE"""),"CEO")</f>
        <v>CEO</v>
      </c>
      <c r="F329" s="858" t="str">
        <f>IFERROR(__xludf.DUMMYFUNCTION("""COMPUTED_VALUE"""),"Inside")</f>
        <v>Inside</v>
      </c>
      <c r="G329" s="860" t="str">
        <f>IFERROR(__xludf.DUMMYFUNCTION("""COMPUTED_VALUE"""),"https://www.linkedin.com/in/gabriellpss/")</f>
        <v>https://www.linkedin.com/in/gabriellpss/</v>
      </c>
      <c r="H329" s="667" t="str">
        <f>IFERROR(__xludf.DUMMYFUNCTION("""COMPUTED_VALUE"""),"Visão de Negócios")</f>
        <v>Visão de Negócios</v>
      </c>
      <c r="I329" s="667" t="str">
        <f>IFERROR(__xludf.DUMMYFUNCTION("""COMPUTED_VALUE"""),"Conhecimento de Produto e Negócio")</f>
        <v>Conhecimento de Produto e Negócio</v>
      </c>
      <c r="J329" s="669" t="str">
        <f>IFERROR(__xludf.DUMMYFUNCTION("""COMPUTED_VALUE"""),"Jornada de Compra do Cliente")</f>
        <v>Jornada de Compra do Cliente</v>
      </c>
      <c r="K329" s="275" t="str">
        <f>IFERROR(__xludf.DUMMYFUNCTION("""COMPUTED_VALUE"""),"https://universidade.pipelovers.net/m/lessons/venda-com-autoridade-como-dominar-o-negocio-e-segmento-do-cliente1769552385007?classId=3634")</f>
        <v>https://universidade.pipelovers.net/m/lessons/venda-com-autoridade-como-dominar-o-negocio-e-segmento-do-cliente1769552385007?classId=3634</v>
      </c>
      <c r="L329" s="535" t="str">
        <f>IFERROR(__xludf.DUMMYFUNCTION("""COMPUTED_VALUE"""),"https://universidade.pipelovers.net/m/lessons/venda-com-autoridade-como-dominar-o-negocio-e-segmento-do-cliente1769552385007?classId=3634")</f>
        <v>https://universidade.pipelovers.net/m/lessons/venda-com-autoridade-como-dominar-o-negocio-e-segmento-do-cliente1769552385007?classId=3634</v>
      </c>
      <c r="M329" s="379" t="str">
        <f>IFERROR(__xludf.DUMMYFUNCTION("""COMPUTED_VALUE"""),"4,86")</f>
        <v>4,86</v>
      </c>
      <c r="N329" s="644" t="str">
        <f>IFERROR(__xludf.DUMMYFUNCTION("""COMPUTED_VALUE"""),"https://drive.google.com/file/d/11_QV1H2RA66sBmjdnBFPGPUf4YGsu3d4/view?usp=drive_link")</f>
        <v>https://drive.google.com/file/d/11_QV1H2RA66sBmjdnBFPGPUf4YGsu3d4/view?usp=drive_link</v>
      </c>
      <c r="O329" s="228" t="str">
        <f>IFERROR(__xludf.DUMMYFUNCTION("""COMPUTED_VALUE"""),"")</f>
        <v/>
      </c>
      <c r="P329" s="601" t="str">
        <f>IFERROR(__xludf.DUMMYFUNCTION("""COMPUTED_VALUE"""),"30/04/2025")</f>
        <v>30/04/2025</v>
      </c>
      <c r="Q329" s="228"/>
    </row>
    <row r="330">
      <c r="A330" s="73"/>
      <c r="B330" s="209" t="str">
        <f>IFERROR(__xludf.DUMMYFUNCTION("""COMPUTED_VALUE"""),"Executivos de Vendas")</f>
        <v>Executivos de Vendas</v>
      </c>
      <c r="C330" s="555" t="str">
        <f>IFERROR(__xludf.DUMMYFUNCTION("""COMPUTED_VALUE"""),"Social selling para dominar nichos")</f>
        <v>Social selling para dominar nichos</v>
      </c>
      <c r="D330" s="508" t="str">
        <f>IFERROR(__xludf.DUMMYFUNCTION("""COMPUTED_VALUE"""),"Matheus Weigand")</f>
        <v>Matheus Weigand</v>
      </c>
      <c r="E330" s="395" t="str">
        <f>IFERROR(__xludf.DUMMYFUNCTION("""COMPUTED_VALUE"""),"CEO &amp; Founder")</f>
        <v>CEO &amp; Founder</v>
      </c>
      <c r="F330" s="872" t="str">
        <f>IFERROR(__xludf.DUMMYFUNCTION("""COMPUTED_VALUE"""),"Getdemo")</f>
        <v>Getdemo</v>
      </c>
      <c r="G330" s="873" t="str">
        <f>IFERROR(__xludf.DUMMYFUNCTION("""COMPUTED_VALUE"""),"https://www.linkedin.com/in/matheus-weigand/")</f>
        <v>https://www.linkedin.com/in/matheus-weigand/</v>
      </c>
      <c r="H330" s="872" t="str">
        <f>IFERROR(__xludf.DUMMYFUNCTION("""COMPUTED_VALUE"""),"Visão de Negócios")</f>
        <v>Visão de Negócios</v>
      </c>
      <c r="I330" s="667" t="str">
        <f>IFERROR(__xludf.DUMMYFUNCTION("""COMPUTED_VALUE"""),"Conhecimento de Produto e Negócio")</f>
        <v>Conhecimento de Produto e Negócio</v>
      </c>
      <c r="J330" s="669" t="str">
        <f>IFERROR(__xludf.DUMMYFUNCTION("""COMPUTED_VALUE"""),"Segmentação de Mercado")</f>
        <v>Segmentação de Mercado</v>
      </c>
      <c r="K330" s="273" t="str">
        <f>IFERROR(__xludf.DUMMYFUNCTION("""COMPUTED_VALUE"""),"https://universidade.pipelovers.net/m/lessons/social-selling-para-dominar-nichos1769552385374?classId=3633")</f>
        <v>https://universidade.pipelovers.net/m/lessons/social-selling-para-dominar-nichos1769552385374?classId=3633</v>
      </c>
      <c r="L330" s="535" t="str">
        <f>IFERROR(__xludf.DUMMYFUNCTION("""COMPUTED_VALUE"""),"https://universidade.pipelovers.net/m/lessons/social-selling-para-dominar-nichos1769552385374?classId=3633")</f>
        <v>https://universidade.pipelovers.net/m/lessons/social-selling-para-dominar-nichos1769552385374?classId=3633</v>
      </c>
      <c r="M330" s="379" t="str">
        <f>IFERROR(__xludf.DUMMYFUNCTION("""COMPUTED_VALUE"""),"4,86")</f>
        <v>4,86</v>
      </c>
      <c r="N330" s="644" t="str">
        <f>IFERROR(__xludf.DUMMYFUNCTION("""COMPUTED_VALUE"""),"https://drive.google.com/file/d/1zAz95B8UHldfaJWvaADyJU02ZKMkfwdf/view?usp=drive_link")</f>
        <v>https://drive.google.com/file/d/1zAz95B8UHldfaJWvaADyJU02ZKMkfwdf/view?usp=drive_link</v>
      </c>
      <c r="O330" s="151" t="str">
        <f>IFERROR(__xludf.DUMMYFUNCTION("""COMPUTED_VALUE"""),"")</f>
        <v/>
      </c>
      <c r="P330" s="601" t="str">
        <f>IFERROR(__xludf.DUMMYFUNCTION("""COMPUTED_VALUE"""),"07/05/2025")</f>
        <v>07/05/2025</v>
      </c>
      <c r="Q330" s="151"/>
    </row>
    <row r="331">
      <c r="A331" s="73"/>
      <c r="B331" s="209" t="str">
        <f>IFERROR(__xludf.DUMMYFUNCTION("""COMPUTED_VALUE"""),"Executivos de Vendas")</f>
        <v>Executivos de Vendas</v>
      </c>
      <c r="C331" s="481" t="str">
        <f>IFERROR(__xludf.DUMMYFUNCTION("""COMPUTED_VALUE"""),"Prática de negociação com metodologia de Harvard")</f>
        <v>Prática de negociação com metodologia de Harvard</v>
      </c>
      <c r="D331" s="877" t="str">
        <f>IFERROR(__xludf.DUMMYFUNCTION("""COMPUTED_VALUE"""),"Mariana Schaffer")</f>
        <v>Mariana Schaffer</v>
      </c>
      <c r="E331" s="401" t="str">
        <f>IFERROR(__xludf.DUMMYFUNCTION("""COMPUTED_VALUE"""),"Head of Sales")</f>
        <v>Head of Sales</v>
      </c>
      <c r="F331" s="878" t="str">
        <f>IFERROR(__xludf.DUMMYFUNCTION("""COMPUTED_VALUE"""),"Gupy")</f>
        <v>Gupy</v>
      </c>
      <c r="G331" s="879" t="str">
        <f>IFERROR(__xludf.DUMMYFUNCTION("""COMPUTED_VALUE"""),"https://www.linkedin.com/in/marianaschaffer/")</f>
        <v>https://www.linkedin.com/in/marianaschaffer/</v>
      </c>
      <c r="H331" s="484" t="str">
        <f>IFERROR(__xludf.DUMMYFUNCTION("""COMPUTED_VALUE"""),"Conhecimento Técnico")</f>
        <v>Conhecimento Técnico</v>
      </c>
      <c r="I331" s="484" t="str">
        <f>IFERROR(__xludf.DUMMYFUNCTION("""COMPUTED_VALUE"""),"Gestão de Vendas")</f>
        <v>Gestão de Vendas</v>
      </c>
      <c r="J331" s="867" t="str">
        <f>IFERROR(__xludf.DUMMYFUNCTION("""COMPUTED_VALUE"""),"Metodologias de Vendas")</f>
        <v>Metodologias de Vendas</v>
      </c>
      <c r="K331" s="275" t="str">
        <f>IFERROR(__xludf.DUMMYFUNCTION("""COMPUTED_VALUE"""),"https://universidade.pipelovers.net/m/lessons/pratica-de-negociacao-com-metodologia-de-harvard1769552385506?classId=3632")</f>
        <v>https://universidade.pipelovers.net/m/lessons/pratica-de-negociacao-com-metodologia-de-harvard1769552385506?classId=3632</v>
      </c>
      <c r="L331" s="535" t="str">
        <f>IFERROR(__xludf.DUMMYFUNCTION("""COMPUTED_VALUE"""),"https://universidade.pipelovers.net/m/lessons/pratica-de-negociacao-com-metodologia-de-harvard1769552385506?classId=3632")</f>
        <v>https://universidade.pipelovers.net/m/lessons/pratica-de-negociacao-com-metodologia-de-harvard1769552385506?classId=3632</v>
      </c>
      <c r="M331" s="379" t="str">
        <f>IFERROR(__xludf.DUMMYFUNCTION("""COMPUTED_VALUE"""),"4,86")</f>
        <v>4,86</v>
      </c>
      <c r="N331" s="644" t="str">
        <f>IFERROR(__xludf.DUMMYFUNCTION("""COMPUTED_VALUE"""),"https://drive.google.com/file/d/1iFj83M3674iSTEgAJzMQrwLw2ZzJDfOM/view?usp=drive_link")</f>
        <v>https://drive.google.com/file/d/1iFj83M3674iSTEgAJzMQrwLw2ZzJDfOM/view?usp=drive_link</v>
      </c>
      <c r="O331" s="228" t="str">
        <f>IFERROR(__xludf.DUMMYFUNCTION("""COMPUTED_VALUE"""),"")</f>
        <v/>
      </c>
      <c r="P331" s="601" t="str">
        <f>IFERROR(__xludf.DUMMYFUNCTION("""COMPUTED_VALUE"""),"14/05/2025")</f>
        <v>14/05/2025</v>
      </c>
      <c r="Q331" s="228"/>
    </row>
    <row r="332">
      <c r="A332" s="73"/>
      <c r="B332" s="209" t="str">
        <f>IFERROR(__xludf.DUMMYFUNCTION("""COMPUTED_VALUE"""),"Executivos de Vendas")</f>
        <v>Executivos de Vendas</v>
      </c>
      <c r="C332" s="175" t="str">
        <f>IFERROR(__xludf.DUMMYFUNCTION("""COMPUTED_VALUE"""),"Como criar um senso de urgência sem ser agressivo")</f>
        <v>Como criar um senso de urgência sem ser agressivo</v>
      </c>
      <c r="D332" s="508" t="str">
        <f>IFERROR(__xludf.DUMMYFUNCTION("""COMPUTED_VALUE"""),"Rafael Faria")</f>
        <v>Rafael Faria</v>
      </c>
      <c r="E332" s="395" t="str">
        <f>IFERROR(__xludf.DUMMYFUNCTION("""COMPUTED_VALUE"""),"Chief Sales &amp; Co-founder")</f>
        <v>Chief Sales &amp; Co-founder</v>
      </c>
      <c r="F332" s="872" t="str">
        <f>IFERROR(__xludf.DUMMYFUNCTION("""COMPUTED_VALUE"""),"Winning Sales")</f>
        <v>Winning Sales</v>
      </c>
      <c r="G332" s="873" t="str">
        <f>IFERROR(__xludf.DUMMYFUNCTION("""COMPUTED_VALUE"""),"https://www.linkedin.com/in/rafael-morais-faria/")</f>
        <v>https://www.linkedin.com/in/rafael-morais-faria/</v>
      </c>
      <c r="H332" s="872" t="str">
        <f>IFERROR(__xludf.DUMMYFUNCTION("""COMPUTED_VALUE"""),"Conhecimento Técnico")</f>
        <v>Conhecimento Técnico</v>
      </c>
      <c r="I332" s="872" t="str">
        <f>IFERROR(__xludf.DUMMYFUNCTION("""COMPUTED_VALUE"""),"Técnicas de Vendas")</f>
        <v>Técnicas de Vendas</v>
      </c>
      <c r="J332" s="669" t="str">
        <f>IFERROR(__xludf.DUMMYFUNCTION("""COMPUTED_VALUE"""),"Negociação e Fechamento de Vendas")</f>
        <v>Negociação e Fechamento de Vendas</v>
      </c>
      <c r="K332" s="479" t="str">
        <f>IFERROR(__xludf.DUMMYFUNCTION("""COMPUTED_VALUE"""),"https://universidade.pipelovers.net/m/lessons/como-criar-um-senso-de-urgencia-sem-ser-agressivo1769552385445?classId=3631")</f>
        <v>https://universidade.pipelovers.net/m/lessons/como-criar-um-senso-de-urgencia-sem-ser-agressivo1769552385445?classId=3631</v>
      </c>
      <c r="L332" s="474" t="str">
        <f>IFERROR(__xludf.DUMMYFUNCTION("""COMPUTED_VALUE"""),"https://universidade.pipelovers.net/m/lessons/como-criar-um-senso-de-urgencia-sem-ser-agressivo1769552385445?classId=3631")</f>
        <v>https://universidade.pipelovers.net/m/lessons/como-criar-um-senso-de-urgencia-sem-ser-agressivo1769552385445?classId=3631</v>
      </c>
      <c r="M332" s="379" t="str">
        <f>IFERROR(__xludf.DUMMYFUNCTION("""COMPUTED_VALUE"""),"5")</f>
        <v>5</v>
      </c>
      <c r="N332" s="644" t="str">
        <f>IFERROR(__xludf.DUMMYFUNCTION("""COMPUTED_VALUE"""),"https://drive.google.com/file/d/1htGDNL1tYO_NUGvEp2xg8P6bP59lDp-j/view?usp=drive_link")</f>
        <v>https://drive.google.com/file/d/1htGDNL1tYO_NUGvEp2xg8P6bP59lDp-j/view?usp=drive_link</v>
      </c>
      <c r="O332" s="151" t="str">
        <f>IFERROR(__xludf.DUMMYFUNCTION("""COMPUTED_VALUE"""),"")</f>
        <v/>
      </c>
      <c r="P332" s="601" t="str">
        <f>IFERROR(__xludf.DUMMYFUNCTION("""COMPUTED_VALUE"""),"21/05/2025")</f>
        <v>21/05/2025</v>
      </c>
      <c r="Q332" s="151"/>
    </row>
    <row r="333">
      <c r="A333" s="73"/>
      <c r="B333" s="209" t="str">
        <f>IFERROR(__xludf.DUMMYFUNCTION("""COMPUTED_VALUE"""),"Executivos de Vendas")</f>
        <v>Executivos de Vendas</v>
      </c>
      <c r="C333" s="481" t="str">
        <f>IFERROR(__xludf.DUMMYFUNCTION("""COMPUTED_VALUE"""),"Como lidar com conversas difíceis")</f>
        <v>Como lidar com conversas difíceis</v>
      </c>
      <c r="D333" s="877" t="str">
        <f>IFERROR(__xludf.DUMMYFUNCTION("""COMPUTED_VALUE"""),"Rafaela Frankenthal")</f>
        <v>Rafaela Frankenthal</v>
      </c>
      <c r="E333" s="401" t="str">
        <f>IFERROR(__xludf.DUMMYFUNCTION("""COMPUTED_VALUE"""),"Co-founder &amp; CEO")</f>
        <v>Co-founder &amp; CEO</v>
      </c>
      <c r="F333" s="878" t="str">
        <f>IFERROR(__xludf.DUMMYFUNCTION("""COMPUTED_VALUE"""),"SafeSpace")</f>
        <v>SafeSpace</v>
      </c>
      <c r="G333" s="879" t="str">
        <f>IFERROR(__xludf.DUMMYFUNCTION("""COMPUTED_VALUE"""),"https://www.linkedin.com/in/rafaela-frankenthal/")</f>
        <v>https://www.linkedin.com/in/rafaela-frankenthal/</v>
      </c>
      <c r="H333" s="484" t="str">
        <f>IFERROR(__xludf.DUMMYFUNCTION("""COMPUTED_VALUE"""),"Relacionamento Interpessoal")</f>
        <v>Relacionamento Interpessoal</v>
      </c>
      <c r="I333" s="484" t="str">
        <f>IFERROR(__xludf.DUMMYFUNCTION("""COMPUTED_VALUE"""),"Comunicação e Relacionamento")</f>
        <v>Comunicação e Relacionamento</v>
      </c>
      <c r="J333" s="867" t="str">
        <f>IFERROR(__xludf.DUMMYFUNCTION("""COMPUTED_VALUE"""),"Comunicação Não-Agressiva")</f>
        <v>Comunicação Não-Agressiva</v>
      </c>
      <c r="K333" s="473" t="str">
        <f>IFERROR(__xludf.DUMMYFUNCTION("""COMPUTED_VALUE"""),"https://universidade.pipelovers.net/m/lessons/como-lidar-com-conversas-dificeis1769552385567?classId=3630")</f>
        <v>https://universidade.pipelovers.net/m/lessons/como-lidar-com-conversas-dificeis1769552385567?classId=3630</v>
      </c>
      <c r="L333" s="474" t="str">
        <f>IFERROR(__xludf.DUMMYFUNCTION("""COMPUTED_VALUE"""),"https://universidade.pipelovers.net/m/lessons/como-lidar-com-conversas-dificeis1769552385567?classId=3630")</f>
        <v>https://universidade.pipelovers.net/m/lessons/como-lidar-com-conversas-dificeis1769552385567?classId=3630</v>
      </c>
      <c r="M333" s="379" t="str">
        <f>IFERROR(__xludf.DUMMYFUNCTION("""COMPUTED_VALUE"""),"2")</f>
        <v>2</v>
      </c>
      <c r="N333" s="644" t="str">
        <f>IFERROR(__xludf.DUMMYFUNCTION("""COMPUTED_VALUE"""),"https://drive.google.com/file/d/1sWfgEz8E2Gs4mi-LwY5hU31WUlOsYEEQ/view?usp=drive_link")</f>
        <v>https://drive.google.com/file/d/1sWfgEz8E2Gs4mi-LwY5hU31WUlOsYEEQ/view?usp=drive_link</v>
      </c>
      <c r="O333" s="228" t="str">
        <f>IFERROR(__xludf.DUMMYFUNCTION("""COMPUTED_VALUE"""),"")</f>
        <v/>
      </c>
      <c r="P333" s="601" t="str">
        <f>IFERROR(__xludf.DUMMYFUNCTION("""COMPUTED_VALUE"""),"28/05/2025")</f>
        <v>28/05/2025</v>
      </c>
      <c r="Q333" s="228"/>
    </row>
    <row r="334">
      <c r="A334" s="73"/>
      <c r="B334" s="103" t="str">
        <f>IFERROR(__xludf.DUMMYFUNCTION("""COMPUTED_VALUE"""),"Executivos de Vendas")</f>
        <v>Executivos de Vendas</v>
      </c>
      <c r="C334" s="268" t="str">
        <f>IFERROR(__xludf.DUMMYFUNCTION("""COMPUTED_VALUE"""),"Estratégias para evitar o burnout no ambiente comercial")</f>
        <v>Estratégias para evitar o burnout no ambiente comercial</v>
      </c>
      <c r="D334" s="119" t="str">
        <f>IFERROR(__xludf.DUMMYFUNCTION("""COMPUTED_VALUE"""),"Carolina Januzzi")</f>
        <v>Carolina Januzzi</v>
      </c>
      <c r="E334" s="218" t="str">
        <f>IFERROR(__xludf.DUMMYFUNCTION("""COMPUTED_VALUE"""),"Head de Gente e Gestão")</f>
        <v>Head de Gente e Gestão</v>
      </c>
      <c r="F334" s="667" t="str">
        <f>IFERROR(__xludf.DUMMYFUNCTION("""COMPUTED_VALUE"""),"Transformando Faces")</f>
        <v>Transformando Faces</v>
      </c>
      <c r="G334" s="668" t="str">
        <f>IFERROR(__xludf.DUMMYFUNCTION("""COMPUTED_VALUE"""),"https://www.linkedin.com/in/carolina-januzzi/")</f>
        <v>https://www.linkedin.com/in/carolina-januzzi/</v>
      </c>
      <c r="H334" s="667" t="str">
        <f>IFERROR(__xludf.DUMMYFUNCTION("""COMPUTED_VALUE"""),"Autodesenvolvimento")</f>
        <v>Autodesenvolvimento</v>
      </c>
      <c r="I334" s="667" t="str">
        <f>IFERROR(__xludf.DUMMYFUNCTION("""COMPUTED_VALUE"""),"Inteligência Emocional")</f>
        <v>Inteligência Emocional</v>
      </c>
      <c r="J334" s="669" t="str">
        <f>IFERROR(__xludf.DUMMYFUNCTION("""COMPUTED_VALUE"""),"Gatilhos de Stress")</f>
        <v>Gatilhos de Stress</v>
      </c>
      <c r="K334" s="273" t="str">
        <f>IFERROR(__xludf.DUMMYFUNCTION("""COMPUTED_VALUE"""),"https://universidade.pipelovers.net/m/lessons/estrategias-para-evitar-o-burnout-no-ambiente-comercial1769552385638?classId=3629")</f>
        <v>https://universidade.pipelovers.net/m/lessons/estrategias-para-evitar-o-burnout-no-ambiente-comercial1769552385638?classId=3629</v>
      </c>
      <c r="L334" s="535" t="str">
        <f>IFERROR(__xludf.DUMMYFUNCTION("""COMPUTED_VALUE"""),"https://universidade.pipelovers.net/m/lessons/estrategias-para-evitar-o-burnout-no-ambiente-comercial1769552385638?classId=3629")</f>
        <v>https://universidade.pipelovers.net/m/lessons/estrategias-para-evitar-o-burnout-no-ambiente-comercial1769552385638?classId=3629</v>
      </c>
      <c r="M334" s="379" t="str">
        <f>IFERROR(__xludf.DUMMYFUNCTION("""COMPUTED_VALUE"""),"2")</f>
        <v>2</v>
      </c>
      <c r="N334" s="644" t="str">
        <f>IFERROR(__xludf.DUMMYFUNCTION("""COMPUTED_VALUE"""),"https://drive.google.com/file/d/15j5QkKCqDjnPivaUJPQaqG9JliRSNfdc/view?usp=drive_link")</f>
        <v>https://drive.google.com/file/d/15j5QkKCqDjnPivaUJPQaqG9JliRSNfdc/view?usp=drive_link</v>
      </c>
      <c r="O334" s="151" t="str">
        <f>IFERROR(__xludf.DUMMYFUNCTION("""COMPUTED_VALUE"""),"")</f>
        <v/>
      </c>
      <c r="P334" s="601" t="str">
        <f>IFERROR(__xludf.DUMMYFUNCTION("""COMPUTED_VALUE"""),"04/06/2025")</f>
        <v>04/06/2025</v>
      </c>
      <c r="Q334" s="151"/>
    </row>
    <row r="335">
      <c r="A335" s="73"/>
      <c r="B335" s="103" t="str">
        <f>IFERROR(__xludf.DUMMYFUNCTION("""COMPUTED_VALUE"""),"Executivos de Vendas")</f>
        <v>Executivos de Vendas</v>
      </c>
      <c r="C335" s="216" t="str">
        <f>IFERROR(__xludf.DUMMYFUNCTION("""COMPUTED_VALUE"""),"Processo, forecast e previsibilidade na prática")</f>
        <v>Processo, forecast e previsibilidade na prática</v>
      </c>
      <c r="D335" s="104" t="str">
        <f>IFERROR(__xludf.DUMMYFUNCTION("""COMPUTED_VALUE"""),"Ferrucio Junior")</f>
        <v>Ferrucio Junior</v>
      </c>
      <c r="E335" s="218" t="str">
        <f>IFERROR(__xludf.DUMMYFUNCTION("""COMPUTED_VALUE"""),"Diretor de Vendas")</f>
        <v>Diretor de Vendas</v>
      </c>
      <c r="F335" s="667" t="str">
        <f>IFERROR(__xludf.DUMMYFUNCTION("""COMPUTED_VALUE"""),"RD Station")</f>
        <v>RD Station</v>
      </c>
      <c r="G335" s="668" t="str">
        <f>IFERROR(__xludf.DUMMYFUNCTION("""COMPUTED_VALUE"""),"https://www.linkedin.com/in/ferruciojunior/")</f>
        <v>https://www.linkedin.com/in/ferruciojunior/</v>
      </c>
      <c r="H335" s="667" t="str">
        <f>IFERROR(__xludf.DUMMYFUNCTION("""COMPUTED_VALUE"""),"Conhecimento Técnico")</f>
        <v>Conhecimento Técnico</v>
      </c>
      <c r="I335" s="667" t="str">
        <f>IFERROR(__xludf.DUMMYFUNCTION("""COMPUTED_VALUE"""),"Gestão de Vendas")</f>
        <v>Gestão de Vendas</v>
      </c>
      <c r="J335" s="669" t="str">
        <f>IFERROR(__xludf.DUMMYFUNCTION("""COMPUTED_VALUE"""),"Rotinas e Rituais")</f>
        <v>Rotinas e Rituais</v>
      </c>
      <c r="K335" s="275" t="str">
        <f>IFERROR(__xludf.DUMMYFUNCTION("""COMPUTED_VALUE"""),"https://universidade.pipelovers.net/m/lessons/processo-forecast-e-previsibilidade-na-pratica1769552385773?classId=3707")</f>
        <v>https://universidade.pipelovers.net/m/lessons/processo-forecast-e-previsibilidade-na-pratica1769552385773?classId=3707</v>
      </c>
      <c r="L335" s="535" t="str">
        <f>IFERROR(__xludf.DUMMYFUNCTION("""COMPUTED_VALUE"""),"https://universidade.pipelovers.net/m/lessons/processo-forecast-e-previsibilidade-na-pratica1769552385773?classId=3707")</f>
        <v>https://universidade.pipelovers.net/m/lessons/processo-forecast-e-previsibilidade-na-pratica1769552385773?classId=3707</v>
      </c>
      <c r="M335" s="379" t="str">
        <f>IFERROR(__xludf.DUMMYFUNCTION("""COMPUTED_VALUE"""),"4,86")</f>
        <v>4,86</v>
      </c>
      <c r="N335" s="644" t="str">
        <f>IFERROR(__xludf.DUMMYFUNCTION("""COMPUTED_VALUE"""),"https://drive.google.com/file/d/17JvKhaE2FIbROzRaNk2MUu0b8JME7ecR/view?usp=drive_link")</f>
        <v>https://drive.google.com/file/d/17JvKhaE2FIbROzRaNk2MUu0b8JME7ecR/view?usp=drive_link</v>
      </c>
      <c r="O335" s="218" t="str">
        <f>IFERROR(__xludf.DUMMYFUNCTION("""COMPUTED_VALUE"""),"")</f>
        <v/>
      </c>
      <c r="P335" s="601" t="str">
        <f>IFERROR(__xludf.DUMMYFUNCTION("""COMPUTED_VALUE"""),"11/06/2025")</f>
        <v>11/06/2025</v>
      </c>
      <c r="Q335" s="218"/>
    </row>
    <row r="336">
      <c r="A336" s="73"/>
      <c r="B336" s="103" t="str">
        <f>IFERROR(__xludf.DUMMYFUNCTION("""COMPUTED_VALUE"""),"Executivos de Vendas")</f>
        <v>Executivos de Vendas</v>
      </c>
      <c r="C336" s="268" t="str">
        <f>IFERROR(__xludf.DUMMYFUNCTION("""COMPUTED_VALUE"""),"CRM na prática: O que importa registrar")</f>
        <v>CRM na prática: O que importa registrar</v>
      </c>
      <c r="D336" s="119" t="str">
        <f>IFERROR(__xludf.DUMMYFUNCTION("""COMPUTED_VALUE"""),"Thiago Friedrich")</f>
        <v>Thiago Friedrich</v>
      </c>
      <c r="E336" s="218" t="str">
        <f>IFERROR(__xludf.DUMMYFUNCTION("""COMPUTED_VALUE"""),"Sócio e Consultor")</f>
        <v>Sócio e Consultor</v>
      </c>
      <c r="F336" s="667" t="str">
        <f>IFERROR(__xludf.DUMMYFUNCTION("""COMPUTED_VALUE"""),"Inside")</f>
        <v>Inside</v>
      </c>
      <c r="G336" s="668" t="str">
        <f>IFERROR(__xludf.DUMMYFUNCTION("""COMPUTED_VALUE"""),"https://www.linkedin.com/in/thiagofriedrich/")</f>
        <v>https://www.linkedin.com/in/thiagofriedrich/</v>
      </c>
      <c r="H336" s="667" t="str">
        <f>IFERROR(__xludf.DUMMYFUNCTION("""COMPUTED_VALUE"""),"Autodesenvolvimento")</f>
        <v>Autodesenvolvimento</v>
      </c>
      <c r="I336" s="667" t="str">
        <f>IFERROR(__xludf.DUMMYFUNCTION("""COMPUTED_VALUE"""),"Gestão de Tempo e da Informação")</f>
        <v>Gestão de Tempo e da Informação</v>
      </c>
      <c r="J336" s="669" t="str">
        <f>IFERROR(__xludf.DUMMYFUNCTION("""COMPUTED_VALUE"""),"Melhores Práticas de CRM")</f>
        <v>Melhores Práticas de CRM</v>
      </c>
      <c r="K336" s="273" t="str">
        <f>IFERROR(__xludf.DUMMYFUNCTION("""COMPUTED_VALUE"""),"https://universidade.pipelovers.net/m/lessons/crm-na-pratica-o-que-importa-registrar1769552385716?classId=3627")</f>
        <v>https://universidade.pipelovers.net/m/lessons/crm-na-pratica-o-que-importa-registrar1769552385716?classId=3627</v>
      </c>
      <c r="L336" s="535" t="str">
        <f>IFERROR(__xludf.DUMMYFUNCTION("""COMPUTED_VALUE"""),"https://universidade.pipelovers.net/m/lessons/crm-na-pratica-o-que-importa-registrar1769552385716?classId=3627")</f>
        <v>https://universidade.pipelovers.net/m/lessons/crm-na-pratica-o-que-importa-registrar1769552385716?classId=3627</v>
      </c>
      <c r="M336" s="379" t="str">
        <f>IFERROR(__xludf.DUMMYFUNCTION("""COMPUTED_VALUE"""),"4")</f>
        <v>4</v>
      </c>
      <c r="N336" s="644" t="str">
        <f>IFERROR(__xludf.DUMMYFUNCTION("""COMPUTED_VALUE"""),"https://drive.google.com/file/d/1P8FBQurkZF9_AZ1h3j1Nw4Rxy0zT1wMm/view?usp=drive_link")</f>
        <v>https://drive.google.com/file/d/1P8FBQurkZF9_AZ1h3j1Nw4Rxy0zT1wMm/view?usp=drive_link</v>
      </c>
      <c r="O336" s="218" t="str">
        <f>IFERROR(__xludf.DUMMYFUNCTION("""COMPUTED_VALUE"""),"")</f>
        <v/>
      </c>
      <c r="P336" s="601" t="str">
        <f>IFERROR(__xludf.DUMMYFUNCTION("""COMPUTED_VALUE"""),"18/06/2025")</f>
        <v>18/06/2025</v>
      </c>
      <c r="Q336" s="218"/>
    </row>
    <row r="337">
      <c r="A337" s="73"/>
      <c r="B337" s="103" t="str">
        <f>IFERROR(__xludf.DUMMYFUNCTION("""COMPUTED_VALUE"""),"Executivos de Vendas")</f>
        <v>Executivos de Vendas</v>
      </c>
      <c r="C337" s="104" t="str">
        <f>IFERROR(__xludf.DUMMYFUNCTION("""COMPUTED_VALUE"""),"Como aumentar a conversão melhorando sua proposta comercial")</f>
        <v>Como aumentar a conversão melhorando sua proposta comercial</v>
      </c>
      <c r="D337" s="104" t="str">
        <f>IFERROR(__xludf.DUMMYFUNCTION("""COMPUTED_VALUE"""),"Felipe Costa")</f>
        <v>Felipe Costa</v>
      </c>
      <c r="E337" s="218" t="str">
        <f>IFERROR(__xludf.DUMMYFUNCTION("""COMPUTED_VALUE"""),"Fundador ")</f>
        <v>Fundador </v>
      </c>
      <c r="F337" s="667" t="str">
        <f>IFERROR(__xludf.DUMMYFUNCTION("""COMPUTED_VALUE"""),"Pitch de sucesso")</f>
        <v>Pitch de sucesso</v>
      </c>
      <c r="G337" s="668" t="str">
        <f>IFERROR(__xludf.DUMMYFUNCTION("""COMPUTED_VALUE"""),"https://www.linkedin.com/in/falafelipecosta/")</f>
        <v>https://www.linkedin.com/in/falafelipecosta/</v>
      </c>
      <c r="H337" s="667" t="str">
        <f>IFERROR(__xludf.DUMMYFUNCTION("""COMPUTED_VALUE"""),"Conhecimento Técnico")</f>
        <v>Conhecimento Técnico</v>
      </c>
      <c r="I337" s="667" t="str">
        <f>IFERROR(__xludf.DUMMYFUNCTION("""COMPUTED_VALUE"""),"Técnicas de Vendas")</f>
        <v>Técnicas de Vendas</v>
      </c>
      <c r="J337" s="669" t="str">
        <f>IFERROR(__xludf.DUMMYFUNCTION("""COMPUTED_VALUE"""),"Negociação e Fechamento de Vendas")</f>
        <v>Negociação e Fechamento de Vendas</v>
      </c>
      <c r="K337" s="473" t="str">
        <f>IFERROR(__xludf.DUMMYFUNCTION("""COMPUTED_VALUE"""),"https://universidade.pipelovers.net/m/lessons/como-aumentar-a-conversao-melhorando-sua-proposta-comercial1769552385869?classId=3626")</f>
        <v>https://universidade.pipelovers.net/m/lessons/como-aumentar-a-conversao-melhorando-sua-proposta-comercial1769552385869?classId=3626</v>
      </c>
      <c r="L337" s="474" t="str">
        <f>IFERROR(__xludf.DUMMYFUNCTION("""COMPUTED_VALUE"""),"https://universidade.pipelovers.net/m/lessons/como-aumentar-a-conversao-melhorando-sua-proposta-comercial1769552385869?classId=3626")</f>
        <v>https://universidade.pipelovers.net/m/lessons/como-aumentar-a-conversao-melhorando-sua-proposta-comercial1769552385869?classId=3626</v>
      </c>
      <c r="M337" s="379" t="str">
        <f>IFERROR(__xludf.DUMMYFUNCTION("""COMPUTED_VALUE"""),"4,43")</f>
        <v>4,43</v>
      </c>
      <c r="N337" s="644" t="str">
        <f>IFERROR(__xludf.DUMMYFUNCTION("""COMPUTED_VALUE"""),"https://drive.google.com/file/d/1iNkQ0ZvsaMqTG6GMfnNMkEmh4hynR6e_/view?usp=drive_link")</f>
        <v>https://drive.google.com/file/d/1iNkQ0ZvsaMqTG6GMfnNMkEmh4hynR6e_/view?usp=drive_link</v>
      </c>
      <c r="O337" s="218" t="str">
        <f>IFERROR(__xludf.DUMMYFUNCTION("""COMPUTED_VALUE"""),"")</f>
        <v/>
      </c>
      <c r="P337" s="601" t="str">
        <f>IFERROR(__xludf.DUMMYFUNCTION("""COMPUTED_VALUE"""),"25/06/2025")</f>
        <v>25/06/2025</v>
      </c>
      <c r="Q337" s="218"/>
    </row>
    <row r="338">
      <c r="A338" s="73"/>
      <c r="B338" s="103" t="str">
        <f>IFERROR(__xludf.DUMMYFUNCTION("""COMPUTED_VALUE"""),"Executivos de Vendas")</f>
        <v>Executivos de Vendas</v>
      </c>
      <c r="C338" s="216" t="str">
        <f>IFERROR(__xludf.DUMMYFUNCTION("""COMPUTED_VALUE"""),"Gatilhos que aceleram a jornada de compra")</f>
        <v>Gatilhos que aceleram a jornada de compra</v>
      </c>
      <c r="D338" s="119" t="str">
        <f>IFERROR(__xludf.DUMMYFUNCTION("""COMPUTED_VALUE"""),"Fiamma Cardoso")</f>
        <v>Fiamma Cardoso</v>
      </c>
      <c r="E338" s="218" t="str">
        <f>IFERROR(__xludf.DUMMYFUNCTION("""COMPUTED_VALUE"""),"Enterprise Account Executive")</f>
        <v>Enterprise Account Executive</v>
      </c>
      <c r="F338" s="667" t="str">
        <f>IFERROR(__xludf.DUMMYFUNCTION("""COMPUTED_VALUE"""),"Cortex")</f>
        <v>Cortex</v>
      </c>
      <c r="G338" s="668" t="str">
        <f>IFERROR(__xludf.DUMMYFUNCTION("""COMPUTED_VALUE"""),"https://www.linkedin.com/in/fiamma-cardoso-897934157/")</f>
        <v>https://www.linkedin.com/in/fiamma-cardoso-897934157/</v>
      </c>
      <c r="H338" s="667" t="str">
        <f>IFERROR(__xludf.DUMMYFUNCTION("""COMPUTED_VALUE"""),"Visão de Negócios")</f>
        <v>Visão de Negócios</v>
      </c>
      <c r="I338" s="667" t="str">
        <f>IFERROR(__xludf.DUMMYFUNCTION("""COMPUTED_VALUE"""),"Conhecimento de Produto e Negócio")</f>
        <v>Conhecimento de Produto e Negócio</v>
      </c>
      <c r="J338" s="669" t="str">
        <f>IFERROR(__xludf.DUMMYFUNCTION("""COMPUTED_VALUE"""),"Jornada de Compra do Cliente")</f>
        <v>Jornada de Compra do Cliente</v>
      </c>
      <c r="K338" s="282" t="str">
        <f>IFERROR(__xludf.DUMMYFUNCTION("""COMPUTED_VALUE"""),"https://universidade.pipelovers.net/m/lessons/gatilhos-que-aceleram-a-jornada-de-compra1769552385930")</f>
        <v>https://universidade.pipelovers.net/m/lessons/gatilhos-que-aceleram-a-jornada-de-compra1769552385930</v>
      </c>
      <c r="L338" s="500" t="str">
        <f>IFERROR(__xludf.DUMMYFUNCTION("""COMPUTED_VALUE"""),"https://universidade.pipelovers.net/m/lessons/gatilhos-que-aceleram-a-jornada-de-compra1769552385930")</f>
        <v>https://universidade.pipelovers.net/m/lessons/gatilhos-que-aceleram-a-jornada-de-compra1769552385930</v>
      </c>
      <c r="M338" s="379" t="str">
        <f>IFERROR(__xludf.DUMMYFUNCTION("""COMPUTED_VALUE"""),"2")</f>
        <v>2</v>
      </c>
      <c r="N338" s="644" t="str">
        <f>IFERROR(__xludf.DUMMYFUNCTION("""COMPUTED_VALUE"""),"https://drive.google.com/file/d/1vA3iOk-kRjROKLpaHa1ZXmcfzhwgQn9p/view?usp=drive_link")</f>
        <v>https://drive.google.com/file/d/1vA3iOk-kRjROKLpaHa1ZXmcfzhwgQn9p/view?usp=drive_link</v>
      </c>
      <c r="O338" s="218" t="str">
        <f>IFERROR(__xludf.DUMMYFUNCTION("""COMPUTED_VALUE"""),"")</f>
        <v/>
      </c>
      <c r="P338" s="601" t="str">
        <f>IFERROR(__xludf.DUMMYFUNCTION("""COMPUTED_VALUE"""),"02/07/2025")</f>
        <v>02/07/2025</v>
      </c>
      <c r="Q338" s="218"/>
    </row>
    <row r="339">
      <c r="A339" s="73"/>
      <c r="B339" s="103" t="str">
        <f>IFERROR(__xludf.DUMMYFUNCTION("""COMPUTED_VALUE"""),"Executivos de Vendas")</f>
        <v>Executivos de Vendas</v>
      </c>
      <c r="C339" s="104" t="str">
        <f>IFERROR(__xludf.DUMMYFUNCTION("""COMPUTED_VALUE""")," Escuta estratégica: como fechar mais negócios só ouvindo melhor")</f>
        <v> Escuta estratégica: como fechar mais negócios só ouvindo melhor</v>
      </c>
      <c r="D339" s="104" t="str">
        <f>IFERROR(__xludf.DUMMYFUNCTION("""COMPUTED_VALUE"""),"Thais Sterenberg")</f>
        <v>Thais Sterenberg</v>
      </c>
      <c r="E339" s="218" t="str">
        <f>IFERROR(__xludf.DUMMYFUNCTION("""COMPUTED_VALUE"""),"Co-founder &amp; CEO")</f>
        <v>Co-founder &amp; CEO</v>
      </c>
      <c r="F339" s="668" t="str">
        <f>IFERROR(__xludf.DUMMYFUNCTION("""COMPUTED_VALUE"""),"Elephan.ai")</f>
        <v>Elephan.ai</v>
      </c>
      <c r="G339" s="873" t="str">
        <f>IFERROR(__xludf.DUMMYFUNCTION("""COMPUTED_VALUE"""),"https://www.linkedin.com/in/thais-sterenberg-de-oliveira/")</f>
        <v>https://www.linkedin.com/in/thais-sterenberg-de-oliveira/</v>
      </c>
      <c r="H339" s="667" t="str">
        <f>IFERROR(__xludf.DUMMYFUNCTION("""COMPUTED_VALUE"""),"Relacionamento Interpessoal")</f>
        <v>Relacionamento Interpessoal</v>
      </c>
      <c r="I339" s="667" t="str">
        <f>IFERROR(__xludf.DUMMYFUNCTION("""COMPUTED_VALUE"""),"Comunicação e Relacionamento")</f>
        <v>Comunicação e Relacionamento</v>
      </c>
      <c r="J339" s="669" t="str">
        <f>IFERROR(__xludf.DUMMYFUNCTION("""COMPUTED_VALUE"""),"Escuta Ativa")</f>
        <v>Escuta Ativa</v>
      </c>
      <c r="K339" s="473" t="str">
        <f>IFERROR(__xludf.DUMMYFUNCTION("""COMPUTED_VALUE"""),"https://universidade.pipelovers.net/aulas/escuta-estrategica-como-fechar-mais-negocios-so-ouvindo-melhor-1775086091746")</f>
        <v>https://universidade.pipelovers.net/aulas/escuta-estrategica-como-fechar-mais-negocios-so-ouvindo-melhor-1775086091746</v>
      </c>
      <c r="L339" s="474" t="str">
        <f>IFERROR(__xludf.DUMMYFUNCTION("""COMPUTED_VALUE"""),"https://universidade.pipelovers.net/aulas/escuta-estrategica-como-fechar-mais-negocios-so-ouvindo-melhor-1775086091746")</f>
        <v>https://universidade.pipelovers.net/aulas/escuta-estrategica-como-fechar-mais-negocios-so-ouvindo-melhor-1775086091746</v>
      </c>
      <c r="M339" s="379" t="str">
        <f>IFERROR(__xludf.DUMMYFUNCTION("""COMPUTED_VALUE"""),"4,64")</f>
        <v>4,64</v>
      </c>
      <c r="N339" s="644" t="str">
        <f>IFERROR(__xludf.DUMMYFUNCTION("""COMPUTED_VALUE"""),"https://drive.google.com/file/d/1NXtvj4rfvOuSZ5OmSmafVlnMJWnxkyo6/view?usp=drive_link")</f>
        <v>https://drive.google.com/file/d/1NXtvj4rfvOuSZ5OmSmafVlnMJWnxkyo6/view?usp=drive_link</v>
      </c>
      <c r="O339" s="218" t="str">
        <f>IFERROR(__xludf.DUMMYFUNCTION("""COMPUTED_VALUE"""),"")</f>
        <v/>
      </c>
      <c r="P339" s="601" t="str">
        <f>IFERROR(__xludf.DUMMYFUNCTION("""COMPUTED_VALUE"""),"09/07/2025")</f>
        <v>09/07/2025</v>
      </c>
      <c r="Q339" s="218"/>
    </row>
    <row r="340">
      <c r="A340" s="73"/>
      <c r="B340" s="103" t="str">
        <f>IFERROR(__xludf.DUMMYFUNCTION("""COMPUTED_VALUE"""),"Executivos de Vendas")</f>
        <v>Executivos de Vendas</v>
      </c>
      <c r="C340" s="268" t="str">
        <f>IFERROR(__xludf.DUMMYFUNCTION("""COMPUTED_VALUE"""),"Dá pra se desenvolver mesmo com um chefe ruim?")</f>
        <v>Dá pra se desenvolver mesmo com um chefe ruim?</v>
      </c>
      <c r="D340" s="268" t="str">
        <f>IFERROR(__xludf.DUMMYFUNCTION("""COMPUTED_VALUE"""),"Eberson Terra ")</f>
        <v>Eberson Terra </v>
      </c>
      <c r="E340" s="228" t="str">
        <f>IFERROR(__xludf.DUMMYFUNCTION("""COMPUTED_VALUE"""),"CIO")</f>
        <v>CIO</v>
      </c>
      <c r="F340" s="453" t="str">
        <f>IFERROR(__xludf.DUMMYFUNCTION("""COMPUTED_VALUE"""),"Abrapa")</f>
        <v>Abrapa</v>
      </c>
      <c r="G340" s="895" t="str">
        <f>IFERROR(__xludf.DUMMYFUNCTION("""COMPUTED_VALUE"""),"https://www.linkedin.com/in/ebersonterra/")</f>
        <v>https://www.linkedin.com/in/ebersonterra/</v>
      </c>
      <c r="H340" s="453" t="str">
        <f>IFERROR(__xludf.DUMMYFUNCTION("""COMPUTED_VALUE"""),"Autodesenvolvimento")</f>
        <v>Autodesenvolvimento</v>
      </c>
      <c r="I340" s="453" t="str">
        <f>IFERROR(__xludf.DUMMYFUNCTION("""COMPUTED_VALUE"""),"Inteligência Emocional")</f>
        <v>Inteligência Emocional</v>
      </c>
      <c r="J340" s="679" t="str">
        <f>IFERROR(__xludf.DUMMYFUNCTION("""COMPUTED_VALUE"""),"Resiliência")</f>
        <v>Resiliência</v>
      </c>
      <c r="K340" s="479" t="str">
        <f>IFERROR(__xludf.DUMMYFUNCTION("""COMPUTED_VALUE"""),"https://universidade.pipelovers.net/m/lessons/da-pra-se-desenvolver-mesmo-com-um-chefe-ruim1769552386064?classId=3040")</f>
        <v>https://universidade.pipelovers.net/m/lessons/da-pra-se-desenvolver-mesmo-com-um-chefe-ruim1769552386064?classId=3040</v>
      </c>
      <c r="L340" s="474" t="str">
        <f>IFERROR(__xludf.DUMMYFUNCTION("""COMPUTED_VALUE"""),"https://universidade.pipelovers.net/m/lessons/da-pra-se-desenvolver-mesmo-com-um-chefe-ruim1769552386064?classId=3040")</f>
        <v>https://universidade.pipelovers.net/m/lessons/da-pra-se-desenvolver-mesmo-com-um-chefe-ruim1769552386064?classId=3040</v>
      </c>
      <c r="M340" s="379" t="str">
        <f>IFERROR(__xludf.DUMMYFUNCTION("""COMPUTED_VALUE"""),"2")</f>
        <v>2</v>
      </c>
      <c r="N340" s="644" t="str">
        <f>IFERROR(__xludf.DUMMYFUNCTION("""COMPUTED_VALUE"""),"https://drive.google.com/file/d/1Z8eWnlgxhja2OuEADoyIyu4BaVXhG0Rq/view?usp=drive_link")</f>
        <v>https://drive.google.com/file/d/1Z8eWnlgxhja2OuEADoyIyu4BaVXhG0Rq/view?usp=drive_link</v>
      </c>
      <c r="O340" s="218" t="str">
        <f>IFERROR(__xludf.DUMMYFUNCTION("""COMPUTED_VALUE"""),"")</f>
        <v/>
      </c>
      <c r="P340" s="601" t="str">
        <f>IFERROR(__xludf.DUMMYFUNCTION("""COMPUTED_VALUE"""),"16/07/2025")</f>
        <v>16/07/2025</v>
      </c>
      <c r="Q340" s="218"/>
    </row>
    <row r="341">
      <c r="A341" s="73"/>
      <c r="B341" s="103" t="str">
        <f>IFERROR(__xludf.DUMMYFUNCTION("""COMPUTED_VALUE"""),"Executivos de Vendas")</f>
        <v>Executivos de Vendas</v>
      </c>
      <c r="C341" s="555" t="str">
        <f>IFERROR(__xludf.DUMMYFUNCTION("""COMPUTED_VALUE"""),"Mapeando influenciadores e decisores na venda B2B")</f>
        <v>Mapeando influenciadores e decisores na venda B2B</v>
      </c>
      <c r="D341" s="175" t="str">
        <f>IFERROR(__xludf.DUMMYFUNCTION("""COMPUTED_VALUE"""),"Arthur Frota")</f>
        <v>Arthur Frota</v>
      </c>
      <c r="E341" s="459" t="str">
        <f>IFERROR(__xludf.DUMMYFUNCTION("""COMPUTED_VALUE"""),"Fundador")</f>
        <v>Fundador</v>
      </c>
      <c r="F341" s="555" t="str">
        <f>IFERROR(__xludf.DUMMYFUNCTION("""COMPUTED_VALUE"""),"Tallos")</f>
        <v>Tallos</v>
      </c>
      <c r="G341" s="873" t="str">
        <f>IFERROR(__xludf.DUMMYFUNCTION("""COMPUTED_VALUE"""),"https://www.linkedin.com/in/arthurfrota/")</f>
        <v>https://www.linkedin.com/in/arthurfrota/</v>
      </c>
      <c r="H341" s="667" t="str">
        <f>IFERROR(__xludf.DUMMYFUNCTION("""COMPUTED_VALUE"""),"Relacionamento Interpessoal")</f>
        <v>Relacionamento Interpessoal</v>
      </c>
      <c r="I341" s="667" t="str">
        <f>IFERROR(__xludf.DUMMYFUNCTION("""COMPUTED_VALUE"""),"Liderança e Influência")</f>
        <v>Liderança e Influência</v>
      </c>
      <c r="J341" s="669" t="str">
        <f>IFERROR(__xludf.DUMMYFUNCTION("""COMPUTED_VALUE"""),"Stakeholder Management")</f>
        <v>Stakeholder Management</v>
      </c>
      <c r="K341" s="273" t="str">
        <f>IFERROR(__xludf.DUMMYFUNCTION("""COMPUTED_VALUE"""),"https://universidade.pipelovers.net/m/lessons/mapeando-influenciadores-e-decisores-na-venda-b2b1769552386126?classId=3041")</f>
        <v>https://universidade.pipelovers.net/m/lessons/mapeando-influenciadores-e-decisores-na-venda-b2b1769552386126?classId=3041</v>
      </c>
      <c r="L341" s="535" t="str">
        <f>IFERROR(__xludf.DUMMYFUNCTION("""COMPUTED_VALUE"""),"https://universidade.pipelovers.net/m/lessons/mapeando-influenciadores-e-decisores-na-venda-b2b1769552386126?classId=3041")</f>
        <v>https://universidade.pipelovers.net/m/lessons/mapeando-influenciadores-e-decisores-na-venda-b2b1769552386126?classId=3041</v>
      </c>
      <c r="M341" s="379" t="str">
        <f>IFERROR(__xludf.DUMMYFUNCTION("""COMPUTED_VALUE"""),"2")</f>
        <v>2</v>
      </c>
      <c r="N341" s="644" t="str">
        <f>IFERROR(__xludf.DUMMYFUNCTION("""COMPUTED_VALUE"""),"https://drive.google.com/file/d/1I4CyIAbVhGj_n89kIJcnjN6-52N3sZBV/view?usp=drive_link")</f>
        <v>https://drive.google.com/file/d/1I4CyIAbVhGj_n89kIJcnjN6-52N3sZBV/view?usp=drive_link</v>
      </c>
      <c r="O341" s="218" t="str">
        <f>IFERROR(__xludf.DUMMYFUNCTION("""COMPUTED_VALUE"""),"")</f>
        <v/>
      </c>
      <c r="P341" s="601" t="str">
        <f>IFERROR(__xludf.DUMMYFUNCTION("""COMPUTED_VALUE"""),"23/07/2025")</f>
        <v>23/07/2025</v>
      </c>
      <c r="Q341" s="218"/>
    </row>
    <row r="342">
      <c r="A342" s="73"/>
      <c r="B342" s="103" t="str">
        <f>IFERROR(__xludf.DUMMYFUNCTION("""COMPUTED_VALUE"""),"Executivos de Vendas")</f>
        <v>Executivos de Vendas</v>
      </c>
      <c r="C342" s="481" t="str">
        <f>IFERROR(__xludf.DUMMYFUNCTION("""COMPUTED_VALUE"""),"O que realmente funciona em contas estratégicas")</f>
        <v>O que realmente funciona em contas estratégicas</v>
      </c>
      <c r="D342" s="173" t="str">
        <f>IFERROR(__xludf.DUMMYFUNCTION("""COMPUTED_VALUE"""),"Frederico Martendal")</f>
        <v>Frederico Martendal</v>
      </c>
      <c r="E342" s="395" t="str">
        <f>IFERROR(__xludf.DUMMYFUNCTION("""COMPUTED_VALUE"""),"Sr Commercial Manager |Strategic Accounts")</f>
        <v>Sr Commercial Manager |Strategic Accounts</v>
      </c>
      <c r="F342" s="872" t="str">
        <f>IFERROR(__xludf.DUMMYFUNCTION("""COMPUTED_VALUE"""),"RD Station")</f>
        <v>RD Station</v>
      </c>
      <c r="G342" s="873" t="str">
        <f>IFERROR(__xludf.DUMMYFUNCTION("""COMPUTED_VALUE"""),"https://www.linkedin.com/in/frederico-martendal-621b8648/")</f>
        <v>https://www.linkedin.com/in/frederico-martendal-621b8648/</v>
      </c>
      <c r="H342" s="667" t="str">
        <f>IFERROR(__xludf.DUMMYFUNCTION("""COMPUTED_VALUE"""),"Conhecimento Técnico")</f>
        <v>Conhecimento Técnico</v>
      </c>
      <c r="I342" s="667" t="str">
        <f>IFERROR(__xludf.DUMMYFUNCTION("""COMPUTED_VALUE"""),"Técnicas de Vendas")</f>
        <v>Técnicas de Vendas</v>
      </c>
      <c r="J342" s="669" t="str">
        <f>IFERROR(__xludf.DUMMYFUNCTION("""COMPUTED_VALUE"""),"Gestão de Carteira de Clientes")</f>
        <v>Gestão de Carteira de Clientes</v>
      </c>
      <c r="K342" s="275" t="str">
        <f>IFERROR(__xludf.DUMMYFUNCTION("""COMPUTED_VALUE"""),"https://universidade.pipelovers.net/m/lessons/o-que-realmente-funciona-em-contas-estrategicas1769552386212?classId=3042")</f>
        <v>https://universidade.pipelovers.net/m/lessons/o-que-realmente-funciona-em-contas-estrategicas1769552386212?classId=3042</v>
      </c>
      <c r="L342" s="535" t="str">
        <f>IFERROR(__xludf.DUMMYFUNCTION("""COMPUTED_VALUE"""),"https://universidade.pipelovers.net/m/lessons/o-que-realmente-funciona-em-contas-estrategicas1769552386212?classId=3042")</f>
        <v>https://universidade.pipelovers.net/m/lessons/o-que-realmente-funciona-em-contas-estrategicas1769552386212?classId=3042</v>
      </c>
      <c r="M342" s="379" t="str">
        <f>IFERROR(__xludf.DUMMYFUNCTION("""COMPUTED_VALUE"""),"4,86")</f>
        <v>4,86</v>
      </c>
      <c r="N342" s="644" t="str">
        <f>IFERROR(__xludf.DUMMYFUNCTION("""COMPUTED_VALUE"""),"https://drive.google.com/file/d/1yPg9eX_RqgMF8IZZ9ye7VhXTvn2BUm8Z/view?usp=drive_link")</f>
        <v>https://drive.google.com/file/d/1yPg9eX_RqgMF8IZZ9ye7VhXTvn2BUm8Z/view?usp=drive_link</v>
      </c>
      <c r="O342" s="218" t="str">
        <f>IFERROR(__xludf.DUMMYFUNCTION("""COMPUTED_VALUE"""),"")</f>
        <v/>
      </c>
      <c r="P342" s="601" t="str">
        <f>IFERROR(__xludf.DUMMYFUNCTION("""COMPUTED_VALUE"""),"30/07/2025")</f>
        <v>30/07/2025</v>
      </c>
      <c r="Q342" s="218"/>
    </row>
    <row r="343">
      <c r="A343" s="73"/>
      <c r="B343" s="103" t="str">
        <f>IFERROR(__xludf.DUMMYFUNCTION("""COMPUTED_VALUE"""),"Executivos de Vendas")</f>
        <v>Executivos de Vendas</v>
      </c>
      <c r="C343" s="555" t="str">
        <f>IFERROR(__xludf.DUMMYFUNCTION("""COMPUTED_VALUE"""),"Resiliência em vendas: Como superar rejeições constantes")</f>
        <v>Resiliência em vendas: Como superar rejeições constantes</v>
      </c>
      <c r="D343" s="175" t="str">
        <f>IFERROR(__xludf.DUMMYFUNCTION("""COMPUTED_VALUE"""),"Matheus Raulino")</f>
        <v>Matheus Raulino</v>
      </c>
      <c r="E343" s="395" t="str">
        <f>IFERROR(__xludf.DUMMYFUNCTION("""COMPUTED_VALUE"""),"Gerente de Vendas")</f>
        <v>Gerente de Vendas</v>
      </c>
      <c r="F343" s="872" t="str">
        <f>IFERROR(__xludf.DUMMYFUNCTION("""COMPUTED_VALUE"""),"G4 Educação")</f>
        <v>G4 Educação</v>
      </c>
      <c r="G343" s="873" t="str">
        <f>IFERROR(__xludf.DUMMYFUNCTION("""COMPUTED_VALUE"""),"https://www.linkedin.com/in/matheus-raulino/")</f>
        <v>https://www.linkedin.com/in/matheus-raulino/</v>
      </c>
      <c r="H343" s="667" t="str">
        <f>IFERROR(__xludf.DUMMYFUNCTION("""COMPUTED_VALUE"""),"Autodesenvolvimento")</f>
        <v>Autodesenvolvimento</v>
      </c>
      <c r="I343" s="667" t="str">
        <f>IFERROR(__xludf.DUMMYFUNCTION("""COMPUTED_VALUE"""),"Inteligência Emocional")</f>
        <v>Inteligência Emocional</v>
      </c>
      <c r="J343" s="669" t="str">
        <f>IFERROR(__xludf.DUMMYFUNCTION("""COMPUTED_VALUE"""),"Resiliência")</f>
        <v>Resiliência</v>
      </c>
      <c r="K343" s="273" t="str">
        <f>IFERROR(__xludf.DUMMYFUNCTION("""COMPUTED_VALUE"""),"https://universidade.pipelovers.net/m/lessons/resiliencia-em-vendas-como-superar-rejeicoes-constantes1769552386411?classId=3043")</f>
        <v>https://universidade.pipelovers.net/m/lessons/resiliencia-em-vendas-como-superar-rejeicoes-constantes1769552386411?classId=3043</v>
      </c>
      <c r="L343" s="535" t="str">
        <f>IFERROR(__xludf.DUMMYFUNCTION("""COMPUTED_VALUE"""),"https://universidade.pipelovers.net/m/lessons/resiliencia-em-vendas-como-superar-rejeicoes-constantes1769552386411?classId=3043")</f>
        <v>https://universidade.pipelovers.net/m/lessons/resiliencia-em-vendas-como-superar-rejeicoes-constantes1769552386411?classId=3043</v>
      </c>
      <c r="M343" s="379" t="str">
        <f>IFERROR(__xludf.DUMMYFUNCTION("""COMPUTED_VALUE"""),"4,71")</f>
        <v>4,71</v>
      </c>
      <c r="N343" s="644" t="str">
        <f>IFERROR(__xludf.DUMMYFUNCTION("""COMPUTED_VALUE"""),"https://drive.google.com/file/d/1LyHPjzA5wI6xnC8r3J6iF7XaINxOkHj4/view?usp=drive_link")</f>
        <v>https://drive.google.com/file/d/1LyHPjzA5wI6xnC8r3J6iF7XaINxOkHj4/view?usp=drive_link</v>
      </c>
      <c r="O343" s="218" t="str">
        <f>IFERROR(__xludf.DUMMYFUNCTION("""COMPUTED_VALUE"""),"")</f>
        <v/>
      </c>
      <c r="P343" s="601" t="str">
        <f>IFERROR(__xludf.DUMMYFUNCTION("""COMPUTED_VALUE"""),"06/08/2025")</f>
        <v>06/08/2025</v>
      </c>
      <c r="Q343" s="218"/>
    </row>
    <row r="344">
      <c r="A344" s="73"/>
      <c r="B344" s="103" t="str">
        <f>IFERROR(__xludf.DUMMYFUNCTION("""COMPUTED_VALUE"""),"Executivos de Vendas")</f>
        <v>Executivos de Vendas</v>
      </c>
      <c r="C344" s="555" t="str">
        <f>IFERROR(__xludf.DUMMYFUNCTION("""COMPUTED_VALUE"""),"Discovery e causa raiz: como investigar o problema certo antes de vender")</f>
        <v>Discovery e causa raiz: como investigar o problema certo antes de vender</v>
      </c>
      <c r="D344" s="555" t="str">
        <f>IFERROR(__xludf.DUMMYFUNCTION("""COMPUTED_VALUE"""),"Daniel Forin")</f>
        <v>Daniel Forin</v>
      </c>
      <c r="E344" s="459" t="str">
        <f>IFERROR(__xludf.DUMMYFUNCTION("""COMPUTED_VALUE"""),"Channel Account Manager")</f>
        <v>Channel Account Manager</v>
      </c>
      <c r="F344" s="555" t="str">
        <f>IFERROR(__xludf.DUMMYFUNCTION("""COMPUTED_VALUE"""),"Exact Sales")</f>
        <v>Exact Sales</v>
      </c>
      <c r="G344" s="895" t="str">
        <f>IFERROR(__xludf.DUMMYFUNCTION("""COMPUTED_VALUE"""),"https://www.linkedin.com/in/daniel-maldonado-forin/")</f>
        <v>https://www.linkedin.com/in/daniel-maldonado-forin/</v>
      </c>
      <c r="H344" s="453" t="str">
        <f>IFERROR(__xludf.DUMMYFUNCTION("""COMPUTED_VALUE"""),"Conhecimento Técnico")</f>
        <v>Conhecimento Técnico</v>
      </c>
      <c r="I344" s="453" t="str">
        <f>IFERROR(__xludf.DUMMYFUNCTION("""COMPUTED_VALUE"""),"Técnicas de Vendas")</f>
        <v>Técnicas de Vendas</v>
      </c>
      <c r="J344" s="679" t="str">
        <f>IFERROR(__xludf.DUMMYFUNCTION("""COMPUTED_VALUE"""),"Qualificação e Entendimento da Dor")</f>
        <v>Qualificação e Entendimento da Dor</v>
      </c>
      <c r="K344" s="301" t="str">
        <f>IFERROR(__xludf.DUMMYFUNCTION("""COMPUTED_VALUE"""),"https://universidade.pipelovers.net/m/lessons/discovery-e-causa-raiz-como-investigar-o-problema-certo-antes-de-vender1769552386471?classId=3044")</f>
        <v>https://universidade.pipelovers.net/m/lessons/discovery-e-causa-raiz-como-investigar-o-problema-certo-antes-de-vender1769552386471?classId=3044</v>
      </c>
      <c r="L344" s="115" t="str">
        <f>IFERROR(__xludf.DUMMYFUNCTION("""COMPUTED_VALUE"""),"https://universidade.pipelovers.net/m/lessons/discovery-e-causa-raiz-como-investigar-o-problema-certo-antes-de-vender1769552386471?classId=3044")</f>
        <v>https://universidade.pipelovers.net/m/lessons/discovery-e-causa-raiz-como-investigar-o-problema-certo-antes-de-vender1769552386471?classId=3044</v>
      </c>
      <c r="M344" s="379" t="str">
        <f>IFERROR(__xludf.DUMMYFUNCTION("""COMPUTED_VALUE"""),"4,86")</f>
        <v>4,86</v>
      </c>
      <c r="N344" s="644" t="str">
        <f>IFERROR(__xludf.DUMMYFUNCTION("""COMPUTED_VALUE"""),"https://drive.google.com/file/d/1ZaWC6mPkN0BkpR6ftOD6He7yWsZDAmxE/view?usp=drive_link")</f>
        <v>https://drive.google.com/file/d/1ZaWC6mPkN0BkpR6ftOD6He7yWsZDAmxE/view?usp=drive_link</v>
      </c>
      <c r="O344" s="218" t="str">
        <f>IFERROR(__xludf.DUMMYFUNCTION("""COMPUTED_VALUE"""),"")</f>
        <v/>
      </c>
      <c r="P344" s="601" t="str">
        <f>IFERROR(__xludf.DUMMYFUNCTION("""COMPUTED_VALUE"""),"13/08/2025")</f>
        <v>13/08/2025</v>
      </c>
      <c r="Q344" s="218"/>
    </row>
    <row r="345">
      <c r="A345" s="73"/>
      <c r="B345" s="103" t="str">
        <f>IFERROR(__xludf.DUMMYFUNCTION("""COMPUTED_VALUE"""),"Executivos de Vendas")</f>
        <v>Executivos de Vendas</v>
      </c>
      <c r="C345" s="175" t="str">
        <f>IFERROR(__xludf.DUMMYFUNCTION("""COMPUTED_VALUE"""),"Neurovendas: como adaptar seu processo comercial à lógica de decisão do cérebro humano")</f>
        <v>Neurovendas: como adaptar seu processo comercial à lógica de decisão do cérebro humano</v>
      </c>
      <c r="D345" s="175" t="str">
        <f>IFERROR(__xludf.DUMMYFUNCTION("""COMPUTED_VALUE"""),"Marcieli Pachecco")</f>
        <v>Marcieli Pachecco</v>
      </c>
      <c r="E345" s="395" t="str">
        <f>IFERROR(__xludf.DUMMYFUNCTION("""COMPUTED_VALUE"""),"Mentora de Vendas e Gestão")</f>
        <v>Mentora de Vendas e Gestão</v>
      </c>
      <c r="F345" s="872" t="str">
        <f>IFERROR(__xludf.DUMMYFUNCTION("""COMPUTED_VALUE"""),"MP Sales Academy")</f>
        <v>MP Sales Academy</v>
      </c>
      <c r="G345" s="873" t="str">
        <f>IFERROR(__xludf.DUMMYFUNCTION("""COMPUTED_VALUE"""),"https://www.linkedin.com/in/marcieli-pachecco-b9a7871bb/")</f>
        <v>https://www.linkedin.com/in/marcieli-pachecco-b9a7871bb/</v>
      </c>
      <c r="H345" s="667" t="str">
        <f>IFERROR(__xludf.DUMMYFUNCTION("""COMPUTED_VALUE"""),"Relacionamento Interpessoal")</f>
        <v>Relacionamento Interpessoal</v>
      </c>
      <c r="I345" s="667" t="str">
        <f>IFERROR(__xludf.DUMMYFUNCTION("""COMPUTED_VALUE"""),"Comunicação e Relacionamento")</f>
        <v>Comunicação e Relacionamento</v>
      </c>
      <c r="J345" s="669" t="str">
        <f>IFERROR(__xludf.DUMMYFUNCTION("""COMPUTED_VALUE"""),"Tecnicas de Rapport")</f>
        <v>Tecnicas de Rapport</v>
      </c>
      <c r="K345" s="281" t="str">
        <f>IFERROR(__xludf.DUMMYFUNCTION("""COMPUTED_VALUE"""),"https://universidade.pipelovers.net/m/lessons/neurovendas-como-adaptar-seu-processo-comercial-a-logica-de-decisao-do-cerebro-humano1769552386512?classId=3045")</f>
        <v>https://universidade.pipelovers.net/m/lessons/neurovendas-como-adaptar-seu-processo-comercial-a-logica-de-decisao-do-cerebro-humano1769552386512?classId=3045</v>
      </c>
      <c r="L345" s="115" t="str">
        <f>IFERROR(__xludf.DUMMYFUNCTION("""COMPUTED_VALUE"""),"https://universidade.pipelovers.net/m/lessons/neurovendas-como-adaptar-seu-processo-comercial-a-logica-de-decisao-do-cerebro-humano1769552386512?classId=3045")</f>
        <v>https://universidade.pipelovers.net/m/lessons/neurovendas-como-adaptar-seu-processo-comercial-a-logica-de-decisao-do-cerebro-humano1769552386512?classId=3045</v>
      </c>
      <c r="M345" s="379" t="str">
        <f>IFERROR(__xludf.DUMMYFUNCTION("""COMPUTED_VALUE"""),"2")</f>
        <v>2</v>
      </c>
      <c r="N345" s="644" t="str">
        <f>IFERROR(__xludf.DUMMYFUNCTION("""COMPUTED_VALUE"""),"https://drive.google.com/file/d/1O4QVFzqXTVtOgyNaQjxYGI7D6AAKKTb1/view?usp=drive_link")</f>
        <v>https://drive.google.com/file/d/1O4QVFzqXTVtOgyNaQjxYGI7D6AAKKTb1/view?usp=drive_link</v>
      </c>
      <c r="O345" s="218" t="str">
        <f>IFERROR(__xludf.DUMMYFUNCTION("""COMPUTED_VALUE"""),"")</f>
        <v/>
      </c>
      <c r="P345" s="601" t="str">
        <f>IFERROR(__xludf.DUMMYFUNCTION("""COMPUTED_VALUE"""),"20/08/2025")</f>
        <v>20/08/2025</v>
      </c>
      <c r="Q345" s="218"/>
    </row>
    <row r="346">
      <c r="A346" s="73"/>
      <c r="B346" s="103" t="str">
        <f>IFERROR(__xludf.DUMMYFUNCTION("""COMPUTED_VALUE"""),"Executivos de Vendas")</f>
        <v>Executivos de Vendas</v>
      </c>
      <c r="C346" s="173" t="str">
        <f>IFERROR(__xludf.DUMMYFUNCTION("""COMPUTED_VALUE"""),"Construção de networking e conexões de valor")</f>
        <v>Construção de networking e conexões de valor</v>
      </c>
      <c r="D346" s="173" t="str">
        <f>IFERROR(__xludf.DUMMYFUNCTION("""COMPUTED_VALUE"""),"Paulo Guidugli")</f>
        <v>Paulo Guidugli</v>
      </c>
      <c r="E346" s="900" t="str">
        <f>IFERROR(__xludf.DUMMYFUNCTION("""COMPUTED_VALUE"""),"Head of Sales")</f>
        <v>Head of Sales</v>
      </c>
      <c r="F346" s="481" t="str">
        <f>IFERROR(__xludf.DUMMYFUNCTION("""COMPUTED_VALUE"""),"Gupy")</f>
        <v>Gupy</v>
      </c>
      <c r="G346" s="873" t="str">
        <f>IFERROR(__xludf.DUMMYFUNCTION("""COMPUTED_VALUE"""),"https://www.linkedin.com/in/pauloguidugli/")</f>
        <v>https://www.linkedin.com/in/pauloguidugli/</v>
      </c>
      <c r="H346" s="667" t="str">
        <f>IFERROR(__xludf.DUMMYFUNCTION("""COMPUTED_VALUE"""),"Relacionamento Interpessoal")</f>
        <v>Relacionamento Interpessoal</v>
      </c>
      <c r="I346" s="667" t="str">
        <f>IFERROR(__xludf.DUMMYFUNCTION("""COMPUTED_VALUE"""),"Liderança e Influência")</f>
        <v>Liderança e Influência</v>
      </c>
      <c r="J346" s="669" t="str">
        <f>IFERROR(__xludf.DUMMYFUNCTION("""COMPUTED_VALUE"""),"Credibilidade e Reputação")</f>
        <v>Credibilidade e Reputação</v>
      </c>
      <c r="K346" s="301" t="str">
        <f>IFERROR(__xludf.DUMMYFUNCTION("""COMPUTED_VALUE"""),"https://universidade.pipelovers.net/m/lessons/construcao-de-networking-e-conexoes-de-valor1769552386580?classId=3046")</f>
        <v>https://universidade.pipelovers.net/m/lessons/construcao-de-networking-e-conexoes-de-valor1769552386580?classId=3046</v>
      </c>
      <c r="L346" s="115" t="str">
        <f>IFERROR(__xludf.DUMMYFUNCTION("""COMPUTED_VALUE"""),"https://universidade.pipelovers.net/m/lessons/construcao-de-networking-e-conexoes-de-valor1769552386580?classId=3046")</f>
        <v>https://universidade.pipelovers.net/m/lessons/construcao-de-networking-e-conexoes-de-valor1769552386580?classId=3046</v>
      </c>
      <c r="M346" s="379" t="str">
        <f>IFERROR(__xludf.DUMMYFUNCTION("""COMPUTED_VALUE"""),"1")</f>
        <v>1</v>
      </c>
      <c r="N346" s="644" t="str">
        <f>IFERROR(__xludf.DUMMYFUNCTION("""COMPUTED_VALUE"""),"https://drive.google.com/file/d/1D-SKO2L90qrJmnbKCbq7ghdkYpXonj1q/view?usp=drive_link")</f>
        <v>https://drive.google.com/file/d/1D-SKO2L90qrJmnbKCbq7ghdkYpXonj1q/view?usp=drive_link</v>
      </c>
      <c r="O346" s="218" t="str">
        <f>IFERROR(__xludf.DUMMYFUNCTION("""COMPUTED_VALUE"""),"")</f>
        <v/>
      </c>
      <c r="P346" s="601" t="str">
        <f>IFERROR(__xludf.DUMMYFUNCTION("""COMPUTED_VALUE"""),"27/08/2025")</f>
        <v>27/08/2025</v>
      </c>
      <c r="Q346" s="218"/>
    </row>
    <row r="347">
      <c r="A347" s="73"/>
      <c r="B347" s="103" t="str">
        <f>IFERROR(__xludf.DUMMYFUNCTION("""COMPUTED_VALUE"""),"Executivos de Vendas")</f>
        <v>Executivos de Vendas</v>
      </c>
      <c r="C347" s="481" t="str">
        <f>IFERROR(__xludf.DUMMYFUNCTION("""COMPUTED_VALUE"""),"Identificação e validação do Perfil de Cliente Ideal")</f>
        <v>Identificação e validação do Perfil de Cliente Ideal</v>
      </c>
      <c r="D347" s="175" t="str">
        <f>IFERROR(__xludf.DUMMYFUNCTION("""COMPUTED_VALUE"""),"Ana Gabriela Marin")</f>
        <v>Ana Gabriela Marin</v>
      </c>
      <c r="E347" s="459" t="str">
        <f>IFERROR(__xludf.DUMMYFUNCTION("""COMPUTED_VALUE"""),"Chief Marketing Officer")</f>
        <v>Chief Marketing Officer</v>
      </c>
      <c r="F347" s="555" t="str">
        <f>IFERROR(__xludf.DUMMYFUNCTION("""COMPUTED_VALUE"""),"Performa_IT")</f>
        <v>Performa_IT</v>
      </c>
      <c r="G347" s="873" t="str">
        <f>IFERROR(__xludf.DUMMYFUNCTION("""COMPUTED_VALUE"""),"https://www.linkedin.com/in/agmarin/")</f>
        <v>https://www.linkedin.com/in/agmarin/</v>
      </c>
      <c r="H347" s="667" t="str">
        <f>IFERROR(__xludf.DUMMYFUNCTION("""COMPUTED_VALUE"""),"Visão de Negócios")</f>
        <v>Visão de Negócios</v>
      </c>
      <c r="I347" s="667" t="str">
        <f>IFERROR(__xludf.DUMMYFUNCTION("""COMPUTED_VALUE"""),"Conhecimento de Produto e Negócio")</f>
        <v>Conhecimento de Produto e Negócio</v>
      </c>
      <c r="J347" s="669" t="str">
        <f>IFERROR(__xludf.DUMMYFUNCTION("""COMPUTED_VALUE"""),"ICP (Perfil de Cliente Ideal)")</f>
        <v>ICP (Perfil de Cliente Ideal)</v>
      </c>
      <c r="K347" s="275" t="str">
        <f>IFERROR(__xludf.DUMMYFUNCTION("""COMPUTED_VALUE"""),"https://universidade.pipelovers.net/m/lessons/identificacao-e-validacao-do-perfil-de-cliente-ideal1769552388727?classId=3047")</f>
        <v>https://universidade.pipelovers.net/m/lessons/identificacao-e-validacao-do-perfil-de-cliente-ideal1769552388727?classId=3047</v>
      </c>
      <c r="L347" s="535" t="str">
        <f>IFERROR(__xludf.DUMMYFUNCTION("""COMPUTED_VALUE"""),"https://universidade.pipelovers.net/m/lessons/identificacao-e-validacao-do-perfil-de-cliente-ideal1769552388727?classId=3047")</f>
        <v>https://universidade.pipelovers.net/m/lessons/identificacao-e-validacao-do-perfil-de-cliente-ideal1769552388727?classId=3047</v>
      </c>
      <c r="M347" s="379" t="str">
        <f>IFERROR(__xludf.DUMMYFUNCTION("""COMPUTED_VALUE"""),"2")</f>
        <v>2</v>
      </c>
      <c r="N347" s="644" t="str">
        <f>IFERROR(__xludf.DUMMYFUNCTION("""COMPUTED_VALUE"""),"https://drive.google.com/file/d/1b_s2-3f-aYV7bs9z1ggvCvTzCs8CiNth/view?usp=drive_link")</f>
        <v>https://drive.google.com/file/d/1b_s2-3f-aYV7bs9z1ggvCvTzCs8CiNth/view?usp=drive_link</v>
      </c>
      <c r="O347" s="218" t="str">
        <f>IFERROR(__xludf.DUMMYFUNCTION("""COMPUTED_VALUE"""),"")</f>
        <v/>
      </c>
      <c r="P347" s="601" t="str">
        <f>IFERROR(__xludf.DUMMYFUNCTION("""COMPUTED_VALUE"""),"03/09/2025")</f>
        <v>03/09/2025</v>
      </c>
      <c r="Q347" s="218"/>
    </row>
    <row r="348">
      <c r="A348" s="73"/>
      <c r="B348" s="103" t="str">
        <f>IFERROR(__xludf.DUMMYFUNCTION("""COMPUTED_VALUE"""),"Executivos de Vendas")</f>
        <v>Executivos de Vendas</v>
      </c>
      <c r="C348" s="555" t="str">
        <f>IFERROR(__xludf.DUMMYFUNCTION("""COMPUTED_VALUE"""),"Como gerar engajamento em reuniões online")</f>
        <v>Como gerar engajamento em reuniões online</v>
      </c>
      <c r="D348" s="173" t="str">
        <f>IFERROR(__xludf.DUMMYFUNCTION("""COMPUTED_VALUE"""),"João Victor Andrade")</f>
        <v>João Victor Andrade</v>
      </c>
      <c r="E348" s="395" t="str">
        <f>IFERROR(__xludf.DUMMYFUNCTION("""COMPUTED_VALUE"""),"Head Of Sales")</f>
        <v>Head Of Sales</v>
      </c>
      <c r="F348" s="872" t="str">
        <f>IFERROR(__xludf.DUMMYFUNCTION("""COMPUTED_VALUE"""),"The News")</f>
        <v>The News</v>
      </c>
      <c r="G348" s="873" t="str">
        <f>IFERROR(__xludf.DUMMYFUNCTION("""COMPUTED_VALUE"""),"https://www.linkedin.com/in/jo%C3%A3ovictoraandrade/")</f>
        <v>https://www.linkedin.com/in/jo%C3%A3ovictoraandrade/</v>
      </c>
      <c r="H348" s="667" t="str">
        <f>IFERROR(__xludf.DUMMYFUNCTION("""COMPUTED_VALUE"""),"Relacionamento Interpessoal")</f>
        <v>Relacionamento Interpessoal</v>
      </c>
      <c r="I348" s="667" t="str">
        <f>IFERROR(__xludf.DUMMYFUNCTION("""COMPUTED_VALUE"""),"Comunicação e Relacionamento")</f>
        <v>Comunicação e Relacionamento</v>
      </c>
      <c r="J348" s="669" t="str">
        <f>IFERROR(__xludf.DUMMYFUNCTION("""COMPUTED_VALUE"""),"Comunicação Virtual")</f>
        <v>Comunicação Virtual</v>
      </c>
      <c r="K348" s="273" t="str">
        <f>IFERROR(__xludf.DUMMYFUNCTION("""COMPUTED_VALUE"""),"https://universidade.pipelovers.net/m/lessons/como-gerar-engajamento-em-reunioes-online1769552388759?classId=3072")</f>
        <v>https://universidade.pipelovers.net/m/lessons/como-gerar-engajamento-em-reunioes-online1769552388759?classId=3072</v>
      </c>
      <c r="L348" s="535" t="str">
        <f>IFERROR(__xludf.DUMMYFUNCTION("""COMPUTED_VALUE"""),"https://universidade.pipelovers.net/m/lessons/como-gerar-engajamento-em-reunioes-online1769552388759?classId=3072")</f>
        <v>https://universidade.pipelovers.net/m/lessons/como-gerar-engajamento-em-reunioes-online1769552388759?classId=3072</v>
      </c>
      <c r="M348" s="379" t="str">
        <f>IFERROR(__xludf.DUMMYFUNCTION("""COMPUTED_VALUE"""),"4,14")</f>
        <v>4,14</v>
      </c>
      <c r="N348" s="644" t="str">
        <f>IFERROR(__xludf.DUMMYFUNCTION("""COMPUTED_VALUE"""),"https://drive.google.com/file/d/1gkhaHh2IYPTjTBIrvGJoHfToMW-2zeVr/view?usp=drive_link")</f>
        <v>https://drive.google.com/file/d/1gkhaHh2IYPTjTBIrvGJoHfToMW-2zeVr/view?usp=drive_link</v>
      </c>
      <c r="O348" s="218" t="str">
        <f>IFERROR(__xludf.DUMMYFUNCTION("""COMPUTED_VALUE"""),"")</f>
        <v/>
      </c>
      <c r="P348" s="601" t="str">
        <f>IFERROR(__xludf.DUMMYFUNCTION("""COMPUTED_VALUE"""),"10/09/2025")</f>
        <v>10/09/2025</v>
      </c>
      <c r="Q348" s="218"/>
    </row>
    <row r="349">
      <c r="A349" s="73"/>
      <c r="B349" s="903" t="str">
        <f>IFERROR(__xludf.DUMMYFUNCTION("""COMPUTED_VALUE"""),"Executivos de Vendas")</f>
        <v>Executivos de Vendas</v>
      </c>
      <c r="C349" s="481" t="str">
        <f>IFERROR(__xludf.DUMMYFUNCTION("""COMPUTED_VALUE"""),"Segmentação e definição do seu mercado-alvo")</f>
        <v>Segmentação e definição do seu mercado-alvo</v>
      </c>
      <c r="D349" s="481" t="str">
        <f>IFERROR(__xludf.DUMMYFUNCTION("""COMPUTED_VALUE"""),"Gustavo Gadotti")</f>
        <v>Gustavo Gadotti</v>
      </c>
      <c r="E349" s="401" t="str">
        <f>IFERROR(__xludf.DUMMYFUNCTION("""COMPUTED_VALUE"""),"Sócio e Diretor")</f>
        <v>Sócio e Diretor</v>
      </c>
      <c r="F349" s="878" t="str">
        <f>IFERROR(__xludf.DUMMYFUNCTION("""COMPUTED_VALUE"""),"CRMBonus")</f>
        <v>CRMBonus</v>
      </c>
      <c r="G349" s="879" t="str">
        <f>IFERROR(__xludf.DUMMYFUNCTION("""COMPUTED_VALUE"""),"https://www.linkedin.com/in/gustavogadotti/")</f>
        <v>https://www.linkedin.com/in/gustavogadotti/</v>
      </c>
      <c r="H349" s="484" t="str">
        <f>IFERROR(__xludf.DUMMYFUNCTION("""COMPUTED_VALUE"""),"Visão de Negócios")</f>
        <v>Visão de Negócios</v>
      </c>
      <c r="I349" s="484" t="str">
        <f>IFERROR(__xludf.DUMMYFUNCTION("""COMPUTED_VALUE"""),"Conhecimento de Produto e Negócio")</f>
        <v>Conhecimento de Produto e Negócio</v>
      </c>
      <c r="J349" s="867" t="str">
        <f>IFERROR(__xludf.DUMMYFUNCTION("""COMPUTED_VALUE"""),"Segmentação de Mercado")</f>
        <v>Segmentação de Mercado</v>
      </c>
      <c r="K349" s="473" t="str">
        <f>IFERROR(__xludf.DUMMYFUNCTION("""COMPUTED_VALUE"""),"https://universidade.pipelovers.net/m/lessons/segmentacao-e-definicao-do-seu-mercado-alvo1769552388883?classId=3048")</f>
        <v>https://universidade.pipelovers.net/m/lessons/segmentacao-e-definicao-do-seu-mercado-alvo1769552388883?classId=3048</v>
      </c>
      <c r="L349" s="474" t="str">
        <f>IFERROR(__xludf.DUMMYFUNCTION("""COMPUTED_VALUE"""),"https://universidade.pipelovers.net/m/lessons/segmentacao-e-definicao-do-seu-mercado-alvo1769552388883?classId=3048")</f>
        <v>https://universidade.pipelovers.net/m/lessons/segmentacao-e-definicao-do-seu-mercado-alvo1769552388883?classId=3048</v>
      </c>
      <c r="M349" s="379" t="str">
        <f>IFERROR(__xludf.DUMMYFUNCTION("""COMPUTED_VALUE"""),"4,86")</f>
        <v>4,86</v>
      </c>
      <c r="N349" s="644" t="str">
        <f>IFERROR(__xludf.DUMMYFUNCTION("""COMPUTED_VALUE"""),"https://drive.google.com/file/d/1BPwseD8ZDl683T5fPE4YMj69Yr3-_myG/view?usp=drive_link")</f>
        <v>https://drive.google.com/file/d/1BPwseD8ZDl683T5fPE4YMj69Yr3-_myG/view?usp=drive_link</v>
      </c>
      <c r="O349" s="218" t="str">
        <f>IFERROR(__xludf.DUMMYFUNCTION("""COMPUTED_VALUE"""),"")</f>
        <v/>
      </c>
      <c r="P349" s="601" t="str">
        <f>IFERROR(__xludf.DUMMYFUNCTION("""COMPUTED_VALUE"""),"17/09/2025")</f>
        <v>17/09/2025</v>
      </c>
      <c r="Q349" s="218"/>
    </row>
    <row r="350">
      <c r="A350" s="73"/>
      <c r="B350" s="903" t="str">
        <f>IFERROR(__xludf.DUMMYFUNCTION("""COMPUTED_VALUE"""),"Executivos de Vendas")</f>
        <v>Executivos de Vendas</v>
      </c>
      <c r="C350" s="555" t="str">
        <f>IFERROR(__xludf.DUMMYFUNCTION("""COMPUTED_VALUE"""),"Como usar cases de sucesso para acelerar vendas")</f>
        <v>Como usar cases de sucesso para acelerar vendas</v>
      </c>
      <c r="D350" s="555" t="str">
        <f>IFERROR(__xludf.DUMMYFUNCTION("""COMPUTED_VALUE"""),"Denis Tassitano")</f>
        <v>Denis Tassitano</v>
      </c>
      <c r="E350" s="390" t="str">
        <f>IFERROR(__xludf.DUMMYFUNCTION("""COMPUTED_VALUE"""),"CRO")</f>
        <v>CRO</v>
      </c>
      <c r="F350" s="904" t="str">
        <f>IFERROR(__xludf.DUMMYFUNCTION("""COMPUTED_VALUE"""),"SAP")</f>
        <v>SAP</v>
      </c>
      <c r="G350" s="895" t="str">
        <f>IFERROR(__xludf.DUMMYFUNCTION("""COMPUTED_VALUE"""),"https://www.linkedin.com/in/denistassitano/")</f>
        <v>https://www.linkedin.com/in/denistassitano/</v>
      </c>
      <c r="H350" s="453" t="str">
        <f>IFERROR(__xludf.DUMMYFUNCTION("""COMPUTED_VALUE"""),"Relacionamento Interpessoal")</f>
        <v>Relacionamento Interpessoal</v>
      </c>
      <c r="I350" s="453" t="str">
        <f>IFERROR(__xludf.DUMMYFUNCTION("""COMPUTED_VALUE"""),"Liderança e Influência")</f>
        <v>Liderança e Influência</v>
      </c>
      <c r="J350" s="679" t="str">
        <f>IFERROR(__xludf.DUMMYFUNCTION("""COMPUTED_VALUE"""),"Provas Sociais")</f>
        <v>Provas Sociais</v>
      </c>
      <c r="K350" s="479" t="str">
        <f>IFERROR(__xludf.DUMMYFUNCTION("""COMPUTED_VALUE"""),"https://universidade.pipelovers.net/m/lessons/como-usar-cases-de-sucesso-para-acelerar-vendas1769552388920?classId=3079")</f>
        <v>https://universidade.pipelovers.net/m/lessons/como-usar-cases-de-sucesso-para-acelerar-vendas1769552388920?classId=3079</v>
      </c>
      <c r="L350" s="474" t="str">
        <f>IFERROR(__xludf.DUMMYFUNCTION("""COMPUTED_VALUE"""),"https://universidade.pipelovers.net/m/lessons/como-usar-cases-de-sucesso-para-acelerar-vendas1769552388920?classId=3079")</f>
        <v>https://universidade.pipelovers.net/m/lessons/como-usar-cases-de-sucesso-para-acelerar-vendas1769552388920?classId=3079</v>
      </c>
      <c r="M350" s="379" t="str">
        <f>IFERROR(__xludf.DUMMYFUNCTION("""COMPUTED_VALUE"""),"2")</f>
        <v>2</v>
      </c>
      <c r="N350" s="644" t="str">
        <f>IFERROR(__xludf.DUMMYFUNCTION("""COMPUTED_VALUE"""),"https://drive.google.com/file/d/1OW8TLO96k2ZdHxOh6ADhvvlnsiqdlh8Z/view?usp=drive_link")</f>
        <v>https://drive.google.com/file/d/1OW8TLO96k2ZdHxOh6ADhvvlnsiqdlh8Z/view?usp=drive_link</v>
      </c>
      <c r="O350" s="218" t="str">
        <f>IFERROR(__xludf.DUMMYFUNCTION("""COMPUTED_VALUE"""),"")</f>
        <v/>
      </c>
      <c r="P350" s="601" t="str">
        <f>IFERROR(__xludf.DUMMYFUNCTION("""COMPUTED_VALUE"""),"24/09/2025")</f>
        <v>24/09/2025</v>
      </c>
      <c r="Q350" s="218"/>
    </row>
    <row r="351">
      <c r="A351" s="73"/>
      <c r="B351" s="903" t="str">
        <f>IFERROR(__xludf.DUMMYFUNCTION("""COMPUTED_VALUE"""),"Executivos de Vendas")</f>
        <v>Executivos de Vendas</v>
      </c>
      <c r="C351" s="481" t="str">
        <f>IFERROR(__xludf.DUMMYFUNCTION("""COMPUTED_VALUE"""),"Técnicas para redução do ciclo de vendas com PMEs")</f>
        <v>Técnicas para redução do ciclo de vendas com PMEs</v>
      </c>
      <c r="D351" s="481" t="str">
        <f>IFERROR(__xludf.DUMMYFUNCTION("""COMPUTED_VALUE"""),"Felipe Caezar")</f>
        <v>Felipe Caezar</v>
      </c>
      <c r="E351" s="401" t="str">
        <f>IFERROR(__xludf.DUMMYFUNCTION("""COMPUTED_VALUE"""),"CEO")</f>
        <v>CEO</v>
      </c>
      <c r="F351" s="878" t="str">
        <f>IFERROR(__xludf.DUMMYFUNCTION("""COMPUTED_VALUE"""),"HubLocal")</f>
        <v>HubLocal</v>
      </c>
      <c r="G351" s="879" t="str">
        <f>IFERROR(__xludf.DUMMYFUNCTION("""COMPUTED_VALUE"""),"https://www.linkedin.com/in/felipecaezar/")</f>
        <v>https://www.linkedin.com/in/felipecaezar/</v>
      </c>
      <c r="H351" s="484" t="str">
        <f>IFERROR(__xludf.DUMMYFUNCTION("""COMPUTED_VALUE"""),"Conhecimento Técnico")</f>
        <v>Conhecimento Técnico</v>
      </c>
      <c r="I351" s="484" t="str">
        <f>IFERROR(__xludf.DUMMYFUNCTION("""COMPUTED_VALUE"""),"Técnicas de Vendas")</f>
        <v>Técnicas de Vendas</v>
      </c>
      <c r="J351" s="867" t="str">
        <f>IFERROR(__xludf.DUMMYFUNCTION("""COMPUTED_VALUE"""),"Negociação e Fechamento de Vendas")</f>
        <v>Negociação e Fechamento de Vendas</v>
      </c>
      <c r="K351" s="473" t="str">
        <f>IFERROR(__xludf.DUMMYFUNCTION("""COMPUTED_VALUE"""),"https://universidade.pipelovers.net/m/lessons/tecnicas-para-reducao-do-ciclo-de-vendas-com-pmes1769552389024?classId=3049")</f>
        <v>https://universidade.pipelovers.net/m/lessons/tecnicas-para-reducao-do-ciclo-de-vendas-com-pmes1769552389024?classId=3049</v>
      </c>
      <c r="L351" s="474" t="str">
        <f>IFERROR(__xludf.DUMMYFUNCTION("""COMPUTED_VALUE"""),"https://universidade.pipelovers.net/m/lessons/tecnicas-para-reducao-do-ciclo-de-vendas-com-pmes1769552389024?classId=3049")</f>
        <v>https://universidade.pipelovers.net/m/lessons/tecnicas-para-reducao-do-ciclo-de-vendas-com-pmes1769552389024?classId=3049</v>
      </c>
      <c r="M351" s="379" t="str">
        <f>IFERROR(__xludf.DUMMYFUNCTION("""COMPUTED_VALUE"""),"2")</f>
        <v>2</v>
      </c>
      <c r="N351" s="644" t="str">
        <f>IFERROR(__xludf.DUMMYFUNCTION("""COMPUTED_VALUE"""),"https://drive.google.com/file/d/1iI7KIspuGRVRAk4G5HgKe-lXtbPAus6C/view?usp=drive_link")</f>
        <v>https://drive.google.com/file/d/1iI7KIspuGRVRAk4G5HgKe-lXtbPAus6C/view?usp=drive_link</v>
      </c>
      <c r="O351" s="218" t="str">
        <f>IFERROR(__xludf.DUMMYFUNCTION("""COMPUTED_VALUE"""),"")</f>
        <v/>
      </c>
      <c r="P351" s="601" t="str">
        <f>IFERROR(__xludf.DUMMYFUNCTION("""COMPUTED_VALUE"""),"01/10/2025")</f>
        <v>01/10/2025</v>
      </c>
      <c r="Q351" s="218"/>
    </row>
    <row r="352">
      <c r="A352" s="73"/>
      <c r="B352" s="903" t="str">
        <f>IFERROR(__xludf.DUMMYFUNCTION("""COMPUTED_VALUE"""),"Executivos de Vendas")</f>
        <v>Executivos de Vendas</v>
      </c>
      <c r="C352" s="481" t="str">
        <f>IFERROR(__xludf.DUMMYFUNCTION("""COMPUTED_VALUE"""),"Antes do pitch: como usar o contexto do lead pra abrir portas")</f>
        <v>Antes do pitch: como usar o contexto do lead pra abrir portas</v>
      </c>
      <c r="D352" s="173" t="str">
        <f>IFERROR(__xludf.DUMMYFUNCTION("""COMPUTED_VALUE"""),"Felipe Machado")</f>
        <v>Felipe Machado</v>
      </c>
      <c r="E352" s="910" t="str">
        <f>IFERROR(__xludf.DUMMYFUNCTION("""COMPUTED_VALUE"""),"Head Of Sales")</f>
        <v>Head Of Sales</v>
      </c>
      <c r="F352" s="913" t="str">
        <f>IFERROR(__xludf.DUMMYFUNCTION("""COMPUTED_VALUE"""),"Zapper")</f>
        <v>Zapper</v>
      </c>
      <c r="G352" s="914" t="str">
        <f>IFERROR(__xludf.DUMMYFUNCTION("""COMPUTED_VALUE"""),"https://www.linkedin.com/in/felipe-santos-machado/")</f>
        <v>https://www.linkedin.com/in/felipe-santos-machado/</v>
      </c>
      <c r="H352" s="655" t="str">
        <f>IFERROR(__xludf.DUMMYFUNCTION("""COMPUTED_VALUE"""),"Conhecimento Técnico")</f>
        <v>Conhecimento Técnico</v>
      </c>
      <c r="I352" s="655" t="str">
        <f>IFERROR(__xludf.DUMMYFUNCTION("""COMPUTED_VALUE"""),"Técnicas de Vendas")</f>
        <v>Técnicas de Vendas</v>
      </c>
      <c r="J352" s="915" t="str">
        <f>IFERROR(__xludf.DUMMYFUNCTION("""COMPUTED_VALUE"""),"Abordagem e Prospecção")</f>
        <v>Abordagem e Prospecção</v>
      </c>
      <c r="K352" s="275" t="str">
        <f>IFERROR(__xludf.DUMMYFUNCTION("""COMPUTED_VALUE"""),"https://universidade.pipelovers.net/m/lessons/antes-do-pitch-como-usar-o-contexto-do-lead-pra-abrir-portas1769552389083?classId=3050")</f>
        <v>https://universidade.pipelovers.net/m/lessons/antes-do-pitch-como-usar-o-contexto-do-lead-pra-abrir-portas1769552389083?classId=3050</v>
      </c>
      <c r="L352" s="535" t="str">
        <f>IFERROR(__xludf.DUMMYFUNCTION("""COMPUTED_VALUE"""),"https://universidade.pipelovers.net/m/lessons/antes-do-pitch-como-usar-o-contexto-do-lead-pra-abrir-portas1769552389083?classId=3050")</f>
        <v>https://universidade.pipelovers.net/m/lessons/antes-do-pitch-como-usar-o-contexto-do-lead-pra-abrir-portas1769552389083?classId=3050</v>
      </c>
      <c r="M352" s="379" t="str">
        <f>IFERROR(__xludf.DUMMYFUNCTION("""COMPUTED_VALUE"""),"2")</f>
        <v>2</v>
      </c>
      <c r="N352" s="644" t="str">
        <f>IFERROR(__xludf.DUMMYFUNCTION("""COMPUTED_VALUE"""),"https://drive.google.com/file/d/1iVl9br9WpO8_6TVmmzQQvkI9IMbcQ36E/view?usp=drive_link")</f>
        <v>https://drive.google.com/file/d/1iVl9br9WpO8_6TVmmzQQvkI9IMbcQ36E/view?usp=drive_link</v>
      </c>
      <c r="O352" s="218" t="str">
        <f>IFERROR(__xludf.DUMMYFUNCTION("""COMPUTED_VALUE"""),"")</f>
        <v/>
      </c>
      <c r="P352" s="601" t="str">
        <f>IFERROR(__xludf.DUMMYFUNCTION("""COMPUTED_VALUE"""),"08/10/2025")</f>
        <v>08/10/2025</v>
      </c>
      <c r="Q352" s="218"/>
    </row>
    <row r="353">
      <c r="A353" s="73"/>
      <c r="B353" s="903" t="str">
        <f>IFERROR(__xludf.DUMMYFUNCTION("""COMPUTED_VALUE"""),"Executivos de Vendas")</f>
        <v>Executivos de Vendas</v>
      </c>
      <c r="C353" s="175" t="str">
        <f>IFERROR(__xludf.DUMMYFUNCTION("""COMPUTED_VALUE"""),"Como automatizar tarefas do dia a dia sem depender de ninguém")</f>
        <v>Como automatizar tarefas do dia a dia sem depender de ninguém</v>
      </c>
      <c r="D353" s="175" t="str">
        <f>IFERROR(__xludf.DUMMYFUNCTION("""COMPUTED_VALUE"""),"Caroline Pinna")</f>
        <v>Caroline Pinna</v>
      </c>
      <c r="E353" s="395" t="str">
        <f>IFERROR(__xludf.DUMMYFUNCTION("""COMPUTED_VALUE"""),"Head de Aquisição")</f>
        <v>Head de Aquisição</v>
      </c>
      <c r="F353" s="872" t="str">
        <f>IFERROR(__xludf.DUMMYFUNCTION("""COMPUTED_VALUE"""),"Paytime")</f>
        <v>Paytime</v>
      </c>
      <c r="G353" s="873" t="str">
        <f>IFERROR(__xludf.DUMMYFUNCTION("""COMPUTED_VALUE"""),"https://www.linkedin.com/in/carolinepinna/")</f>
        <v>https://www.linkedin.com/in/carolinepinna/</v>
      </c>
      <c r="H353" s="667" t="str">
        <f>IFERROR(__xludf.DUMMYFUNCTION("""COMPUTED_VALUE"""),"Autodesenvolvimento")</f>
        <v>Autodesenvolvimento</v>
      </c>
      <c r="I353" s="667" t="str">
        <f>IFERROR(__xludf.DUMMYFUNCTION("""COMPUTED_VALUE"""),"Gestão de tempo e da Informação")</f>
        <v>Gestão de tempo e da Informação</v>
      </c>
      <c r="J353" s="669" t="str">
        <f>IFERROR(__xludf.DUMMYFUNCTION("""COMPUTED_VALUE"""),"Criação de novos discursos de vendas")</f>
        <v>Criação de novos discursos de vendas</v>
      </c>
      <c r="K353" s="473" t="str">
        <f>IFERROR(__xludf.DUMMYFUNCTION("""COMPUTED_VALUE"""),"https://universidade.pipelovers.net/m/lessons/como-automatizar-tarefas-do-dia-a-dia-sem-depender-de-ninguem1769552389113?classId=3051")</f>
        <v>https://universidade.pipelovers.net/m/lessons/como-automatizar-tarefas-do-dia-a-dia-sem-depender-de-ninguem1769552389113?classId=3051</v>
      </c>
      <c r="L353" s="474" t="str">
        <f>IFERROR(__xludf.DUMMYFUNCTION("""COMPUTED_VALUE"""),"https://universidade.pipelovers.net/m/lessons/como-automatizar-tarefas-do-dia-a-dia-sem-depender-de-ninguem1769552389113?classId=3051")</f>
        <v>https://universidade.pipelovers.net/m/lessons/como-automatizar-tarefas-do-dia-a-dia-sem-depender-de-ninguem1769552389113?classId=3051</v>
      </c>
      <c r="M353" s="379" t="str">
        <f>IFERROR(__xludf.DUMMYFUNCTION("""COMPUTED_VALUE"""),"4")</f>
        <v>4</v>
      </c>
      <c r="N353" s="644" t="str">
        <f>IFERROR(__xludf.DUMMYFUNCTION("""COMPUTED_VALUE"""),"https://drive.google.com/file/d/1rqb1Y2oSkQEswAn0Q-uMSsidevbMJaC1/view?usp=drive_link")</f>
        <v>https://drive.google.com/file/d/1rqb1Y2oSkQEswAn0Q-uMSsidevbMJaC1/view?usp=drive_link</v>
      </c>
      <c r="O353" s="218" t="str">
        <f>IFERROR(__xludf.DUMMYFUNCTION("""COMPUTED_VALUE"""),"")</f>
        <v/>
      </c>
      <c r="P353" s="601" t="str">
        <f>IFERROR(__xludf.DUMMYFUNCTION("""COMPUTED_VALUE"""),"15/10/2025")</f>
        <v>15/10/2025</v>
      </c>
      <c r="Q353" s="218"/>
    </row>
    <row r="354">
      <c r="A354" s="73"/>
      <c r="B354" s="903" t="str">
        <f>IFERROR(__xludf.DUMMYFUNCTION("""COMPUTED_VALUE"""),"Executivos de Vendas")</f>
        <v>Executivos de Vendas</v>
      </c>
      <c r="C354" s="555" t="str">
        <f>IFERROR(__xludf.DUMMYFUNCTION("""COMPUTED_VALUE"""),"Criação de novos discursos de vendas")</f>
        <v>Criação de novos discursos de vendas</v>
      </c>
      <c r="D354" s="173" t="str">
        <f>IFERROR(__xludf.DUMMYFUNCTION("""COMPUTED_VALUE"""),"Moa Vianna")</f>
        <v>Moa Vianna</v>
      </c>
      <c r="E354" s="910" t="str">
        <f>IFERROR(__xludf.DUMMYFUNCTION("""COMPUTED_VALUE"""),"Founder")</f>
        <v>Founder</v>
      </c>
      <c r="F354" s="913" t="str">
        <f>IFERROR(__xludf.DUMMYFUNCTION("""COMPUTED_VALUE"""),"Orya")</f>
        <v>Orya</v>
      </c>
      <c r="G354" s="914" t="str">
        <f>IFERROR(__xludf.DUMMYFUNCTION("""COMPUTED_VALUE"""),"https://www.linkedin.com/in/moavianna/")</f>
        <v>https://www.linkedin.com/in/moavianna/</v>
      </c>
      <c r="H354" s="655" t="str">
        <f>IFERROR(__xludf.DUMMYFUNCTION("""COMPUTED_VALUE"""),"Conhecimento Técnico")</f>
        <v>Conhecimento Técnico</v>
      </c>
      <c r="I354" s="655" t="str">
        <f>IFERROR(__xludf.DUMMYFUNCTION("""COMPUTED_VALUE"""),"Técnicas de Vendas")</f>
        <v>Técnicas de Vendas</v>
      </c>
      <c r="J354" s="657" t="str">
        <f>IFERROR(__xludf.DUMMYFUNCTION("""COMPUTED_VALUE"""),"Pitch Comercial")</f>
        <v>Pitch Comercial</v>
      </c>
      <c r="K354" s="273" t="str">
        <f>IFERROR(__xludf.DUMMYFUNCTION("""COMPUTED_VALUE"""),"https://universidade.pipelovers.net/m/lessons/criacao-de-novos-discursos-de-vendas1769552396435?classId=3052")</f>
        <v>https://universidade.pipelovers.net/m/lessons/criacao-de-novos-discursos-de-vendas1769552396435?classId=3052</v>
      </c>
      <c r="L354" s="535" t="str">
        <f>IFERROR(__xludf.DUMMYFUNCTION("""COMPUTED_VALUE"""),"https://universidade.pipelovers.net/m/lessons/criacao-de-novos-discursos-de-vendas1769552396435?classId=3052")</f>
        <v>https://universidade.pipelovers.net/m/lessons/criacao-de-novos-discursos-de-vendas1769552396435?classId=3052</v>
      </c>
      <c r="M354" s="379" t="str">
        <f>IFERROR(__xludf.DUMMYFUNCTION("""COMPUTED_VALUE"""),"2")</f>
        <v>2</v>
      </c>
      <c r="N354" s="644" t="str">
        <f>IFERROR(__xludf.DUMMYFUNCTION("""COMPUTED_VALUE"""),"https://drive.google.com/file/d/1LYxm9iuDEXfE44QSmiHMXpiNlUXOhdLu/view?usp=drive_link")</f>
        <v>https://drive.google.com/file/d/1LYxm9iuDEXfE44QSmiHMXpiNlUXOhdLu/view?usp=drive_link</v>
      </c>
      <c r="O354" s="920" t="str">
        <f>IFERROR(__xludf.DUMMYFUNCTION("""COMPUTED_VALUE"""),"")</f>
        <v/>
      </c>
      <c r="P354" s="601" t="str">
        <f>IFERROR(__xludf.DUMMYFUNCTION("""COMPUTED_VALUE"""),"22/10/2025")</f>
        <v>22/10/2025</v>
      </c>
      <c r="Q354" s="920"/>
    </row>
    <row r="355">
      <c r="A355" s="73"/>
      <c r="B355" s="903" t="str">
        <f>IFERROR(__xludf.DUMMYFUNCTION("""COMPUTED_VALUE"""),"Executivos de Vendas")</f>
        <v>Executivos de Vendas</v>
      </c>
      <c r="C355" s="481" t="str">
        <f>IFERROR(__xludf.DUMMYFUNCTION("""COMPUTED_VALUE"""),"O papel da mentalidade no sucesso em vendas")</f>
        <v>O papel da mentalidade no sucesso em vendas</v>
      </c>
      <c r="D355" s="175" t="str">
        <f>IFERROR(__xludf.DUMMYFUNCTION("""COMPUTED_VALUE"""),"Gabriel Weigert")</f>
        <v>Gabriel Weigert</v>
      </c>
      <c r="E355" s="395" t="str">
        <f>IFERROR(__xludf.DUMMYFUNCTION("""COMPUTED_VALUE"""),"Fundador")</f>
        <v>Fundador</v>
      </c>
      <c r="F355" s="872" t="str">
        <f>IFERROR(__xludf.DUMMYFUNCTION("""COMPUTED_VALUE"""),"Weigerts")</f>
        <v>Weigerts</v>
      </c>
      <c r="G355" s="873" t="str">
        <f>IFERROR(__xludf.DUMMYFUNCTION("""COMPUTED_VALUE"""),"https://www.linkedin.com/in/gabriellaraweigert/")</f>
        <v>https://www.linkedin.com/in/gabriellaraweigert/</v>
      </c>
      <c r="H355" s="667" t="str">
        <f>IFERROR(__xludf.DUMMYFUNCTION("""COMPUTED_VALUE"""),"Autodesenvolvimento")</f>
        <v>Autodesenvolvimento</v>
      </c>
      <c r="I355" s="667" t="str">
        <f>IFERROR(__xludf.DUMMYFUNCTION("""COMPUTED_VALUE"""),"Inteligência Emocional")</f>
        <v>Inteligência Emocional</v>
      </c>
      <c r="J355" s="669" t="str">
        <f>IFERROR(__xludf.DUMMYFUNCTION("""COMPUTED_VALUE"""),"Motivação")</f>
        <v>Motivação</v>
      </c>
      <c r="K355" s="275" t="str">
        <f>IFERROR(__xludf.DUMMYFUNCTION("""COMPUTED_VALUE"""),"https://universidade.pipelovers.net/m/lessons/o-papel-da-mentalidade-no-sucesso-em-vendas1769552396581?classId=3053")</f>
        <v>https://universidade.pipelovers.net/m/lessons/o-papel-da-mentalidade-no-sucesso-em-vendas1769552396581?classId=3053</v>
      </c>
      <c r="L355" s="535" t="str">
        <f>IFERROR(__xludf.DUMMYFUNCTION("""COMPUTED_VALUE"""),"https://universidade.pipelovers.net/m/lessons/o-papel-da-mentalidade-no-sucesso-em-vendas1769552396581?classId=3053")</f>
        <v>https://universidade.pipelovers.net/m/lessons/o-papel-da-mentalidade-no-sucesso-em-vendas1769552396581?classId=3053</v>
      </c>
      <c r="M355" s="379" t="str">
        <f>IFERROR(__xludf.DUMMYFUNCTION("""COMPUTED_VALUE"""),"4")</f>
        <v>4</v>
      </c>
      <c r="N355" s="644" t="str">
        <f>IFERROR(__xludf.DUMMYFUNCTION("""COMPUTED_VALUE"""),"https://drive.google.com/file/d/1G_M_NyEhuIpuxc1lDG-2WkA2IcZr2eja/view?usp=drive_link")</f>
        <v>https://drive.google.com/file/d/1G_M_NyEhuIpuxc1lDG-2WkA2IcZr2eja/view?usp=drive_link</v>
      </c>
      <c r="O355" s="921" t="str">
        <f>IFERROR(__xludf.DUMMYFUNCTION("""COMPUTED_VALUE"""),"")</f>
        <v/>
      </c>
      <c r="P355" s="601" t="str">
        <f>IFERROR(__xludf.DUMMYFUNCTION("""COMPUTED_VALUE"""),"29/10/2025")</f>
        <v>29/10/2025</v>
      </c>
      <c r="Q355" s="921"/>
    </row>
    <row r="356">
      <c r="A356" s="73"/>
      <c r="B356" s="903" t="str">
        <f>IFERROR(__xludf.DUMMYFUNCTION("""COMPUTED_VALUE"""),"Executivos de Vendas")</f>
        <v>Executivos de Vendas</v>
      </c>
      <c r="C356" s="555" t="str">
        <f>IFERROR(__xludf.DUMMYFUNCTION("""COMPUTED_VALUE"""),"Definição de ICP para atuação em novos mercados")</f>
        <v>Definição de ICP para atuação em novos mercados</v>
      </c>
      <c r="D356" s="173" t="str">
        <f>IFERROR(__xludf.DUMMYFUNCTION("""COMPUTED_VALUE"""),"Rafael Gontijo")</f>
        <v>Rafael Gontijo</v>
      </c>
      <c r="E356" s="910" t="str">
        <f>IFERROR(__xludf.DUMMYFUNCTION("""COMPUTED_VALUE"""),"General Sales Manager")</f>
        <v>General Sales Manager</v>
      </c>
      <c r="F356" s="913" t="str">
        <f>IFERROR(__xludf.DUMMYFUNCTION("""COMPUTED_VALUE"""),"Involves")</f>
        <v>Involves</v>
      </c>
      <c r="G356" s="914" t="str">
        <f>IFERROR(__xludf.DUMMYFUNCTION("""COMPUTED_VALUE"""),"https://www.linkedin.com/in/rafaelgonttijo/")</f>
        <v>https://www.linkedin.com/in/rafaelgonttijo/</v>
      </c>
      <c r="H356" s="655" t="str">
        <f>IFERROR(__xludf.DUMMYFUNCTION("""COMPUTED_VALUE"""),"Visão de Negócios")</f>
        <v>Visão de Negócios</v>
      </c>
      <c r="I356" s="655" t="str">
        <f>IFERROR(__xludf.DUMMYFUNCTION("""COMPUTED_VALUE"""),"Conhecimento de Produto e Negócio")</f>
        <v>Conhecimento de Produto e Negócio</v>
      </c>
      <c r="J356" s="657" t="str">
        <f>IFERROR(__xludf.DUMMYFUNCTION("""COMPUTED_VALUE"""),"ICP (Perfil de Cliente Ideal)")</f>
        <v>ICP (Perfil de Cliente Ideal)</v>
      </c>
      <c r="K356" s="479" t="str">
        <f>IFERROR(__xludf.DUMMYFUNCTION("""COMPUTED_VALUE"""),"https://universidade.pipelovers.net/m/lessons/definicao-de-icp-para-atuacao-em-novos-mercados1769552396631?classId=3054")</f>
        <v>https://universidade.pipelovers.net/m/lessons/definicao-de-icp-para-atuacao-em-novos-mercados1769552396631?classId=3054</v>
      </c>
      <c r="L356" s="474" t="str">
        <f>IFERROR(__xludf.DUMMYFUNCTION("""COMPUTED_VALUE"""),"https://universidade.pipelovers.net/m/lessons/definicao-de-icp-para-atuacao-em-novos-mercados1769552396631?classId=3054")</f>
        <v>https://universidade.pipelovers.net/m/lessons/definicao-de-icp-para-atuacao-em-novos-mercados1769552396631?classId=3054</v>
      </c>
      <c r="M356" s="379" t="str">
        <f>IFERROR(__xludf.DUMMYFUNCTION("""COMPUTED_VALUE"""),"4,86")</f>
        <v>4,86</v>
      </c>
      <c r="N356" s="644" t="str">
        <f>IFERROR(__xludf.DUMMYFUNCTION("""COMPUTED_VALUE"""),"https://drive.google.com/file/d/1iCgKo8pNFtOSTKRTlD0OQeH2NRwQkMW7/view?usp=drive_link")</f>
        <v>https://drive.google.com/file/d/1iCgKo8pNFtOSTKRTlD0OQeH2NRwQkMW7/view?usp=drive_link</v>
      </c>
      <c r="O356" s="922" t="str">
        <f>IFERROR(__xludf.DUMMYFUNCTION("""COMPUTED_VALUE"""),"")</f>
        <v/>
      </c>
      <c r="P356" s="601" t="str">
        <f>IFERROR(__xludf.DUMMYFUNCTION("""COMPUTED_VALUE"""),"05/11/2025")</f>
        <v>05/11/2025</v>
      </c>
      <c r="Q356" s="922"/>
    </row>
    <row r="357">
      <c r="A357" s="73"/>
      <c r="B357" s="903" t="str">
        <f>IFERROR(__xludf.DUMMYFUNCTION("""COMPUTED_VALUE"""),"Executivos de Vendas")</f>
        <v>Executivos de Vendas</v>
      </c>
      <c r="C357" s="175" t="str">
        <f>IFERROR(__xludf.DUMMYFUNCTION("""COMPUTED_VALUE"""),"Estoicismo aplicado à venda: disciplina, paciência e resultado")</f>
        <v>Estoicismo aplicado à venda: disciplina, paciência e resultado</v>
      </c>
      <c r="D357" s="175" t="str">
        <f>IFERROR(__xludf.DUMMYFUNCTION("""COMPUTED_VALUE"""),"Rafael Mendes")</f>
        <v>Rafael Mendes</v>
      </c>
      <c r="E357" s="395" t="str">
        <f>IFERROR(__xludf.DUMMYFUNCTION("""COMPUTED_VALUE"""),"CEO")</f>
        <v>CEO</v>
      </c>
      <c r="F357" s="872" t="str">
        <f>IFERROR(__xludf.DUMMYFUNCTION("""COMPUTED_VALUE"""),"RP Trader")</f>
        <v>RP Trader</v>
      </c>
      <c r="G357" s="873" t="str">
        <f>IFERROR(__xludf.DUMMYFUNCTION("""COMPUTED_VALUE"""),"https://www.linkedin.com/in/rafarptrader/")</f>
        <v>https://www.linkedin.com/in/rafarptrader/</v>
      </c>
      <c r="H357" s="667" t="str">
        <f>IFERROR(__xludf.DUMMYFUNCTION("""COMPUTED_VALUE"""),"Autodesenvolvimento")</f>
        <v>Autodesenvolvimento</v>
      </c>
      <c r="I357" s="667" t="str">
        <f>IFERROR(__xludf.DUMMYFUNCTION("""COMPUTED_VALUE"""),"Inteligência Emocional")</f>
        <v>Inteligência Emocional</v>
      </c>
      <c r="J357" s="669" t="str">
        <f>IFERROR(__xludf.DUMMYFUNCTION("""COMPUTED_VALUE"""),"Resiliência")</f>
        <v>Resiliência</v>
      </c>
      <c r="K357" s="167" t="str">
        <f>IFERROR(__xludf.DUMMYFUNCTION("""COMPUTED_VALUE"""),"https://universidade.pipelovers.net/m/lessons/estoicismo-aplicado-a-venda-disciplina-paciencia-e-resultado1769552396737?classId=3055")</f>
        <v>https://universidade.pipelovers.net/m/lessons/estoicismo-aplicado-a-venda-disciplina-paciencia-e-resultado1769552396737?classId=3055</v>
      </c>
      <c r="L357" s="500" t="str">
        <f>IFERROR(__xludf.DUMMYFUNCTION("""COMPUTED_VALUE"""),"https://universidade.pipelovers.net/m/lessons/estoicismo-aplicado-a-venda-disciplina-paciencia-e-resultado1769552396737?classId=3055")</f>
        <v>https://universidade.pipelovers.net/m/lessons/estoicismo-aplicado-a-venda-disciplina-paciencia-e-resultado1769552396737?classId=3055</v>
      </c>
      <c r="M357" s="379" t="str">
        <f>IFERROR(__xludf.DUMMYFUNCTION("""COMPUTED_VALUE"""),"2")</f>
        <v>2</v>
      </c>
      <c r="N357" s="644" t="str">
        <f>IFERROR(__xludf.DUMMYFUNCTION("""COMPUTED_VALUE"""),"https://drive.google.com/file/d/1GobDb1UPFwZCRgQ2HxL3TlBtCniLI0Yh/view?usp=drive_link")</f>
        <v>https://drive.google.com/file/d/1GobDb1UPFwZCRgQ2HxL3TlBtCniLI0Yh/view?usp=drive_link</v>
      </c>
      <c r="O357" s="923" t="str">
        <f>IFERROR(__xludf.DUMMYFUNCTION("""COMPUTED_VALUE"""),"")</f>
        <v/>
      </c>
      <c r="P357" s="601" t="str">
        <f>IFERROR(__xludf.DUMMYFUNCTION("""COMPUTED_VALUE"""),"12/11/2025")</f>
        <v>12/11/2025</v>
      </c>
      <c r="Q357" s="923"/>
    </row>
    <row r="358">
      <c r="A358" s="73"/>
      <c r="B358" s="903" t="str">
        <f>IFERROR(__xludf.DUMMYFUNCTION("""COMPUTED_VALUE"""),"Executivos de Vendas")</f>
        <v>Executivos de Vendas</v>
      </c>
      <c r="C358" s="555" t="str">
        <f>IFERROR(__xludf.DUMMYFUNCTION("""COMPUTED_VALUE"""),"Os 4 pilares de uma oratória de impacto ")</f>
        <v>Os 4 pilares de uma oratória de impacto </v>
      </c>
      <c r="D358" s="173" t="str">
        <f>IFERROR(__xludf.DUMMYFUNCTION("""COMPUTED_VALUE"""),"Yago Baia")</f>
        <v>Yago Baia</v>
      </c>
      <c r="E358" s="910" t="str">
        <f>IFERROR(__xludf.DUMMYFUNCTION("""COMPUTED_VALUE"""),"Sócio e Diretor Comercial")</f>
        <v>Sócio e Diretor Comercial</v>
      </c>
      <c r="F358" s="913" t="str">
        <f>IFERROR(__xludf.DUMMYFUNCTION("""COMPUTED_VALUE"""),"Vox2you")</f>
        <v>Vox2you</v>
      </c>
      <c r="G358" s="914" t="str">
        <f>IFERROR(__xludf.DUMMYFUNCTION("""COMPUTED_VALUE"""),"https://www.linkedin.com/in/oyagobaia/")</f>
        <v>https://www.linkedin.com/in/oyagobaia/</v>
      </c>
      <c r="H358" s="913" t="str">
        <f>IFERROR(__xludf.DUMMYFUNCTION("""COMPUTED_VALUE"""),"Relacionamento Interpessoal")</f>
        <v>Relacionamento Interpessoal</v>
      </c>
      <c r="I358" s="913" t="str">
        <f>IFERROR(__xludf.DUMMYFUNCTION("""COMPUTED_VALUE"""),"Comunicação e Relacionamento")</f>
        <v>Comunicação e Relacionamento</v>
      </c>
      <c r="J358" s="915" t="str">
        <f>IFERROR(__xludf.DUMMYFUNCTION("""COMPUTED_VALUE"""),"Comunicação Não-Agressiva")</f>
        <v>Comunicação Não-Agressiva</v>
      </c>
      <c r="K358" s="273" t="str">
        <f>IFERROR(__xludf.DUMMYFUNCTION("""COMPUTED_VALUE"""),"https://universidade.pipelovers.net/aulas/os-4-pilares-de-uma-oratoria-de-impacto-1775687356455")</f>
        <v>https://universidade.pipelovers.net/aulas/os-4-pilares-de-uma-oratoria-de-impacto-1775687356455</v>
      </c>
      <c r="L358" s="535" t="str">
        <f>IFERROR(__xludf.DUMMYFUNCTION("""COMPUTED_VALUE"""),"https://universidade.pipelovers.net/aulas/os-4-pilares-de-uma-oratoria-de-impacto-1775687356455")</f>
        <v>https://universidade.pipelovers.net/aulas/os-4-pilares-de-uma-oratoria-de-impacto-1775687356455</v>
      </c>
      <c r="M358" s="379" t="str">
        <f>IFERROR(__xludf.DUMMYFUNCTION("""COMPUTED_VALUE"""),"2")</f>
        <v>2</v>
      </c>
      <c r="N358" s="644" t="str">
        <f>IFERROR(__xludf.DUMMYFUNCTION("""COMPUTED_VALUE"""),"https://drive.google.com/file/d/1LV-YAG22vou-yPDf_PFQN5ABXIF6bLV4/view?usp=drive_link")</f>
        <v>https://drive.google.com/file/d/1LV-YAG22vou-yPDf_PFQN5ABXIF6bLV4/view?usp=drive_link</v>
      </c>
      <c r="O358" s="922" t="str">
        <f>IFERROR(__xludf.DUMMYFUNCTION("""COMPUTED_VALUE"""),"")</f>
        <v/>
      </c>
      <c r="P358" s="601" t="str">
        <f>IFERROR(__xludf.DUMMYFUNCTION("""COMPUTED_VALUE"""),"19/11/2025")</f>
        <v>19/11/2025</v>
      </c>
      <c r="Q358" s="922"/>
    </row>
    <row r="359">
      <c r="A359" s="73"/>
      <c r="B359" s="903" t="str">
        <f>IFERROR(__xludf.DUMMYFUNCTION("""COMPUTED_VALUE"""),"Executivos de Vendas")</f>
        <v>Executivos de Vendas</v>
      </c>
      <c r="C359" s="175" t="str">
        <f>IFERROR(__xludf.DUMMYFUNCTION("""COMPUTED_VALUE"""),"Metodologia ""Solution Selling""")</f>
        <v>Metodologia "Solution Selling"</v>
      </c>
      <c r="D359" s="175" t="str">
        <f>IFERROR(__xludf.DUMMYFUNCTION("""COMPUTED_VALUE"""),"Wagner Martins")</f>
        <v>Wagner Martins</v>
      </c>
      <c r="E359" s="395" t="str">
        <f>IFERROR(__xludf.DUMMYFUNCTION("""COMPUTED_VALUE"""),"Diretor de Vendas")</f>
        <v>Diretor de Vendas</v>
      </c>
      <c r="F359" s="872" t="str">
        <f>IFERROR(__xludf.DUMMYFUNCTION("""COMPUTED_VALUE"""),"Biz")</f>
        <v>Biz</v>
      </c>
      <c r="G359" s="873" t="str">
        <f>IFERROR(__xludf.DUMMYFUNCTION("""COMPUTED_VALUE"""),"https://www.linkedin.com/in/wagner-martins/")</f>
        <v>https://www.linkedin.com/in/wagner-martins/</v>
      </c>
      <c r="H359" s="667" t="str">
        <f>IFERROR(__xludf.DUMMYFUNCTION("""COMPUTED_VALUE"""),"Conhecimento Técnico")</f>
        <v>Conhecimento Técnico</v>
      </c>
      <c r="I359" s="667" t="str">
        <f>IFERROR(__xludf.DUMMYFUNCTION("""COMPUTED_VALUE"""),"Gestão de Vendas")</f>
        <v>Gestão de Vendas</v>
      </c>
      <c r="J359" s="669" t="str">
        <f>IFERROR(__xludf.DUMMYFUNCTION("""COMPUTED_VALUE"""),"Metodologias de Vendas")</f>
        <v>Metodologias de Vendas</v>
      </c>
      <c r="K359" s="473" t="str">
        <f>IFERROR(__xludf.DUMMYFUNCTION("""COMPUTED_VALUE"""),"https://universidade.pipelovers.net/m/lessons/metodologia-solution-selling1769552396844?classId=3057")</f>
        <v>https://universidade.pipelovers.net/m/lessons/metodologia-solution-selling1769552396844?classId=3057</v>
      </c>
      <c r="L359" s="474" t="str">
        <f>IFERROR(__xludf.DUMMYFUNCTION("""COMPUTED_VALUE"""),"https://universidade.pipelovers.net/m/lessons/metodologia-solution-selling1769552396844?classId=3057")</f>
        <v>https://universidade.pipelovers.net/m/lessons/metodologia-solution-selling1769552396844?classId=3057</v>
      </c>
      <c r="M359" s="379" t="str">
        <f>IFERROR(__xludf.DUMMYFUNCTION("""COMPUTED_VALUE"""),"5")</f>
        <v>5</v>
      </c>
      <c r="N359" s="644" t="str">
        <f>IFERROR(__xludf.DUMMYFUNCTION("""COMPUTED_VALUE"""),"https://drive.google.com/file/d/1H5l3uNQxix_hXMJ6sFzj9OQBg1Lr2r4w/view?usp=drive_link")</f>
        <v>https://drive.google.com/file/d/1H5l3uNQxix_hXMJ6sFzj9OQBg1Lr2r4w/view?usp=drive_link</v>
      </c>
      <c r="O359" s="923" t="str">
        <f>IFERROR(__xludf.DUMMYFUNCTION("""COMPUTED_VALUE"""),"")</f>
        <v/>
      </c>
      <c r="P359" s="601" t="str">
        <f>IFERROR(__xludf.DUMMYFUNCTION("""COMPUTED_VALUE"""),"26/11/2025")</f>
        <v>26/11/2025</v>
      </c>
      <c r="Q359" s="923"/>
    </row>
    <row r="360">
      <c r="A360" s="73"/>
      <c r="B360" s="496" t="str">
        <f>IFERROR(__xludf.DUMMYFUNCTION("""COMPUTED_VALUE"""),"Executivos de Vendas")</f>
        <v>Executivos de Vendas</v>
      </c>
      <c r="C360" s="555" t="str">
        <f>IFERROR(__xludf.DUMMYFUNCTION("""COMPUTED_VALUE"""),"Identificando seus pontos fortes e fracos em vendas")</f>
        <v>Identificando seus pontos fortes e fracos em vendas</v>
      </c>
      <c r="D360" s="555" t="str">
        <f>IFERROR(__xludf.DUMMYFUNCTION("""COMPUTED_VALUE"""),"Gabriel Brasil")</f>
        <v>Gabriel Brasil</v>
      </c>
      <c r="E360" s="390" t="str">
        <f>IFERROR(__xludf.DUMMYFUNCTION("""COMPUTED_VALUE"""),"Head de Mkt e Vendas")</f>
        <v>Head de Mkt e Vendas</v>
      </c>
      <c r="F360" s="904" t="str">
        <f>IFERROR(__xludf.DUMMYFUNCTION("""COMPUTED_VALUE"""),"PipeLovers")</f>
        <v>PipeLovers</v>
      </c>
      <c r="G360" s="895" t="str">
        <f>IFERROR(__xludf.DUMMYFUNCTION("""COMPUTED_VALUE"""),"https://www.linkedin.com/in/felipedecarvalho1982/")</f>
        <v>https://www.linkedin.com/in/felipedecarvalho1982/</v>
      </c>
      <c r="H360" s="453" t="str">
        <f>IFERROR(__xludf.DUMMYFUNCTION("""COMPUTED_VALUE"""),"Autodesenvolvimento")</f>
        <v>Autodesenvolvimento</v>
      </c>
      <c r="I360" s="453" t="str">
        <f>IFERROR(__xludf.DUMMYFUNCTION("""COMPUTED_VALUE"""),"Gestão de tempo e da Informação")</f>
        <v>Gestão de tempo e da Informação</v>
      </c>
      <c r="J360" s="679" t="str">
        <f>IFERROR(__xludf.DUMMYFUNCTION("""COMPUTED_VALUE"""),"Técnicas de Organização e Rotina")</f>
        <v>Técnicas de Organização e Rotina</v>
      </c>
      <c r="K360" s="479" t="str">
        <f>IFERROR(__xludf.DUMMYFUNCTION("""COMPUTED_VALUE"""),"https://universidade.pipelovers.net/m/lessons/identificando-seus-pontos-fortes-e-fracos-em-vendas1769552396894?classId=3058")</f>
        <v>https://universidade.pipelovers.net/m/lessons/identificando-seus-pontos-fortes-e-fracos-em-vendas1769552396894?classId=3058</v>
      </c>
      <c r="L360" s="474" t="str">
        <f>IFERROR(__xludf.DUMMYFUNCTION("""COMPUTED_VALUE"""),"https://universidade.pipelovers.net/m/lessons/identificando-seus-pontos-fortes-e-fracos-em-vendas1769552396894?classId=3058")</f>
        <v>https://universidade.pipelovers.net/m/lessons/identificando-seus-pontos-fortes-e-fracos-em-vendas1769552396894?classId=3058</v>
      </c>
      <c r="M360" s="379" t="str">
        <f>IFERROR(__xludf.DUMMYFUNCTION("""COMPUTED_VALUE"""),"2")</f>
        <v>2</v>
      </c>
      <c r="N360" s="644" t="str">
        <f>IFERROR(__xludf.DUMMYFUNCTION("""COMPUTED_VALUE"""),"https://drive.google.com/file/d/1fWXjNiJz7POGbjrDoR-aILxj9hDtyLVX/view?usp=drive_link")</f>
        <v>https://drive.google.com/file/d/1fWXjNiJz7POGbjrDoR-aILxj9hDtyLVX/view?usp=drive_link</v>
      </c>
      <c r="O360" s="306" t="str">
        <f>IFERROR(__xludf.DUMMYFUNCTION("""COMPUTED_VALUE"""),"")</f>
        <v/>
      </c>
      <c r="P360" s="601" t="str">
        <f>IFERROR(__xludf.DUMMYFUNCTION("""COMPUTED_VALUE"""),"03/12/2025")</f>
        <v>03/12/2025</v>
      </c>
      <c r="Q360" s="306"/>
    </row>
    <row r="361">
      <c r="A361" s="73"/>
      <c r="B361" s="496" t="str">
        <f>IFERROR(__xludf.DUMMYFUNCTION("""COMPUTED_VALUE"""),"Executivos de Vendas")</f>
        <v>Executivos de Vendas</v>
      </c>
      <c r="C361" s="481" t="str">
        <f>IFERROR(__xludf.DUMMYFUNCTION("""COMPUTED_VALUE"""),"Inteligência de mercado: aprendendo com a concorrência")</f>
        <v>Inteligência de mercado: aprendendo com a concorrência</v>
      </c>
      <c r="D361" s="173" t="str">
        <f>IFERROR(__xludf.DUMMYFUNCTION("""COMPUTED_VALUE"""),"Leonard Castro")</f>
        <v>Leonard Castro</v>
      </c>
      <c r="E361" s="395" t="str">
        <f>IFERROR(__xludf.DUMMYFUNCTION("""COMPUTED_VALUE"""),"Founder")</f>
        <v>Founder</v>
      </c>
      <c r="F361" s="872" t="str">
        <f>IFERROR(__xludf.DUMMYFUNCTION("""COMPUTED_VALUE"""),"Conversion Lab Co")</f>
        <v>Conversion Lab Co</v>
      </c>
      <c r="G361" s="873" t="str">
        <f>IFERROR(__xludf.DUMMYFUNCTION("""COMPUTED_VALUE"""),"https://www.linkedin.com/in/leonardcastro/")</f>
        <v>https://www.linkedin.com/in/leonardcastro/</v>
      </c>
      <c r="H361" s="667" t="str">
        <f>IFERROR(__xludf.DUMMYFUNCTION("""COMPUTED_VALUE"""),"Visão de Negócios")</f>
        <v>Visão de Negócios</v>
      </c>
      <c r="I361" s="667" t="str">
        <f>IFERROR(__xludf.DUMMYFUNCTION("""COMPUTED_VALUE"""),"Conhecimento de Produto e Negócio")</f>
        <v>Conhecimento de Produto e Negócio</v>
      </c>
      <c r="J361" s="669" t="str">
        <f>IFERROR(__xludf.DUMMYFUNCTION("""COMPUTED_VALUE"""),"Análise da Concorrência")</f>
        <v>Análise da Concorrência</v>
      </c>
      <c r="K361" s="275" t="str">
        <f>IFERROR(__xludf.DUMMYFUNCTION("""COMPUTED_VALUE"""),"https://universidade.pipelovers.net/m/lessons/inteligencia-de-mercado-aprendendo-com-a-concorrencia1769552396981?classId=3059")</f>
        <v>https://universidade.pipelovers.net/m/lessons/inteligencia-de-mercado-aprendendo-com-a-concorrencia1769552396981?classId=3059</v>
      </c>
      <c r="L361" s="535" t="str">
        <f>IFERROR(__xludf.DUMMYFUNCTION("""COMPUTED_VALUE"""),"https://universidade.pipelovers.net/m/lessons/inteligencia-de-mercado-aprendendo-com-a-concorrencia1769552396981?classId=3059")</f>
        <v>https://universidade.pipelovers.net/m/lessons/inteligencia-de-mercado-aprendendo-com-a-concorrencia1769552396981?classId=3059</v>
      </c>
      <c r="M361" s="379" t="str">
        <f>IFERROR(__xludf.DUMMYFUNCTION("""COMPUTED_VALUE"""),"1")</f>
        <v>1</v>
      </c>
      <c r="N361" s="644" t="str">
        <f>IFERROR(__xludf.DUMMYFUNCTION("""COMPUTED_VALUE"""),"https://drive.google.com/file/d/1aRPgM9lQXhGTGnQX6KEEdBd_DhweEW-d/view?usp=drive_link")</f>
        <v>https://drive.google.com/file/d/1aRPgM9lQXhGTGnQX6KEEdBd_DhweEW-d/view?usp=drive_link</v>
      </c>
      <c r="O361" s="306" t="str">
        <f>IFERROR(__xludf.DUMMYFUNCTION("""COMPUTED_VALUE"""),"")</f>
        <v/>
      </c>
      <c r="P361" s="601" t="str">
        <f>IFERROR(__xludf.DUMMYFUNCTION("""COMPUTED_VALUE"""),"10/12/2025")</f>
        <v>10/12/2025</v>
      </c>
      <c r="Q361" s="306"/>
    </row>
    <row r="362">
      <c r="A362" s="528"/>
      <c r="B362" s="496" t="str">
        <f>IFERROR(__xludf.DUMMYFUNCTION("""COMPUTED_VALUE"""),"Executivos de Vendas")</f>
        <v>Executivos de Vendas</v>
      </c>
      <c r="C362" s="555" t="str">
        <f>IFERROR(__xludf.DUMMYFUNCTION("""COMPUTED_VALUE"""),"Metodologia MEDDPICC para vendas enterprise")</f>
        <v>Metodologia MEDDPICC para vendas enterprise</v>
      </c>
      <c r="D362" s="173" t="str">
        <f>IFERROR(__xludf.DUMMYFUNCTION("""COMPUTED_VALUE"""),"Lucas Venturini")</f>
        <v>Lucas Venturini</v>
      </c>
      <c r="E362" s="508" t="str">
        <f>IFERROR(__xludf.DUMMYFUNCTION("""COMPUTED_VALUE"""),"Sales Director - Latin America")</f>
        <v>Sales Director - Latin America</v>
      </c>
      <c r="F362" s="508" t="str">
        <f>IFERROR(__xludf.DUMMYFUNCTION("""COMPUTED_VALUE"""),"Infraspeak")</f>
        <v>Infraspeak</v>
      </c>
      <c r="G362" s="924" t="str">
        <f>IFERROR(__xludf.DUMMYFUNCTION("""COMPUTED_VALUE"""),"https://www.linkedin.com/in/venturinilucas/")</f>
        <v>https://www.linkedin.com/in/venturinilucas/</v>
      </c>
      <c r="H362" s="119" t="str">
        <f>IFERROR(__xludf.DUMMYFUNCTION("""COMPUTED_VALUE"""),"Conhecimento Técnico")</f>
        <v>Conhecimento Técnico</v>
      </c>
      <c r="I362" s="119" t="str">
        <f>IFERROR(__xludf.DUMMYFUNCTION("""COMPUTED_VALUE"""),"Gestão de vendas")</f>
        <v>Gestão de vendas</v>
      </c>
      <c r="J362" s="657" t="str">
        <f>IFERROR(__xludf.DUMMYFUNCTION("""COMPUTED_VALUE"""),"Metodologias de Vendas")</f>
        <v>Metodologias de Vendas</v>
      </c>
      <c r="K362" s="273" t="str">
        <f>IFERROR(__xludf.DUMMYFUNCTION("""COMPUTED_VALUE"""),"https://universidade.pipelovers.net/m/lessons/metodologia-meddpicc-para-vendas-enterprise1769552397053?classId=3060")</f>
        <v>https://universidade.pipelovers.net/m/lessons/metodologia-meddpicc-para-vendas-enterprise1769552397053?classId=3060</v>
      </c>
      <c r="L362" s="535" t="str">
        <f>IFERROR(__xludf.DUMMYFUNCTION("""COMPUTED_VALUE"""),"https://universidade.pipelovers.net/m/lessons/metodologia-meddpicc-para-vendas-enterprise1769552397053?classId=3060")</f>
        <v>https://universidade.pipelovers.net/m/lessons/metodologia-meddpicc-para-vendas-enterprise1769552397053?classId=3060</v>
      </c>
      <c r="M362" s="925" t="str">
        <f>IFERROR(__xludf.DUMMYFUNCTION("""COMPUTED_VALUE"""),"4,86")</f>
        <v>4,86</v>
      </c>
      <c r="N362" s="926" t="str">
        <f>IFERROR(__xludf.DUMMYFUNCTION("""COMPUTED_VALUE"""),"143.  PipeLovers 🧡 Executivos de Vendas Metodologia MEDDPICC para vendas enterprise com Lucas Venturini - descript.mp4")</f>
        <v>143.  PipeLovers 🧡 Executivos de Vendas Metodologia MEDDPICC para vendas enterprise com Lucas Venturini - descript.mp4</v>
      </c>
      <c r="O362" s="306" t="str">
        <f>IFERROR(__xludf.DUMMYFUNCTION("""COMPUTED_VALUE"""),"")</f>
        <v/>
      </c>
      <c r="P362" s="601" t="str">
        <f>IFERROR(__xludf.DUMMYFUNCTION("""COMPUTED_VALUE"""),"17/12/2025")</f>
        <v>17/12/2025</v>
      </c>
      <c r="Q362" s="306"/>
    </row>
    <row r="363">
      <c r="A363" s="528"/>
      <c r="B363" s="496" t="str">
        <f>IFERROR(__xludf.DUMMYFUNCTION("""COMPUTED_VALUE"""),"Executivos de Vendas")</f>
        <v>Executivos de Vendas</v>
      </c>
      <c r="C363" s="481" t="str">
        <f>IFERROR(__xludf.DUMMYFUNCTION("""COMPUTED_VALUE"""),"Como calcular e demonstrar o ROI para o cliente")</f>
        <v>Como calcular e demonstrar o ROI para o cliente</v>
      </c>
      <c r="D363" s="175" t="str">
        <f>IFERROR(__xludf.DUMMYFUNCTION("""COMPUTED_VALUE"""),"Felipe Engelhardt")</f>
        <v>Felipe Engelhardt</v>
      </c>
      <c r="E363" s="556" t="str">
        <f>IFERROR(__xludf.DUMMYFUNCTION("""COMPUTED_VALUE"""),"Co-founder and CRO")</f>
        <v>Co-founder and CRO</v>
      </c>
      <c r="F363" s="556" t="str">
        <f>IFERROR(__xludf.DUMMYFUNCTION("""COMPUTED_VALUE"""),"Camu")</f>
        <v>Camu</v>
      </c>
      <c r="G363" s="927" t="str">
        <f>IFERROR(__xludf.DUMMYFUNCTION("""COMPUTED_VALUE"""),"https://www.linkedin.com/in/felipe-engelhardt-de-carvalho/")</f>
        <v>https://www.linkedin.com/in/felipe-engelhardt-de-carvalho/</v>
      </c>
      <c r="H363" s="104" t="str">
        <f>IFERROR(__xludf.DUMMYFUNCTION("""COMPUTED_VALUE"""),"Conhecimento Técnico")</f>
        <v>Conhecimento Técnico</v>
      </c>
      <c r="I363" s="104" t="str">
        <f>IFERROR(__xludf.DUMMYFUNCTION("""COMPUTED_VALUE"""),"Pensamento Crítico")</f>
        <v>Pensamento Crítico</v>
      </c>
      <c r="J363" s="657" t="str">
        <f>IFERROR(__xludf.DUMMYFUNCTION("""COMPUTED_VALUE"""),"ROI")</f>
        <v>ROI</v>
      </c>
      <c r="K363" s="275" t="str">
        <f>IFERROR(__xludf.DUMMYFUNCTION("""COMPUTED_VALUE"""),"https://universidade.pipelovers.net/m/lessons/como-calcular-e-demonstrar-o-roi-para-o-cliente1769552397183?classId=3061")</f>
        <v>https://universidade.pipelovers.net/m/lessons/como-calcular-e-demonstrar-o-roi-para-o-cliente1769552397183?classId=3061</v>
      </c>
      <c r="L363" s="535" t="str">
        <f>IFERROR(__xludf.DUMMYFUNCTION("""COMPUTED_VALUE"""),"https://universidade.pipelovers.net/m/lessons/como-calcular-e-demonstrar-o-roi-para-o-cliente1769552397183?classId=3061")</f>
        <v>https://universidade.pipelovers.net/m/lessons/como-calcular-e-demonstrar-o-roi-para-o-cliente1769552397183?classId=3061</v>
      </c>
      <c r="M363" s="925" t="str">
        <f>IFERROR(__xludf.DUMMYFUNCTION("""COMPUTED_VALUE"""),"4,86")</f>
        <v>4,86</v>
      </c>
      <c r="N363" s="928" t="str">
        <f>IFERROR(__xludf.DUMMYFUNCTION("""COMPUTED_VALUE"""),"144. PipeLovers 🧡 Executivos de Vendas Como calcular e demonstrar o ROI para o cliente com Felipe Engelhardt - descript.mp4")</f>
        <v>144. PipeLovers 🧡 Executivos de Vendas Como calcular e demonstrar o ROI para o cliente com Felipe Engelhardt - descript.mp4</v>
      </c>
      <c r="O363" s="306" t="str">
        <f>IFERROR(__xludf.DUMMYFUNCTION("""COMPUTED_VALUE"""),"")</f>
        <v/>
      </c>
      <c r="P363" s="601" t="str">
        <f>IFERROR(__xludf.DUMMYFUNCTION("""COMPUTED_VALUE"""),"24/12/2025")</f>
        <v>24/12/2025</v>
      </c>
      <c r="Q363" s="306"/>
    </row>
    <row r="364">
      <c r="A364" s="528"/>
      <c r="B364" s="496" t="str">
        <f>IFERROR(__xludf.DUMMYFUNCTION("""COMPUTED_VALUE"""),"Executivos de Vendas")</f>
        <v>Executivos de Vendas</v>
      </c>
      <c r="C364" s="555" t="str">
        <f>IFERROR(__xludf.DUMMYFUNCTION("""COMPUTED_VALUE"""),"Vendas para cliente que já deram churn")</f>
        <v>Vendas para cliente que já deram churn</v>
      </c>
      <c r="D364" s="173" t="str">
        <f>IFERROR(__xludf.DUMMYFUNCTION("""COMPUTED_VALUE"""),"Bruna Nabais")</f>
        <v>Bruna Nabais</v>
      </c>
      <c r="E364" s="508" t="str">
        <f>IFERROR(__xludf.DUMMYFUNCTION("""COMPUTED_VALUE"""),"Account Executive")</f>
        <v>Account Executive</v>
      </c>
      <c r="F364" s="508" t="str">
        <f>IFERROR(__xludf.DUMMYFUNCTION("""COMPUTED_VALUE"""),"PipeLovers")</f>
        <v>PipeLovers</v>
      </c>
      <c r="G364" s="924" t="str">
        <f>IFERROR(__xludf.DUMMYFUNCTION("""COMPUTED_VALUE"""),"https://www.linkedin.com/in/bruna-nabais/")</f>
        <v>https://www.linkedin.com/in/bruna-nabais/</v>
      </c>
      <c r="H364" s="289" t="str">
        <f>IFERROR(__xludf.DUMMYFUNCTION("""COMPUTED_VALUE"""),"Conhecimento Técnico")</f>
        <v>Conhecimento Técnico</v>
      </c>
      <c r="I364" s="289" t="str">
        <f>IFERROR(__xludf.DUMMYFUNCTION("""COMPUTED_VALUE"""),"Técnicas de Vendas")</f>
        <v>Técnicas de Vendas</v>
      </c>
      <c r="J364" s="657" t="str">
        <f>IFERROR(__xludf.DUMMYFUNCTION("""COMPUTED_VALUE"""),"Gestão de Carteira de Clientes")</f>
        <v>Gestão de Carteira de Clientes</v>
      </c>
      <c r="K364" s="273" t="str">
        <f>IFERROR(__xludf.DUMMYFUNCTION("""COMPUTED_VALUE"""),"https://universidade.pipelovers.net/m/lessons/vendas-para-cliente-que-ja-deram-churn1769552397267?classId=3740")</f>
        <v>https://universidade.pipelovers.net/m/lessons/vendas-para-cliente-que-ja-deram-churn1769552397267?classId=3740</v>
      </c>
      <c r="L364" s="535" t="str">
        <f>IFERROR(__xludf.DUMMYFUNCTION("""COMPUTED_VALUE"""),"https://universidade.pipelovers.net/m/lessons/vendas-para-cliente-que-ja-deram-churn1769552397267?classId=3740")</f>
        <v>https://universidade.pipelovers.net/m/lessons/vendas-para-cliente-que-ja-deram-churn1769552397267?classId=3740</v>
      </c>
      <c r="M364" s="925" t="str">
        <f>IFERROR(__xludf.DUMMYFUNCTION("""COMPUTED_VALUE"""),"4,43")</f>
        <v>4,43</v>
      </c>
      <c r="N364" s="928" t="str">
        <f>IFERROR(__xludf.DUMMYFUNCTION("""COMPUTED_VALUE"""),"145. PipeLovers 🧡 Executivos de Vendas Vendas para cliente que já deram churn com Bruna Nabais - descript.mp4")</f>
        <v>145. PipeLovers 🧡 Executivos de Vendas Vendas para cliente que já deram churn com Bruna Nabais - descript.mp4</v>
      </c>
      <c r="O364" s="306" t="str">
        <f>IFERROR(__xludf.DUMMYFUNCTION("""COMPUTED_VALUE"""),"")</f>
        <v/>
      </c>
      <c r="P364" s="601" t="str">
        <f>IFERROR(__xludf.DUMMYFUNCTION("""COMPUTED_VALUE"""),"31/12/2025")</f>
        <v>31/12/2025</v>
      </c>
      <c r="Q364" s="306"/>
    </row>
    <row r="365">
      <c r="A365" s="528"/>
      <c r="B365" s="496" t="str">
        <f>IFERROR(__xludf.DUMMYFUNCTION("""COMPUTED_VALUE"""),"Executivos de Vendas")</f>
        <v>Executivos de Vendas</v>
      </c>
      <c r="C365" s="175" t="str">
        <f>IFERROR(__xludf.DUMMYFUNCTION("""COMPUTED_VALUE"""),"Fluxo de cadência e follow up")</f>
        <v>Fluxo de cadência e follow up</v>
      </c>
      <c r="D365" s="175" t="str">
        <f>IFERROR(__xludf.DUMMYFUNCTION("""COMPUTED_VALUE"""),"Gustavo Malavota")</f>
        <v>Gustavo Malavota</v>
      </c>
      <c r="E365" s="556" t="str">
        <f>IFERROR(__xludf.DUMMYFUNCTION("""COMPUTED_VALUE"""),"CEO")</f>
        <v>CEO</v>
      </c>
      <c r="F365" s="556" t="str">
        <f>IFERROR(__xludf.DUMMYFUNCTION("""COMPUTED_VALUE"""),"Mola Educação")</f>
        <v>Mola Educação</v>
      </c>
      <c r="G365" s="927" t="str">
        <f>IFERROR(__xludf.DUMMYFUNCTION("""COMPUTED_VALUE"""),"https://www.linkedin.com/in/malavota/")</f>
        <v>https://www.linkedin.com/in/malavota/</v>
      </c>
      <c r="H365" s="104" t="str">
        <f>IFERROR(__xludf.DUMMYFUNCTION("""COMPUTED_VALUE"""),"Conhecimento Técnico")</f>
        <v>Conhecimento Técnico</v>
      </c>
      <c r="I365" s="104" t="str">
        <f>IFERROR(__xludf.DUMMYFUNCTION("""COMPUTED_VALUE"""),"Técnicas de Vendas")</f>
        <v>Técnicas de Vendas</v>
      </c>
      <c r="J365" s="657" t="str">
        <f>IFERROR(__xludf.DUMMYFUNCTION("""COMPUTED_VALUE"""),"Abordagem e Prospecção")</f>
        <v>Abordagem e Prospecção</v>
      </c>
      <c r="K365" s="114" t="str">
        <f>IFERROR(__xludf.DUMMYFUNCTION("""COMPUTED_VALUE"""),"https://universidade.pipelovers.net/m/lessons/fluxo-de-cadencia-e-follow-up1772542642554?classId=3759")</f>
        <v>https://universidade.pipelovers.net/m/lessons/fluxo-de-cadencia-e-follow-up1772542642554?classId=3759</v>
      </c>
      <c r="L365" s="535" t="str">
        <f>IFERROR(__xludf.DUMMYFUNCTION("""COMPUTED_VALUE"""),"https://universidade.pipelovers.net/m/lessons/fluxo-de-cadencia-e-follow-up1772542642554?classId=3759")</f>
        <v>https://universidade.pipelovers.net/m/lessons/fluxo-de-cadencia-e-follow-up1772542642554?classId=3759</v>
      </c>
      <c r="M365" s="925" t="str">
        <f>IFERROR(__xludf.DUMMYFUNCTION("""COMPUTED_VALUE"""),"5")</f>
        <v>5</v>
      </c>
      <c r="N365" s="928" t="str">
        <f>IFERROR(__xludf.DUMMYFUNCTION("""COMPUTED_VALUE"""),"146.  PipeLovers 🧡 Executivos de Vendas Fluxo de cadência e follow up com Gustavo Malavota - descript.mp4")</f>
        <v>146.  PipeLovers 🧡 Executivos de Vendas Fluxo de cadência e follow up com Gustavo Malavota - descript.mp4</v>
      </c>
      <c r="O365" s="306" t="str">
        <f>IFERROR(__xludf.DUMMYFUNCTION("""COMPUTED_VALUE"""),"")</f>
        <v/>
      </c>
      <c r="P365" s="601" t="str">
        <f>IFERROR(__xludf.DUMMYFUNCTION("""COMPUTED_VALUE"""),"07/01/2026")</f>
        <v>07/01/2026</v>
      </c>
      <c r="Q365" s="306"/>
    </row>
    <row r="366">
      <c r="A366" s="528"/>
      <c r="B366" s="496" t="str">
        <f>IFERROR(__xludf.DUMMYFUNCTION("""COMPUTED_VALUE"""),"Executivos de Vendas")</f>
        <v>Executivos de Vendas</v>
      </c>
      <c r="C366" s="481" t="str">
        <f>IFERROR(__xludf.DUMMYFUNCTION("""COMPUTED_VALUE"""),"Vendedores felizes vendem mais")</f>
        <v>Vendedores felizes vendem mais</v>
      </c>
      <c r="D366" s="173" t="str">
        <f>IFERROR(__xludf.DUMMYFUNCTION("""COMPUTED_VALUE"""),"Juliana Milton")</f>
        <v>Juliana Milton</v>
      </c>
      <c r="E366" s="508" t="str">
        <f>IFERROR(__xludf.DUMMYFUNCTION("""COMPUTED_VALUE"""),"Head Comercial")</f>
        <v>Head Comercial</v>
      </c>
      <c r="F366" s="173" t="str">
        <f>IFERROR(__xludf.DUMMYFUNCTION("""COMPUTED_VALUE"""),"Vinning")</f>
        <v>Vinning</v>
      </c>
      <c r="G366" s="924" t="str">
        <f>IFERROR(__xludf.DUMMYFUNCTION("""COMPUTED_VALUE"""),"https://www.linkedin.com/in/julianamilton/")</f>
        <v>https://www.linkedin.com/in/julianamilton/</v>
      </c>
      <c r="H366" s="119" t="str">
        <f>IFERROR(__xludf.DUMMYFUNCTION("""COMPUTED_VALUE"""),"Autodesenvolvimento")</f>
        <v>Autodesenvolvimento</v>
      </c>
      <c r="I366" s="119" t="str">
        <f>IFERROR(__xludf.DUMMYFUNCTION("""COMPUTED_VALUE"""),"Inteligência emocional")</f>
        <v>Inteligência emocional</v>
      </c>
      <c r="J366" s="657" t="str">
        <f>IFERROR(__xludf.DUMMYFUNCTION("""COMPUTED_VALUE"""),"Motivação")</f>
        <v>Motivação</v>
      </c>
      <c r="K366" s="275" t="str">
        <f>IFERROR(__xludf.DUMMYFUNCTION("""COMPUTED_VALUE"""),"https://universidade.pipelovers.net/m/lessons/vendedores-felizes-vendem-mais1772542662184?classId=3773")</f>
        <v>https://universidade.pipelovers.net/m/lessons/vendedores-felizes-vendem-mais1772542662184?classId=3773</v>
      </c>
      <c r="L366" s="535" t="str">
        <f>IFERROR(__xludf.DUMMYFUNCTION("""COMPUTED_VALUE"""),"https://universidade.pipelovers.net/m/lessons/vendedores-felizes-vendem-mais1772542662184?classId=3773")</f>
        <v>https://universidade.pipelovers.net/m/lessons/vendedores-felizes-vendem-mais1772542662184?classId=3773</v>
      </c>
      <c r="M366" s="925" t="str">
        <f>IFERROR(__xludf.DUMMYFUNCTION("""COMPUTED_VALUE"""),"2")</f>
        <v>2</v>
      </c>
      <c r="N366" s="928" t="str">
        <f>IFERROR(__xludf.DUMMYFUNCTION("""COMPUTED_VALUE"""),"147.  PipeLovers 🧡 Executivos de Vendas Vendedores felizes vendem mais com Juliana Milton - descript.mp4")</f>
        <v>147.  PipeLovers 🧡 Executivos de Vendas Vendedores felizes vendem mais com Juliana Milton - descript.mp4</v>
      </c>
      <c r="O366" s="306" t="str">
        <f>IFERROR(__xludf.DUMMYFUNCTION("""COMPUTED_VALUE"""),"")</f>
        <v/>
      </c>
      <c r="P366" s="601" t="str">
        <f>IFERROR(__xludf.DUMMYFUNCTION("""COMPUTED_VALUE"""),"14/01/2026")</f>
        <v>14/01/2026</v>
      </c>
      <c r="Q366" s="306"/>
    </row>
    <row r="367">
      <c r="A367" s="528"/>
      <c r="B367" s="496" t="str">
        <f>IFERROR(__xludf.DUMMYFUNCTION("""COMPUTED_VALUE"""),"Executivos de Vendas")</f>
        <v>Executivos de Vendas</v>
      </c>
      <c r="C367" s="175" t="str">
        <f>IFERROR(__xludf.DUMMYFUNCTION("""COMPUTED_VALUE"""),"Venda com clareza: Storytelling e Argumentação para Executivos de Vendas")</f>
        <v>Venda com clareza: Storytelling e Argumentação para Executivos de Vendas</v>
      </c>
      <c r="D367" s="175" t="str">
        <f>IFERROR(__xludf.DUMMYFUNCTION("""COMPUTED_VALUE"""),"Rodrigo Maia")</f>
        <v>Rodrigo Maia</v>
      </c>
      <c r="E367" s="556" t="str">
        <f>IFERROR(__xludf.DUMMYFUNCTION("""COMPUTED_VALUE"""),"Empresário e Comunicador")</f>
        <v>Empresário e Comunicador</v>
      </c>
      <c r="F367" s="556"/>
      <c r="G367" s="927" t="str">
        <f>IFERROR(__xludf.DUMMYFUNCTION("""COMPUTED_VALUE"""),"https://www.linkedin.com/in/rodrigo-maia-theodoro-dos-santos-59357532/?utm_source=share&amp;utm_campaign=share_via&amp;utm_content=profile&amp;utm_medium=ios_app")</f>
        <v>https://www.linkedin.com/in/rodrigo-maia-theodoro-dos-santos-59357532/?utm_source=share&amp;utm_campaign=share_via&amp;utm_content=profile&amp;utm_medium=ios_app</v>
      </c>
      <c r="H367" s="296" t="str">
        <f>IFERROR(__xludf.DUMMYFUNCTION("""COMPUTED_VALUE"""),"Conhecimento Técnico")</f>
        <v>Conhecimento Técnico</v>
      </c>
      <c r="I367" s="296" t="str">
        <f>IFERROR(__xludf.DUMMYFUNCTION("""COMPUTED_VALUE"""),"Técnicas de Vendas")</f>
        <v>Técnicas de Vendas</v>
      </c>
      <c r="J367" s="657" t="str">
        <f>IFERROR(__xludf.DUMMYFUNCTION("""COMPUTED_VALUE"""),"Pitch Comercial")</f>
        <v>Pitch Comercial</v>
      </c>
      <c r="K367" s="114" t="str">
        <f>IFERROR(__xludf.DUMMYFUNCTION("""COMPUTED_VALUE"""),"https://universidade.pipelovers.net/m/lessons/venda-com-clareza-storytelling-e-argumentacao-para-executivos-de-vendas1772542662067?classId=3771")</f>
        <v>https://universidade.pipelovers.net/m/lessons/venda-com-clareza-storytelling-e-argumentacao-para-executivos-de-vendas1772542662067?classId=3771</v>
      </c>
      <c r="L367" s="535" t="str">
        <f>IFERROR(__xludf.DUMMYFUNCTION("""COMPUTED_VALUE"""),"https://universidade.pipelovers.net/m/lessons/venda-com-clareza-storytelling-e-argumentacao-para-executivos-de-vendas1772542662067?classId=3771")</f>
        <v>https://universidade.pipelovers.net/m/lessons/venda-com-clareza-storytelling-e-argumentacao-para-executivos-de-vendas1772542662067?classId=3771</v>
      </c>
      <c r="M367" s="925" t="str">
        <f>IFERROR(__xludf.DUMMYFUNCTION("""COMPUTED_VALUE"""),"5")</f>
        <v>5</v>
      </c>
      <c r="N367" s="928" t="str">
        <f>IFERROR(__xludf.DUMMYFUNCTION("""COMPUTED_VALUE"""),"148.  PipeLovers 🧡 Executivos de Vendas Venda com clareza Storytelling e Argumentação para Executivos de Vendas com Rodrigo Maia.mp4")</f>
        <v>148.  PipeLovers 🧡 Executivos de Vendas Venda com clareza Storytelling e Argumentação para Executivos de Vendas com Rodrigo Maia.mp4</v>
      </c>
      <c r="O367" s="306" t="str">
        <f>IFERROR(__xludf.DUMMYFUNCTION("""COMPUTED_VALUE"""),"")</f>
        <v/>
      </c>
      <c r="P367" s="601" t="str">
        <f>IFERROR(__xludf.DUMMYFUNCTION("""COMPUTED_VALUE"""),"21/01/2026")</f>
        <v>21/01/2026</v>
      </c>
      <c r="Q367" s="306"/>
    </row>
    <row r="368">
      <c r="A368" s="528"/>
      <c r="B368" s="496" t="str">
        <f>IFERROR(__xludf.DUMMYFUNCTION("""COMPUTED_VALUE"""),"Executivos de Vendas")</f>
        <v>Executivos de Vendas</v>
      </c>
      <c r="C368" s="173" t="str">
        <f>IFERROR(__xludf.DUMMYFUNCTION("""COMPUTED_VALUE"""),"Como pedir e receber feedbacks para acelerar seu crescimento")</f>
        <v>Como pedir e receber feedbacks para acelerar seu crescimento</v>
      </c>
      <c r="D368" s="173" t="str">
        <f>IFERROR(__xludf.DUMMYFUNCTION("""COMPUTED_VALUE"""),"Aline Gomes")</f>
        <v>Aline Gomes</v>
      </c>
      <c r="E368" s="508" t="str">
        <f>IFERROR(__xludf.DUMMYFUNCTION("""COMPUTED_VALUE"""),"Founder")</f>
        <v>Founder</v>
      </c>
      <c r="F368" s="508" t="str">
        <f>IFERROR(__xludf.DUMMYFUNCTION("""COMPUTED_VALUE"""),"Limonada")</f>
        <v>Limonada</v>
      </c>
      <c r="G368" s="924" t="str">
        <f>IFERROR(__xludf.DUMMYFUNCTION("""COMPUTED_VALUE"""),"https://www.linkedin.com/in/alinecgomes/")</f>
        <v>https://www.linkedin.com/in/alinecgomes/</v>
      </c>
      <c r="H368" s="311" t="str">
        <f>IFERROR(__xludf.DUMMYFUNCTION("""COMPUTED_VALUE"""),"Autodesenvolvimento")</f>
        <v>Autodesenvolvimento</v>
      </c>
      <c r="I368" s="311" t="str">
        <f>IFERROR(__xludf.DUMMYFUNCTION("""COMPUTED_VALUE"""),"Aprendizado Ativo")</f>
        <v>Aprendizado Ativo</v>
      </c>
      <c r="J368" s="657" t="str">
        <f>IFERROR(__xludf.DUMMYFUNCTION("""COMPUTED_VALUE"""),"Mentorias")</f>
        <v>Mentorias</v>
      </c>
      <c r="K368" s="128" t="str">
        <f>IFERROR(__xludf.DUMMYFUNCTION("""COMPUTED_VALUE"""),"https://universidade.pipelovers.net/m/lessons/como-pedir-e-receber-feedbacks-para-acelerar-seu-crescimento1772542642277?classId=3752")</f>
        <v>https://universidade.pipelovers.net/m/lessons/como-pedir-e-receber-feedbacks-para-acelerar-seu-crescimento1772542642277?classId=3752</v>
      </c>
      <c r="L368" s="535" t="str">
        <f>IFERROR(__xludf.DUMMYFUNCTION("""COMPUTED_VALUE"""),"https://universidade.pipelovers.net/m/lessons/como-pedir-e-receber-feedbacks-para-acelerar-seu-crescimento1772542642277?classId=3752")</f>
        <v>https://universidade.pipelovers.net/m/lessons/como-pedir-e-receber-feedbacks-para-acelerar-seu-crescimento1772542642277?classId=3752</v>
      </c>
      <c r="M368" s="925" t="str">
        <f>IFERROR(__xludf.DUMMYFUNCTION("""COMPUTED_VALUE"""),"2")</f>
        <v>2</v>
      </c>
      <c r="N368" s="928" t="str">
        <f>IFERROR(__xludf.DUMMYFUNCTION("""COMPUTED_VALUE"""),"149. PipeLovers 🧡 Executivos de Vendas Como pedir e receber feedbacks para acelerar seu crescimento com Aline Gomes- descript.mp4")</f>
        <v>149. PipeLovers 🧡 Executivos de Vendas Como pedir e receber feedbacks para acelerar seu crescimento com Aline Gomes- descript.mp4</v>
      </c>
      <c r="O368" s="306" t="str">
        <f>IFERROR(__xludf.DUMMYFUNCTION("""COMPUTED_VALUE"""),"")</f>
        <v/>
      </c>
      <c r="P368" s="601" t="str">
        <f>IFERROR(__xludf.DUMMYFUNCTION("""COMPUTED_VALUE"""),"28/01/2026")</f>
        <v>28/01/2026</v>
      </c>
      <c r="Q368" s="306"/>
    </row>
    <row r="369">
      <c r="A369" s="528"/>
      <c r="B369" s="496" t="str">
        <f>IFERROR(__xludf.DUMMYFUNCTION("""COMPUTED_VALUE"""),"Executivos de Vendas")</f>
        <v>Executivos de Vendas</v>
      </c>
      <c r="C369" s="175" t="str">
        <f>IFERROR(__xludf.DUMMYFUNCTION("""COMPUTED_VALUE"""),"Como a presença digital impulsiona a performance dos vendedores")</f>
        <v>Como a presença digital impulsiona a performance dos vendedores</v>
      </c>
      <c r="D369" s="175" t="str">
        <f>IFERROR(__xludf.DUMMYFUNCTION("""COMPUTED_VALUE"""),"Marcus Tonin")</f>
        <v>Marcus Tonin</v>
      </c>
      <c r="E369" s="556" t="str">
        <f>IFERROR(__xludf.DUMMYFUNCTION("""COMPUTED_VALUE"""),"Especialista em Comunicação Digital")</f>
        <v>Especialista em Comunicação Digital</v>
      </c>
      <c r="F369" s="556" t="str">
        <f>IFERROR(__xludf.DUMMYFUNCTION("""COMPUTED_VALUE"""),"Marketeiro Confesso")</f>
        <v>Marketeiro Confesso</v>
      </c>
      <c r="G369" s="927" t="str">
        <f>IFERROR(__xludf.DUMMYFUNCTION("""COMPUTED_VALUE"""),"https://www.linkedin.com/in/marketeiroconfesso/")</f>
        <v>https://www.linkedin.com/in/marketeiroconfesso/</v>
      </c>
      <c r="H369" s="296" t="str">
        <f>IFERROR(__xludf.DUMMYFUNCTION("""COMPUTED_VALUE"""),"Visão de Negócios")</f>
        <v>Visão de Negócios</v>
      </c>
      <c r="I369" s="296" t="str">
        <f>IFERROR(__xludf.DUMMYFUNCTION("""COMPUTED_VALUE"""),"Tendências de Mercado")</f>
        <v>Tendências de Mercado</v>
      </c>
      <c r="J369" s="657" t="str">
        <f>IFERROR(__xludf.DUMMYFUNCTION("""COMPUTED_VALUE"""),"Perfil do Comprador B2B")</f>
        <v>Perfil do Comprador B2B</v>
      </c>
      <c r="K369" s="114" t="str">
        <f>IFERROR(__xludf.DUMMYFUNCTION("""COMPUTED_VALUE"""),"https://universidade.pipelovers.net/m/lessons/como-a-presenca-digital-impulsiona-a-performance-dos-vendedores1772542642086?classId=3748")</f>
        <v>https://universidade.pipelovers.net/m/lessons/como-a-presenca-digital-impulsiona-a-performance-dos-vendedores1772542642086?classId=3748</v>
      </c>
      <c r="L369" s="535" t="str">
        <f>IFERROR(__xludf.DUMMYFUNCTION("""COMPUTED_VALUE"""),"https://universidade.pipelovers.net/m/lessons/como-a-presenca-digital-impulsiona-a-performance-dos-vendedores1772542642086?classId=3748")</f>
        <v>https://universidade.pipelovers.net/m/lessons/como-a-presenca-digital-impulsiona-a-performance-dos-vendedores1772542642086?classId=3748</v>
      </c>
      <c r="M369" s="925" t="str">
        <f>IFERROR(__xludf.DUMMYFUNCTION("""COMPUTED_VALUE"""),"2")</f>
        <v>2</v>
      </c>
      <c r="N369" s="928" t="str">
        <f>IFERROR(__xludf.DUMMYFUNCTION("""COMPUTED_VALUE"""),"150. PipeLovers 🧡 Executivos de Vendas Como a presença digital impulsiona a performance dos vendedores com Marcus Tonin - descript.mp4")</f>
        <v>150. PipeLovers 🧡 Executivos de Vendas Como a presença digital impulsiona a performance dos vendedores com Marcus Tonin - descript.mp4</v>
      </c>
      <c r="O369" s="306" t="str">
        <f>IFERROR(__xludf.DUMMYFUNCTION("""COMPUTED_VALUE"""),"")</f>
        <v/>
      </c>
      <c r="P369" s="601" t="str">
        <f>IFERROR(__xludf.DUMMYFUNCTION("""COMPUTED_VALUE"""),"04/02/2026")</f>
        <v>04/02/2026</v>
      </c>
      <c r="Q369" s="306"/>
    </row>
    <row r="370">
      <c r="A370" s="528"/>
      <c r="B370" s="496" t="str">
        <f>IFERROR(__xludf.DUMMYFUNCTION("""COMPUTED_VALUE"""),"Executivos de Vendas")</f>
        <v>Executivos de Vendas</v>
      </c>
      <c r="C370" s="481" t="str">
        <f>IFERROR(__xludf.DUMMYFUNCTION("""COMPUTED_VALUE"""),"Como conduzir vendas de soluções complexas")</f>
        <v>Como conduzir vendas de soluções complexas</v>
      </c>
      <c r="D370" s="173" t="str">
        <f>IFERROR(__xludf.DUMMYFUNCTION("""COMPUTED_VALUE"""),"Victor Sperli")</f>
        <v>Victor Sperli</v>
      </c>
      <c r="E370" s="508" t="str">
        <f>IFERROR(__xludf.DUMMYFUNCTION("""COMPUTED_VALUE"""),"Head de Vendas")</f>
        <v>Head de Vendas</v>
      </c>
      <c r="F370" s="508" t="str">
        <f>IFERROR(__xludf.DUMMYFUNCTION("""COMPUTED_VALUE"""),"ICOMM")</f>
        <v>ICOMM</v>
      </c>
      <c r="G370" s="924" t="str">
        <f>IFERROR(__xludf.DUMMYFUNCTION("""COMPUTED_VALUE"""),"https://www.linkedin.com/in/victor-sperli/")</f>
        <v>https://www.linkedin.com/in/victor-sperli/</v>
      </c>
      <c r="H370" s="119" t="str">
        <f>IFERROR(__xludf.DUMMYFUNCTION("""COMPUTED_VALUE"""),"Conhecimento Técnico")</f>
        <v>Conhecimento Técnico</v>
      </c>
      <c r="I370" s="119" t="str">
        <f>IFERROR(__xludf.DUMMYFUNCTION("""COMPUTED_VALUE"""),"Técnicas de Vendas")</f>
        <v>Técnicas de Vendas</v>
      </c>
      <c r="J370" s="936" t="str">
        <f>IFERROR(__xludf.DUMMYFUNCTION("""COMPUTED_VALUE"""),"Negociação e Fechamento de Vendas")</f>
        <v>Negociação e Fechamento de Vendas</v>
      </c>
      <c r="K370" s="275" t="str">
        <f>IFERROR(__xludf.DUMMYFUNCTION("""COMPUTED_VALUE"""),"https://universidade.pipelovers.net/m/lessons/como-conduzir-vendas-de-solucoes-complexas1772542642158?classId=3750")</f>
        <v>https://universidade.pipelovers.net/m/lessons/como-conduzir-vendas-de-solucoes-complexas1772542642158?classId=3750</v>
      </c>
      <c r="L370" s="535" t="str">
        <f>IFERROR(__xludf.DUMMYFUNCTION("""COMPUTED_VALUE"""),"https://universidade.pipelovers.net/m/lessons/como-conduzir-vendas-de-solucoes-complexas1772542642158?classId=3750")</f>
        <v>https://universidade.pipelovers.net/m/lessons/como-conduzir-vendas-de-solucoes-complexas1772542642158?classId=3750</v>
      </c>
      <c r="M370" s="937" t="str">
        <f>IFERROR(__xludf.DUMMYFUNCTION("""COMPUTED_VALUE"""),"2")</f>
        <v>2</v>
      </c>
      <c r="N370" s="938" t="str">
        <f>IFERROR(__xludf.DUMMYFUNCTION("""COMPUTED_VALUE"""),"151. PipeLovers 🧡 Executivos de Vendas Como conduzir vendas de soluções complexas com Victor Sperli- DESCRIPT.mp4")</f>
        <v>151. PipeLovers 🧡 Executivos de Vendas Como conduzir vendas de soluções complexas com Victor Sperli- DESCRIPT.mp4</v>
      </c>
      <c r="O370" s="306" t="str">
        <f>IFERROR(__xludf.DUMMYFUNCTION("""COMPUTED_VALUE"""),"")</f>
        <v/>
      </c>
      <c r="P370" s="601" t="str">
        <f>IFERROR(__xludf.DUMMYFUNCTION("""COMPUTED_VALUE"""),"11/02/2026")</f>
        <v>11/02/2026</v>
      </c>
      <c r="Q370" s="306"/>
    </row>
    <row r="371">
      <c r="A371" s="528"/>
      <c r="B371" s="496" t="str">
        <f>IFERROR(__xludf.DUMMYFUNCTION("""COMPUTED_VALUE"""),"Executivos de Vendas")</f>
        <v>Executivos de Vendas</v>
      </c>
      <c r="C371" s="555" t="str">
        <f>IFERROR(__xludf.DUMMYFUNCTION("""COMPUTED_VALUE"""),"Linguagem corporal na prática: técnica, intenção e confiança")</f>
        <v>Linguagem corporal na prática: técnica, intenção e confiança</v>
      </c>
      <c r="D371" s="175" t="str">
        <f>IFERROR(__xludf.DUMMYFUNCTION("""COMPUTED_VALUE"""),"Marcieli Pachecco")</f>
        <v>Marcieli Pachecco</v>
      </c>
      <c r="E371" s="556" t="str">
        <f>IFERROR(__xludf.DUMMYFUNCTION("""COMPUTED_VALUE"""),"Head de estratégia de negócios")</f>
        <v>Head de estratégia de negócios</v>
      </c>
      <c r="F371" s="556" t="str">
        <f>IFERROR(__xludf.DUMMYFUNCTION("""COMPUTED_VALUE"""),"Catalisa Assessoria")</f>
        <v>Catalisa Assessoria</v>
      </c>
      <c r="G371" s="927" t="str">
        <f>IFERROR(__xludf.DUMMYFUNCTION("""COMPUTED_VALUE"""),"https://www.linkedin.com/in/marcieli-pachecco-b9a7871bb/")</f>
        <v>https://www.linkedin.com/in/marcieli-pachecco-b9a7871bb/</v>
      </c>
      <c r="H371" s="104" t="str">
        <f>IFERROR(__xludf.DUMMYFUNCTION("""COMPUTED_VALUE"""),"Relacionamento Interpessoal")</f>
        <v>Relacionamento Interpessoal</v>
      </c>
      <c r="I371" s="104" t="str">
        <f>IFERROR(__xludf.DUMMYFUNCTION("""COMPUTED_VALUE"""),"Comunicação e relacionamento")</f>
        <v>Comunicação e relacionamento</v>
      </c>
      <c r="J371" s="936" t="str">
        <f>IFERROR(__xludf.DUMMYFUNCTION("""COMPUTED_VALUE"""),"Técnicas de Rapport")</f>
        <v>Técnicas de Rapport</v>
      </c>
      <c r="K371" s="273" t="str">
        <f>IFERROR(__xludf.DUMMYFUNCTION("""COMPUTED_VALUE"""),"https://universidade.pipelovers.net/m/lessons/linguagem-corporal-na-pratica-tecnica-intencao-e-confianca-1771879667022?classId=3816")</f>
        <v>https://universidade.pipelovers.net/m/lessons/linguagem-corporal-na-pratica-tecnica-intencao-e-confianca-1771879667022?classId=3816</v>
      </c>
      <c r="L371" s="535" t="str">
        <f>IFERROR(__xludf.DUMMYFUNCTION("""COMPUTED_VALUE"""),"https://universidade.pipelovers.net/m/lessons/linguagem-corporal-na-pratica-tecnica-intencao-e-confianca-1771879667022?classId=3816")</f>
        <v>https://universidade.pipelovers.net/m/lessons/linguagem-corporal-na-pratica-tecnica-intencao-e-confianca-1771879667022?classId=3816</v>
      </c>
      <c r="M371" s="937" t="str">
        <f>IFERROR(__xludf.DUMMYFUNCTION("""COMPUTED_VALUE"""),"2")</f>
        <v>2</v>
      </c>
      <c r="N371" s="938" t="str">
        <f>IFERROR(__xludf.DUMMYFUNCTION("""COMPUTED_VALUE"""),"152. PipeLovers 🧡 Executivos de Vendas Linguagem corporal na prática técnica, intenção e confiança com Marcieli Pachecco - descript.mp4")</f>
        <v>152. PipeLovers 🧡 Executivos de Vendas Linguagem corporal na prática técnica, intenção e confiança com Marcieli Pachecco - descript.mp4</v>
      </c>
      <c r="O371" s="306" t="str">
        <f>IFERROR(__xludf.DUMMYFUNCTION("""COMPUTED_VALUE"""),"")</f>
        <v/>
      </c>
      <c r="P371" s="601" t="str">
        <f>IFERROR(__xludf.DUMMYFUNCTION("""COMPUTED_VALUE"""),"12/02/2026")</f>
        <v>12/02/2026</v>
      </c>
      <c r="Q371" s="306"/>
    </row>
    <row r="372">
      <c r="A372" s="528"/>
      <c r="B372" s="496" t="str">
        <f>IFERROR(__xludf.DUMMYFUNCTION("""COMPUTED_VALUE"""),"Executivos de Vendas")</f>
        <v>Executivos de Vendas</v>
      </c>
      <c r="C372" s="481" t="str">
        <f>IFERROR(__xludf.DUMMYFUNCTION("""COMPUTED_VALUE"""),"Como vender tecnologia e inovação para o setor público")</f>
        <v>Como vender tecnologia e inovação para o setor público</v>
      </c>
      <c r="D372" s="173" t="str">
        <f>IFERROR(__xludf.DUMMYFUNCTION("""COMPUTED_VALUE"""),"Matheus Costa/ Leonardo Wajsfeld")</f>
        <v>Matheus Costa/ Leonardo Wajsfeld</v>
      </c>
      <c r="E372" s="508" t="str">
        <f>IFERROR(__xludf.DUMMYFUNCTION("""COMPUTED_VALUE"""),"CEO e Executivo de Vendas")</f>
        <v>CEO e Executivo de Vendas</v>
      </c>
      <c r="F372" s="508" t="str">
        <f>IFERROR(__xludf.DUMMYFUNCTION("""COMPUTED_VALUE"""),"Innovc")</f>
        <v>Innovc</v>
      </c>
      <c r="G372" s="924" t="str">
        <f>IFERROR(__xludf.DUMMYFUNCTION("""COMPUTED_VALUE"""),"https://www.linkedin.com/in/matheusalencarcosta/")</f>
        <v>https://www.linkedin.com/in/matheusalencarcosta/</v>
      </c>
      <c r="H372" s="119" t="str">
        <f>IFERROR(__xludf.DUMMYFUNCTION("""COMPUTED_VALUE"""),"Visão de Negócios")</f>
        <v>Visão de Negócios</v>
      </c>
      <c r="I372" s="119" t="str">
        <f>IFERROR(__xludf.DUMMYFUNCTION("""COMPUTED_VALUE"""),"Tendências de Mercado")</f>
        <v>Tendências de Mercado</v>
      </c>
      <c r="J372" s="936" t="str">
        <f>IFERROR(__xludf.DUMMYFUNCTION("""COMPUTED_VALUE"""),"Tendências do Setor")</f>
        <v>Tendências do Setor</v>
      </c>
      <c r="K372" s="275" t="str">
        <f>IFERROR(__xludf.DUMMYFUNCTION("""COMPUTED_VALUE"""),"https://universidade.pipelovers.net/m/lessons/como-vender-tecnologia-e-inovacao-para-o-setor-publico-1773692216685?classId=3821")</f>
        <v>https://universidade.pipelovers.net/m/lessons/como-vender-tecnologia-e-inovacao-para-o-setor-publico-1773692216685?classId=3821</v>
      </c>
      <c r="L372" s="535" t="str">
        <f>IFERROR(__xludf.DUMMYFUNCTION("""COMPUTED_VALUE"""),"https://universidade.pipelovers.net/m/lessons/como-vender-tecnologia-e-inovacao-para-o-setor-publico-1773692216685?classId=3821")</f>
        <v>https://universidade.pipelovers.net/m/lessons/como-vender-tecnologia-e-inovacao-para-o-setor-publico-1773692216685?classId=3821</v>
      </c>
      <c r="M372" s="937" t="str">
        <f>IFERROR(__xludf.DUMMYFUNCTION("""COMPUTED_VALUE"""),"2")</f>
        <v>2</v>
      </c>
      <c r="N372" s="938" t="str">
        <f>IFERROR(__xludf.DUMMYFUNCTION("""COMPUTED_VALUE"""),"153. PipeLovers 🧡 Executivos de Vendas Como vender tecnologia e inovação para o setor público com Matheus Costa e Leonardo Wajsfeld - descript.mp4")</f>
        <v>153. PipeLovers 🧡 Executivos de Vendas Como vender tecnologia e inovação para o setor público com Matheus Costa e Leonardo Wajsfeld - descript.mp4</v>
      </c>
      <c r="O372" s="306" t="str">
        <f>IFERROR(__xludf.DUMMYFUNCTION("""COMPUTED_VALUE"""),"")</f>
        <v/>
      </c>
      <c r="P372" s="601" t="str">
        <f>IFERROR(__xludf.DUMMYFUNCTION("""COMPUTED_VALUE"""),"13/02/2026")</f>
        <v>13/02/2026</v>
      </c>
      <c r="Q372" s="306"/>
    </row>
    <row r="373">
      <c r="A373" s="528"/>
      <c r="B373" s="496" t="str">
        <f>IFERROR(__xludf.DUMMYFUNCTION("""COMPUTED_VALUE"""),"Executivos de Vendas")</f>
        <v>Executivos de Vendas</v>
      </c>
      <c r="C373" s="555" t="str">
        <f>IFERROR(__xludf.DUMMYFUNCTION("""COMPUTED_VALUE"""),"Boas práticas para ciclos de vendas longos")</f>
        <v>Boas práticas para ciclos de vendas longos</v>
      </c>
      <c r="D373" s="175" t="str">
        <f>IFERROR(__xludf.DUMMYFUNCTION("""COMPUTED_VALUE"""),"Roberto Prik")</f>
        <v>Roberto Prik</v>
      </c>
      <c r="E373" s="556" t="str">
        <f>IFERROR(__xludf.DUMMYFUNCTION("""COMPUTED_VALUE"""),"Consultor e treinador")</f>
        <v>Consultor e treinador</v>
      </c>
      <c r="F373" s="556" t="str">
        <f>IFERROR(__xludf.DUMMYFUNCTION("""COMPUTED_VALUE"""),"MasterYou")</f>
        <v>MasterYou</v>
      </c>
      <c r="G373" s="927" t="str">
        <f>IFERROR(__xludf.DUMMYFUNCTION("""COMPUTED_VALUE"""),"https://www.linkedin.com/in/roberto-prik/")</f>
        <v>https://www.linkedin.com/in/roberto-prik/</v>
      </c>
      <c r="H373" s="104" t="str">
        <f>IFERROR(__xludf.DUMMYFUNCTION("""COMPUTED_VALUE"""),"Conhecimento Técnico")</f>
        <v>Conhecimento Técnico</v>
      </c>
      <c r="I373" s="104" t="str">
        <f>IFERROR(__xludf.DUMMYFUNCTION("""COMPUTED_VALUE"""),"Técnicas de Vendas")</f>
        <v>Técnicas de Vendas</v>
      </c>
      <c r="J373" s="936" t="str">
        <f>IFERROR(__xludf.DUMMYFUNCTION("""COMPUTED_VALUE"""),"Negociação e Fechamento de Vendas")</f>
        <v>Negociação e Fechamento de Vendas</v>
      </c>
      <c r="K373" s="273" t="str">
        <f>IFERROR(__xludf.DUMMYFUNCTION("""COMPUTED_VALUE"""),"https://universidade.pipelovers.net/m/lessons/boas-praticas-para-ciclos-de-vendas-longos-1773689974457?classId=3813")</f>
        <v>https://universidade.pipelovers.net/m/lessons/boas-praticas-para-ciclos-de-vendas-longos-1773689974457?classId=3813</v>
      </c>
      <c r="L373" s="535" t="str">
        <f>IFERROR(__xludf.DUMMYFUNCTION("""COMPUTED_VALUE"""),"https://universidade.pipelovers.net/m/lessons/boas-praticas-para-ciclos-de-vendas-longos-1773689974457?classId=3813")</f>
        <v>https://universidade.pipelovers.net/m/lessons/boas-praticas-para-ciclos-de-vendas-longos-1773689974457?classId=3813</v>
      </c>
      <c r="M373" s="937" t="str">
        <f>IFERROR(__xludf.DUMMYFUNCTION("""COMPUTED_VALUE"""),"4,86")</f>
        <v>4,86</v>
      </c>
      <c r="N373" s="938" t="str">
        <f>IFERROR(__xludf.DUMMYFUNCTION("""COMPUTED_VALUE"""),"154.  PipeLovers 🧡 Executivos de Vendas Boas práticas para ciclos de vendas longos com Roberto Prik.mp4")</f>
        <v>154.  PipeLovers 🧡 Executivos de Vendas Boas práticas para ciclos de vendas longos com Roberto Prik.mp4</v>
      </c>
      <c r="O373" s="306" t="str">
        <f>IFERROR(__xludf.DUMMYFUNCTION("""COMPUTED_VALUE"""),"")</f>
        <v/>
      </c>
      <c r="P373" s="601" t="str">
        <f>IFERROR(__xludf.DUMMYFUNCTION("""COMPUTED_VALUE"""),"14/02/2026")</f>
        <v>14/02/2026</v>
      </c>
      <c r="Q373" s="306"/>
    </row>
    <row r="374">
      <c r="A374" s="528"/>
      <c r="B374" s="903" t="str">
        <f>IFERROR(__xludf.DUMMYFUNCTION("""COMPUTED_VALUE"""),"Executivos de Vendas")</f>
        <v>Executivos de Vendas</v>
      </c>
      <c r="C374" s="175" t="str">
        <f>IFERROR(__xludf.DUMMYFUNCTION("""COMPUTED_VALUE"""),"Produtividade em vendas: como priorizar o que gera resultado")</f>
        <v>Produtividade em vendas: como priorizar o que gera resultado</v>
      </c>
      <c r="D374" s="175" t="str">
        <f>IFERROR(__xludf.DUMMYFUNCTION("""COMPUTED_VALUE"""),"João Ruffo")</f>
        <v>João Ruffo</v>
      </c>
      <c r="E374" s="556" t="str">
        <f>IFERROR(__xludf.DUMMYFUNCTION("""COMPUTED_VALUE"""),"Gerente de Mentor Experience")</f>
        <v>Gerente de Mentor Experience</v>
      </c>
      <c r="F374" s="556" t="str">
        <f>IFERROR(__xludf.DUMMYFUNCTION("""COMPUTED_VALUE"""),"G4 Educação")</f>
        <v>G4 Educação</v>
      </c>
      <c r="G374" s="944" t="str">
        <f>IFERROR(__xludf.DUMMYFUNCTION("""COMPUTED_VALUE"""),"https://www.linkedin.com/in/joaoruffo/")</f>
        <v>https://www.linkedin.com/in/joaoruffo/</v>
      </c>
      <c r="H374" s="104" t="str">
        <f>IFERROR(__xludf.DUMMYFUNCTION("""COMPUTED_VALUE"""),"Autodesenvolvimento")</f>
        <v>Autodesenvolvimento</v>
      </c>
      <c r="I374" s="104" t="str">
        <f>IFERROR(__xludf.DUMMYFUNCTION("""COMPUTED_VALUE"""),"Gestão de Tempo e da Informação")</f>
        <v>Gestão de Tempo e da Informação</v>
      </c>
      <c r="J374" s="936" t="str">
        <f>IFERROR(__xludf.DUMMYFUNCTION("""COMPUTED_VALUE"""),"Priorização de Atividades")</f>
        <v>Priorização de Atividades</v>
      </c>
      <c r="K374" s="945" t="str">
        <f>IFERROR(__xludf.DUMMYFUNCTION("""COMPUTED_VALUE"""),"https://universidade.pipelovers.net/m/lessons/produtividade-em-vendas-como-priorizar-o-que-gera-resultado-1773690571961?classId=3846")</f>
        <v>https://universidade.pipelovers.net/m/lessons/produtividade-em-vendas-como-priorizar-o-que-gera-resultado-1773690571961?classId=3846</v>
      </c>
      <c r="L374" s="562" t="str">
        <f>IFERROR(__xludf.DUMMYFUNCTION("""COMPUTED_VALUE"""),"https://universidade.pipelovers.net/m/lessons/produtividade-em-vendas-como-priorizar-o-que-gera-resultado-1773690571961?classId=3846")</f>
        <v>https://universidade.pipelovers.net/m/lessons/produtividade-em-vendas-como-priorizar-o-que-gera-resultado-1773690571961?classId=3846</v>
      </c>
      <c r="M374" s="937" t="str">
        <f>IFERROR(__xludf.DUMMYFUNCTION("""COMPUTED_VALUE"""),"5")</f>
        <v>5</v>
      </c>
      <c r="N374" s="938" t="str">
        <f>IFERROR(__xludf.DUMMYFUNCTION("""COMPUTED_VALUE"""),"155. PipeLovers 🧡 Executivos de Vendas Produtividade em vendas como priorizar o que gera resultado - descript.mp4")</f>
        <v>155. PipeLovers 🧡 Executivos de Vendas Produtividade em vendas como priorizar o que gera resultado - descript.mp4</v>
      </c>
      <c r="O374" s="306" t="str">
        <f>IFERROR(__xludf.DUMMYFUNCTION("""COMPUTED_VALUE"""),"")</f>
        <v/>
      </c>
      <c r="P374" s="601" t="str">
        <f>IFERROR(__xludf.DUMMYFUNCTION("""COMPUTED_VALUE"""),"15/02/2026")</f>
        <v>15/02/2026</v>
      </c>
      <c r="Q374" s="306"/>
    </row>
    <row r="375">
      <c r="A375" s="73"/>
      <c r="B375" s="549" t="str">
        <f>IFERROR(__xludf.DUMMYFUNCTION("""COMPUTED_VALUE"""),"Executivos de Vendas")</f>
        <v>Executivos de Vendas</v>
      </c>
      <c r="C375" s="210" t="str">
        <f>IFERROR(__xludf.DUMMYFUNCTION("""COMPUTED_VALUE"""),"Vendendo para CFO: como estruturar proposta, discurso e números")</f>
        <v>Vendendo para CFO: como estruturar proposta, discurso e números</v>
      </c>
      <c r="D375" s="210" t="str">
        <f>IFERROR(__xludf.DUMMYFUNCTION("""COMPUTED_VALUE"""),"Oswaldo Garcia")</f>
        <v>Oswaldo Garcia</v>
      </c>
      <c r="E375" s="406" t="str">
        <f>IFERROR(__xludf.DUMMYFUNCTION("""COMPUTED_VALUE"""),"CEO &amp; Board Member")</f>
        <v>CEO &amp; Board Member</v>
      </c>
      <c r="F375" s="406" t="str">
        <f>IFERROR(__xludf.DUMMYFUNCTION("""COMPUTED_VALUE"""),"Neoassist")</f>
        <v>Neoassist</v>
      </c>
      <c r="G375" s="463" t="str">
        <f>IFERROR(__xludf.DUMMYFUNCTION("""COMPUTED_VALUE"""),"https://www.linkedin.com/in/oswaldogarcianeto/")</f>
        <v>https://www.linkedin.com/in/oswaldogarcianeto/</v>
      </c>
      <c r="H375" s="162" t="str">
        <f>IFERROR(__xludf.DUMMYFUNCTION("""COMPUTED_VALUE"""),"Conhecimento Técnico")</f>
        <v>Conhecimento Técnico</v>
      </c>
      <c r="I375" s="162" t="str">
        <f>IFERROR(__xludf.DUMMYFUNCTION("""COMPUTED_VALUE"""),"Técnicas de Vendas")</f>
        <v>Técnicas de Vendas</v>
      </c>
      <c r="J375" s="946" t="str">
        <f>IFERROR(__xludf.DUMMYFUNCTION("""COMPUTED_VALUE"""),"Pitch Comercial")</f>
        <v>Pitch Comercial</v>
      </c>
      <c r="K375" s="947" t="str">
        <f>IFERROR(__xludf.DUMMYFUNCTION("""COMPUTED_VALUE"""),"https://universidade.pipelovers.net/m/lessons/vendendo-para-cfo-como-estruturar-proposta-discurso-e-numeros-1773691169853")</f>
        <v>https://universidade.pipelovers.net/m/lessons/vendendo-para-cfo-como-estruturar-proposta-discurso-e-numeros-1773691169853</v>
      </c>
      <c r="L375" s="948"/>
      <c r="M375" s="937" t="str">
        <f>IFERROR(__xludf.DUMMYFUNCTION("""COMPUTED_VALUE"""),"4,86")</f>
        <v>4,86</v>
      </c>
      <c r="N375" s="938" t="str">
        <f>IFERROR(__xludf.DUMMYFUNCTION("""COMPUTED_VALUE"""),"156. PipeLovers 🧡 Executivos de Vendas Vendendo para CFO como estruturar proposta, discurso e números com Oswaldo Garcia - descript.mp4")</f>
        <v>156. PipeLovers 🧡 Executivos de Vendas Vendendo para CFO como estruturar proposta, discurso e números com Oswaldo Garcia - descript.mp4</v>
      </c>
      <c r="O375" s="306" t="str">
        <f>IFERROR(__xludf.DUMMYFUNCTION("""COMPUTED_VALUE"""),"")</f>
        <v/>
      </c>
      <c r="P375" s="601" t="str">
        <f>IFERROR(__xludf.DUMMYFUNCTION("""COMPUTED_VALUE"""),"16/02/2026")</f>
        <v>16/02/2026</v>
      </c>
      <c r="Q375" s="306"/>
    </row>
    <row r="376">
      <c r="A376" s="73"/>
      <c r="B376" s="549" t="str">
        <f>IFERROR(__xludf.DUMMYFUNCTION("""COMPUTED_VALUE"""),"Executivos de Vendas")</f>
        <v>Executivos de Vendas</v>
      </c>
      <c r="C376" s="157" t="str">
        <f>IFERROR(__xludf.DUMMYFUNCTION("""COMPUTED_VALUE"""),"Técnicas de negociação de preço e desconto")</f>
        <v>Técnicas de negociação de preço e desconto</v>
      </c>
      <c r="D376" s="157" t="str">
        <f>IFERROR(__xludf.DUMMYFUNCTION("""COMPUTED_VALUE"""),"Sandro Ivo")</f>
        <v>Sandro Ivo</v>
      </c>
      <c r="E376" s="218" t="str">
        <f>IFERROR(__xludf.DUMMYFUNCTION("""COMPUTED_VALUE"""),"Diretor comercial")</f>
        <v>Diretor comercial</v>
      </c>
      <c r="F376" s="667" t="str">
        <f>IFERROR(__xludf.DUMMYFUNCTION("""COMPUTED_VALUE"""),"inVista Real Estate")</f>
        <v>inVista Real Estate</v>
      </c>
      <c r="G376" s="668" t="str">
        <f>IFERROR(__xludf.DUMMYFUNCTION("""COMPUTED_VALUE"""),"https://www.linkedin.com/in/sandroivo/")</f>
        <v>https://www.linkedin.com/in/sandroivo/</v>
      </c>
      <c r="H376" s="655" t="str">
        <f>IFERROR(__xludf.DUMMYFUNCTION("""COMPUTED_VALUE"""),"Conhecimento Técnico")</f>
        <v>Conhecimento Técnico</v>
      </c>
      <c r="I376" s="655" t="str">
        <f>IFERROR(__xludf.DUMMYFUNCTION("""COMPUTED_VALUE"""),"Técnicas de Vendas")</f>
        <v>Técnicas de Vendas</v>
      </c>
      <c r="J376" s="657" t="str">
        <f>IFERROR(__xludf.DUMMYFUNCTION("""COMPUTED_VALUE"""),"Negociação e Fechamento de Vendas")</f>
        <v>Negociação e Fechamento de Vendas</v>
      </c>
      <c r="K376" s="275" t="str">
        <f>IFERROR(__xludf.DUMMYFUNCTION("""COMPUTED_VALUE"""),"https://universidade.pipelovers.net/aulas/tecnicas-de-negociacao-de-preco-e-desconto-1773691593549")</f>
        <v>https://universidade.pipelovers.net/aulas/tecnicas-de-negociacao-de-preco-e-desconto-1773691593549</v>
      </c>
      <c r="L376" s="535" t="str">
        <f>IFERROR(__xludf.DUMMYFUNCTION("""COMPUTED_VALUE"""),"https://universidade.pipelovers.net/aulas/tecnicas-de-negociacao-de-preco-e-desconto-1773691593549")</f>
        <v>https://universidade.pipelovers.net/aulas/tecnicas-de-negociacao-de-preco-e-desconto-1773691593549</v>
      </c>
      <c r="M376" s="951">
        <f>IFERROR(__xludf.DUMMYFUNCTION("""COMPUTED_VALUE"""),4.36)</f>
        <v>4.36</v>
      </c>
      <c r="N376" s="938" t="str">
        <f>IFERROR(__xludf.DUMMYFUNCTION("""COMPUTED_VALUE"""),"157. PipeLovers 🧡 Executivos de Vendas Técnicas de negociação de preço e desconto com Sandro Ivo - descript.mp4")</f>
        <v>157. PipeLovers 🧡 Executivos de Vendas Técnicas de negociação de preço e desconto com Sandro Ivo - descript.mp4</v>
      </c>
      <c r="O376" s="306" t="str">
        <f>IFERROR(__xludf.DUMMYFUNCTION("""COMPUTED_VALUE"""),"")</f>
        <v/>
      </c>
      <c r="P376" s="601" t="str">
        <f>IFERROR(__xludf.DUMMYFUNCTION("""COMPUTED_VALUE"""),"17/02/2026")</f>
        <v>17/02/2026</v>
      </c>
      <c r="Q376" s="306"/>
    </row>
    <row r="377">
      <c r="A377" s="73"/>
      <c r="B377" s="549" t="str">
        <f>IFERROR(__xludf.DUMMYFUNCTION("""COMPUTED_VALUE"""),"Executivos de Vendas")</f>
        <v>Executivos de Vendas</v>
      </c>
      <c r="C377" s="210" t="str">
        <f>IFERROR(__xludf.DUMMYFUNCTION("""COMPUTED_VALUE"""),"Apresentações comerciais que convertem")</f>
        <v>Apresentações comerciais que convertem</v>
      </c>
      <c r="D377" s="210" t="str">
        <f>IFERROR(__xludf.DUMMYFUNCTION("""COMPUTED_VALUE"""),"Lucas Alves")</f>
        <v>Lucas Alves</v>
      </c>
      <c r="E377" s="406" t="str">
        <f>IFERROR(__xludf.DUMMYFUNCTION("""COMPUTED_VALUE"""),"Diretor comercial")</f>
        <v>Diretor comercial</v>
      </c>
      <c r="F377" s="406" t="str">
        <f>IFERROR(__xludf.DUMMYFUNCTION("""COMPUTED_VALUE"""),"Academia de Vendas")</f>
        <v>Academia de Vendas</v>
      </c>
      <c r="G377" s="463" t="str">
        <f>IFERROR(__xludf.DUMMYFUNCTION("""COMPUTED_VALUE"""),"https://www.linkedin.com/in/profile-lucasalves/")</f>
        <v>https://www.linkedin.com/in/profile-lucasalves/</v>
      </c>
      <c r="H377" s="241" t="str">
        <f>IFERROR(__xludf.DUMMYFUNCTION("""COMPUTED_VALUE"""),"Relacionamento Interpessoal")</f>
        <v>Relacionamento Interpessoal</v>
      </c>
      <c r="I377" s="241" t="str">
        <f>IFERROR(__xludf.DUMMYFUNCTION("""COMPUTED_VALUE"""),"Comunicação e relacionamento")</f>
        <v>Comunicação e relacionamento</v>
      </c>
      <c r="J377" s="657" t="str">
        <f>IFERROR(__xludf.DUMMYFUNCTION("""COMPUTED_VALUE"""),"Pitch Comercial")</f>
        <v>Pitch Comercial</v>
      </c>
      <c r="K377" s="275" t="str">
        <f>IFERROR(__xludf.DUMMYFUNCTION("""COMPUTED_VALUE"""),"https://universidade.pipelovers.net/aulas/apresentacoes-comerciais-que-convertem-1773692006975")</f>
        <v>https://universidade.pipelovers.net/aulas/apresentacoes-comerciais-que-convertem-1773692006975</v>
      </c>
      <c r="L377" s="275" t="str">
        <f>IFERROR(__xludf.DUMMYFUNCTION("""COMPUTED_VALUE"""),"https://universidade.pipelovers.net/aulas/apresentacoes-comerciais-que-convertem-1773692006975")</f>
        <v>https://universidade.pipelovers.net/aulas/apresentacoes-comerciais-que-convertem-1773692006975</v>
      </c>
      <c r="M377" s="937" t="str">
        <f>IFERROR(__xludf.DUMMYFUNCTION("""COMPUTED_VALUE"""),"4,57")</f>
        <v>4,57</v>
      </c>
      <c r="N377" s="938" t="str">
        <f>IFERROR(__xludf.DUMMYFUNCTION("""COMPUTED_VALUE"""),"158. PipeLovers 🧡 Executivos de Vendas Apresentações comerciais que convertem com Lucas Alves - descript.mp4")</f>
        <v>158. PipeLovers 🧡 Executivos de Vendas Apresentações comerciais que convertem com Lucas Alves - descript.mp4</v>
      </c>
      <c r="O377" s="306" t="str">
        <f>IFERROR(__xludf.DUMMYFUNCTION("""COMPUTED_VALUE"""),"")</f>
        <v/>
      </c>
      <c r="P377" s="952" t="str">
        <f>IFERROR(__xludf.DUMMYFUNCTION("""COMPUTED_VALUE"""),"18/02/2026")</f>
        <v>18/02/2026</v>
      </c>
      <c r="Q377" s="306"/>
    </row>
    <row r="378">
      <c r="A378" s="73"/>
      <c r="B378" s="549" t="str">
        <f>IFERROR(__xludf.DUMMYFUNCTION("""COMPUTED_VALUE"""),"Executivos de Vendas")</f>
        <v>Executivos de Vendas</v>
      </c>
      <c r="C378" s="212" t="str">
        <f>IFERROR(__xludf.DUMMYFUNCTION("""COMPUTED_VALUE"""),"Métricas que todo vendedor deve saber (e acompanhar)")</f>
        <v>Métricas que todo vendedor deve saber (e acompanhar)</v>
      </c>
      <c r="D378" s="212" t="str">
        <f>IFERROR(__xludf.DUMMYFUNCTION("""COMPUTED_VALUE"""),"Iago Braz")</f>
        <v>Iago Braz</v>
      </c>
      <c r="E378" s="432" t="str">
        <f>IFERROR(__xludf.DUMMYFUNCTION("""COMPUTED_VALUE"""),"Co-founder")</f>
        <v>Co-founder</v>
      </c>
      <c r="F378" s="432" t="str">
        <f>IFERROR(__xludf.DUMMYFUNCTION("""COMPUTED_VALUE"""),"Kalidash")</f>
        <v>Kalidash</v>
      </c>
      <c r="G378" s="465" t="str">
        <f>IFERROR(__xludf.DUMMYFUNCTION("""COMPUTED_VALUE"""),"https://www.linkedin.com/in/iagobraz/")</f>
        <v>https://www.linkedin.com/in/iagobraz/</v>
      </c>
      <c r="H378" s="195" t="str">
        <f>IFERROR(__xludf.DUMMYFUNCTION("""COMPUTED_VALUE"""),"Conhecimento Técnico")</f>
        <v>Conhecimento Técnico</v>
      </c>
      <c r="I378" s="195" t="str">
        <f>IFERROR(__xludf.DUMMYFUNCTION("""COMPUTED_VALUE"""),"Pensamento Crítico")</f>
        <v>Pensamento Crítico</v>
      </c>
      <c r="J378" s="657" t="str">
        <f>IFERROR(__xludf.DUMMYFUNCTION("""COMPUTED_VALUE"""),"Métricas de Funil")</f>
        <v>Métricas de Funil</v>
      </c>
      <c r="K378" s="275" t="str">
        <f>IFERROR(__xludf.DUMMYFUNCTION("""COMPUTED_VALUE"""),"https://universidade.pipelovers.net/m/lessons/metricas-que-todo-vendedor-deve-saber-e-acompanhar-1773692316042?classId=3820")</f>
        <v>https://universidade.pipelovers.net/m/lessons/metricas-que-todo-vendedor-deve-saber-e-acompanhar-1773692316042?classId=3820</v>
      </c>
      <c r="L378" s="275" t="str">
        <f>IFERROR(__xludf.DUMMYFUNCTION("""COMPUTED_VALUE"""),"https://universidade.pipelovers.net/m/lessons/metricas-que-todo-vendedor-deve-saber-e-acompanhar-1773692316042?classId=3820")</f>
        <v>https://universidade.pipelovers.net/m/lessons/metricas-que-todo-vendedor-deve-saber-e-acompanhar-1773692316042?classId=3820</v>
      </c>
      <c r="M378" s="937" t="str">
        <f>IFERROR(__xludf.DUMMYFUNCTION("""COMPUTED_VALUE"""),"4,5")</f>
        <v>4,5</v>
      </c>
      <c r="N378" s="938" t="str">
        <f>IFERROR(__xludf.DUMMYFUNCTION("""COMPUTED_VALUE"""),"159. PipeLovers 🧡 Executivos de Vendas Métricas que todo vendedor deve saber (e acompanhar) com Iago Braz - descript.mp4")</f>
        <v>159. PipeLovers 🧡 Executivos de Vendas Métricas que todo vendedor deve saber (e acompanhar) com Iago Braz - descript.mp4</v>
      </c>
      <c r="O378" s="306" t="str">
        <f>IFERROR(__xludf.DUMMYFUNCTION("""COMPUTED_VALUE"""),"")</f>
        <v/>
      </c>
      <c r="P378" s="952"/>
      <c r="Q378" s="306"/>
    </row>
    <row r="379">
      <c r="A379" s="73"/>
      <c r="B379" s="549" t="str">
        <f>IFERROR(__xludf.DUMMYFUNCTION("""COMPUTED_VALUE"""),"Executivos de Vendas")</f>
        <v>Executivos de Vendas</v>
      </c>
      <c r="C379" s="210" t="str">
        <f>IFERROR(__xludf.DUMMYFUNCTION("""COMPUTED_VALUE"""),"Condução de reuniões presenciais com grandes contas")</f>
        <v>Condução de reuniões presenciais com grandes contas</v>
      </c>
      <c r="D379" s="210" t="str">
        <f>IFERROR(__xludf.DUMMYFUNCTION("""COMPUTED_VALUE"""),"Marcelo Park")</f>
        <v>Marcelo Park</v>
      </c>
      <c r="E379" s="406" t="str">
        <f>IFERROR(__xludf.DUMMYFUNCTION("""COMPUTED_VALUE"""),"Diretor de Go-To-Market")</f>
        <v>Diretor de Go-To-Market</v>
      </c>
      <c r="F379" s="406" t="str">
        <f>IFERROR(__xludf.DUMMYFUNCTION("""COMPUTED_VALUE"""),"MeetRox")</f>
        <v>MeetRox</v>
      </c>
      <c r="G379" s="463" t="str">
        <f>IFERROR(__xludf.DUMMYFUNCTION("""COMPUTED_VALUE"""),"https://www.linkedin.com/in/marcelopark/")</f>
        <v>https://www.linkedin.com/in/marcelopark/</v>
      </c>
      <c r="H379" s="241" t="str">
        <f>IFERROR(__xludf.DUMMYFUNCTION("""COMPUTED_VALUE"""),"Relacionamento Interpessoal")</f>
        <v>Relacionamento Interpessoal</v>
      </c>
      <c r="I379" s="241" t="str">
        <f>IFERROR(__xludf.DUMMYFUNCTION("""COMPUTED_VALUE"""),"Comunicação e Relacionamento")</f>
        <v>Comunicação e Relacionamento</v>
      </c>
      <c r="J379" s="657" t="str">
        <f>IFERROR(__xludf.DUMMYFUNCTION("""COMPUTED_VALUE"""),"Técnicas de Rapport")</f>
        <v>Técnicas de Rapport</v>
      </c>
      <c r="K379" s="275" t="str">
        <f>IFERROR(__xludf.DUMMYFUNCTION("""COMPUTED_VALUE"""),"https://universidade.pipelovers.net/m/lessons/conducao-de-reunioes-presenciais-com-grandes-contas-1773693102701?classId=3822")</f>
        <v>https://universidade.pipelovers.net/m/lessons/conducao-de-reunioes-presenciais-com-grandes-contas-1773693102701?classId=3822</v>
      </c>
      <c r="L379" s="275" t="str">
        <f>IFERROR(__xludf.DUMMYFUNCTION("""COMPUTED_VALUE"""),"https://universidade.pipelovers.net/m/lessons/conducao-de-reunioes-presenciais-com-grandes-contas-1773693102701?classId=3822")</f>
        <v>https://universidade.pipelovers.net/m/lessons/conducao-de-reunioes-presenciais-com-grandes-contas-1773693102701?classId=3822</v>
      </c>
      <c r="M379" s="937" t="str">
        <f>IFERROR(__xludf.DUMMYFUNCTION("""COMPUTED_VALUE"""),"4,36")</f>
        <v>4,36</v>
      </c>
      <c r="N379" s="938" t="str">
        <f>IFERROR(__xludf.DUMMYFUNCTION("""COMPUTED_VALUE"""),"160.  PipeLovers 🧡 Executivos de Vendas Condução de reuniões presenciais com grandes contas com Marcelo Park - descript.mp4")</f>
        <v>160.  PipeLovers 🧡 Executivos de Vendas Condução de reuniões presenciais com grandes contas com Marcelo Park - descript.mp4</v>
      </c>
      <c r="O379" s="306" t="str">
        <f>IFERROR(__xludf.DUMMYFUNCTION("""COMPUTED_VALUE"""),"")</f>
        <v/>
      </c>
      <c r="P379" s="952"/>
      <c r="Q379" s="306"/>
    </row>
    <row r="380">
      <c r="A380" s="953"/>
      <c r="B380" s="954" t="str">
        <f>IFERROR(__xludf.DUMMYFUNCTION("""COMPUTED_VALUE"""),"Executivos de Vendas")</f>
        <v>Executivos de Vendas</v>
      </c>
      <c r="C380" s="253" t="str">
        <f>IFERROR(__xludf.DUMMYFUNCTION("""COMPUTED_VALUE"""),"O papel do rapport na venda")</f>
        <v>O papel do rapport na venda</v>
      </c>
      <c r="D380" s="253" t="str">
        <f>IFERROR(__xludf.DUMMYFUNCTION("""COMPUTED_VALUE"""),"Jéssica Bosco")</f>
        <v>Jéssica Bosco</v>
      </c>
      <c r="E380" s="955" t="str">
        <f>IFERROR(__xludf.DUMMYFUNCTION("""COMPUTED_VALUE"""),"Head de produto")</f>
        <v>Head de produto</v>
      </c>
      <c r="F380" s="956" t="str">
        <f>IFERROR(__xludf.DUMMYFUNCTION("""COMPUTED_VALUE"""),"PipeLovers")</f>
        <v>PipeLovers</v>
      </c>
      <c r="G380" s="957" t="str">
        <f>IFERROR(__xludf.DUMMYFUNCTION("""COMPUTED_VALUE"""),"https://www.linkedin.com/in/jessicabosco/")</f>
        <v>https://www.linkedin.com/in/jessicabosco/</v>
      </c>
      <c r="H380" s="739" t="str">
        <f>IFERROR(__xludf.DUMMYFUNCTION("""COMPUTED_VALUE"""),"Relacionamento Interpessoal")</f>
        <v>Relacionamento Interpessoal</v>
      </c>
      <c r="I380" s="739" t="str">
        <f>IFERROR(__xludf.DUMMYFUNCTION("""COMPUTED_VALUE"""),"Comunicação e Relacionamento")</f>
        <v>Comunicação e Relacionamento</v>
      </c>
      <c r="J380" s="958" t="str">
        <f>IFERROR(__xludf.DUMMYFUNCTION("""COMPUTED_VALUE"""),"Técnicas de Rapport")</f>
        <v>Técnicas de Rapport</v>
      </c>
      <c r="K380" s="959" t="str">
        <f>IFERROR(__xludf.DUMMYFUNCTION("""COMPUTED_VALUE"""),"https://universidade.pipelovers.net/m/lessons/tecnicas-de-rapport-para-prospecao-1777489239231?classId=3965")</f>
        <v>https://universidade.pipelovers.net/m/lessons/tecnicas-de-rapport-para-prospecao-1777489239231?classId=3965</v>
      </c>
      <c r="L380" s="959" t="str">
        <f>IFERROR(__xludf.DUMMYFUNCTION("""COMPUTED_VALUE"""),"https://universidade.pipelovers.net/m/lessons/tecnicas-de-rapport-para-prospecao-1777489239231?classId=3965")</f>
        <v>https://universidade.pipelovers.net/m/lessons/tecnicas-de-rapport-para-prospecao-1777489239231?classId=3965</v>
      </c>
      <c r="M380" s="960" t="str">
        <f>IFERROR(__xludf.DUMMYFUNCTION("""COMPUTED_VALUE"""),"4,5")</f>
        <v>4,5</v>
      </c>
      <c r="N380" s="961" t="str">
        <f>IFERROR(__xludf.DUMMYFUNCTION("""COMPUTED_VALUE"""),"161.  PipeLovers 🧡 Executivos de Vendas Condução de reuniões presenciais com grandes contas com Marcelo Park - descript.mp4")</f>
        <v>161.  PipeLovers 🧡 Executivos de Vendas Condução de reuniões presenciais com grandes contas com Marcelo Park - descript.mp4</v>
      </c>
      <c r="O380" s="962" t="str">
        <f>IFERROR(__xludf.DUMMYFUNCTION("""COMPUTED_VALUE"""),"")</f>
        <v/>
      </c>
      <c r="P380" s="963"/>
      <c r="Q380" s="962"/>
    </row>
    <row r="381">
      <c r="A381" s="964"/>
      <c r="B381" s="965" t="str">
        <f>IFERROR(__xludf.DUMMYFUNCTION("""COMPUTED_VALUE"""),"Executivos de Vendas")</f>
        <v>Executivos de Vendas</v>
      </c>
      <c r="C381" s="672" t="str">
        <f>IFERROR(__xludf.DUMMYFUNCTION("""COMPUTED_VALUE"""),"Como aprofundar o diagnóstico na primeira conversa")</f>
        <v>Como aprofundar o diagnóstico na primeira conversa</v>
      </c>
      <c r="D381" s="672" t="str">
        <f>IFERROR(__xludf.DUMMYFUNCTION("""COMPUTED_VALUE"""),"Fred Junco")</f>
        <v>Fred Junco</v>
      </c>
      <c r="E381" s="966" t="str">
        <f>IFERROR(__xludf.DUMMYFUNCTION("""COMPUTED_VALUE"""),"Treinador e palestrante")</f>
        <v>Treinador e palestrante</v>
      </c>
      <c r="F381" s="967"/>
      <c r="G381" s="968" t="str">
        <f>IFERROR(__xludf.DUMMYFUNCTION("""COMPUTED_VALUE"""),"https://www.linkedin.com/in/fredjunco/")</f>
        <v>https://www.linkedin.com/in/fredjunco/</v>
      </c>
      <c r="H381" s="969" t="str">
        <f>IFERROR(__xludf.DUMMYFUNCTION("""COMPUTED_VALUE"""),"Conhecimento Técnico")</f>
        <v>Conhecimento Técnico</v>
      </c>
      <c r="I381" s="969" t="str">
        <f>IFERROR(__xludf.DUMMYFUNCTION("""COMPUTED_VALUE"""),"Técnicas de Vendas")</f>
        <v>Técnicas de Vendas</v>
      </c>
      <c r="J381" s="970" t="str">
        <f>IFERROR(__xludf.DUMMYFUNCTION("""COMPUTED_VALUE"""),"Qualificação e Entendimento da Dor")</f>
        <v>Qualificação e Entendimento da Dor</v>
      </c>
      <c r="K381" s="971" t="str">
        <f>IFERROR(__xludf.DUMMYFUNCTION("""COMPUTED_VALUE"""),"https://universidade.pipelovers.net/m/lessons/como-aprofundar-o-diagnostico-na-primeira-conversa-1777320853661?classId=3961")</f>
        <v>https://universidade.pipelovers.net/m/lessons/como-aprofundar-o-diagnostico-na-primeira-conversa-1777320853661?classId=3961</v>
      </c>
      <c r="L381" s="971" t="str">
        <f>IFERROR(__xludf.DUMMYFUNCTION("""COMPUTED_VALUE"""),"https://universidade.pipelovers.net/m/lessons/como-aprofundar-o-diagnostico-na-primeira-conversa-1777320853661?classId=3961")</f>
        <v>https://universidade.pipelovers.net/m/lessons/como-aprofundar-o-diagnostico-na-primeira-conversa-1777320853661?classId=3961</v>
      </c>
      <c r="M381" s="972" t="str">
        <f>IFERROR(__xludf.DUMMYFUNCTION("""COMPUTED_VALUE"""),"4,5")</f>
        <v>4,5</v>
      </c>
      <c r="N381" s="973"/>
      <c r="O381" s="974" t="str">
        <f>IFERROR(__xludf.DUMMYFUNCTION("""COMPUTED_VALUE"""),"")</f>
        <v/>
      </c>
      <c r="P381" s="977"/>
      <c r="Q381" s="974"/>
    </row>
    <row r="382">
      <c r="A382" s="964"/>
      <c r="B382" s="965" t="str">
        <f>IFERROR(__xludf.DUMMYFUNCTION("""COMPUTED_VALUE"""),"Executivos de Vendas")</f>
        <v>Executivos de Vendas</v>
      </c>
      <c r="C382" s="672" t="str">
        <f>IFERROR(__xludf.DUMMYFUNCTION("""COMPUTED_VALUE"""),"Networking para se tornar referência no seu mercado")</f>
        <v>Networking para se tornar referência no seu mercado</v>
      </c>
      <c r="D382" s="672" t="str">
        <f>IFERROR(__xludf.DUMMYFUNCTION("""COMPUTED_VALUE"""),"Sidimar Sagaz")</f>
        <v>Sidimar Sagaz</v>
      </c>
      <c r="E382" s="966" t="str">
        <f>IFERROR(__xludf.DUMMYFUNCTION("""COMPUTED_VALUE"""),"CEO")</f>
        <v>CEO</v>
      </c>
      <c r="F382" s="967" t="str">
        <f>IFERROR(__xludf.DUMMYFUNCTION("""COMPUTED_VALUE"""),"Sagaz Growth &amp; Sales")</f>
        <v>Sagaz Growth &amp; Sales</v>
      </c>
      <c r="G382" s="968" t="str">
        <f>IFERROR(__xludf.DUMMYFUNCTION("""COMPUTED_VALUE"""),"https://www.linkedin.com/in/sidimar-sagaz/")</f>
        <v>https://www.linkedin.com/in/sidimar-sagaz/</v>
      </c>
      <c r="H382" s="969" t="str">
        <f>IFERROR(__xludf.DUMMYFUNCTION("""COMPUTED_VALUE"""),"Autodesenvolvimento")</f>
        <v>Autodesenvolvimento</v>
      </c>
      <c r="I382" s="969" t="str">
        <f>IFERROR(__xludf.DUMMYFUNCTION("""COMPUTED_VALUE"""),"Aprendizado Ativo")</f>
        <v>Aprendizado Ativo</v>
      </c>
      <c r="J382" s="970" t="str">
        <f>IFERROR(__xludf.DUMMYFUNCTION("""COMPUTED_VALUE"""),"Networking")</f>
        <v>Networking</v>
      </c>
      <c r="K382" s="971" t="str">
        <f>IFERROR(__xludf.DUMMYFUNCTION("""COMPUTED_VALUE"""),"https://universidade.pipelovers.net/m/lessons/networking-para-se-tornar-referencia-no-seu-mercado-1773947210529?classId=3841")</f>
        <v>https://universidade.pipelovers.net/m/lessons/networking-para-se-tornar-referencia-no-seu-mercado-1773947210529?classId=3841</v>
      </c>
      <c r="L382" s="971" t="str">
        <f>IFERROR(__xludf.DUMMYFUNCTION("""COMPUTED_VALUE"""),"https://universidade.pipelovers.net/m/lessons/networking-para-se-tornar-referencia-no-seu-mercado-1773947210529?classId=3841")</f>
        <v>https://universidade.pipelovers.net/m/lessons/networking-para-se-tornar-referencia-no-seu-mercado-1773947210529?classId=3841</v>
      </c>
      <c r="M382" s="972" t="str">
        <f>IFERROR(__xludf.DUMMYFUNCTION("""COMPUTED_VALUE"""),"3,36")</f>
        <v>3,36</v>
      </c>
      <c r="N382" s="973"/>
      <c r="O382" s="974" t="str">
        <f>IFERROR(__xludf.DUMMYFUNCTION("""COMPUTED_VALUE"""),"")</f>
        <v/>
      </c>
      <c r="P382" s="977"/>
      <c r="Q382" s="974"/>
    </row>
    <row r="383">
      <c r="A383" s="964"/>
      <c r="B383" s="965" t="str">
        <f>IFERROR(__xludf.DUMMYFUNCTION("""COMPUTED_VALUE"""),"Executivos de Vendas")</f>
        <v>Executivos de Vendas</v>
      </c>
      <c r="C383" s="672" t="str">
        <f>IFERROR(__xludf.DUMMYFUNCTION("""COMPUTED_VALUE"""),"Metodologia avançada de vendas consultivas")</f>
        <v>Metodologia avançada de vendas consultivas</v>
      </c>
      <c r="D383" s="672" t="str">
        <f>IFERROR(__xludf.DUMMYFUNCTION("""COMPUTED_VALUE"""),"Felipe Coelho")</f>
        <v>Felipe Coelho</v>
      </c>
      <c r="E383" s="966" t="str">
        <f>IFERROR(__xludf.DUMMYFUNCTION("""COMPUTED_VALUE"""),"Partner")</f>
        <v>Partner</v>
      </c>
      <c r="F383" s="967" t="str">
        <f>IFERROR(__xludf.DUMMYFUNCTION("""COMPUTED_VALUE"""),"ABSeed")</f>
        <v>ABSeed</v>
      </c>
      <c r="G383" s="968" t="str">
        <f>IFERROR(__xludf.DUMMYFUNCTION("""COMPUTED_VALUE"""),"https://www.linkedin.com/in/coelhofarc/")</f>
        <v>https://www.linkedin.com/in/coelhofarc/</v>
      </c>
      <c r="H383" s="969" t="str">
        <f>IFERROR(__xludf.DUMMYFUNCTION("""COMPUTED_VALUE"""),"Conhecimento Técnico")</f>
        <v>Conhecimento Técnico</v>
      </c>
      <c r="I383" s="969" t="str">
        <f>IFERROR(__xludf.DUMMYFUNCTION("""COMPUTED_VALUE"""),"Técnicas de Vendas")</f>
        <v>Técnicas de Vendas</v>
      </c>
      <c r="J383" s="946" t="str">
        <f>IFERROR(__xludf.DUMMYFUNCTION("""COMPUTED_VALUE"""),"Metodologias de Vendas")</f>
        <v>Metodologias de Vendas</v>
      </c>
      <c r="K383" s="971" t="str">
        <f>IFERROR(__xludf.DUMMYFUNCTION("""COMPUTED_VALUE"""),"https://universidade.pipelovers.net/m/lessons/metodologia-avancada-de-vendas-consultivas-1779479481188?classId=4013")</f>
        <v>https://universidade.pipelovers.net/m/lessons/metodologia-avancada-de-vendas-consultivas-1779479481188?classId=4013</v>
      </c>
      <c r="L383" s="971" t="str">
        <f>IFERROR(__xludf.DUMMYFUNCTION("""COMPUTED_VALUE"""),"https://universidade.pipelovers.net/m/lessons/metodologia-avancada-de-vendas-consultivas-1779479481188?classId=4013")</f>
        <v>https://universidade.pipelovers.net/m/lessons/metodologia-avancada-de-vendas-consultivas-1779479481188?classId=4013</v>
      </c>
      <c r="M383" s="972" t="str">
        <f>IFERROR(__xludf.DUMMYFUNCTION("""COMPUTED_VALUE"""),"5")</f>
        <v>5</v>
      </c>
      <c r="N383" s="973"/>
      <c r="O383" s="974" t="str">
        <f>IFERROR(__xludf.DUMMYFUNCTION("""COMPUTED_VALUE"""),"")</f>
        <v/>
      </c>
      <c r="P383" s="977"/>
      <c r="Q383" s="974"/>
    </row>
    <row r="384">
      <c r="A384" s="964"/>
      <c r="B384" s="965" t="str">
        <f>IFERROR(__xludf.DUMMYFUNCTION("""COMPUTED_VALUE"""),"Executivos de Vendas")</f>
        <v>Executivos de Vendas</v>
      </c>
      <c r="C384" s="672" t="str">
        <f>IFERROR(__xludf.DUMMYFUNCTION("""COMPUTED_VALUE"""),"Erros comuns em pitch de vendas")</f>
        <v>Erros comuns em pitch de vendas</v>
      </c>
      <c r="D384" s="672" t="str">
        <f>IFERROR(__xludf.DUMMYFUNCTION("""COMPUTED_VALUE"""),"Gabriel Ceccatto")</f>
        <v>Gabriel Ceccatto</v>
      </c>
      <c r="E384" s="966" t="str">
        <f>IFERROR(__xludf.DUMMYFUNCTION("""COMPUTED_VALUE"""),"Head of Sales")</f>
        <v>Head of Sales</v>
      </c>
      <c r="F384" s="967" t="str">
        <f>IFERROR(__xludf.DUMMYFUNCTION("""COMPUTED_VALUE"""),"Olist")</f>
        <v>Olist</v>
      </c>
      <c r="G384" s="968" t="str">
        <f>IFERROR(__xludf.DUMMYFUNCTION("""COMPUTED_VALUE"""),"https://www.linkedin.com/in/gabrielceccatto/")</f>
        <v>https://www.linkedin.com/in/gabrielceccatto/</v>
      </c>
      <c r="H384" s="969" t="str">
        <f>IFERROR(__xludf.DUMMYFUNCTION("""COMPUTED_VALUE"""),"Conhecimento Técnico")</f>
        <v>Conhecimento Técnico</v>
      </c>
      <c r="I384" s="969" t="str">
        <f>IFERROR(__xludf.DUMMYFUNCTION("""COMPUTED_VALUE"""),"Técnicas de Vendas")</f>
        <v>Técnicas de Vendas</v>
      </c>
      <c r="J384" s="979" t="str">
        <f>IFERROR(__xludf.DUMMYFUNCTION("""COMPUTED_VALUE"""),"Pitch Comercial")</f>
        <v>Pitch Comercial</v>
      </c>
      <c r="K384" s="971" t="str">
        <f>IFERROR(__xludf.DUMMYFUNCTION("""COMPUTED_VALUE"""),"https://universidade.pipelovers.net/m/lessons/erros-comuns-em-pitch-de-vendas-1777407944522?moduleId=1385&amp;classId=3964")</f>
        <v>https://universidade.pipelovers.net/m/lessons/erros-comuns-em-pitch-de-vendas-1777407944522?moduleId=1385&amp;classId=3964</v>
      </c>
      <c r="L384" s="981" t="str">
        <f>IFERROR(__xludf.DUMMYFUNCTION("""COMPUTED_VALUE"""),"https://universidade.pipelovers.net/m/lessons/erros-comuns-em-pitch-de-vendas-1777407944522?moduleId=1385&amp;classId=3964")</f>
        <v>https://universidade.pipelovers.net/m/lessons/erros-comuns-em-pitch-de-vendas-1777407944522?moduleId=1385&amp;classId=3964</v>
      </c>
      <c r="M384" s="972" t="str">
        <f>IFERROR(__xludf.DUMMYFUNCTION("""COMPUTED_VALUE"""),"4,07")</f>
        <v>4,07</v>
      </c>
      <c r="N384" s="973"/>
      <c r="O384" s="974" t="str">
        <f>IFERROR(__xludf.DUMMYFUNCTION("""COMPUTED_VALUE"""),"")</f>
        <v/>
      </c>
      <c r="P384" s="977"/>
      <c r="Q384" s="974"/>
    </row>
    <row r="385">
      <c r="A385" s="964"/>
      <c r="B385" s="965" t="str">
        <f>IFERROR(__xludf.DUMMYFUNCTION("""COMPUTED_VALUE"""),"Executivos de Vendas")</f>
        <v>Executivos de Vendas</v>
      </c>
      <c r="C385" s="672" t="str">
        <f>IFERROR(__xludf.DUMMYFUNCTION("""COMPUTED_VALUE"""),"Como identificar oportunidades de expansão em clientes da carteira")</f>
        <v>Como identificar oportunidades de expansão em clientes da carteira</v>
      </c>
      <c r="D385" s="672" t="str">
        <f>IFERROR(__xludf.DUMMYFUNCTION("""COMPUTED_VALUE"""),"Hervandil Prestes")</f>
        <v>Hervandil Prestes</v>
      </c>
      <c r="E385" s="966" t="str">
        <f>IFERROR(__xludf.DUMMYFUNCTION("""COMPUTED_VALUE"""),"Diretor de CS")</f>
        <v>Diretor de CS</v>
      </c>
      <c r="F385" s="967" t="str">
        <f>IFERROR(__xludf.DUMMYFUNCTION("""COMPUTED_VALUE"""),"Nstech")</f>
        <v>Nstech</v>
      </c>
      <c r="G385" s="968" t="str">
        <f>IFERROR(__xludf.DUMMYFUNCTION("""COMPUTED_VALUE"""),"https://www.linkedin.com/in/hervandil/")</f>
        <v>https://www.linkedin.com/in/hervandil/</v>
      </c>
      <c r="H385" s="969" t="str">
        <f>IFERROR(__xludf.DUMMYFUNCTION("""COMPUTED_VALUE"""),"Conhecimento Técnico")</f>
        <v>Conhecimento Técnico</v>
      </c>
      <c r="I385" s="969" t="str">
        <f>IFERROR(__xludf.DUMMYFUNCTION("""COMPUTED_VALUE"""),"Gestão de Vendas")</f>
        <v>Gestão de Vendas</v>
      </c>
      <c r="J385" s="970" t="str">
        <f>IFERROR(__xludf.DUMMYFUNCTION("""COMPUTED_VALUE"""),"UpSell e Cross Sell")</f>
        <v>UpSell e Cross Sell</v>
      </c>
      <c r="K385" s="982" t="str">
        <f>IFERROR(__xludf.DUMMYFUNCTION("""COMPUTED_VALUE"""),"https://universidade.pipelovers.net/m/lessons/como-identificar-oportunidades-de-expansao-em-clientes-da-carteira-1779133546181?moduleId=1421&amp;classId=4007")</f>
        <v>https://universidade.pipelovers.net/m/lessons/como-identificar-oportunidades-de-expansao-em-clientes-da-carteira-1779133546181?moduleId=1421&amp;classId=4007</v>
      </c>
      <c r="L385" s="981"/>
      <c r="M385" s="983">
        <f>IFERROR(__xludf.DUMMYFUNCTION("""COMPUTED_VALUE"""),3.86)</f>
        <v>3.86</v>
      </c>
      <c r="N385" s="973"/>
      <c r="O385" s="974" t="str">
        <f>IFERROR(__xludf.DUMMYFUNCTION("""COMPUTED_VALUE"""),"")</f>
        <v/>
      </c>
      <c r="P385" s="977"/>
      <c r="Q385" s="974"/>
    </row>
    <row r="386">
      <c r="A386" s="964"/>
      <c r="B386" s="965" t="str">
        <f>IFERROR(__xludf.DUMMYFUNCTION("""COMPUTED_VALUE"""),"Executivos de Vendas")</f>
        <v>Executivos de Vendas</v>
      </c>
      <c r="C386" s="210" t="str">
        <f>IFERROR(__xludf.DUMMYFUNCTION("""COMPUTED_VALUE"""),"Estratégias para cultivar relacionamentos com clientes e gerar novas oportunidades")</f>
        <v>Estratégias para cultivar relacionamentos com clientes e gerar novas oportunidades</v>
      </c>
      <c r="D386" s="210" t="str">
        <f>IFERROR(__xludf.DUMMYFUNCTION("""COMPUTED_VALUE"""),"Eduarda Dionísio")</f>
        <v>Eduarda Dionísio</v>
      </c>
      <c r="E386" s="406" t="str">
        <f>IFERROR(__xludf.DUMMYFUNCTION("""COMPUTED_VALUE"""),"Supervisor de Inside Sales")</f>
        <v>Supervisor de Inside Sales</v>
      </c>
      <c r="F386" s="513" t="str">
        <f>IFERROR(__xludf.DUMMYFUNCTION("""COMPUTED_VALUE"""),"PM3")</f>
        <v>PM3</v>
      </c>
      <c r="G386" s="463" t="str">
        <f>IFERROR(__xludf.DUMMYFUNCTION("""COMPUTED_VALUE"""),"https://www.linkedin.com/in/eduarda-dionisio/")</f>
        <v>https://www.linkedin.com/in/eduarda-dionisio/</v>
      </c>
      <c r="H386" s="241" t="str">
        <f>IFERROR(__xludf.DUMMYFUNCTION("""COMPUTED_VALUE"""),"Relacionamento Interpessoal")</f>
        <v>Relacionamento Interpessoal</v>
      </c>
      <c r="I386" s="241" t="str">
        <f>IFERROR(__xludf.DUMMYFUNCTION("""COMPUTED_VALUE"""),"Comunicação e Relacionamento")</f>
        <v>Comunicação e Relacionamento</v>
      </c>
      <c r="J386" s="985" t="str">
        <f>IFERROR(__xludf.DUMMYFUNCTION("""COMPUTED_VALUE"""),"Gestão de Relacionamento com Clientes")</f>
        <v>Gestão de Relacionamento com Clientes</v>
      </c>
      <c r="K386" s="988" t="str">
        <f>IFERROR(__xludf.DUMMYFUNCTION("""COMPUTED_VALUE"""),"https://universidade.pipelovers.net/m/lessons/estrategias-para-cultivar-relacionamentos-com-clientes-e-gerar-novas-oportunidades-1778509762753?moduleId=1408&amp;classId=3994")</f>
        <v>https://universidade.pipelovers.net/m/lessons/estrategias-para-cultivar-relacionamentos-com-clientes-e-gerar-novas-oportunidades-1778509762753?moduleId=1408&amp;classId=3994</v>
      </c>
      <c r="L386" s="615"/>
      <c r="M386" s="989">
        <f>IFERROR(__xludf.DUMMYFUNCTION("""COMPUTED_VALUE"""),3.57)</f>
        <v>3.57</v>
      </c>
      <c r="N386" s="973"/>
      <c r="O386" s="974" t="str">
        <f>IFERROR(__xludf.DUMMYFUNCTION("""COMPUTED_VALUE"""),"")</f>
        <v/>
      </c>
      <c r="P386" s="977"/>
      <c r="Q386" s="974"/>
    </row>
    <row r="387">
      <c r="A387" s="964"/>
      <c r="B387" s="965" t="str">
        <f>IFERROR(__xludf.DUMMYFUNCTION("""COMPUTED_VALUE"""),"Executivos de Vendas")</f>
        <v>Executivos de Vendas</v>
      </c>
      <c r="C387" s="212" t="str">
        <f>IFERROR(__xludf.DUMMYFUNCTION("""COMPUTED_VALUE"""),"Matriz de Kraljic: como comprador compra o seu produto")</f>
        <v>Matriz de Kraljic: como comprador compra o seu produto</v>
      </c>
      <c r="D387" s="212" t="str">
        <f>IFERROR(__xludf.DUMMYFUNCTION("""COMPUTED_VALUE"""),"Luciana Bicas")</f>
        <v>Luciana Bicas</v>
      </c>
      <c r="E387" s="432" t="str">
        <f>IFERROR(__xludf.DUMMYFUNCTION("""COMPUTED_VALUE"""),"Palestrante e treinadora corporativa")</f>
        <v>Palestrante e treinadora corporativa</v>
      </c>
      <c r="F387" s="741"/>
      <c r="G387" s="465" t="str">
        <f>IFERROR(__xludf.DUMMYFUNCTION("""COMPUTED_VALUE"""),"https://www.linkedin.com/in/lucianabicas/")</f>
        <v>https://www.linkedin.com/in/lucianabicas/</v>
      </c>
      <c r="H387" s="195" t="str">
        <f>IFERROR(__xludf.DUMMYFUNCTION("""COMPUTED_VALUE"""),"Visão de Negócios")</f>
        <v>Visão de Negócios</v>
      </c>
      <c r="I387" s="195" t="str">
        <f>IFERROR(__xludf.DUMMYFUNCTION("""COMPUTED_VALUE"""),"Conhecimento de Produto e Negócio")</f>
        <v>Conhecimento de Produto e Negócio</v>
      </c>
      <c r="J387" s="993" t="str">
        <f>IFERROR(__xludf.DUMMYFUNCTION("""COMPUTED_VALUE"""),"Perfil do Comprador B2B")</f>
        <v>Perfil do Comprador B2B</v>
      </c>
      <c r="K387" s="995" t="str">
        <f>IFERROR(__xludf.DUMMYFUNCTION("""COMPUTED_VALUE"""),"https://universidade.pipelovers.net/m/lessons/matriz-de-kraljic-matrix-como-comprador-compra-o-seu-produto-1779215203356?moduleId=1422&amp;classId=4008")</f>
        <v>https://universidade.pipelovers.net/m/lessons/matriz-de-kraljic-matrix-como-comprador-compra-o-seu-produto-1779215203356?moduleId=1422&amp;classId=4008</v>
      </c>
      <c r="L387" s="615"/>
      <c r="M387" s="997">
        <f>IFERROR(__xludf.DUMMYFUNCTION("""COMPUTED_VALUE"""),4.5)</f>
        <v>4.5</v>
      </c>
      <c r="N387" s="973"/>
      <c r="O387" s="974" t="str">
        <f>IFERROR(__xludf.DUMMYFUNCTION("""COMPUTED_VALUE"""),"")</f>
        <v/>
      </c>
      <c r="P387" s="977"/>
      <c r="Q387" s="974"/>
    </row>
    <row r="388">
      <c r="A388" s="964"/>
      <c r="B388" s="965" t="str">
        <f>IFERROR(__xludf.DUMMYFUNCTION("""COMPUTED_VALUE"""),"Executivos de Vendas")</f>
        <v>Executivos de Vendas</v>
      </c>
      <c r="C388" s="488" t="str">
        <f>IFERROR(__xludf.DUMMYFUNCTION("""COMPUTED_VALUE"""),"Como usar o whatsapp para vender mais")</f>
        <v>Como usar o whatsapp para vender mais</v>
      </c>
      <c r="D388" s="488" t="str">
        <f>IFERROR(__xludf.DUMMYFUNCTION("""COMPUTED_VALUE"""),"Vinicius Soares")</f>
        <v>Vinicius Soares</v>
      </c>
      <c r="E388" s="736" t="str">
        <f>IFERROR(__xludf.DUMMYFUNCTION("""COMPUTED_VALUE"""),"Business Development Specialist")</f>
        <v>Business Development Specialist</v>
      </c>
      <c r="F388" s="737" t="str">
        <f>IFERROR(__xludf.DUMMYFUNCTION("""COMPUTED_VALUE"""),"WATI")</f>
        <v>WATI</v>
      </c>
      <c r="G388" s="999" t="str">
        <f>IFERROR(__xludf.DUMMYFUNCTION("""COMPUTED_VALUE"""),"https://www.linkedin.com/in/viniciussoarees/")</f>
        <v>https://www.linkedin.com/in/viniciussoarees/</v>
      </c>
      <c r="H388" s="739" t="str">
        <f>IFERROR(__xludf.DUMMYFUNCTION("""COMPUTED_VALUE"""),"Conhecimento Técnico")</f>
        <v>Conhecimento Técnico</v>
      </c>
      <c r="I388" s="739" t="str">
        <f>IFERROR(__xludf.DUMMYFUNCTION("""COMPUTED_VALUE"""),"Gestão de Vendas")</f>
        <v>Gestão de Vendas</v>
      </c>
      <c r="J388" s="946" t="str">
        <f>IFERROR(__xludf.DUMMYFUNCTION("""COMPUTED_VALUE"""),"Ferramentas de Vendas")</f>
        <v>Ferramentas de Vendas</v>
      </c>
      <c r="K388" s="1001" t="str">
        <f>IFERROR(__xludf.DUMMYFUNCTION("""COMPUTED_VALUE"""),"https://universidade.pipelovers.net/m/lessons/aprendendo-com-seu-proprio-crm-insights-para-evoluir-sua-abordagem-1773693851517?moduleId=1248&amp;classId=3823")</f>
        <v>https://universidade.pipelovers.net/m/lessons/aprendendo-com-seu-proprio-crm-insights-para-evoluir-sua-abordagem-1773693851517?moduleId=1248&amp;classId=3823</v>
      </c>
      <c r="L388" s="1002"/>
      <c r="M388" s="412">
        <f>IFERROR(__xludf.DUMMYFUNCTION("""COMPUTED_VALUE"""),3.57)</f>
        <v>3.57</v>
      </c>
      <c r="N388" s="973"/>
      <c r="O388" s="974" t="str">
        <f>IFERROR(__xludf.DUMMYFUNCTION("""COMPUTED_VALUE"""),"")</f>
        <v/>
      </c>
      <c r="P388" s="977"/>
      <c r="Q388" s="974"/>
    </row>
    <row r="389">
      <c r="A389" s="964"/>
      <c r="B389" s="965" t="str">
        <f>IFERROR(__xludf.DUMMYFUNCTION("""COMPUTED_VALUE"""),"Executivos de Vendas")</f>
        <v>Executivos de Vendas</v>
      </c>
      <c r="C389" s="488" t="str">
        <f>IFERROR(__xludf.DUMMYFUNCTION("""COMPUTED_VALUE"""),"Estrutura de condução e apresentações de vendas")</f>
        <v>Estrutura de condução e apresentações de vendas</v>
      </c>
      <c r="D389" s="488" t="str">
        <f>IFERROR(__xludf.DUMMYFUNCTION("""COMPUTED_VALUE"""),"Rafael Faria")</f>
        <v>Rafael Faria</v>
      </c>
      <c r="E389" s="736" t="str">
        <f>IFERROR(__xludf.DUMMYFUNCTION("""COMPUTED_VALUE"""),"Founder")</f>
        <v>Founder</v>
      </c>
      <c r="F389" s="737" t="str">
        <f>IFERROR(__xludf.DUMMYFUNCTION("""COMPUTED_VALUE"""),"Winning Sales")</f>
        <v>Winning Sales</v>
      </c>
      <c r="G389" s="738" t="str">
        <f>IFERROR(__xludf.DUMMYFUNCTION("""COMPUTED_VALUE"""),"https://www.linkedin.com/in/rafael-morais-faria/")</f>
        <v>https://www.linkedin.com/in/rafael-morais-faria/</v>
      </c>
      <c r="H389" s="739" t="str">
        <f>IFERROR(__xludf.DUMMYFUNCTION("""COMPUTED_VALUE"""),"Técnicas de Vendas")</f>
        <v>Técnicas de Vendas</v>
      </c>
      <c r="I389" s="739" t="str">
        <f>IFERROR(__xludf.DUMMYFUNCTION("""COMPUTED_VALUE"""),"Pitch Comercial")</f>
        <v>Pitch Comercial</v>
      </c>
      <c r="J389" s="1004" t="str">
        <f>IFERROR(__xludf.DUMMYFUNCTION("""COMPUTED_VALUE"""),"Pitch Comercial")</f>
        <v>Pitch Comercial</v>
      </c>
      <c r="K389" s="1005" t="str">
        <f>IFERROR(__xludf.DUMMYFUNCTION("""COMPUTED_VALUE"""),"https://universidade.pipelovers.net/m/lessons/como-usar-o-whatsapp-para-vender-mais-1782496646812?moduleId=1500&amp;classId=4198")</f>
        <v>https://universidade.pipelovers.net/m/lessons/como-usar-o-whatsapp-para-vender-mais-1782496646812?moduleId=1500&amp;classId=4198</v>
      </c>
      <c r="L389" s="1002"/>
      <c r="M389" s="1006" t="str">
        <f>IFERROR(__xludf.DUMMYFUNCTION("""COMPUTED_VALUE"""),"4,50")</f>
        <v>4,50</v>
      </c>
      <c r="N389" s="973"/>
      <c r="O389" s="974" t="str">
        <f>IFERROR(__xludf.DUMMYFUNCTION("""COMPUTED_VALUE"""),"")</f>
        <v/>
      </c>
      <c r="P389" s="977"/>
      <c r="Q389" s="974"/>
    </row>
    <row r="390">
      <c r="A390" s="964"/>
      <c r="B390" s="965" t="str">
        <f>IFERROR(__xludf.DUMMYFUNCTION("""COMPUTED_VALUE"""),"Executivos de Vendas")</f>
        <v>Executivos de Vendas</v>
      </c>
      <c r="C390" s="488" t="str">
        <f>IFERROR(__xludf.DUMMYFUNCTION("""COMPUTED_VALUE"""),"Técnicas de Storytelling em Vendas")</f>
        <v>Técnicas de Storytelling em Vendas</v>
      </c>
      <c r="D390" s="488" t="str">
        <f>IFERROR(__xludf.DUMMYFUNCTION("""COMPUTED_VALUE"""),"Yago Baia")</f>
        <v>Yago Baia</v>
      </c>
      <c r="E390" s="736" t="str">
        <f>IFERROR(__xludf.DUMMYFUNCTION("""COMPUTED_VALUE"""),"Founder ")</f>
        <v>Founder </v>
      </c>
      <c r="F390" s="737" t="str">
        <f>IFERROR(__xludf.DUMMYFUNCTION("""COMPUTED_VALUE"""),"You Closer")</f>
        <v>You Closer</v>
      </c>
      <c r="G390" s="999" t="str">
        <f>IFERROR(__xludf.DUMMYFUNCTION("""COMPUTED_VALUE"""),"https://www.linkedin.com/in/oyagobaia/")</f>
        <v>https://www.linkedin.com/in/oyagobaia/</v>
      </c>
      <c r="H390" s="739" t="str">
        <f>IFERROR(__xludf.DUMMYFUNCTION("""COMPUTED_VALUE"""),"Relacionamento Interpessoal")</f>
        <v>Relacionamento Interpessoal</v>
      </c>
      <c r="I390" s="739" t="str">
        <f>IFERROR(__xludf.DUMMYFUNCTION("""COMPUTED_VALUE"""),"Comunicação e Relacionamento")</f>
        <v>Comunicação e Relacionamento</v>
      </c>
      <c r="J390" s="1004" t="str">
        <f>IFERROR(__xludf.DUMMYFUNCTION("""COMPUTED_VALUE"""),"Tecnicas de Rapport")</f>
        <v>Tecnicas de Rapport</v>
      </c>
      <c r="K390" s="1008" t="str">
        <f>IFERROR(__xludf.DUMMYFUNCTION("""COMPUTED_VALUE"""),"https://universidade.pipelovers.net/m/lessons/tecnicas-de-storytelling-em-vendas-1783082834091")</f>
        <v>https://universidade.pipelovers.net/m/lessons/tecnicas-de-storytelling-em-vendas-1783082834091</v>
      </c>
      <c r="L390" s="1002"/>
      <c r="M390" s="1006" t="str">
        <f>IFERROR(__xludf.DUMMYFUNCTION("""COMPUTED_VALUE"""),"4,00")</f>
        <v>4,00</v>
      </c>
      <c r="N390" s="973"/>
      <c r="O390" s="974" t="str">
        <f>IFERROR(__xludf.DUMMYFUNCTION("""COMPUTED_VALUE"""),"")</f>
        <v/>
      </c>
      <c r="P390" s="977"/>
      <c r="Q390" s="974"/>
    </row>
    <row r="391">
      <c r="A391" s="964"/>
      <c r="B391" s="965" t="str">
        <f>IFERROR(__xludf.DUMMYFUNCTION("""COMPUTED_VALUE"""),"Executivos de Vendas")</f>
        <v>Executivos de Vendas</v>
      </c>
      <c r="C391" s="488" t="str">
        <f>IFERROR(__xludf.DUMMYFUNCTION("""COMPUTED_VALUE"""),"Linguagem persuasiva na comunicação verbal e não-verbal")</f>
        <v>Linguagem persuasiva na comunicação verbal e não-verbal</v>
      </c>
      <c r="D391" s="488" t="str">
        <f>IFERROR(__xludf.DUMMYFUNCTION("""COMPUTED_VALUE"""),"Yago Baia")</f>
        <v>Yago Baia</v>
      </c>
      <c r="E391" s="736" t="str">
        <f>IFERROR(__xludf.DUMMYFUNCTION("""COMPUTED_VALUE"""),"Founder")</f>
        <v>Founder</v>
      </c>
      <c r="F391" s="737" t="str">
        <f>IFERROR(__xludf.DUMMYFUNCTION("""COMPUTED_VALUE"""),"You Closer")</f>
        <v>You Closer</v>
      </c>
      <c r="G391" s="999" t="str">
        <f>IFERROR(__xludf.DUMMYFUNCTION("""COMPUTED_VALUE"""),"https://www.linkedin.com/in/oyagobaia/")</f>
        <v>https://www.linkedin.com/in/oyagobaia/</v>
      </c>
      <c r="H391" s="739" t="str">
        <f>IFERROR(__xludf.DUMMYFUNCTION("""COMPUTED_VALUE"""),"Relacionamento Interpessoal")</f>
        <v>Relacionamento Interpessoal</v>
      </c>
      <c r="I391" s="739" t="str">
        <f>IFERROR(__xludf.DUMMYFUNCTION("""COMPUTED_VALUE"""),"Comunicação e Relacionamento")</f>
        <v>Comunicação e Relacionamento</v>
      </c>
      <c r="J391" s="1004" t="str">
        <f>IFERROR(__xludf.DUMMYFUNCTION("""COMPUTED_VALUE"""),"Tecnicas de Rapport")</f>
        <v>Tecnicas de Rapport</v>
      </c>
      <c r="K391" s="1008" t="str">
        <f>IFERROR(__xludf.DUMMYFUNCTION("""COMPUTED_VALUE"""),"https://universidade.pipelovers.net/m/lessons/linguagem-persuasiva-na-comunicacao-verbal-e-nao-verbal-1783082989459?moduleId=1463&amp;classId=4046")</f>
        <v>https://universidade.pipelovers.net/m/lessons/linguagem-persuasiva-na-comunicacao-verbal-e-nao-verbal-1783082989459?moduleId=1463&amp;classId=4046</v>
      </c>
      <c r="L391" s="1002"/>
      <c r="M391" s="1006" t="str">
        <f>IFERROR(__xludf.DUMMYFUNCTION("""COMPUTED_VALUE"""),"3,71")</f>
        <v>3,71</v>
      </c>
      <c r="N391" s="973"/>
      <c r="O391" s="974" t="str">
        <f>IFERROR(__xludf.DUMMYFUNCTION("""COMPUTED_VALUE"""),"")</f>
        <v/>
      </c>
      <c r="P391" s="977"/>
      <c r="Q391" s="974"/>
    </row>
    <row r="392">
      <c r="A392" s="964"/>
      <c r="B392" s="965" t="str">
        <f>IFERROR(__xludf.DUMMYFUNCTION("""COMPUTED_VALUE"""),"Executivos de Vendas")</f>
        <v>Executivos de Vendas</v>
      </c>
      <c r="C392" s="539" t="str">
        <f>IFERROR(__xludf.DUMMYFUNCTION("""COMPUTED_VALUE"""),"Oratória em reuniões e apresentações comerciais")</f>
        <v>Oratória em reuniões e apresentações comerciais</v>
      </c>
      <c r="D392" s="488" t="str">
        <f>IFERROR(__xludf.DUMMYFUNCTION("""COMPUTED_VALUE"""),"Yago Baia")</f>
        <v>Yago Baia</v>
      </c>
      <c r="E392" s="736" t="str">
        <f>IFERROR(__xludf.DUMMYFUNCTION("""COMPUTED_VALUE"""),"Founder")</f>
        <v>Founder</v>
      </c>
      <c r="F392" s="737" t="str">
        <f>IFERROR(__xludf.DUMMYFUNCTION("""COMPUTED_VALUE"""),"You Closer")</f>
        <v>You Closer</v>
      </c>
      <c r="G392" s="999" t="str">
        <f>IFERROR(__xludf.DUMMYFUNCTION("""COMPUTED_VALUE"""),"https://www.linkedin.com/in/oyagobaia/")</f>
        <v>https://www.linkedin.com/in/oyagobaia/</v>
      </c>
      <c r="H392" s="739" t="str">
        <f>IFERROR(__xludf.DUMMYFUNCTION("""COMPUTED_VALUE"""),"Relacionamento Interpessoal")</f>
        <v>Relacionamento Interpessoal</v>
      </c>
      <c r="I392" s="739" t="str">
        <f>IFERROR(__xludf.DUMMYFUNCTION("""COMPUTED_VALUE"""),"Comunicação e Relacionamento")</f>
        <v>Comunicação e Relacionamento</v>
      </c>
      <c r="J392" s="1004" t="str">
        <f>IFERROR(__xludf.DUMMYFUNCTION("""COMPUTED_VALUE"""),"Tecnicas de Rapport")</f>
        <v>Tecnicas de Rapport</v>
      </c>
      <c r="K392" s="1009" t="str">
        <f>IFERROR(__xludf.DUMMYFUNCTION("""COMPUTED_VALUE"""),"https://universidade.pipelovers.net/m/lessons/oratoria-em-reunioes-e-apresentacoes-comerciais-1783083122826?moduleId=1465&amp;classId=4047")</f>
        <v>https://universidade.pipelovers.net/m/lessons/oratoria-em-reunioes-e-apresentacoes-comerciais-1783083122826?moduleId=1465&amp;classId=4047</v>
      </c>
      <c r="L392" s="1002"/>
      <c r="M392" s="1006" t="str">
        <f>IFERROR(__xludf.DUMMYFUNCTION("""COMPUTED_VALUE"""),"4,36")</f>
        <v>4,36</v>
      </c>
      <c r="N392" s="973"/>
      <c r="O392" s="974" t="str">
        <f>IFERROR(__xludf.DUMMYFUNCTION("""COMPUTED_VALUE"""),"")</f>
        <v/>
      </c>
      <c r="P392" s="977"/>
      <c r="Q392" s="974"/>
    </row>
    <row r="393">
      <c r="A393" s="964"/>
      <c r="B393" s="965" t="str">
        <f>IFERROR(__xludf.DUMMYFUNCTION("""COMPUTED_VALUE"""),"Executivos de Vendas")</f>
        <v>Executivos de Vendas</v>
      </c>
      <c r="C393" s="488" t="str">
        <f>IFERROR(__xludf.DUMMYFUNCTION("""COMPUTED_VALUE"""),"Gatilhos Mentais para contorno de objeções e fechamento")</f>
        <v>Gatilhos Mentais para contorno de objeções e fechamento</v>
      </c>
      <c r="D393" s="488" t="str">
        <f>IFERROR(__xludf.DUMMYFUNCTION("""COMPUTED_VALUE"""),"Yago Baia")</f>
        <v>Yago Baia</v>
      </c>
      <c r="E393" s="736" t="str">
        <f>IFERROR(__xludf.DUMMYFUNCTION("""COMPUTED_VALUE"""),"Founder")</f>
        <v>Founder</v>
      </c>
      <c r="F393" s="737" t="str">
        <f>IFERROR(__xludf.DUMMYFUNCTION("""COMPUTED_VALUE"""),"You Closer")</f>
        <v>You Closer</v>
      </c>
      <c r="G393" s="999" t="str">
        <f>IFERROR(__xludf.DUMMYFUNCTION("""COMPUTED_VALUE"""),"https://www.linkedin.com/in/oyagobaia/")</f>
        <v>https://www.linkedin.com/in/oyagobaia/</v>
      </c>
      <c r="H393" s="739" t="str">
        <f>IFERROR(__xludf.DUMMYFUNCTION("""COMPUTED_VALUE"""),"Relacionamento Interpessoal")</f>
        <v>Relacionamento Interpessoal</v>
      </c>
      <c r="I393" s="739" t="str">
        <f>IFERROR(__xludf.DUMMYFUNCTION("""COMPUTED_VALUE"""),"Comunicação e Relacionamento")</f>
        <v>Comunicação e Relacionamento</v>
      </c>
      <c r="J393" s="979" t="str">
        <f>IFERROR(__xludf.DUMMYFUNCTION("""COMPUTED_VALUE"""),"Tecnicas de Rapport")</f>
        <v>Tecnicas de Rapport</v>
      </c>
      <c r="K393" s="1011" t="str">
        <f>IFERROR(__xludf.DUMMYFUNCTION("""COMPUTED_VALUE"""),"https://universidade.pipelovers.net/m/lessons/gatilhos-mentais-para-contorno-de-objecoes-e-fechamento-1783083248519?moduleId=1466&amp;classId=4048")</f>
        <v>https://universidade.pipelovers.net/m/lessons/gatilhos-mentais-para-contorno-de-objecoes-e-fechamento-1783083248519?moduleId=1466&amp;classId=4048</v>
      </c>
      <c r="L393" s="615"/>
      <c r="M393" s="412"/>
      <c r="N393" s="973"/>
      <c r="O393" s="974" t="str">
        <f>IFERROR(__xludf.DUMMYFUNCTION("""COMPUTED_VALUE"""),"")</f>
        <v/>
      </c>
      <c r="P393" s="977"/>
      <c r="Q393" s="974"/>
    </row>
    <row r="394">
      <c r="A394" s="964"/>
      <c r="B394" s="965" t="str">
        <f>IFERROR(__xludf.DUMMYFUNCTION("""COMPUTED_VALUE"""),"Executivos de Vendas")</f>
        <v>Executivos de Vendas</v>
      </c>
      <c r="C394" s="212" t="str">
        <f>IFERROR(__xludf.DUMMYFUNCTION("""COMPUTED_VALUE"""),"Carreira em Y para Vendedores")</f>
        <v>Carreira em Y para Vendedores</v>
      </c>
      <c r="D394" s="212" t="str">
        <f>IFERROR(__xludf.DUMMYFUNCTION("""COMPUTED_VALUE"""),"Glória Gruber")</f>
        <v>Glória Gruber</v>
      </c>
      <c r="E394" s="432" t="str">
        <f>IFERROR(__xludf.DUMMYFUNCTION("""COMPUTED_VALUE"""),"Mentora e Consultora de CS")</f>
        <v>Mentora e Consultora de CS</v>
      </c>
      <c r="F394" s="432" t="str">
        <f>IFERROR(__xludf.DUMMYFUNCTION("""COMPUTED_VALUE"""),"Café com CS")</f>
        <v>Café com CS</v>
      </c>
      <c r="G394" s="465" t="str">
        <f>IFERROR(__xludf.DUMMYFUNCTION("""COMPUTED_VALUE"""),"https://www.linkedin.com/in/gloriagruberr/")</f>
        <v>https://www.linkedin.com/in/gloriagruberr/</v>
      </c>
      <c r="H394" s="195" t="str">
        <f>IFERROR(__xludf.DUMMYFUNCTION("""COMPUTED_VALUE"""),"Relacionamento Interpessoal")</f>
        <v>Relacionamento Interpessoal</v>
      </c>
      <c r="I394" s="195" t="str">
        <f>IFERROR(__xludf.DUMMYFUNCTION("""COMPUTED_VALUE"""),"Liderança e Influência")</f>
        <v>Liderança e Influência</v>
      </c>
      <c r="J394" s="946" t="str">
        <f>IFERROR(__xludf.DUMMYFUNCTION("""COMPUTED_VALUE"""),"Credibilidade e Reputação")</f>
        <v>Credibilidade e Reputação</v>
      </c>
      <c r="K394" s="1014" t="str">
        <f>IFERROR(__xludf.DUMMYFUNCTION("""COMPUTED_VALUE"""),"https://universidade.pipelovers.net/m/lessons/carreira-em-y-para-vendedores-1784051791931?moduleId=1511&amp;classId=4210")</f>
        <v>https://universidade.pipelovers.net/m/lessons/carreira-em-y-para-vendedores-1784051791931?moduleId=1511&amp;classId=4210</v>
      </c>
      <c r="L394" s="1002"/>
      <c r="M394" s="1006" t="str">
        <f>IFERROR(__xludf.DUMMYFUNCTION("""COMPUTED_VALUE"""),"3,21")</f>
        <v>3,21</v>
      </c>
      <c r="N394" s="973"/>
      <c r="O394" s="974" t="str">
        <f>IFERROR(__xludf.DUMMYFUNCTION("""COMPUTED_VALUE"""),"")</f>
        <v/>
      </c>
      <c r="P394" s="977"/>
      <c r="Q394" s="974"/>
    </row>
    <row r="395">
      <c r="A395" s="964"/>
      <c r="B395" s="965" t="str">
        <f>IFERROR(__xludf.DUMMYFUNCTION("""COMPUTED_VALUE"""),"Executivos de Vendas")</f>
        <v>Executivos de Vendas</v>
      </c>
      <c r="C395" s="210" t="str">
        <f>IFERROR(__xludf.DUMMYFUNCTION("""COMPUTED_VALUE"""),"Work-life Balance: técnicas para um equilibrio saudável")</f>
        <v>Work-life Balance: técnicas para um equilibrio saudável</v>
      </c>
      <c r="D395" s="210" t="str">
        <f>IFERROR(__xludf.DUMMYFUNCTION("""COMPUTED_VALUE"""),"Juliana Candido")</f>
        <v>Juliana Candido</v>
      </c>
      <c r="E395" s="406" t="str">
        <f>IFERROR(__xludf.DUMMYFUNCTION("""COMPUTED_VALUE"""),"Headhunter")</f>
        <v>Headhunter</v>
      </c>
      <c r="F395" s="406" t="str">
        <f>IFERROR(__xludf.DUMMYFUNCTION("""COMPUTED_VALUE"""),"Sales Hunter")</f>
        <v>Sales Hunter</v>
      </c>
      <c r="G395" s="463" t="str">
        <f>IFERROR(__xludf.DUMMYFUNCTION("""COMPUTED_VALUE"""),"https://www.linkedin.com/in/juliana-c%C3%A2ndido-consultora/")</f>
        <v>https://www.linkedin.com/in/juliana-c%C3%A2ndido-consultora/</v>
      </c>
      <c r="H395" s="241" t="str">
        <f>IFERROR(__xludf.DUMMYFUNCTION("""COMPUTED_VALUE"""),"Autodesenvolvimento")</f>
        <v>Autodesenvolvimento</v>
      </c>
      <c r="I395" s="241" t="str">
        <f>IFERROR(__xludf.DUMMYFUNCTION("""COMPUTED_VALUE"""),"Gestão do Tempo e de Informação")</f>
        <v>Gestão do Tempo e de Informação</v>
      </c>
      <c r="J395" s="946" t="str">
        <f>IFERROR(__xludf.DUMMYFUNCTION("""COMPUTED_VALUE"""),"Gatilhos de Stress")</f>
        <v>Gatilhos de Stress</v>
      </c>
      <c r="K395" s="1016" t="str">
        <f>IFERROR(__xludf.DUMMYFUNCTION("""COMPUTED_VALUE"""),"https://universidade.pipelovers.net/m/lessons/work-life-balance-tecnicas-para-um-equilibrio-saudavel-1786642905274?moduleId=1588&amp;classId=4479")</f>
        <v>https://universidade.pipelovers.net/m/lessons/work-life-balance-tecnicas-para-um-equilibrio-saudavel-1786642905274?moduleId=1588&amp;classId=4479</v>
      </c>
      <c r="L395" s="1002"/>
      <c r="M395" s="1006" t="str">
        <f>IFERROR(__xludf.DUMMYFUNCTION("""COMPUTED_VALUE"""),"3,07")</f>
        <v>3,07</v>
      </c>
      <c r="N395" s="973"/>
      <c r="O395" s="974" t="str">
        <f>IFERROR(__xludf.DUMMYFUNCTION("""COMPUTED_VALUE"""),"")</f>
        <v/>
      </c>
      <c r="P395" s="977"/>
      <c r="Q395" s="974"/>
    </row>
    <row r="396">
      <c r="A396" s="964"/>
      <c r="B396" s="965" t="str">
        <f>IFERROR(__xludf.DUMMYFUNCTION("""COMPUTED_VALUE"""),"Executivos de Vendas")</f>
        <v>Executivos de Vendas</v>
      </c>
      <c r="C396" s="212" t="str">
        <f>IFERROR(__xludf.DUMMYFUNCTION("""COMPUTED_VALUE"""),"Como funciona uma área de compras profissional")</f>
        <v>Como funciona uma área de compras profissional</v>
      </c>
      <c r="D396" s="212" t="str">
        <f>IFERROR(__xludf.DUMMYFUNCTION("""COMPUTED_VALUE"""),"Arthur Cesmegi")</f>
        <v>Arthur Cesmegi</v>
      </c>
      <c r="E396" s="432" t="str">
        <f>IFERROR(__xludf.DUMMYFUNCTION("""COMPUTED_VALUE"""),"Coordenador de Compras Serviços Logísticos &amp; Fretes")</f>
        <v>Coordenador de Compras Serviços Logísticos &amp; Fretes</v>
      </c>
      <c r="F396" s="432" t="str">
        <f>IFERROR(__xludf.DUMMYFUNCTION("""COMPUTED_VALUE"""),"Viveo")</f>
        <v>Viveo</v>
      </c>
      <c r="G396" s="465" t="str">
        <f>IFERROR(__xludf.DUMMYFUNCTION("""COMPUTED_VALUE"""),"https://www.linkedin.com/in/arthurcesmegi/")</f>
        <v>https://www.linkedin.com/in/arthurcesmegi/</v>
      </c>
      <c r="H396" s="195" t="str">
        <f>IFERROR(__xludf.DUMMYFUNCTION("""COMPUTED_VALUE"""),"Tendências de Mercado")</f>
        <v>Tendências de Mercado</v>
      </c>
      <c r="I396" s="195" t="str">
        <f>IFERROR(__xludf.DUMMYFUNCTION("""COMPUTED_VALUE"""),"Perfil do Comprador B2B")</f>
        <v>Perfil do Comprador B2B</v>
      </c>
      <c r="J396" s="993" t="str">
        <f>IFERROR(__xludf.DUMMYFUNCTION("""COMPUTED_VALUE"""),"Ciclo de Vida de Produto")</f>
        <v>Ciclo de Vida de Produto</v>
      </c>
      <c r="K396" s="1014" t="str">
        <f>IFERROR(__xludf.DUMMYFUNCTION("""COMPUTED_VALUE"""),"https://universidade.pipelovers.net/m/lessons/como-funciona-uma-area-de-compras-profissional-1785516437812?moduleId=1579&amp;classId=4454")</f>
        <v>https://universidade.pipelovers.net/m/lessons/como-funciona-uma-area-de-compras-profissional-1785516437812?moduleId=1579&amp;classId=4454</v>
      </c>
      <c r="L396" s="615"/>
      <c r="M396" s="1006" t="str">
        <f>IFERROR(__xludf.DUMMYFUNCTION("""COMPUTED_VALUE"""),"4,21")</f>
        <v>4,21</v>
      </c>
      <c r="N396" s="973"/>
      <c r="O396" s="974" t="str">
        <f>IFERROR(__xludf.DUMMYFUNCTION("""COMPUTED_VALUE"""),"")</f>
        <v/>
      </c>
      <c r="P396" s="977"/>
      <c r="Q396" s="974"/>
    </row>
    <row r="397">
      <c r="A397" s="964"/>
      <c r="B397" s="965" t="str">
        <f>IFERROR(__xludf.DUMMYFUNCTION("""COMPUTED_VALUE"""),"Executivos de Vendas")</f>
        <v>Executivos de Vendas</v>
      </c>
      <c r="C397" s="246" t="str">
        <f>IFERROR(__xludf.DUMMYFUNCTION("""COMPUTED_VALUE"""),"Técnica de ""Carrapato"": aprenda observando os top performers")</f>
        <v>Técnica de "Carrapato": aprenda observando os top performers</v>
      </c>
      <c r="D397" s="210" t="str">
        <f>IFERROR(__xludf.DUMMYFUNCTION("""COMPUTED_VALUE"""),"Enrico Mazon")</f>
        <v>Enrico Mazon</v>
      </c>
      <c r="E397" s="406" t="str">
        <f>IFERROR(__xludf.DUMMYFUNCTION("""COMPUTED_VALUE"""),"Founder &amp; COO")</f>
        <v>Founder &amp; COO</v>
      </c>
      <c r="F397" s="406" t="str">
        <f>IFERROR(__xludf.DUMMYFUNCTION("""COMPUTED_VALUE"""),"Sales Rocket")</f>
        <v>Sales Rocket</v>
      </c>
      <c r="G397" s="463" t="str">
        <f>IFERROR(__xludf.DUMMYFUNCTION("""COMPUTED_VALUE"""),"https://www.linkedin.com/in/enrico-bianchi-mazon-ba80171a4/")</f>
        <v>https://www.linkedin.com/in/enrico-bianchi-mazon-ba80171a4/</v>
      </c>
      <c r="H397" s="241" t="str">
        <f>IFERROR(__xludf.DUMMYFUNCTION("""COMPUTED_VALUE"""),"Autodesenvolvimento")</f>
        <v>Autodesenvolvimento</v>
      </c>
      <c r="I397" s="241" t="str">
        <f>IFERROR(__xludf.DUMMYFUNCTION("""COMPUTED_VALUE"""),"Aprendizado Ativo")</f>
        <v>Aprendizado Ativo</v>
      </c>
      <c r="J397" s="946" t="str">
        <f>IFERROR(__xludf.DUMMYFUNCTION("""COMPUTED_VALUE"""),"Benchmarking")</f>
        <v>Benchmarking</v>
      </c>
      <c r="K397" s="1024" t="str">
        <f>IFERROR(__xludf.DUMMYFUNCTION("""COMPUTED_VALUE"""),"https://universidade.pipelovers.net/m/lessons/tecnica-de-carrapato-aprenda-observando-os-top-performers-1785436105991?moduleId=1578&amp;classId=4453")</f>
        <v>https://universidade.pipelovers.net/m/lessons/tecnica-de-carrapato-aprenda-observando-os-top-performers-1785436105991?moduleId=1578&amp;classId=4453</v>
      </c>
      <c r="L397" s="1002"/>
      <c r="M397" s="412">
        <f>IFERROR(__xludf.DUMMYFUNCTION("""COMPUTED_VALUE"""),3.21)</f>
        <v>3.21</v>
      </c>
      <c r="N397" s="973"/>
      <c r="O397" s="974" t="str">
        <f>IFERROR(__xludf.DUMMYFUNCTION("""COMPUTED_VALUE"""),"")</f>
        <v/>
      </c>
      <c r="P397" s="977"/>
      <c r="Q397" s="974"/>
    </row>
    <row r="398">
      <c r="A398" s="964"/>
      <c r="B398" s="965" t="str">
        <f>IFERROR(__xludf.DUMMYFUNCTION("""COMPUTED_VALUE"""),"Executivos de Vendas")</f>
        <v>Executivos de Vendas</v>
      </c>
      <c r="C398" s="488" t="str">
        <f>IFERROR(__xludf.DUMMYFUNCTION("""COMPUTED_VALUE"""),"Fundamentos e preparação da negociação B2B")</f>
        <v>Fundamentos e preparação da negociação B2B</v>
      </c>
      <c r="D398" s="488" t="str">
        <f>IFERROR(__xludf.DUMMYFUNCTION("""COMPUTED_VALUE"""),"Ronaldo Nunes")</f>
        <v>Ronaldo Nunes</v>
      </c>
      <c r="E398" s="736" t="str">
        <f>IFERROR(__xludf.DUMMYFUNCTION("""COMPUTED_VALUE"""),"Fundador | Treinador | Palestrante")</f>
        <v>Fundador | Treinador | Palestrante</v>
      </c>
      <c r="F398" s="737" t="str">
        <f>IFERROR(__xludf.DUMMYFUNCTION("""COMPUTED_VALUE"""),"Vector Soluções")</f>
        <v>Vector Soluções</v>
      </c>
      <c r="G398" s="999" t="str">
        <f>IFERROR(__xludf.DUMMYFUNCTION("""COMPUTED_VALUE"""),"https://www.linkedin.com/in/ronaldonunes/")</f>
        <v>https://www.linkedin.com/in/ronaldonunes/</v>
      </c>
      <c r="H398" s="739" t="str">
        <f>IFERROR(__xludf.DUMMYFUNCTION("""COMPUTED_VALUE"""),"Técnicas de Vendas")</f>
        <v>Técnicas de Vendas</v>
      </c>
      <c r="I398" s="739" t="str">
        <f>IFERROR(__xludf.DUMMYFUNCTION("""COMPUTED_VALUE"""),"Negociação e Fechamento de Vendas")</f>
        <v>Negociação e Fechamento de Vendas</v>
      </c>
      <c r="J398" s="979" t="str">
        <f>IFERROR(__xludf.DUMMYFUNCTION("""COMPUTED_VALUE"""),"Negociação para Vendedores B2B")</f>
        <v>Negociação para Vendedores B2B</v>
      </c>
      <c r="K398" s="1031" t="str">
        <f>IFERROR(__xludf.DUMMYFUNCTION("""COMPUTED_VALUE"""),"https://universidade.pipelovers.net/m/lessons/fundamentos-e-preparacao-da-negociacao-b2b-1787581524133?moduleId=1604&amp;classId=4496")</f>
        <v>https://universidade.pipelovers.net/m/lessons/fundamentos-e-preparacao-da-negociacao-b2b-1787581524133?moduleId=1604&amp;classId=4496</v>
      </c>
      <c r="L398" s="1002"/>
      <c r="M398" s="1006" t="str">
        <f>IFERROR(__xludf.DUMMYFUNCTION("""COMPUTED_VALUE"""),"3,93")</f>
        <v>3,93</v>
      </c>
      <c r="N398" s="973"/>
      <c r="O398" s="974" t="str">
        <f>IFERROR(__xludf.DUMMYFUNCTION("""COMPUTED_VALUE"""),"")</f>
        <v/>
      </c>
      <c r="P398" s="977"/>
      <c r="Q398" s="974"/>
    </row>
    <row r="399">
      <c r="A399" s="964"/>
      <c r="B399" s="965" t="str">
        <f>IFERROR(__xludf.DUMMYFUNCTION("""COMPUTED_VALUE"""),"Executivos de Vendas")</f>
        <v>Executivos de Vendas</v>
      </c>
      <c r="C399" s="488" t="str">
        <f>IFERROR(__xludf.DUMMYFUNCTION("""COMPUTED_VALUE"""),"Arquitetura de concessões: ceder sem destruir margem")</f>
        <v>Arquitetura de concessões: ceder sem destruir margem</v>
      </c>
      <c r="D399" s="488" t="str">
        <f>IFERROR(__xludf.DUMMYFUNCTION("""COMPUTED_VALUE"""),"Jorge Galvão")</f>
        <v>Jorge Galvão</v>
      </c>
      <c r="E399" s="736" t="str">
        <f>IFERROR(__xludf.DUMMYFUNCTION("""COMPUTED_VALUE"""),"Professor / Palestrante")</f>
        <v>Professor / Palestrante</v>
      </c>
      <c r="F399" s="737" t="str">
        <f>IFERROR(__xludf.DUMMYFUNCTION("""COMPUTED_VALUE"""),"Live University")</f>
        <v>Live University</v>
      </c>
      <c r="G399" s="999" t="str">
        <f>IFERROR(__xludf.DUMMYFUNCTION("""COMPUTED_VALUE"""),"https://www.linkedin.com/in/jorgegalvao10/")</f>
        <v>https://www.linkedin.com/in/jorgegalvao10/</v>
      </c>
      <c r="H399" s="739" t="str">
        <f>IFERROR(__xludf.DUMMYFUNCTION("""COMPUTED_VALUE"""),"Conhecimento Técnico")</f>
        <v>Conhecimento Técnico</v>
      </c>
      <c r="I399" s="739" t="str">
        <f>IFERROR(__xludf.DUMMYFUNCTION("""COMPUTED_VALUE"""),"Técnicas de Vendas")</f>
        <v>Técnicas de Vendas</v>
      </c>
      <c r="J399" s="979" t="str">
        <f>IFERROR(__xludf.DUMMYFUNCTION("""COMPUTED_VALUE"""),"Negociação e Fechamento de Vendas")</f>
        <v>Negociação e Fechamento de Vendas</v>
      </c>
      <c r="K399" s="1011" t="str">
        <f>IFERROR(__xludf.DUMMYFUNCTION("""COMPUTED_VALUE"""),"https://universidade.pipelovers.net/m/lessons/arquitetura-de-concessoes-ceder-sem-destruir-margem-1787581737845?moduleId=1605&amp;classId=4497")</f>
        <v>https://universidade.pipelovers.net/m/lessons/arquitetura-de-concessoes-ceder-sem-destruir-margem-1787581737845?moduleId=1605&amp;classId=4497</v>
      </c>
      <c r="L399" s="1002"/>
      <c r="M399" s="412"/>
      <c r="N399" s="973"/>
      <c r="O399" s="974" t="str">
        <f>IFERROR(__xludf.DUMMYFUNCTION("""COMPUTED_VALUE"""),"")</f>
        <v/>
      </c>
      <c r="P399" s="977"/>
      <c r="Q399" s="974"/>
    </row>
    <row r="400">
      <c r="A400" s="964"/>
      <c r="B400" s="965" t="str">
        <f>IFERROR(__xludf.DUMMYFUNCTION("""COMPUTED_VALUE"""),"Executivos de Vendas")</f>
        <v>Executivos de Vendas</v>
      </c>
      <c r="C400" s="488" t="str">
        <f>IFERROR(__xludf.DUMMYFUNCTION("""COMPUTED_VALUE"""),"Como destravar fechamentos no final de mês")</f>
        <v>Como destravar fechamentos no final de mês</v>
      </c>
      <c r="D400" s="488" t="str">
        <f>IFERROR(__xludf.DUMMYFUNCTION("""COMPUTED_VALUE"""),"Ronaldo Nunes")</f>
        <v>Ronaldo Nunes</v>
      </c>
      <c r="E400" s="736" t="str">
        <f>IFERROR(__xludf.DUMMYFUNCTION("""COMPUTED_VALUE"""),"Fundador | Treinador | Palestrante")</f>
        <v>Fundador | Treinador | Palestrante</v>
      </c>
      <c r="F400" s="737" t="str">
        <f>IFERROR(__xludf.DUMMYFUNCTION("""COMPUTED_VALUE"""),"Vector Soluções")</f>
        <v>Vector Soluções</v>
      </c>
      <c r="G400" s="999" t="str">
        <f>IFERROR(__xludf.DUMMYFUNCTION("""COMPUTED_VALUE"""),"https://www.linkedin.com/in/ronaldonunes/")</f>
        <v>https://www.linkedin.com/in/ronaldonunes/</v>
      </c>
      <c r="H400" s="739" t="str">
        <f>IFERROR(__xludf.DUMMYFUNCTION("""COMPUTED_VALUE"""),"Conhecimento Técnico")</f>
        <v>Conhecimento Técnico</v>
      </c>
      <c r="I400" s="739" t="str">
        <f>IFERROR(__xludf.DUMMYFUNCTION("""COMPUTED_VALUE"""),"Técnicas de Vendas")</f>
        <v>Técnicas de Vendas</v>
      </c>
      <c r="J400" s="979" t="str">
        <f>IFERROR(__xludf.DUMMYFUNCTION("""COMPUTED_VALUE"""),"Negociação e Fechamento de Vendas")</f>
        <v>Negociação e Fechamento de Vendas</v>
      </c>
      <c r="K400" s="1031" t="str">
        <f>IFERROR(__xludf.DUMMYFUNCTION("""COMPUTED_VALUE"""),"https://universidade.pipelovers.net/m/lessons/como-destravar-fechamentos-no-final-de-mes-1787581891095?moduleId=1606&amp;classId=4498")</f>
        <v>https://universidade.pipelovers.net/m/lessons/como-destravar-fechamentos-no-final-de-mes-1787581891095?moduleId=1606&amp;classId=4498</v>
      </c>
      <c r="L400" s="615"/>
      <c r="M400" s="1006" t="str">
        <f>IFERROR(__xludf.DUMMYFUNCTION("""COMPUTED_VALUE"""),"3,43")</f>
        <v>3,43</v>
      </c>
      <c r="N400" s="973"/>
      <c r="O400" s="974" t="str">
        <f>IFERROR(__xludf.DUMMYFUNCTION("""COMPUTED_VALUE"""),"")</f>
        <v/>
      </c>
      <c r="P400" s="977"/>
      <c r="Q400" s="974"/>
    </row>
    <row r="401">
      <c r="A401" s="964"/>
      <c r="B401" s="965" t="str">
        <f>IFERROR(__xludf.DUMMYFUNCTION("""COMPUTED_VALUE"""),"Executivos de Vendas")</f>
        <v>Executivos de Vendas</v>
      </c>
      <c r="C401" s="488" t="str">
        <f>IFERROR(__xludf.DUMMYFUNCTION("""COMPUTED_VALUE"""),"Business Case: como provar o ROI ao cliente")</f>
        <v>Business Case: como provar o ROI ao cliente</v>
      </c>
      <c r="D401" s="488" t="str">
        <f>IFERROR(__xludf.DUMMYFUNCTION("""COMPUTED_VALUE"""),"Andrey D’Almeida")</f>
        <v>Andrey D’Almeida</v>
      </c>
      <c r="E401" s="736" t="str">
        <f>IFERROR(__xludf.DUMMYFUNCTION("""COMPUTED_VALUE"""),"Head Of Sales e CS")</f>
        <v>Head Of Sales e CS</v>
      </c>
      <c r="F401" s="737" t="str">
        <f>IFERROR(__xludf.DUMMYFUNCTION("""COMPUTED_VALUE"""),"DigAÍ")</f>
        <v>DigAÍ</v>
      </c>
      <c r="G401" s="999" t="str">
        <f>IFERROR(__xludf.DUMMYFUNCTION("""COMPUTED_VALUE"""),"https://www.linkedin.com/in/andrey-d%E2%80%99almeida-ba6b8853/")</f>
        <v>https://www.linkedin.com/in/andrey-d%E2%80%99almeida-ba6b8853/</v>
      </c>
      <c r="H401" s="739" t="str">
        <f>IFERROR(__xludf.DUMMYFUNCTION("""COMPUTED_VALUE"""),"Conhecimento Técnico")</f>
        <v>Conhecimento Técnico</v>
      </c>
      <c r="I401" s="739" t="str">
        <f>IFERROR(__xludf.DUMMYFUNCTION("""COMPUTED_VALUE"""),"Pensamento Crítico")</f>
        <v>Pensamento Crítico</v>
      </c>
      <c r="J401" s="979" t="str">
        <f>IFERROR(__xludf.DUMMYFUNCTION("""COMPUTED_VALUE"""),"ROI")</f>
        <v>ROI</v>
      </c>
      <c r="K401" s="1011" t="str">
        <f>IFERROR(__xludf.DUMMYFUNCTION("""COMPUTED_VALUE"""),"https://universidade.pipelovers.net/m/lessons/business-case-como-provar-o-roi-ao-cliente-1788462678927?moduleId=1641&amp;classId=4548")</f>
        <v>https://universidade.pipelovers.net/m/lessons/business-case-como-provar-o-roi-ao-cliente-1788462678927?moduleId=1641&amp;classId=4548</v>
      </c>
      <c r="L401" s="1002"/>
      <c r="M401" s="412">
        <f>IFERROR(__xludf.DUMMYFUNCTION("""COMPUTED_VALUE"""),3.21)</f>
        <v>3.21</v>
      </c>
      <c r="N401" s="973"/>
      <c r="O401" s="974" t="str">
        <f>IFERROR(__xludf.DUMMYFUNCTION("""COMPUTED_VALUE"""),"")</f>
        <v/>
      </c>
      <c r="P401" s="977"/>
      <c r="Q401" s="974"/>
    </row>
    <row r="402">
      <c r="A402" s="964"/>
      <c r="B402" s="965" t="str">
        <f>IFERROR(__xludf.DUMMYFUNCTION("""COMPUTED_VALUE"""),"Executivos de Vendas")</f>
        <v>Executivos de Vendas</v>
      </c>
      <c r="C402" s="488" t="str">
        <f>IFERROR(__xludf.DUMMYFUNCTION("""COMPUTED_VALUE"""),"Payback e TCO: como defender valor sem conceder descontos")</f>
        <v>Payback e TCO: como defender valor sem conceder descontos</v>
      </c>
      <c r="D402" s="488" t="str">
        <f>IFERROR(__xludf.DUMMYFUNCTION("""COMPUTED_VALUE"""),"Rogério Mello")</f>
        <v>Rogério Mello</v>
      </c>
      <c r="E402" s="736" t="str">
        <f>IFERROR(__xludf.DUMMYFUNCTION("""COMPUTED_VALUE"""),"Fundador e Consultor de Estratégia Comercial")</f>
        <v>Fundador e Consultor de Estratégia Comercial</v>
      </c>
      <c r="F402" s="737" t="str">
        <f>IFERROR(__xludf.DUMMYFUNCTION("""COMPUTED_VALUE"""),"RJ DIGITAL")</f>
        <v>RJ DIGITAL</v>
      </c>
      <c r="G402" s="999" t="str">
        <f>IFERROR(__xludf.DUMMYFUNCTION("""COMPUTED_VALUE"""),"https://www.linkedin.com/in/rogeriomellojr/")</f>
        <v>https://www.linkedin.com/in/rogeriomellojr/</v>
      </c>
      <c r="H402" s="739" t="str">
        <f>IFERROR(__xludf.DUMMYFUNCTION("""COMPUTED_VALUE"""),"Visão de Negócios")</f>
        <v>Visão de Negócios</v>
      </c>
      <c r="I402" s="739" t="str">
        <f>IFERROR(__xludf.DUMMYFUNCTION("""COMPUTED_VALUE"""),"Tendências de Mercado")</f>
        <v>Tendências de Mercado</v>
      </c>
      <c r="J402" s="1034" t="str">
        <f>IFERROR(__xludf.DUMMYFUNCTION("""COMPUTED_VALUE"""),"Unit Economics")</f>
        <v>Unit Economics</v>
      </c>
      <c r="K402" s="1035" t="str">
        <f>IFERROR(__xludf.DUMMYFUNCTION("""COMPUTED_VALUE"""),"https://universidade.pipelovers.net/m/lessons/payback-e-tco-como-defender-valor-sem-conceder-descontos-1789158618034?moduleId=1667&amp;classId=4603")</f>
        <v>https://universidade.pipelovers.net/m/lessons/payback-e-tco-como-defender-valor-sem-conceder-descontos-1789158618034?moduleId=1667&amp;classId=4603</v>
      </c>
      <c r="L402" s="1002"/>
      <c r="M402" s="1006" t="str">
        <f>IFERROR(__xludf.DUMMYFUNCTION("""COMPUTED_VALUE"""),"3,29")</f>
        <v>3,29</v>
      </c>
      <c r="N402" s="973"/>
      <c r="O402" s="974" t="str">
        <f>IFERROR(__xludf.DUMMYFUNCTION("""COMPUTED_VALUE"""),"")</f>
        <v/>
      </c>
      <c r="P402" s="977"/>
      <c r="Q402" s="974"/>
    </row>
    <row r="403">
      <c r="A403" s="964"/>
      <c r="B403" s="965" t="str">
        <f>IFERROR(__xludf.DUMMYFUNCTION("""COMPUTED_VALUE"""),"Executivos de Vendas")</f>
        <v>Executivos de Vendas</v>
      </c>
      <c r="C403" s="741" t="str">
        <f>IFERROR(__xludf.DUMMYFUNCTION("""COMPUTED_VALUE"""),"Sinais que seu cliente mente para você")</f>
        <v>Sinais que seu cliente mente para você</v>
      </c>
      <c r="D403" s="741" t="str">
        <f>IFERROR(__xludf.DUMMYFUNCTION("""COMPUTED_VALUE"""),"Neto Moura")</f>
        <v>Neto Moura</v>
      </c>
      <c r="E403" s="1036" t="str">
        <f>IFERROR(__xludf.DUMMYFUNCTION("""COMPUTED_VALUE"""),"Co-Founder")</f>
        <v>Co-Founder</v>
      </c>
      <c r="F403" s="1037" t="str">
        <f>IFERROR(__xludf.DUMMYFUNCTION("""COMPUTED_VALUE"""),"EXIT´s Business Development")</f>
        <v>EXIT´s Business Development</v>
      </c>
      <c r="G403" s="1039" t="str">
        <f>IFERROR(__xludf.DUMMYFUNCTION("""COMPUTED_VALUE"""),"https://www.linkedin.com/in/nestorneto130482/")</f>
        <v>https://www.linkedin.com/in/nestorneto130482/</v>
      </c>
      <c r="H403" s="739" t="str">
        <f>IFERROR(__xludf.DUMMYFUNCTION("""COMPUTED_VALUE"""),"Relacionamento Interpessoal")</f>
        <v>Relacionamento Interpessoal</v>
      </c>
      <c r="I403" s="739" t="str">
        <f>IFERROR(__xludf.DUMMYFUNCTION("""COMPUTED_VALUE"""),"Comunicação e Relacionamento")</f>
        <v>Comunicação e Relacionamento</v>
      </c>
      <c r="J403" s="979" t="str">
        <f>IFERROR(__xludf.DUMMYFUNCTION("""COMPUTED_VALUE"""),"Escuta Ativa")</f>
        <v>Escuta Ativa</v>
      </c>
      <c r="K403" s="1031" t="str">
        <f>IFERROR(__xludf.DUMMYFUNCTION("""COMPUTED_VALUE"""),"https://universidade.pipelovers.net/m/lessons/sinais-que-seu-cliente-mente-para-voce-1790084891289?moduleId=1694&amp;classId=4631")</f>
        <v>https://universidade.pipelovers.net/m/lessons/sinais-que-seu-cliente-mente-para-voce-1790084891289?moduleId=1694&amp;classId=4631</v>
      </c>
      <c r="L403" s="1002"/>
      <c r="M403" s="1006"/>
      <c r="N403" s="973"/>
      <c r="O403" s="974" t="str">
        <f>IFERROR(__xludf.DUMMYFUNCTION("""COMPUTED_VALUE"""),"")</f>
        <v/>
      </c>
      <c r="P403" s="977"/>
      <c r="Q403" s="974"/>
    </row>
    <row r="404">
      <c r="A404" s="964"/>
      <c r="B404" s="1040" t="str">
        <f>IFERROR(__xludf.DUMMYFUNCTION("""COMPUTED_VALUE"""),"Executivos de Vendas")</f>
        <v>Executivos de Vendas</v>
      </c>
      <c r="C404" s="672" t="str">
        <f>IFERROR(__xludf.DUMMYFUNCTION("""COMPUTED_VALUE"""),"Técnica de ""Time Blocking"": foco e gestão de tempo")</f>
        <v>Técnica de "Time Blocking": foco e gestão de tempo</v>
      </c>
      <c r="D404" s="672" t="str">
        <f>IFERROR(__xludf.DUMMYFUNCTION("""COMPUTED_VALUE"""),"Éverton Sbruzzi")</f>
        <v>Éverton Sbruzzi</v>
      </c>
      <c r="E404" s="966" t="str">
        <f>IFERROR(__xludf.DUMMYFUNCTION("""COMPUTED_VALUE"""),"Diretor Comercial")</f>
        <v>Diretor Comercial</v>
      </c>
      <c r="F404" s="967" t="str">
        <f>IFERROR(__xludf.DUMMYFUNCTION("""COMPUTED_VALUE"""),"Mercado Eletrônico")</f>
        <v>Mercado Eletrônico</v>
      </c>
      <c r="G404" s="1041" t="str">
        <f>IFERROR(__xludf.DUMMYFUNCTION("""COMPUTED_VALUE"""),"https://www.linkedin.com/in/evertonsbruzzi/")</f>
        <v>https://www.linkedin.com/in/evertonsbruzzi/</v>
      </c>
      <c r="H404" s="969" t="str">
        <f>IFERROR(__xludf.DUMMYFUNCTION("""COMPUTED_VALUE"""),"Autodesenvolvimento")</f>
        <v>Autodesenvolvimento</v>
      </c>
      <c r="I404" s="969" t="str">
        <f>IFERROR(__xludf.DUMMYFUNCTION("""COMPUTED_VALUE"""),"Gestão de Tempo e da Informação")</f>
        <v>Gestão de Tempo e da Informação</v>
      </c>
      <c r="J404" s="970"/>
      <c r="K404" s="1042" t="str">
        <f>IFERROR(__xludf.DUMMYFUNCTION("""COMPUTED_VALUE"""),"https://universidade.pipelovers.net/m/lessons/tecnica-de-time-blocking-foco-e-gestao-de-tempo-1790085027422?moduleId=1695&amp;classId=4632")</f>
        <v>https://universidade.pipelovers.net/m/lessons/tecnica-de-time-blocking-foco-e-gestao-de-tempo-1790085027422?moduleId=1695&amp;classId=4632</v>
      </c>
      <c r="L404" s="981" t="str">
        <f>IFERROR(__xludf.DUMMYFUNCTION("""COMPUTED_VALUE"""),"https://universidade.pipelovers.net/m/lessons/tecnica-de-time-blocking-foco-e-gestao-de-tempo-1790085027422?moduleId=1695&amp;classId=4632")</f>
        <v>https://universidade.pipelovers.net/m/lessons/tecnica-de-time-blocking-foco-e-gestao-de-tempo-1790085027422?moduleId=1695&amp;classId=4632</v>
      </c>
      <c r="M404" s="972"/>
      <c r="N404" s="973"/>
      <c r="O404" s="974" t="str">
        <f>IFERROR(__xludf.DUMMYFUNCTION("""COMPUTED_VALUE"""),"")</f>
        <v/>
      </c>
      <c r="P404" s="977"/>
      <c r="Q404" s="974"/>
    </row>
    <row r="405">
      <c r="A405" s="1043"/>
      <c r="B405" s="1040" t="str">
        <f>IFERROR(__xludf.DUMMYFUNCTION("""COMPUTED_VALUE"""),"")</f>
        <v/>
      </c>
      <c r="C405" s="1044" t="str">
        <f>IFERROR(__xludf.DUMMYFUNCTION("""COMPUTED_VALUE"""),"")</f>
        <v/>
      </c>
      <c r="D405" s="1045" t="str">
        <f>IFERROR(__xludf.DUMMYFUNCTION("""COMPUTED_VALUE"""),"")</f>
        <v/>
      </c>
      <c r="E405" s="1046" t="str">
        <f>IFERROR(__xludf.DUMMYFUNCTION("""COMPUTED_VALUE"""),"")</f>
        <v/>
      </c>
      <c r="F405" s="1047" t="str">
        <f>IFERROR(__xludf.DUMMYFUNCTION("""COMPUTED_VALUE"""),"")</f>
        <v/>
      </c>
      <c r="G405" s="1047" t="str">
        <f>IFERROR(__xludf.DUMMYFUNCTION("""COMPUTED_VALUE"""),"")</f>
        <v/>
      </c>
      <c r="H405" s="1048" t="str">
        <f>IFERROR(__xludf.DUMMYFUNCTION("""COMPUTED_VALUE"""),"")</f>
        <v/>
      </c>
      <c r="I405" s="1048" t="str">
        <f>IFERROR(__xludf.DUMMYFUNCTION("""COMPUTED_VALUE"""),"")</f>
        <v/>
      </c>
      <c r="J405" s="1048" t="str">
        <f>IFERROR(__xludf.DUMMYFUNCTION("""COMPUTED_VALUE"""),"")</f>
        <v/>
      </c>
      <c r="K405" s="1049" t="str">
        <f>IFERROR(__xludf.DUMMYFUNCTION("""COMPUTED_VALUE"""),"")</f>
        <v/>
      </c>
      <c r="L405" s="1050" t="str">
        <f>IFERROR(__xludf.DUMMYFUNCTION("""COMPUTED_VALUE"""),"")</f>
        <v/>
      </c>
      <c r="M405" s="1051" t="str">
        <f>IFERROR(__xludf.DUMMYFUNCTION("""COMPUTED_VALUE"""),"")</f>
        <v/>
      </c>
      <c r="N405" s="1052" t="str">
        <f>IFERROR(__xludf.DUMMYFUNCTION("""COMPUTED_VALUE"""),"")</f>
        <v/>
      </c>
      <c r="O405" s="1053" t="str">
        <f>IFERROR(__xludf.DUMMYFUNCTION("""COMPUTED_VALUE"""),"")</f>
        <v/>
      </c>
      <c r="P405" s="1054" t="str">
        <f>IFERROR(__xludf.DUMMYFUNCTION("""COMPUTED_VALUE"""),"")</f>
        <v/>
      </c>
      <c r="Q405" s="1053"/>
    </row>
    <row r="406">
      <c r="A406" s="73"/>
      <c r="B406" s="903" t="str">
        <f>IFERROR(__xludf.DUMMYFUNCTION("""COMPUTED_VALUE"""),"Planejamento Comercial")</f>
        <v>Planejamento Comercial</v>
      </c>
      <c r="C406" s="173" t="str">
        <f>IFERROR(__xludf.DUMMYFUNCTION("""COMPUTED_VALUE"""),"Construção de um Planejamento Comercial derivado da Visão Estratégica")</f>
        <v>Construção de um Planejamento Comercial derivado da Visão Estratégica</v>
      </c>
      <c r="D406" s="173" t="str">
        <f>IFERROR(__xludf.DUMMYFUNCTION("""COMPUTED_VALUE"""),"João Bizzarri")</f>
        <v>João Bizzarri</v>
      </c>
      <c r="E406" s="910" t="str">
        <f>IFERROR(__xludf.DUMMYFUNCTION("""COMPUTED_VALUE"""),"Head of Sales Strategy &amp; Operations LATAM")</f>
        <v>Head of Sales Strategy &amp; Operations LATAM</v>
      </c>
      <c r="F406" s="913" t="str">
        <f>IFERROR(__xludf.DUMMYFUNCTION("""COMPUTED_VALUE"""),"LinkedIn")</f>
        <v>LinkedIn</v>
      </c>
      <c r="G406" s="913"/>
      <c r="H406" s="655"/>
      <c r="I406" s="655"/>
      <c r="J406" s="655"/>
      <c r="K406" s="275" t="str">
        <f>IFERROR(__xludf.DUMMYFUNCTION("""COMPUTED_VALUE"""),"https://universidade.pipelovers.net/m/lessons/construcao-de-um-planejamento-comercial-derivado-da-visao-estrategica1769552222098?moduleId=472&amp;classId=3062")</f>
        <v>https://universidade.pipelovers.net/m/lessons/construcao-de-um-planejamento-comercial-derivado-da-visao-estrategica1769552222098?moduleId=472&amp;classId=3062</v>
      </c>
      <c r="L406" s="535"/>
      <c r="M406" s="1056">
        <f>IFERROR(__xludf.DUMMYFUNCTION("""COMPUTED_VALUE"""),3.21)</f>
        <v>3.21</v>
      </c>
      <c r="N406" s="1057"/>
      <c r="O406" s="306" t="str">
        <f>IFERROR(__xludf.DUMMYFUNCTION("""COMPUTED_VALUE"""),"")</f>
        <v/>
      </c>
      <c r="P406" s="952"/>
      <c r="Q406" s="306"/>
    </row>
    <row r="407">
      <c r="A407" s="73"/>
      <c r="B407" s="903" t="str">
        <f>IFERROR(__xludf.DUMMYFUNCTION("""COMPUTED_VALUE"""),"Planejamento Comercial")</f>
        <v>Planejamento Comercial</v>
      </c>
      <c r="C407" s="175" t="str">
        <f>IFERROR(__xludf.DUMMYFUNCTION("""COMPUTED_VALUE"""),"O que é Revenue Operations?")</f>
        <v>O que é Revenue Operations?</v>
      </c>
      <c r="D407" s="175" t="str">
        <f>IFERROR(__xludf.DUMMYFUNCTION("""COMPUTED_VALUE"""),"Henrique Souza")</f>
        <v>Henrique Souza</v>
      </c>
      <c r="E407" s="395" t="str">
        <f>IFERROR(__xludf.DUMMYFUNCTION("""COMPUTED_VALUE"""),"Director of Revenue Operations")</f>
        <v>Director of Revenue Operations</v>
      </c>
      <c r="F407" s="872" t="str">
        <f>IFERROR(__xludf.DUMMYFUNCTION("""COMPUTED_VALUE"""),"Nstech")</f>
        <v>Nstech</v>
      </c>
      <c r="G407" s="872"/>
      <c r="H407" s="667" t="str">
        <f>IFERROR(__xludf.DUMMYFUNCTION("""COMPUTED_VALUE"""),"Conhecimento Técnico")</f>
        <v>Conhecimento Técnico</v>
      </c>
      <c r="I407" s="667" t="str">
        <f>IFERROR(__xludf.DUMMYFUNCTION("""COMPUTED_VALUE"""),"Gestão de Vendas")</f>
        <v>Gestão de Vendas</v>
      </c>
      <c r="J407" s="667" t="str">
        <f>IFERROR(__xludf.DUMMYFUNCTION("""COMPUTED_VALUE"""),"Planejamento Comercial")</f>
        <v>Planejamento Comercial</v>
      </c>
      <c r="K407" s="275" t="str">
        <f>IFERROR(__xludf.DUMMYFUNCTION("""COMPUTED_VALUE"""),"https://universidade.pipelovers.net/m/lessons/o-que-e-revenue-operations1769552222044?classId=2534")</f>
        <v>https://universidade.pipelovers.net/m/lessons/o-que-e-revenue-operations1769552222044?classId=2534</v>
      </c>
      <c r="L407" s="535" t="str">
        <f>IFERROR(__xludf.DUMMYFUNCTION("""COMPUTED_VALUE"""),"https://universidade.pipelovers.net/m/lessons/o-que-e-revenue-operations1769552222044?classId=2534")</f>
        <v>https://universidade.pipelovers.net/m/lessons/o-que-e-revenue-operations1769552222044?classId=2534</v>
      </c>
      <c r="M407" s="951">
        <f>IFERROR(__xludf.DUMMYFUNCTION("""COMPUTED_VALUE"""),3.71)</f>
        <v>3.71</v>
      </c>
      <c r="N407" s="1058" t="str">
        <f>IFERROR(__xludf.DUMMYFUNCTION("""COMPUTED_VALUE"""),"02. PipeLovers 💙 Planejamento Comercial com Henrique Souza ""O que é Revenue Operations?"".mp4")</f>
        <v>02. PipeLovers 💙 Planejamento Comercial com Henrique Souza "O que é Revenue Operations?".mp4</v>
      </c>
      <c r="O407" s="306" t="str">
        <f>IFERROR(__xludf.DUMMYFUNCTION("""COMPUTED_VALUE"""),"")</f>
        <v/>
      </c>
      <c r="P407" s="952">
        <f>IFERROR(__xludf.DUMMYFUNCTION("""COMPUTED_VALUE"""),44614.0)</f>
        <v>44614</v>
      </c>
      <c r="Q407" s="306"/>
    </row>
    <row r="408">
      <c r="A408" s="73"/>
      <c r="B408" s="903" t="str">
        <f>IFERROR(__xludf.DUMMYFUNCTION("""COMPUTED_VALUE"""),"Planejamento Comercial")</f>
        <v>Planejamento Comercial</v>
      </c>
      <c r="C408" s="173" t="str">
        <f>IFERROR(__xludf.DUMMYFUNCTION("""COMPUTED_VALUE"""),"Como montar uma área de planejamento comercial do zero?")</f>
        <v>Como montar uma área de planejamento comercial do zero?</v>
      </c>
      <c r="D408" s="173" t="str">
        <f>IFERROR(__xludf.DUMMYFUNCTION("""COMPUTED_VALUE"""),"Mauricio Zotarelli")</f>
        <v>Mauricio Zotarelli</v>
      </c>
      <c r="E408" s="910" t="str">
        <f>IFERROR(__xludf.DUMMYFUNCTION("""COMPUTED_VALUE"""),"Sales Operations Manager")</f>
        <v>Sales Operations Manager</v>
      </c>
      <c r="F408" s="913" t="str">
        <f>IFERROR(__xludf.DUMMYFUNCTION("""COMPUTED_VALUE"""),"Gupy")</f>
        <v>Gupy</v>
      </c>
      <c r="G408" s="913"/>
      <c r="H408" s="655" t="str">
        <f>IFERROR(__xludf.DUMMYFUNCTION("""COMPUTED_VALUE"""),"Conhecimento Técnico")</f>
        <v>Conhecimento Técnico</v>
      </c>
      <c r="I408" s="655" t="str">
        <f>IFERROR(__xludf.DUMMYFUNCTION("""COMPUTED_VALUE"""),"Gestão de Vendas")</f>
        <v>Gestão de Vendas</v>
      </c>
      <c r="J408" s="655" t="str">
        <f>IFERROR(__xludf.DUMMYFUNCTION("""COMPUTED_VALUE"""),"Planejamento Comercial")</f>
        <v>Planejamento Comercial</v>
      </c>
      <c r="K408" s="275" t="str">
        <f>IFERROR(__xludf.DUMMYFUNCTION("""COMPUTED_VALUE"""),"https://universidade.pipelovers.net/m/lessons/como-montar-uma-area-de-planejamento-comercial-do-zero1769552222150?classId=3080")</f>
        <v>https://universidade.pipelovers.net/m/lessons/como-montar-uma-area-de-planejamento-comercial-do-zero1769552222150?classId=3080</v>
      </c>
      <c r="L408" s="535" t="str">
        <f>IFERROR(__xludf.DUMMYFUNCTION("""COMPUTED_VALUE"""),"https://universidade.pipelovers.net/m/lessons/como-montar-uma-area-de-planejamento-comercial-do-zero1769552222150?classId=3080")</f>
        <v>https://universidade.pipelovers.net/m/lessons/como-montar-uma-area-de-planejamento-comercial-do-zero1769552222150?classId=3080</v>
      </c>
      <c r="M408" s="1056">
        <f>IFERROR(__xludf.DUMMYFUNCTION("""COMPUTED_VALUE"""),2.0)</f>
        <v>2</v>
      </c>
      <c r="N408" s="1057" t="str">
        <f>IFERROR(__xludf.DUMMYFUNCTION("""COMPUTED_VALUE"""),"03. PipeLovers 💙 Planejamento Comercial com Mauricio Zotarelli ""Como criar área de planejamento comercial do zero?"".mp4")</f>
        <v>03. PipeLovers 💙 Planejamento Comercial com Mauricio Zotarelli "Como criar área de planejamento comercial do zero?".mp4</v>
      </c>
      <c r="O408" s="306" t="str">
        <f>IFERROR(__xludf.DUMMYFUNCTION("""COMPUTED_VALUE"""),"")</f>
        <v/>
      </c>
      <c r="P408" s="952">
        <f>IFERROR(__xludf.DUMMYFUNCTION("""COMPUTED_VALUE"""),44621.0)</f>
        <v>44621</v>
      </c>
      <c r="Q408" s="306"/>
    </row>
    <row r="409">
      <c r="A409" s="73"/>
      <c r="B409" s="903" t="str">
        <f>IFERROR(__xludf.DUMMYFUNCTION("""COMPUTED_VALUE"""),"Planejamento Comercial")</f>
        <v>Planejamento Comercial</v>
      </c>
      <c r="C409" s="173" t="str">
        <f>IFERROR(__xludf.DUMMYFUNCTION("""COMPUTED_VALUE"""),"Como mensurar testes no Processo de Vendas")</f>
        <v>Como mensurar testes no Processo de Vendas</v>
      </c>
      <c r="D409" s="173" t="str">
        <f>IFERROR(__xludf.DUMMYFUNCTION("""COMPUTED_VALUE"""),"Nelson Fagundes")</f>
        <v>Nelson Fagundes</v>
      </c>
      <c r="E409" s="395" t="str">
        <f>IFERROR(__xludf.DUMMYFUNCTION("""COMPUTED_VALUE"""),"Senior Commercial Planning Manager")</f>
        <v>Senior Commercial Planning Manager</v>
      </c>
      <c r="F409" s="872" t="str">
        <f>IFERROR(__xludf.DUMMYFUNCTION("""COMPUTED_VALUE"""),"iFood")</f>
        <v>iFood</v>
      </c>
      <c r="G409" s="872"/>
      <c r="H409" s="667" t="str">
        <f>IFERROR(__xludf.DUMMYFUNCTION("""COMPUTED_VALUE"""),"Conhecimento Técnico")</f>
        <v>Conhecimento Técnico</v>
      </c>
      <c r="I409" s="667" t="str">
        <f>IFERROR(__xludf.DUMMYFUNCTION("""COMPUTED_VALUE"""),"Pensamento Crítico")</f>
        <v>Pensamento Crítico</v>
      </c>
      <c r="J409" s="667" t="str">
        <f>IFERROR(__xludf.DUMMYFUNCTION("""COMPUTED_VALUE"""),"Métricas de Funil")</f>
        <v>Métricas de Funil</v>
      </c>
      <c r="K409" s="275" t="str">
        <f>IFERROR(__xludf.DUMMYFUNCTION("""COMPUTED_VALUE"""),"https://universidade.pipelovers.net/m/lessons/como-mensurar-testes-no-processo-de-vendas1769552222196?classId=3081")</f>
        <v>https://universidade.pipelovers.net/m/lessons/como-mensurar-testes-no-processo-de-vendas1769552222196?classId=3081</v>
      </c>
      <c r="L409" s="535" t="str">
        <f>IFERROR(__xludf.DUMMYFUNCTION("""COMPUTED_VALUE"""),"https://universidade.pipelovers.net/m/lessons/como-mensurar-testes-no-processo-de-vendas1769552222196?classId=3081")</f>
        <v>https://universidade.pipelovers.net/m/lessons/como-mensurar-testes-no-processo-de-vendas1769552222196?classId=3081</v>
      </c>
      <c r="M409" s="951">
        <f>IFERROR(__xludf.DUMMYFUNCTION("""COMPUTED_VALUE"""),3.71)</f>
        <v>3.71</v>
      </c>
      <c r="N409" s="1058" t="str">
        <f>IFERROR(__xludf.DUMMYFUNCTION("""COMPUTED_VALUE"""),"04. PipeLovers Planejamento Comercial com Nelson Fagundes “Como mensurar testes no processo de vendas"".mp4")</f>
        <v>04. PipeLovers Planejamento Comercial com Nelson Fagundes “Como mensurar testes no processo de vendas".mp4</v>
      </c>
      <c r="O409" s="306" t="str">
        <f>IFERROR(__xludf.DUMMYFUNCTION("""COMPUTED_VALUE"""),"")</f>
        <v/>
      </c>
      <c r="P409" s="952">
        <f>IFERROR(__xludf.DUMMYFUNCTION("""COMPUTED_VALUE"""),44628.0)</f>
        <v>44628</v>
      </c>
      <c r="Q409" s="306"/>
    </row>
    <row r="410">
      <c r="A410" s="73"/>
      <c r="B410" s="903" t="str">
        <f>IFERROR(__xludf.DUMMYFUNCTION("""COMPUTED_VALUE"""),"Planejamento Comercial")</f>
        <v>Planejamento Comercial</v>
      </c>
      <c r="C410" s="175" t="str">
        <f>IFERROR(__xludf.DUMMYFUNCTION("""COMPUTED_VALUE"""),"Tecnologias para Aumentar a Produtividade de Vendas")</f>
        <v>Tecnologias para Aumentar a Produtividade de Vendas</v>
      </c>
      <c r="D410" s="175" t="str">
        <f>IFERROR(__xludf.DUMMYFUNCTION("""COMPUTED_VALUE"""),"Patricia Antonelli")</f>
        <v>Patricia Antonelli</v>
      </c>
      <c r="E410" s="910" t="str">
        <f>IFERROR(__xludf.DUMMYFUNCTION("""COMPUTED_VALUE"""),"Senior Director Business Development")</f>
        <v>Senior Director Business Development</v>
      </c>
      <c r="F410" s="913" t="str">
        <f>IFERROR(__xludf.DUMMYFUNCTION("""COMPUTED_VALUE"""),"Nesttle")</f>
        <v>Nesttle</v>
      </c>
      <c r="G410" s="913"/>
      <c r="H410" s="655" t="str">
        <f>IFERROR(__xludf.DUMMYFUNCTION("""COMPUTED_VALUE"""),"Conhecimento Técnico")</f>
        <v>Conhecimento Técnico</v>
      </c>
      <c r="I410" s="655" t="str">
        <f>IFERROR(__xludf.DUMMYFUNCTION("""COMPUTED_VALUE"""),"Gestão de Vendas")</f>
        <v>Gestão de Vendas</v>
      </c>
      <c r="J410" s="655" t="str">
        <f>IFERROR(__xludf.DUMMYFUNCTION("""COMPUTED_VALUE"""),"Ferramentas de Vendas")</f>
        <v>Ferramentas de Vendas</v>
      </c>
      <c r="K410" s="275" t="str">
        <f>IFERROR(__xludf.DUMMYFUNCTION("""COMPUTED_VALUE"""),"https://universidade.pipelovers.net/m/lessons/tecnologias-para-aumentar-a-produtividade-de-vendas1769552222258?classId=3082")</f>
        <v>https://universidade.pipelovers.net/m/lessons/tecnologias-para-aumentar-a-produtividade-de-vendas1769552222258?classId=3082</v>
      </c>
      <c r="L410" s="535" t="str">
        <f>IFERROR(__xludf.DUMMYFUNCTION("""COMPUTED_VALUE"""),"https://universidade.pipelovers.net/m/lessons/tecnologias-para-aumentar-a-produtividade-de-vendas1769552222258?classId=3082")</f>
        <v>https://universidade.pipelovers.net/m/lessons/tecnologias-para-aumentar-a-produtividade-de-vendas1769552222258?classId=3082</v>
      </c>
      <c r="M410" s="1056">
        <f>IFERROR(__xludf.DUMMYFUNCTION("""COMPUTED_VALUE"""),2.0)</f>
        <v>2</v>
      </c>
      <c r="N410" s="1057" t="str">
        <f>IFERROR(__xludf.DUMMYFUNCTION("""COMPUTED_VALUE"""),"05. PipeLovers 💙 Planejamento Comercial com Patricia Antonelli ""Tecnologias para aumentar a produtivid (2023-02-28 19:35 GMT-3)")</f>
        <v>05. PipeLovers 💙 Planejamento Comercial com Patricia Antonelli "Tecnologias para aumentar a produtivid (2023-02-28 19:35 GMT-3)</v>
      </c>
      <c r="O410" s="306" t="str">
        <f>IFERROR(__xludf.DUMMYFUNCTION("""COMPUTED_VALUE"""),"")</f>
        <v/>
      </c>
      <c r="P410" s="952">
        <f>IFERROR(__xludf.DUMMYFUNCTION("""COMPUTED_VALUE"""),44635.0)</f>
        <v>44635</v>
      </c>
      <c r="Q410" s="306"/>
    </row>
    <row r="411">
      <c r="A411" s="73"/>
      <c r="B411" s="903" t="str">
        <f>IFERROR(__xludf.DUMMYFUNCTION("""COMPUTED_VALUE"""),"Planejamento Comercial")</f>
        <v>Planejamento Comercial</v>
      </c>
      <c r="C411" s="119" t="str">
        <f>IFERROR(__xludf.DUMMYFUNCTION("""COMPUTED_VALUE"""),"Análise de Concorrência")</f>
        <v>Análise de Concorrência</v>
      </c>
      <c r="D411" s="119" t="str">
        <f>IFERROR(__xludf.DUMMYFUNCTION("""COMPUTED_VALUE"""),"Juliana Sousa")</f>
        <v>Juliana Sousa</v>
      </c>
      <c r="E411" s="395" t="str">
        <f>IFERROR(__xludf.DUMMYFUNCTION("""COMPUTED_VALUE"""),"Demand Generation Manager")</f>
        <v>Demand Generation Manager</v>
      </c>
      <c r="F411" s="872" t="str">
        <f>IFERROR(__xludf.DUMMYFUNCTION("""COMPUTED_VALUE"""),"Thomson Reuters")</f>
        <v>Thomson Reuters</v>
      </c>
      <c r="G411" s="872"/>
      <c r="H411" s="667" t="str">
        <f>IFERROR(__xludf.DUMMYFUNCTION("""COMPUTED_VALUE"""),"Visão de Negócio")</f>
        <v>Visão de Negócio</v>
      </c>
      <c r="I411" s="667" t="str">
        <f>IFERROR(__xludf.DUMMYFUNCTION("""COMPUTED_VALUE"""),"Conhecimento de Produto e Negócio")</f>
        <v>Conhecimento de Produto e Negócio</v>
      </c>
      <c r="J411" s="667" t="str">
        <f>IFERROR(__xludf.DUMMYFUNCTION("""COMPUTED_VALUE"""),"Análise da Concorrência")</f>
        <v>Análise da Concorrência</v>
      </c>
      <c r="K411" s="275" t="str">
        <f>IFERROR(__xludf.DUMMYFUNCTION("""COMPUTED_VALUE"""),"https://universidade.pipelovers.net/m/lessons/analise-de-concorrencia1769552222284?classId=3066")</f>
        <v>https://universidade.pipelovers.net/m/lessons/analise-de-concorrencia1769552222284?classId=3066</v>
      </c>
      <c r="L411" s="535" t="str">
        <f>IFERROR(__xludf.DUMMYFUNCTION("""COMPUTED_VALUE"""),"https://universidade.pipelovers.net/m/lessons/analise-de-concorrencia1769552222284?classId=3066")</f>
        <v>https://universidade.pipelovers.net/m/lessons/analise-de-concorrencia1769552222284?classId=3066</v>
      </c>
      <c r="M411" s="951">
        <f>IFERROR(__xludf.DUMMYFUNCTION("""COMPUTED_VALUE"""),3.71)</f>
        <v>3.71</v>
      </c>
      <c r="N411" s="1058" t="str">
        <f>IFERROR(__xludf.DUMMYFUNCTION("""COMPUTED_VALUE"""),"06. PipeLovers 💙 Planejamento Comercial com Juliana Sousa ""Análise de Concorrência"" (2023-03-02 18:35 GMT-3)")</f>
        <v>06. PipeLovers 💙 Planejamento Comercial com Juliana Sousa "Análise de Concorrência" (2023-03-02 18:35 GMT-3)</v>
      </c>
      <c r="O411" s="306" t="str">
        <f>IFERROR(__xludf.DUMMYFUNCTION("""COMPUTED_VALUE"""),"")</f>
        <v/>
      </c>
      <c r="P411" s="952">
        <f>IFERROR(__xludf.DUMMYFUNCTION("""COMPUTED_VALUE"""),44642.0)</f>
        <v>44642</v>
      </c>
      <c r="Q411" s="306"/>
    </row>
    <row r="412">
      <c r="A412" s="73"/>
      <c r="B412" s="103" t="str">
        <f>IFERROR(__xludf.DUMMYFUNCTION("""COMPUTED_VALUE"""),"Planejamento Comercial")</f>
        <v>Planejamento Comercial</v>
      </c>
      <c r="C412" s="104" t="str">
        <f>IFERROR(__xludf.DUMMYFUNCTION("""COMPUTED_VALUE"""),"Forecast de Vendas: Processos e Previsibilidade")</f>
        <v>Forecast de Vendas: Processos e Previsibilidade</v>
      </c>
      <c r="D412" s="119" t="str">
        <f>IFERROR(__xludf.DUMMYFUNCTION("""COMPUTED_VALUE"""),"Livia Lima")</f>
        <v>Livia Lima</v>
      </c>
      <c r="E412" s="208" t="str">
        <f>IFERROR(__xludf.DUMMYFUNCTION("""COMPUTED_VALUE"""),"Head of Sales Strategy &amp; Operations LATAM")</f>
        <v>Head of Sales Strategy &amp; Operations LATAM</v>
      </c>
      <c r="F412" s="655" t="str">
        <f>IFERROR(__xludf.DUMMYFUNCTION("""COMPUTED_VALUE"""),"Pinterest")</f>
        <v>Pinterest</v>
      </c>
      <c r="G412" s="914" t="str">
        <f>IFERROR(__xludf.DUMMYFUNCTION("""COMPUTED_VALUE"""),"https://www.linkedin.com/in/liviazingallilima/")</f>
        <v>https://www.linkedin.com/in/liviazingallilima/</v>
      </c>
      <c r="H412" s="655" t="str">
        <f>IFERROR(__xludf.DUMMYFUNCTION("""COMPUTED_VALUE"""),"Conhecimento Técnico")</f>
        <v>Conhecimento Técnico</v>
      </c>
      <c r="I412" s="655" t="str">
        <f>IFERROR(__xludf.DUMMYFUNCTION("""COMPUTED_VALUE"""),"Gestão de Vendas")</f>
        <v>Gestão de Vendas</v>
      </c>
      <c r="J412" s="655" t="str">
        <f>IFERROR(__xludf.DUMMYFUNCTION("""COMPUTED_VALUE"""),"Rotinas e Rituais")</f>
        <v>Rotinas e Rituais</v>
      </c>
      <c r="K412" s="275" t="str">
        <f>IFERROR(__xludf.DUMMYFUNCTION("""COMPUTED_VALUE"""),"https://universidade.pipelovers.net/m/lessons/forecast-de-vendas-processos-e-previsibilidade1769552222319?classId=3083")</f>
        <v>https://universidade.pipelovers.net/m/lessons/forecast-de-vendas-processos-e-previsibilidade1769552222319?classId=3083</v>
      </c>
      <c r="L412" s="535" t="str">
        <f>IFERROR(__xludf.DUMMYFUNCTION("""COMPUTED_VALUE"""),"https://universidade.pipelovers.net/m/lessons/forecast-de-vendas-processos-e-previsibilidade1769552222319?classId=3083")</f>
        <v>https://universidade.pipelovers.net/m/lessons/forecast-de-vendas-processos-e-previsibilidade1769552222319?classId=3083</v>
      </c>
      <c r="M412" s="1056">
        <f>IFERROR(__xludf.DUMMYFUNCTION("""COMPUTED_VALUE"""),4.07)</f>
        <v>4.07</v>
      </c>
      <c r="N412" s="1057" t="str">
        <f>IFERROR(__xludf.DUMMYFUNCTION("""COMPUTED_VALUE"""),"07. PipeLovers 💙 Planejamento Comercial com Livia Lima ""Forecast de Vendas: Processos e Previsibilidad (2023-03-08 18:35 GMT-3)")</f>
        <v>07. PipeLovers 💙 Planejamento Comercial com Livia Lima "Forecast de Vendas: Processos e Previsibilidad (2023-03-08 18:35 GMT-3)</v>
      </c>
      <c r="O412" s="306" t="str">
        <f>IFERROR(__xludf.DUMMYFUNCTION("""COMPUTED_VALUE"""),"")</f>
        <v/>
      </c>
      <c r="P412" s="952">
        <f>IFERROR(__xludf.DUMMYFUNCTION("""COMPUTED_VALUE"""),44649.0)</f>
        <v>44649</v>
      </c>
      <c r="Q412" s="306"/>
    </row>
    <row r="413">
      <c r="A413" s="73"/>
      <c r="B413" s="103" t="str">
        <f>IFERROR(__xludf.DUMMYFUNCTION("""COMPUTED_VALUE"""),"Planejamento Comercial")</f>
        <v>Planejamento Comercial</v>
      </c>
      <c r="C413" s="104" t="str">
        <f>IFERROR(__xludf.DUMMYFUNCTION("""COMPUTED_VALUE"""),"Definição de Metas Baseado em Capacity")</f>
        <v>Definição de Metas Baseado em Capacity</v>
      </c>
      <c r="D413" s="104" t="str">
        <f>IFERROR(__xludf.DUMMYFUNCTION("""COMPUTED_VALUE"""),"Amanda Alves")</f>
        <v>Amanda Alves</v>
      </c>
      <c r="E413" s="218" t="str">
        <f>IFERROR(__xludf.DUMMYFUNCTION("""COMPUTED_VALUE"""),"Revenue Operations Manager")</f>
        <v>Revenue Operations Manager</v>
      </c>
      <c r="F413" s="667" t="str">
        <f>IFERROR(__xludf.DUMMYFUNCTION("""COMPUTED_VALUE"""),"Take Blip")</f>
        <v>Take Blip</v>
      </c>
      <c r="G413" s="872"/>
      <c r="H413" s="667" t="str">
        <f>IFERROR(__xludf.DUMMYFUNCTION("""COMPUTED_VALUE"""),"Conhecimento Técnico")</f>
        <v>Conhecimento Técnico</v>
      </c>
      <c r="I413" s="667" t="str">
        <f>IFERROR(__xludf.DUMMYFUNCTION("""COMPUTED_VALUE"""),"Gestão de Vendas")</f>
        <v>Gestão de Vendas</v>
      </c>
      <c r="J413" s="667" t="str">
        <f>IFERROR(__xludf.DUMMYFUNCTION("""COMPUTED_VALUE"""),"Planejamento Comercial")</f>
        <v>Planejamento Comercial</v>
      </c>
      <c r="K413" s="275" t="str">
        <f>IFERROR(__xludf.DUMMYFUNCTION("""COMPUTED_VALUE"""),"https://universidade.pipelovers.net/m/lessons/definicao-de-metas-baseado-em-capacity1769552222357?classId=3084")</f>
        <v>https://universidade.pipelovers.net/m/lessons/definicao-de-metas-baseado-em-capacity1769552222357?classId=3084</v>
      </c>
      <c r="L413" s="535" t="str">
        <f>IFERROR(__xludf.DUMMYFUNCTION("""COMPUTED_VALUE"""),"https://universidade.pipelovers.net/m/lessons/definicao-de-metas-baseado-em-capacity1769552222357?classId=3084")</f>
        <v>https://universidade.pipelovers.net/m/lessons/definicao-de-metas-baseado-em-capacity1769552222357?classId=3084</v>
      </c>
      <c r="M413" s="951">
        <f>IFERROR(__xludf.DUMMYFUNCTION("""COMPUTED_VALUE"""),4.29)</f>
        <v>4.29</v>
      </c>
      <c r="N413" s="1058" t="str">
        <f>IFERROR(__xludf.DUMMYFUNCTION("""COMPUTED_VALUE"""),"08. PipeLovers 💙 Planejamento Comercial com Amanda Alves ""Definição de Metas baseado em Capacity"" (2023-03-16 18:35 GMT-3)")</f>
        <v>08. PipeLovers 💙 Planejamento Comercial com Amanda Alves "Definição de Metas baseado em Capacity" (2023-03-16 18:35 GMT-3)</v>
      </c>
      <c r="O413" s="306" t="str">
        <f>IFERROR(__xludf.DUMMYFUNCTION("""COMPUTED_VALUE"""),"")</f>
        <v/>
      </c>
      <c r="P413" s="952">
        <f>IFERROR(__xludf.DUMMYFUNCTION("""COMPUTED_VALUE"""),44656.0)</f>
        <v>44656</v>
      </c>
      <c r="Q413" s="306"/>
    </row>
    <row r="414">
      <c r="A414" s="73"/>
      <c r="B414" s="103" t="str">
        <f>IFERROR(__xludf.DUMMYFUNCTION("""COMPUTED_VALUE"""),"Planejamento Comercial")</f>
        <v>Planejamento Comercial</v>
      </c>
      <c r="C414" s="119" t="str">
        <f>IFERROR(__xludf.DUMMYFUNCTION("""COMPUTED_VALUE"""),"Inteligência de Dados para Mapeamento de Território")</f>
        <v>Inteligência de Dados para Mapeamento de Território</v>
      </c>
      <c r="D414" s="119" t="str">
        <f>IFERROR(__xludf.DUMMYFUNCTION("""COMPUTED_VALUE"""),"João Olivério")</f>
        <v>João Olivério</v>
      </c>
      <c r="E414" s="218" t="str">
        <f>IFERROR(__xludf.DUMMYFUNCTION("""COMPUTED_VALUE"""),"Country Manager")</f>
        <v>Country Manager</v>
      </c>
      <c r="F414" s="667" t="str">
        <f>IFERROR(__xludf.DUMMYFUNCTION("""COMPUTED_VALUE"""),"Apollo")</f>
        <v>Apollo</v>
      </c>
      <c r="G414" s="873" t="str">
        <f>IFERROR(__xludf.DUMMYFUNCTION("""COMPUTED_VALUE"""),"https://www.linkedin.com/in/joaoluisoliverio/")</f>
        <v>https://www.linkedin.com/in/joaoluisoliverio/</v>
      </c>
      <c r="H414" s="667" t="str">
        <f>IFERROR(__xludf.DUMMYFUNCTION("""COMPUTED_VALUE"""),"Visão de Negócio")</f>
        <v>Visão de Negócio</v>
      </c>
      <c r="I414" s="667" t="str">
        <f>IFERROR(__xludf.DUMMYFUNCTION("""COMPUTED_VALUE"""),"Tendencias de mercado")</f>
        <v>Tendencias de mercado</v>
      </c>
      <c r="J414" s="667" t="str">
        <f>IFERROR(__xludf.DUMMYFUNCTION("""COMPUTED_VALUE"""),"Tendencias do Setor")</f>
        <v>Tendencias do Setor</v>
      </c>
      <c r="K414" s="275" t="str">
        <f>IFERROR(__xludf.DUMMYFUNCTION("""COMPUTED_VALUE"""),"https://universidade.pipelovers.net/m/lessons/inteligencia-de-dados-para-mapeamento-de-territorio1769552223003?classId=3464")</f>
        <v>https://universidade.pipelovers.net/m/lessons/inteligencia-de-dados-para-mapeamento-de-territorio1769552223003?classId=3464</v>
      </c>
      <c r="L414" s="535" t="str">
        <f>IFERROR(__xludf.DUMMYFUNCTION("""COMPUTED_VALUE"""),"https://universidade.pipelovers.net/m/lessons/inteligencia-de-dados-para-mapeamento-de-territorio1769552223003?classId=3464")</f>
        <v>https://universidade.pipelovers.net/m/lessons/inteligencia-de-dados-para-mapeamento-de-territorio1769552223003?classId=3464</v>
      </c>
      <c r="M414" s="1056">
        <f>IFERROR(__xludf.DUMMYFUNCTION("""COMPUTED_VALUE"""),3.71)</f>
        <v>3.71</v>
      </c>
      <c r="N414" s="1057" t="str">
        <f>IFERROR(__xludf.DUMMYFUNCTION("""COMPUTED_VALUE"""),"09. PipeLovers 💙 Planejamento Comercial com João Oliverio ""Inteligência de dados para mapeamento de te (2023-03-23 18:36 GMT-3)")</f>
        <v>09. PipeLovers 💙 Planejamento Comercial com João Oliverio "Inteligência de dados para mapeamento de te (2023-03-23 18:36 GMT-3)</v>
      </c>
      <c r="O414" s="306" t="str">
        <f>IFERROR(__xludf.DUMMYFUNCTION("""COMPUTED_VALUE"""),"")</f>
        <v/>
      </c>
      <c r="P414" s="952">
        <f>IFERROR(__xludf.DUMMYFUNCTION("""COMPUTED_VALUE"""),44663.0)</f>
        <v>44663</v>
      </c>
      <c r="Q414" s="306"/>
    </row>
    <row r="415">
      <c r="A415" s="73"/>
      <c r="B415" s="103" t="str">
        <f>IFERROR(__xludf.DUMMYFUNCTION("""COMPUTED_VALUE"""),"Planejamento Comercial")</f>
        <v>Planejamento Comercial</v>
      </c>
      <c r="C415" s="104" t="str">
        <f>IFERROR(__xludf.DUMMYFUNCTION("""COMPUTED_VALUE"""),"Impacto do Comissionamento sobre Equipes de Vendas")</f>
        <v>Impacto do Comissionamento sobre Equipes de Vendas</v>
      </c>
      <c r="D415" s="104" t="str">
        <f>IFERROR(__xludf.DUMMYFUNCTION("""COMPUTED_VALUE"""),"Luiz Gaziri")</f>
        <v>Luiz Gaziri</v>
      </c>
      <c r="E415" s="218" t="str">
        <f>IFERROR(__xludf.DUMMYFUNCTION("""COMPUTED_VALUE"""),"Professor Unicamp &amp; FAE")</f>
        <v>Professor Unicamp &amp; FAE</v>
      </c>
      <c r="F415" s="667" t="str">
        <f>IFERROR(__xludf.DUMMYFUNCTION("""COMPUTED_VALUE"""),"FAE/UNICAMP")</f>
        <v>FAE/UNICAMP</v>
      </c>
      <c r="G415" s="872"/>
      <c r="H415" s="667" t="str">
        <f>IFERROR(__xludf.DUMMYFUNCTION("""COMPUTED_VALUE"""),"Relacionamento Interpessoal")</f>
        <v>Relacionamento Interpessoal</v>
      </c>
      <c r="I415" s="655" t="str">
        <f>IFERROR(__xludf.DUMMYFUNCTION("""COMPUTED_VALUE"""),"Liderança e Influência")</f>
        <v>Liderança e Influência</v>
      </c>
      <c r="J415" s="667" t="str">
        <f>IFERROR(__xludf.DUMMYFUNCTION("""COMPUTED_VALUE"""),"Reconhecimento e Recompensas")</f>
        <v>Reconhecimento e Recompensas</v>
      </c>
      <c r="K415" s="275" t="str">
        <f>IFERROR(__xludf.DUMMYFUNCTION("""COMPUTED_VALUE"""),"https://universidade.pipelovers.net/m/lessons/impacto-do-comissionamento-sobre-equipes-de-vendas1769552223061?classId=3463")</f>
        <v>https://universidade.pipelovers.net/m/lessons/impacto-do-comissionamento-sobre-equipes-de-vendas1769552223061?classId=3463</v>
      </c>
      <c r="L415" s="535" t="str">
        <f>IFERROR(__xludf.DUMMYFUNCTION("""COMPUTED_VALUE"""),"https://universidade.pipelovers.net/m/lessons/impacto-do-comissionamento-sobre-equipes-de-vendas1769552223061?classId=3463")</f>
        <v>https://universidade.pipelovers.net/m/lessons/impacto-do-comissionamento-sobre-equipes-de-vendas1769552223061?classId=3463</v>
      </c>
      <c r="M415" s="951">
        <f>IFERROR(__xludf.DUMMYFUNCTION("""COMPUTED_VALUE"""),2.0)</f>
        <v>2</v>
      </c>
      <c r="N415" s="1058" t="str">
        <f>IFERROR(__xludf.DUMMYFUNCTION("""COMPUTED_VALUE"""),"10. PipeLovers 💙 Planejamento Comercial com Luiz Gaziri ""Equipes de Vendas Sem Comissão"" (2023-03-30 18:35 GMT-3)")</f>
        <v>10. PipeLovers 💙 Planejamento Comercial com Luiz Gaziri "Equipes de Vendas Sem Comissão" (2023-03-30 18:35 GMT-3)</v>
      </c>
      <c r="O415" s="306" t="str">
        <f>IFERROR(__xludf.DUMMYFUNCTION("""COMPUTED_VALUE"""),"")</f>
        <v/>
      </c>
      <c r="P415" s="952">
        <f>IFERROR(__xludf.DUMMYFUNCTION("""COMPUTED_VALUE"""),44670.0)</f>
        <v>44670</v>
      </c>
      <c r="Q415" s="306"/>
    </row>
    <row r="416">
      <c r="A416" s="73"/>
      <c r="B416" s="103" t="str">
        <f>IFERROR(__xludf.DUMMYFUNCTION("""COMPUTED_VALUE"""),"Planejamento Comercial")</f>
        <v>Planejamento Comercial</v>
      </c>
      <c r="C416" s="104" t="str">
        <f>IFERROR(__xludf.DUMMYFUNCTION("""COMPUTED_VALUE"""),"Estruturação de equipes de planejamento comercial")</f>
        <v>Estruturação de equipes de planejamento comercial</v>
      </c>
      <c r="D416" s="104" t="str">
        <f>IFERROR(__xludf.DUMMYFUNCTION("""COMPUTED_VALUE"""),"Thiago Frassati")</f>
        <v>Thiago Frassati</v>
      </c>
      <c r="E416" s="218" t="str">
        <f>IFERROR(__xludf.DUMMYFUNCTION("""COMPUTED_VALUE"""),"Gerente de Planejamento Comercial")</f>
        <v>Gerente de Planejamento Comercial</v>
      </c>
      <c r="F416" s="667" t="str">
        <f>IFERROR(__xludf.DUMMYFUNCTION("""COMPUTED_VALUE"""),"Docket")</f>
        <v>Docket</v>
      </c>
      <c r="G416" s="872"/>
      <c r="H416" s="667" t="str">
        <f>IFERROR(__xludf.DUMMYFUNCTION("""COMPUTED_VALUE"""),"Conhecimento Técnico")</f>
        <v>Conhecimento Técnico</v>
      </c>
      <c r="I416" s="667" t="str">
        <f>IFERROR(__xludf.DUMMYFUNCTION("""COMPUTED_VALUE"""),"Gestão de Vendas")</f>
        <v>Gestão de Vendas</v>
      </c>
      <c r="J416" s="667" t="str">
        <f>IFERROR(__xludf.DUMMYFUNCTION("""COMPUTED_VALUE"""),"Planejamento Comercial")</f>
        <v>Planejamento Comercial</v>
      </c>
      <c r="K416" s="282" t="str">
        <f>IFERROR(__xludf.DUMMYFUNCTION("""COMPUTED_VALUE"""),"https://universidade.pipelovers.net/m/lessons/estruturacao-de-equipes-de-planejamento-comercial1769552227047?classId=3462")</f>
        <v>https://universidade.pipelovers.net/m/lessons/estruturacao-de-equipes-de-planejamento-comercial1769552227047?classId=3462</v>
      </c>
      <c r="L416" s="500" t="str">
        <f>IFERROR(__xludf.DUMMYFUNCTION("""COMPUTED_VALUE"""),"https://universidade.pipelovers.net/m/lessons/estruturacao-de-equipes-de-planejamento-comercial1769552227047?classId=3462")</f>
        <v>https://universidade.pipelovers.net/m/lessons/estruturacao-de-equipes-de-planejamento-comercial1769552227047?classId=3462</v>
      </c>
      <c r="M416" s="1056">
        <f>IFERROR(__xludf.DUMMYFUNCTION("""COMPUTED_VALUE"""),4.07)</f>
        <v>4.07</v>
      </c>
      <c r="N416" s="1057" t="str">
        <f>IFERROR(__xludf.DUMMYFUNCTION("""COMPUTED_VALUE"""),"11. PipeLovers 💙 Planejamento Comercial""Estruturação de equipes de Planejamento Comercial"" com Thiago  (2023-04-13 18:35 GMT-3)")</f>
        <v>11. PipeLovers 💙 Planejamento Comercial"Estruturação de equipes de Planejamento Comercial" com Thiago  (2023-04-13 18:35 GMT-3)</v>
      </c>
      <c r="O416" s="306" t="str">
        <f>IFERROR(__xludf.DUMMYFUNCTION("""COMPUTED_VALUE"""),"")</f>
        <v/>
      </c>
      <c r="P416" s="952">
        <f>IFERROR(__xludf.DUMMYFUNCTION("""COMPUTED_VALUE"""),44677.0)</f>
        <v>44677</v>
      </c>
      <c r="Q416" s="306"/>
    </row>
    <row r="417">
      <c r="A417" s="73"/>
      <c r="B417" s="103" t="str">
        <f>IFERROR(__xludf.DUMMYFUNCTION("""COMPUTED_VALUE"""),"Planejamento Comercial")</f>
        <v>Planejamento Comercial</v>
      </c>
      <c r="C417" s="119" t="str">
        <f>IFERROR(__xludf.DUMMYFUNCTION("""COMPUTED_VALUE"""),"Inteligencia Artificial aplicada a Planejamento Comercial")</f>
        <v>Inteligencia Artificial aplicada a Planejamento Comercial</v>
      </c>
      <c r="D417" s="119" t="str">
        <f>IFERROR(__xludf.DUMMYFUNCTION("""COMPUTED_VALUE"""),"Thiago Reis")</f>
        <v>Thiago Reis</v>
      </c>
      <c r="E417" s="218" t="str">
        <f>IFERROR(__xludf.DUMMYFUNCTION("""COMPUTED_VALUE"""),"CEO")</f>
        <v>CEO</v>
      </c>
      <c r="F417" s="667" t="str">
        <f>IFERROR(__xludf.DUMMYFUNCTION("""COMPUTED_VALUE"""),"Growth Machine")</f>
        <v>Growth Machine</v>
      </c>
      <c r="G417" s="873" t="str">
        <f>IFERROR(__xludf.DUMMYFUNCTION("""COMPUTED_VALUE"""),"https://www.linkedin.com/in/thiago-reis-/")</f>
        <v>https://www.linkedin.com/in/thiago-reis-/</v>
      </c>
      <c r="H417" s="667" t="str">
        <f>IFERROR(__xludf.DUMMYFUNCTION("""COMPUTED_VALUE"""),"Visão de Negócio")</f>
        <v>Visão de Negócio</v>
      </c>
      <c r="I417" s="667" t="str">
        <f>IFERROR(__xludf.DUMMYFUNCTION("""COMPUTED_VALUE"""),"Tendencias de mercado")</f>
        <v>Tendencias de mercado</v>
      </c>
      <c r="J417" s="667" t="str">
        <f>IFERROR(__xludf.DUMMYFUNCTION("""COMPUTED_VALUE"""),"Inovações Tecnológicas")</f>
        <v>Inovações Tecnológicas</v>
      </c>
      <c r="K417" s="275" t="str">
        <f>IFERROR(__xludf.DUMMYFUNCTION("""COMPUTED_VALUE"""),"https://universidade.pipelovers.net/m/lessons/inteligencia-artificial-aplicada-a-planejamento-comercial1769552226867?classId=3461")</f>
        <v>https://universidade.pipelovers.net/m/lessons/inteligencia-artificial-aplicada-a-planejamento-comercial1769552226867?classId=3461</v>
      </c>
      <c r="L417" s="535" t="str">
        <f>IFERROR(__xludf.DUMMYFUNCTION("""COMPUTED_VALUE"""),"https://universidade.pipelovers.net/m/lessons/inteligencia-artificial-aplicada-a-planejamento-comercial1769552226867?classId=3461")</f>
        <v>https://universidade.pipelovers.net/m/lessons/inteligencia-artificial-aplicada-a-planejamento-comercial1769552226867?classId=3461</v>
      </c>
      <c r="M417" s="951">
        <f>IFERROR(__xludf.DUMMYFUNCTION("""COMPUTED_VALUE"""),2.0)</f>
        <v>2</v>
      </c>
      <c r="N417" s="1058" t="str">
        <f>IFERROR(__xludf.DUMMYFUNCTION("""COMPUTED_VALUE"""),"12. PipeLovers 💙 Planejamento Comercial: ""Inteligencia Artificial aplicada a Planejamento Comercial"" c (2023-04-19 18:35 GMT-3)")</f>
        <v>12. PipeLovers 💙 Planejamento Comercial: "Inteligencia Artificial aplicada a Planejamento Comercial" c (2023-04-19 18:35 GMT-3)</v>
      </c>
      <c r="O417" s="306" t="str">
        <f>IFERROR(__xludf.DUMMYFUNCTION("""COMPUTED_VALUE"""),"")</f>
        <v/>
      </c>
      <c r="P417" s="952">
        <f>IFERROR(__xludf.DUMMYFUNCTION("""COMPUTED_VALUE"""),44684.0)</f>
        <v>44684</v>
      </c>
      <c r="Q417" s="306"/>
    </row>
    <row r="418">
      <c r="A418" s="73"/>
      <c r="B418" s="209" t="str">
        <f>IFERROR(__xludf.DUMMYFUNCTION("""COMPUTED_VALUE"""),"Planejamento Comercial")</f>
        <v>Planejamento Comercial</v>
      </c>
      <c r="C418" s="104" t="str">
        <f>IFERROR(__xludf.DUMMYFUNCTION("""COMPUTED_VALUE"""),"Melhores práticas de rampagem de Vendedores ")</f>
        <v>Melhores práticas de rampagem de Vendedores </v>
      </c>
      <c r="D418" s="119" t="str">
        <f>IFERROR(__xludf.DUMMYFUNCTION("""COMPUTED_VALUE"""),"Luana Petrolli")</f>
        <v>Luana Petrolli</v>
      </c>
      <c r="E418" s="218" t="str">
        <f>IFERROR(__xludf.DUMMYFUNCTION("""COMPUTED_VALUE"""),"Coordenadora de Planejamento Comercial")</f>
        <v>Coordenadora de Planejamento Comercial</v>
      </c>
      <c r="F418" s="667" t="str">
        <f>IFERROR(__xludf.DUMMYFUNCTION("""COMPUTED_VALUE"""),"Creditas")</f>
        <v>Creditas</v>
      </c>
      <c r="G418" s="872"/>
      <c r="H418" s="667" t="str">
        <f>IFERROR(__xludf.DUMMYFUNCTION("""COMPUTED_VALUE"""),"Conhecimento Técnico")</f>
        <v>Conhecimento Técnico</v>
      </c>
      <c r="I418" s="667" t="str">
        <f>IFERROR(__xludf.DUMMYFUNCTION("""COMPUTED_VALUE"""),"Gestão de Vendas")</f>
        <v>Gestão de Vendas</v>
      </c>
      <c r="J418" s="667" t="str">
        <f>IFERROR(__xludf.DUMMYFUNCTION("""COMPUTED_VALUE"""),"Rotinas e Rituais")</f>
        <v>Rotinas e Rituais</v>
      </c>
      <c r="K418" s="275" t="str">
        <f>IFERROR(__xludf.DUMMYFUNCTION("""COMPUTED_VALUE"""),"https://universidade.pipelovers.net/aulas/melhores-praticas-de-rampagem-de-vendedores-1775159616248")</f>
        <v>https://universidade.pipelovers.net/aulas/melhores-praticas-de-rampagem-de-vendedores-1775159616248</v>
      </c>
      <c r="L418" s="535" t="str">
        <f>IFERROR(__xludf.DUMMYFUNCTION("""COMPUTED_VALUE"""),"https://universidade.pipelovers.net/aulas/melhores-praticas-de-rampagem-de-vendedores-1775159616248")</f>
        <v>https://universidade.pipelovers.net/aulas/melhores-praticas-de-rampagem-de-vendedores-1775159616248</v>
      </c>
      <c r="M418" s="1056">
        <f>IFERROR(__xludf.DUMMYFUNCTION("""COMPUTED_VALUE"""),3.86)</f>
        <v>3.86</v>
      </c>
      <c r="N418" s="1057" t="str">
        <f>IFERROR(__xludf.DUMMYFUNCTION("""COMPUTED_VALUE"""),"13. PipeLovers 💙 Planejamento Comercial: ""Melhores práticas de rampagem de Vendedores "" com Luana Petr (2023-04-27 18:38 GMT-3)")</f>
        <v>13. PipeLovers 💙 Planejamento Comercial: "Melhores práticas de rampagem de Vendedores " com Luana Petr (2023-04-27 18:38 GMT-3)</v>
      </c>
      <c r="O418" s="306" t="str">
        <f>IFERROR(__xludf.DUMMYFUNCTION("""COMPUTED_VALUE"""),"")</f>
        <v/>
      </c>
      <c r="P418" s="952">
        <f>IFERROR(__xludf.DUMMYFUNCTION("""COMPUTED_VALUE"""),44691.0)</f>
        <v>44691</v>
      </c>
      <c r="Q418" s="306"/>
    </row>
    <row r="419">
      <c r="A419" s="73"/>
      <c r="B419" s="103" t="str">
        <f>IFERROR(__xludf.DUMMYFUNCTION("""COMPUTED_VALUE"""),"Planejamento Comercial")</f>
        <v>Planejamento Comercial</v>
      </c>
      <c r="C419" s="268" t="str">
        <f>IFERROR(__xludf.DUMMYFUNCTION("""COMPUTED_VALUE"""),"Storytelling em paineis de gestão para vendedores")</f>
        <v>Storytelling em paineis de gestão para vendedores</v>
      </c>
      <c r="D419" s="268" t="str">
        <f>IFERROR(__xludf.DUMMYFUNCTION("""COMPUTED_VALUE"""),"Ricardo Moraes")</f>
        <v>Ricardo Moraes</v>
      </c>
      <c r="E419" s="228" t="str">
        <f>IFERROR(__xludf.DUMMYFUNCTION("""COMPUTED_VALUE"""),"Diretor de Satisfação do Cliente e Suporte")</f>
        <v>Diretor de Satisfação do Cliente e Suporte</v>
      </c>
      <c r="F419" s="453" t="str">
        <f>IFERROR(__xludf.DUMMYFUNCTION("""COMPUTED_VALUE"""),"ZOHO")</f>
        <v>ZOHO</v>
      </c>
      <c r="G419" s="904"/>
      <c r="H419" s="453" t="str">
        <f>IFERROR(__xludf.DUMMYFUNCTION("""COMPUTED_VALUE"""),"Conhecimento Técnico")</f>
        <v>Conhecimento Técnico</v>
      </c>
      <c r="I419" s="453" t="str">
        <f>IFERROR(__xludf.DUMMYFUNCTION("""COMPUTED_VALUE"""),"Pensamento Crítico")</f>
        <v>Pensamento Crítico</v>
      </c>
      <c r="J419" s="453" t="str">
        <f>IFERROR(__xludf.DUMMYFUNCTION("""COMPUTED_VALUE"""),"Métricas de Funil")</f>
        <v>Métricas de Funil</v>
      </c>
      <c r="K419" s="273" t="str">
        <f>IFERROR(__xludf.DUMMYFUNCTION("""COMPUTED_VALUE"""),"https://universidade.pipelovers.net/m/lessons/storytelling-em-paineis-de-gestao-para-vendedores1769552227163?classId=3459")</f>
        <v>https://universidade.pipelovers.net/m/lessons/storytelling-em-paineis-de-gestao-para-vendedores1769552227163?classId=3459</v>
      </c>
      <c r="L419" s="535" t="str">
        <f>IFERROR(__xludf.DUMMYFUNCTION("""COMPUTED_VALUE"""),"https://universidade.pipelovers.net/m/lessons/storytelling-em-paineis-de-gestao-para-vendedores1769552227163?classId=3459")</f>
        <v>https://universidade.pipelovers.net/m/lessons/storytelling-em-paineis-de-gestao-para-vendedores1769552227163?classId=3459</v>
      </c>
      <c r="M419" s="951">
        <f>IFERROR(__xludf.DUMMYFUNCTION("""COMPUTED_VALUE"""),3.93)</f>
        <v>3.93</v>
      </c>
      <c r="N419" s="1058" t="str">
        <f>IFERROR(__xludf.DUMMYFUNCTION("""COMPUTED_VALUE"""),"14. PipeLovers 💙 Planejamento Comercial: ""Storytelling em painéis de gestão para vendedores"" com Ricar (2023-05-04 18:34 GMT-3)")</f>
        <v>14. PipeLovers 💙 Planejamento Comercial: "Storytelling em painéis de gestão para vendedores" com Ricar (2023-05-04 18:34 GMT-3)</v>
      </c>
      <c r="O419" s="306" t="str">
        <f>IFERROR(__xludf.DUMMYFUNCTION("""COMPUTED_VALUE"""),"")</f>
        <v/>
      </c>
      <c r="P419" s="952">
        <f>IFERROR(__xludf.DUMMYFUNCTION("""COMPUTED_VALUE"""),44698.0)</f>
        <v>44698</v>
      </c>
      <c r="Q419" s="306"/>
    </row>
    <row r="420">
      <c r="A420" s="73"/>
      <c r="B420" s="209" t="str">
        <f>IFERROR(__xludf.DUMMYFUNCTION("""COMPUTED_VALUE"""),"Planejamento Comercial")</f>
        <v>Planejamento Comercial</v>
      </c>
      <c r="C420" s="119" t="str">
        <f>IFERROR(__xludf.DUMMYFUNCTION("""COMPUTED_VALUE"""),"Processos e qualidade de bases de dados para planejamento comercial")</f>
        <v>Processos e qualidade de bases de dados para planejamento comercial</v>
      </c>
      <c r="D420" s="104" t="str">
        <f>IFERROR(__xludf.DUMMYFUNCTION("""COMPUTED_VALUE"""),"Midori Toyota")</f>
        <v>Midori Toyota</v>
      </c>
      <c r="E420" s="151" t="str">
        <f>IFERROR(__xludf.DUMMYFUNCTION("""COMPUTED_VALUE"""),"Analista de Dados Sênior")</f>
        <v>Analista de Dados Sênior</v>
      </c>
      <c r="F420" s="648" t="str">
        <f>IFERROR(__xludf.DUMMYFUNCTION("""COMPUTED_VALUE"""),"Itaú")</f>
        <v>Itaú</v>
      </c>
      <c r="G420" s="646"/>
      <c r="H420" s="648" t="str">
        <f>IFERROR(__xludf.DUMMYFUNCTION("""COMPUTED_VALUE"""),"Conhecimento Técnico")</f>
        <v>Conhecimento Técnico</v>
      </c>
      <c r="I420" s="648" t="str">
        <f>IFERROR(__xludf.DUMMYFUNCTION("""COMPUTED_VALUE"""),"Pensamento Crítico")</f>
        <v>Pensamento Crítico</v>
      </c>
      <c r="J420" s="648" t="str">
        <f>IFERROR(__xludf.DUMMYFUNCTION("""COMPUTED_VALUE"""),"Métricas de Funil")</f>
        <v>Métricas de Funil</v>
      </c>
      <c r="K420" s="275" t="str">
        <f>IFERROR(__xludf.DUMMYFUNCTION("""COMPUTED_VALUE"""),"https://universidade.pipelovers.net/m/lessons/processos-e-qualidade-de-bases-de-dados-para-planejamento-comercial1769552227223?classId=3085")</f>
        <v>https://universidade.pipelovers.net/m/lessons/processos-e-qualidade-de-bases-de-dados-para-planejamento-comercial1769552227223?classId=3085</v>
      </c>
      <c r="L420" s="535" t="str">
        <f>IFERROR(__xludf.DUMMYFUNCTION("""COMPUTED_VALUE"""),"https://universidade.pipelovers.net/m/lessons/processos-e-qualidade-de-bases-de-dados-para-planejamento-comercial1769552227223?classId=3085")</f>
        <v>https://universidade.pipelovers.net/m/lessons/processos-e-qualidade-de-bases-de-dados-para-planejamento-comercial1769552227223?classId=3085</v>
      </c>
      <c r="M420" s="1056">
        <f>IFERROR(__xludf.DUMMYFUNCTION("""COMPUTED_VALUE"""),4.29)</f>
        <v>4.29</v>
      </c>
      <c r="N420" s="1057" t="str">
        <f>IFERROR(__xludf.DUMMYFUNCTION("""COMPUTED_VALUE"""),"15. PipeLovers 💙 Planejamento Comercial: ""Processos e qualidade de bases de dados para planejamento co (2023-05-11 18:34 GMT-3)")</f>
        <v>15. PipeLovers 💙 Planejamento Comercial: "Processos e qualidade de bases de dados para planejamento co (2023-05-11 18:34 GMT-3)</v>
      </c>
      <c r="O420" s="306" t="str">
        <f>IFERROR(__xludf.DUMMYFUNCTION("""COMPUTED_VALUE"""),"")</f>
        <v/>
      </c>
      <c r="P420" s="952">
        <f>IFERROR(__xludf.DUMMYFUNCTION("""COMPUTED_VALUE"""),44705.0)</f>
        <v>44705</v>
      </c>
      <c r="Q420" s="306"/>
    </row>
    <row r="421">
      <c r="A421" s="73"/>
      <c r="B421" s="209" t="str">
        <f>IFERROR(__xludf.DUMMYFUNCTION("""COMPUTED_VALUE"""),"Planejamento Comercial")</f>
        <v>Planejamento Comercial</v>
      </c>
      <c r="C421" s="104" t="str">
        <f>IFERROR(__xludf.DUMMYFUNCTION("""COMPUTED_VALUE"""),"Mapeando os gargalos nos processos e sistemas internos")</f>
        <v>Mapeando os gargalos nos processos e sistemas internos</v>
      </c>
      <c r="D421" s="119" t="str">
        <f>IFERROR(__xludf.DUMMYFUNCTION("""COMPUTED_VALUE"""),"Caroline Moraes")</f>
        <v>Caroline Moraes</v>
      </c>
      <c r="E421" s="151" t="str">
        <f>IFERROR(__xludf.DUMMYFUNCTION("""COMPUTED_VALUE"""),"Líder de Sales Ops")</f>
        <v>Líder de Sales Ops</v>
      </c>
      <c r="F421" s="647" t="str">
        <f>IFERROR(__xludf.DUMMYFUNCTION("""COMPUTED_VALUE"""),"Runrun.it ")</f>
        <v>Runrun.it </v>
      </c>
      <c r="G421" s="646"/>
      <c r="H421" s="648" t="str">
        <f>IFERROR(__xludf.DUMMYFUNCTION("""COMPUTED_VALUE"""),"Conhecimento Técnico")</f>
        <v>Conhecimento Técnico</v>
      </c>
      <c r="I421" s="648" t="str">
        <f>IFERROR(__xludf.DUMMYFUNCTION("""COMPUTED_VALUE"""),"Pensamento Crítico")</f>
        <v>Pensamento Crítico</v>
      </c>
      <c r="J421" s="648" t="str">
        <f>IFERROR(__xludf.DUMMYFUNCTION("""COMPUTED_VALUE"""),"Métricas de Funil")</f>
        <v>Métricas de Funil</v>
      </c>
      <c r="K421" s="275" t="str">
        <f>IFERROR(__xludf.DUMMYFUNCTION("""COMPUTED_VALUE"""),"https://universidade.pipelovers.net/m/lessons/mapeando-os-gargalos-nos-processos-e-sistemas-internos1769552227282?classId=3086")</f>
        <v>https://universidade.pipelovers.net/m/lessons/mapeando-os-gargalos-nos-processos-e-sistemas-internos1769552227282?classId=3086</v>
      </c>
      <c r="L421" s="535" t="str">
        <f>IFERROR(__xludf.DUMMYFUNCTION("""COMPUTED_VALUE"""),"https://universidade.pipelovers.net/m/lessons/mapeando-os-gargalos-nos-processos-e-sistemas-internos1769552227282?classId=3086")</f>
        <v>https://universidade.pipelovers.net/m/lessons/mapeando-os-gargalos-nos-processos-e-sistemas-internos1769552227282?classId=3086</v>
      </c>
      <c r="M421" s="951">
        <f>IFERROR(__xludf.DUMMYFUNCTION("""COMPUTED_VALUE"""),1.0)</f>
        <v>1</v>
      </c>
      <c r="N421" s="1058" t="str">
        <f>IFERROR(__xludf.DUMMYFUNCTION("""COMPUTED_VALUE"""),"16. PipeLovers 💙 Planejamento Comercial: "" Mapeando os gargalos nos processos e sistemas internos"" com (2023-05-18 18:35 GMT-3)")</f>
        <v>16. PipeLovers 💙 Planejamento Comercial: " Mapeando os gargalos nos processos e sistemas internos" com (2023-05-18 18:35 GMT-3)</v>
      </c>
      <c r="O421" s="306" t="str">
        <f>IFERROR(__xludf.DUMMYFUNCTION("""COMPUTED_VALUE"""),"")</f>
        <v/>
      </c>
      <c r="P421" s="952">
        <f>IFERROR(__xludf.DUMMYFUNCTION("""COMPUTED_VALUE"""),44712.0)</f>
        <v>44712</v>
      </c>
      <c r="Q421" s="306"/>
    </row>
    <row r="422">
      <c r="A422" s="73"/>
      <c r="B422" s="209" t="str">
        <f>IFERROR(__xludf.DUMMYFUNCTION("""COMPUTED_VALUE"""),"Planejamento Comercial")</f>
        <v>Planejamento Comercial</v>
      </c>
      <c r="C422" s="119" t="str">
        <f>IFERROR(__xludf.DUMMYFUNCTION("""COMPUTED_VALUE"""),"Comunicação conciliadora para conversas difíceis")</f>
        <v>Comunicação conciliadora para conversas difíceis</v>
      </c>
      <c r="D422" s="104" t="str">
        <f>IFERROR(__xludf.DUMMYFUNCTION("""COMPUTED_VALUE"""),"Fabio Moreira")</f>
        <v>Fabio Moreira</v>
      </c>
      <c r="E422" s="151" t="str">
        <f>IFERROR(__xludf.DUMMYFUNCTION("""COMPUTED_VALUE"""),"Chief Commercial Officer")</f>
        <v>Chief Commercial Officer</v>
      </c>
      <c r="F422" s="648" t="str">
        <f>IFERROR(__xludf.DUMMYFUNCTION("""COMPUTED_VALUE"""),"CreditCorpBR")</f>
        <v>CreditCorpBR</v>
      </c>
      <c r="G422" s="1060" t="str">
        <f>IFERROR(__xludf.DUMMYFUNCTION("""COMPUTED_VALUE"""),"https://www.linkedin.com/in/fabio-moreira-0141b121/")</f>
        <v>https://www.linkedin.com/in/fabio-moreira-0141b121/</v>
      </c>
      <c r="H422" s="648" t="str">
        <f>IFERROR(__xludf.DUMMYFUNCTION("""COMPUTED_VALUE"""),"Relacionamento Interpessoal")</f>
        <v>Relacionamento Interpessoal</v>
      </c>
      <c r="I422" s="648" t="str">
        <f>IFERROR(__xludf.DUMMYFUNCTION("""COMPUTED_VALUE"""),"Comunicação e Relacionamento")</f>
        <v>Comunicação e Relacionamento</v>
      </c>
      <c r="J422" s="648" t="str">
        <f>IFERROR(__xludf.DUMMYFUNCTION("""COMPUTED_VALUE"""),"Comunicação Não-Agressiva")</f>
        <v>Comunicação Não-Agressiva</v>
      </c>
      <c r="K422" s="275" t="str">
        <f>IFERROR(__xludf.DUMMYFUNCTION("""COMPUTED_VALUE"""),"https://universidade.pipelovers.net/m/lessons/comunicacao-conciliadora-para-conversas-dificeis1769552227312?classId=3087")</f>
        <v>https://universidade.pipelovers.net/m/lessons/comunicacao-conciliadora-para-conversas-dificeis1769552227312?classId=3087</v>
      </c>
      <c r="L422" s="535" t="str">
        <f>IFERROR(__xludf.DUMMYFUNCTION("""COMPUTED_VALUE"""),"https://universidade.pipelovers.net/m/lessons/comunicacao-conciliadora-para-conversas-dificeis1769552227312?classId=3087")</f>
        <v>https://universidade.pipelovers.net/m/lessons/comunicacao-conciliadora-para-conversas-dificeis1769552227312?classId=3087</v>
      </c>
      <c r="M422" s="1056">
        <f>IFERROR(__xludf.DUMMYFUNCTION("""COMPUTED_VALUE"""),4.29)</f>
        <v>4.29</v>
      </c>
      <c r="N422" s="1057" t="str">
        <f>IFERROR(__xludf.DUMMYFUNCTION("""COMPUTED_VALUE"""),"17. PipeLovers 💙 Planejamento Comercial: ""Comunicação conciliadora para conversas difíceis"" com Fabio  (2023-05-25 18:35 GMT-3)")</f>
        <v>17. PipeLovers 💙 Planejamento Comercial: "Comunicação conciliadora para conversas difíceis" com Fabio  (2023-05-25 18:35 GMT-3)</v>
      </c>
      <c r="O422" s="306" t="str">
        <f>IFERROR(__xludf.DUMMYFUNCTION("""COMPUTED_VALUE"""),"")</f>
        <v/>
      </c>
      <c r="P422" s="952">
        <f>IFERROR(__xludf.DUMMYFUNCTION("""COMPUTED_VALUE"""),44719.0)</f>
        <v>44719</v>
      </c>
      <c r="Q422" s="306"/>
    </row>
    <row r="423">
      <c r="A423" s="73"/>
      <c r="B423" s="209" t="str">
        <f>IFERROR(__xludf.DUMMYFUNCTION("""COMPUTED_VALUE"""),"Planejamento Comercial")</f>
        <v>Planejamento Comercial</v>
      </c>
      <c r="C423" s="104" t="str">
        <f>IFERROR(__xludf.DUMMYFUNCTION("""COMPUTED_VALUE"""),"Erros de cálculo de comissão: impactos e alternativas")</f>
        <v>Erros de cálculo de comissão: impactos e alternativas</v>
      </c>
      <c r="D423" s="119" t="str">
        <f>IFERROR(__xludf.DUMMYFUNCTION("""COMPUTED_VALUE"""),"Gabriel Amato")</f>
        <v>Gabriel Amato</v>
      </c>
      <c r="E423" s="151" t="str">
        <f>IFERROR(__xludf.DUMMYFUNCTION("""COMPUTED_VALUE"""),"Manager, Sales Strategy &amp; Operations")</f>
        <v>Manager, Sales Strategy &amp; Operations</v>
      </c>
      <c r="F423" s="648" t="str">
        <f>IFERROR(__xludf.DUMMYFUNCTION("""COMPUTED_VALUE"""),"Docusign")</f>
        <v>Docusign</v>
      </c>
      <c r="G423" s="646"/>
      <c r="H423" s="648" t="str">
        <f>IFERROR(__xludf.DUMMYFUNCTION("""COMPUTED_VALUE"""),"Conhecimento Técnico")</f>
        <v>Conhecimento Técnico</v>
      </c>
      <c r="I423" s="648" t="str">
        <f>IFERROR(__xludf.DUMMYFUNCTION("""COMPUTED_VALUE"""),"Pensamento Crítico")</f>
        <v>Pensamento Crítico</v>
      </c>
      <c r="J423" s="648" t="str">
        <f>IFERROR(__xludf.DUMMYFUNCTION("""COMPUTED_VALUE"""),"Métricas de Funil")</f>
        <v>Métricas de Funil</v>
      </c>
      <c r="K423" s="275" t="str">
        <f>IFERROR(__xludf.DUMMYFUNCTION("""COMPUTED_VALUE"""),"https://universidade.pipelovers.net/m/lessons/erros-de-calculo-de-comissao-impactos-e-alternativas1769552227361?classId=3088")</f>
        <v>https://universidade.pipelovers.net/m/lessons/erros-de-calculo-de-comissao-impactos-e-alternativas1769552227361?classId=3088</v>
      </c>
      <c r="L423" s="535" t="str">
        <f>IFERROR(__xludf.DUMMYFUNCTION("""COMPUTED_VALUE"""),"https://universidade.pipelovers.net/m/lessons/erros-de-calculo-de-comissao-impactos-e-alternativas1769552227361?classId=3088")</f>
        <v>https://universidade.pipelovers.net/m/lessons/erros-de-calculo-de-comissao-impactos-e-alternativas1769552227361?classId=3088</v>
      </c>
      <c r="M423" s="951">
        <f>IFERROR(__xludf.DUMMYFUNCTION("""COMPUTED_VALUE"""),4.29)</f>
        <v>4.29</v>
      </c>
      <c r="N423" s="1058" t="str">
        <f>IFERROR(__xludf.DUMMYFUNCTION("""COMPUTED_VALUE"""),"18. PipeLovers 💙 Planejamento Comercial: ""Erros de cálculo de comissão: impactos e alternativas"" com G (2023-06-01 18:36 GMT-3)")</f>
        <v>18. PipeLovers 💙 Planejamento Comercial: "Erros de cálculo de comissão: impactos e alternativas" com G (2023-06-01 18:36 GMT-3)</v>
      </c>
      <c r="O423" s="306" t="str">
        <f>IFERROR(__xludf.DUMMYFUNCTION("""COMPUTED_VALUE"""),"")</f>
        <v/>
      </c>
      <c r="P423" s="952">
        <f>IFERROR(__xludf.DUMMYFUNCTION("""COMPUTED_VALUE"""),44726.0)</f>
        <v>44726</v>
      </c>
      <c r="Q423" s="306"/>
    </row>
    <row r="424">
      <c r="A424" s="73"/>
      <c r="B424" s="209" t="str">
        <f>IFERROR(__xludf.DUMMYFUNCTION("""COMPUTED_VALUE"""),"Planejamento Comercial")</f>
        <v>Planejamento Comercial</v>
      </c>
      <c r="C424" s="119" t="str">
        <f>IFERROR(__xludf.DUMMYFUNCTION("""COMPUTED_VALUE"""),"Os desafios de um Country Manager em novos mercados")</f>
        <v>Os desafios de um Country Manager em novos mercados</v>
      </c>
      <c r="D424" s="119" t="str">
        <f>IFERROR(__xludf.DUMMYFUNCTION("""COMPUTED_VALUE"""),"Gregory Street")</f>
        <v>Gregory Street</v>
      </c>
      <c r="E424" s="151" t="str">
        <f>IFERROR(__xludf.DUMMYFUNCTION("""COMPUTED_VALUE"""),"-")</f>
        <v>-</v>
      </c>
      <c r="F424" s="648" t="str">
        <f>IFERROR(__xludf.DUMMYFUNCTION("""COMPUTED_VALUE"""),"-")</f>
        <v>-</v>
      </c>
      <c r="G424" s="646"/>
      <c r="H424" s="648" t="str">
        <f>IFERROR(__xludf.DUMMYFUNCTION("""COMPUTED_VALUE"""),"Visão de Negócio")</f>
        <v>Visão de Negócio</v>
      </c>
      <c r="I424" s="655" t="str">
        <f>IFERROR(__xludf.DUMMYFUNCTION("""COMPUTED_VALUE"""),"Conhecimento de Produto e Negócio")</f>
        <v>Conhecimento de Produto e Negócio</v>
      </c>
      <c r="J424" s="648" t="str">
        <f>IFERROR(__xludf.DUMMYFUNCTION("""COMPUTED_VALUE"""),"Segmentação de Mercado")</f>
        <v>Segmentação de Mercado</v>
      </c>
      <c r="K424" s="275" t="str">
        <f>IFERROR(__xludf.DUMMYFUNCTION("""COMPUTED_VALUE"""),"https://universidade.pipelovers.net/m/lessons/os-desafios-de-um-country-manager-em-novos-mercados1769552231015?classId=3067")</f>
        <v>https://universidade.pipelovers.net/m/lessons/os-desafios-de-um-country-manager-em-novos-mercados1769552231015?classId=3067</v>
      </c>
      <c r="L424" s="535" t="str">
        <f>IFERROR(__xludf.DUMMYFUNCTION("""COMPUTED_VALUE"""),"https://universidade.pipelovers.net/m/lessons/os-desafios-de-um-country-manager-em-novos-mercados1769552231015?classId=3067")</f>
        <v>https://universidade.pipelovers.net/m/lessons/os-desafios-de-um-country-manager-em-novos-mercados1769552231015?classId=3067</v>
      </c>
      <c r="M424" s="951">
        <f>IFERROR(__xludf.DUMMYFUNCTION("""COMPUTED_VALUE"""),3.71)</f>
        <v>3.71</v>
      </c>
      <c r="N424" s="1058" t="str">
        <f>IFERROR(__xludf.DUMMYFUNCTION("""COMPUTED_VALUE"""),"19. PipeLovers 💙 Planejamento Comercial: ""Os desafios de um Country Manager em novos mercados"" com Gre (2023-06-07 18:04 GMT-3)")</f>
        <v>19. PipeLovers 💙 Planejamento Comercial: "Os desafios de um Country Manager em novos mercados" com Gre (2023-06-07 18:04 GMT-3)</v>
      </c>
      <c r="O424" s="294" t="str">
        <f>IFERROR(__xludf.DUMMYFUNCTION("""COMPUTED_VALUE"""),"")</f>
        <v/>
      </c>
      <c r="P424" s="952">
        <f>IFERROR(__xludf.DUMMYFUNCTION("""COMPUTED_VALUE"""),44733.0)</f>
        <v>44733</v>
      </c>
      <c r="Q424" s="294"/>
    </row>
    <row r="425">
      <c r="A425" s="73"/>
      <c r="B425" s="209" t="str">
        <f>IFERROR(__xludf.DUMMYFUNCTION("""COMPUTED_VALUE"""),"Planejamento Comercial")</f>
        <v>Planejamento Comercial</v>
      </c>
      <c r="C425" s="119" t="str">
        <f>IFERROR(__xludf.DUMMYFUNCTION("""COMPUTED_VALUE"""),"Modelos de Incentivo de Equipes Comerciais")</f>
        <v>Modelos de Incentivo de Equipes Comerciais</v>
      </c>
      <c r="D425" s="104" t="str">
        <f>IFERROR(__xludf.DUMMYFUNCTION("""COMPUTED_VALUE"""),"Marcio Pereira")</f>
        <v>Marcio Pereira</v>
      </c>
      <c r="E425" s="151" t="str">
        <f>IFERROR(__xludf.DUMMYFUNCTION("""COMPUTED_VALUE"""),"-")</f>
        <v>-</v>
      </c>
      <c r="F425" s="648" t="str">
        <f>IFERROR(__xludf.DUMMYFUNCTION("""COMPUTED_VALUE"""),"-")</f>
        <v>-</v>
      </c>
      <c r="G425" s="1060" t="str">
        <f>IFERROR(__xludf.DUMMYFUNCTION("""COMPUTED_VALUE"""),"https://www.linkedin.com/in/marcio-pereira-5327939/")</f>
        <v>https://www.linkedin.com/in/marcio-pereira-5327939/</v>
      </c>
      <c r="H425" s="648" t="str">
        <f>IFERROR(__xludf.DUMMYFUNCTION("""COMPUTED_VALUE"""),"Relacionamento Interpessoal")</f>
        <v>Relacionamento Interpessoal</v>
      </c>
      <c r="I425" s="648" t="str">
        <f>IFERROR(__xludf.DUMMYFUNCTION("""COMPUTED_VALUE"""),"Liderança e Influência")</f>
        <v>Liderança e Influência</v>
      </c>
      <c r="J425" s="648" t="str">
        <f>IFERROR(__xludf.DUMMYFUNCTION("""COMPUTED_VALUE"""),"Reconhecimento e Recompensas")</f>
        <v>Reconhecimento e Recompensas</v>
      </c>
      <c r="K425" s="275" t="str">
        <f>IFERROR(__xludf.DUMMYFUNCTION("""COMPUTED_VALUE"""),"https://universidade.pipelovers.net/m/lessons/modelos-de-incentivo-de-equipes-comerciais1769552231122?classId=3089")</f>
        <v>https://universidade.pipelovers.net/m/lessons/modelos-de-incentivo-de-equipes-comerciais1769552231122?classId=3089</v>
      </c>
      <c r="L425" s="535" t="str">
        <f>IFERROR(__xludf.DUMMYFUNCTION("""COMPUTED_VALUE"""),"https://universidade.pipelovers.net/m/lessons/modelos-de-incentivo-de-equipes-comerciais1769552231122?classId=3089")</f>
        <v>https://universidade.pipelovers.net/m/lessons/modelos-de-incentivo-de-equipes-comerciais1769552231122?classId=3089</v>
      </c>
      <c r="M425" s="1056">
        <f>IFERROR(__xludf.DUMMYFUNCTION("""COMPUTED_VALUE"""),3.71)</f>
        <v>3.71</v>
      </c>
      <c r="N425" s="1057" t="str">
        <f>IFERROR(__xludf.DUMMYFUNCTION("""COMPUTED_VALUE"""),"20. PipeLovers 💙 Planejamento Comercial: ""Modelos de Incentivo de Equipes Comerciais"" com Marcio Perei (2023-06-22 18:36 GMT-3)")</f>
        <v>20. PipeLovers 💙 Planejamento Comercial: "Modelos de Incentivo de Equipes Comerciais" com Marcio Perei (2023-06-22 18:36 GMT-3)</v>
      </c>
      <c r="O425" s="306" t="str">
        <f>IFERROR(__xludf.DUMMYFUNCTION("""COMPUTED_VALUE"""),"")</f>
        <v/>
      </c>
      <c r="P425" s="952">
        <f>IFERROR(__xludf.DUMMYFUNCTION("""COMPUTED_VALUE"""),44740.0)</f>
        <v>44740</v>
      </c>
      <c r="Q425" s="306"/>
    </row>
    <row r="426">
      <c r="A426" s="73"/>
      <c r="B426" s="209" t="str">
        <f>IFERROR(__xludf.DUMMYFUNCTION("""COMPUTED_VALUE"""),"Planejamento Comercial")</f>
        <v>Planejamento Comercial</v>
      </c>
      <c r="C426" s="104" t="str">
        <f>IFERROR(__xludf.DUMMYFUNCTION("""COMPUTED_VALUE"""),"Inteligência Artificial: o que ela não vai resolver para um gerente de vendas?")</f>
        <v>Inteligência Artificial: o que ela não vai resolver para um gerente de vendas?</v>
      </c>
      <c r="D426" s="104" t="str">
        <f>IFERROR(__xludf.DUMMYFUNCTION("""COMPUTED_VALUE"""),"Mauricio Vergani")</f>
        <v>Mauricio Vergani</v>
      </c>
      <c r="E426" s="151" t="str">
        <f>IFERROR(__xludf.DUMMYFUNCTION("""COMPUTED_VALUE"""),"CEO")</f>
        <v>CEO</v>
      </c>
      <c r="F426" s="648" t="str">
        <f>IFERROR(__xludf.DUMMYFUNCTION("""COMPUTED_VALUE"""),"Neoxs")</f>
        <v>Neoxs</v>
      </c>
      <c r="G426" s="1060" t="str">
        <f>IFERROR(__xludf.DUMMYFUNCTION("""COMPUTED_VALUE"""),"https://www.linkedin.com/in/mauricio-vergani-8b7765/")</f>
        <v>https://www.linkedin.com/in/mauricio-vergani-8b7765/</v>
      </c>
      <c r="H426" s="648" t="str">
        <f>IFERROR(__xludf.DUMMYFUNCTION("""COMPUTED_VALUE"""),"Visão de Negócio")</f>
        <v>Visão de Negócio</v>
      </c>
      <c r="I426" s="648" t="str">
        <f>IFERROR(__xludf.DUMMYFUNCTION("""COMPUTED_VALUE"""),"Tendencias de mercado")</f>
        <v>Tendencias de mercado</v>
      </c>
      <c r="J426" s="648" t="str">
        <f>IFERROR(__xludf.DUMMYFUNCTION("""COMPUTED_VALUE"""),"Inovações Tecnológicas")</f>
        <v>Inovações Tecnológicas</v>
      </c>
      <c r="K426" s="275" t="str">
        <f>IFERROR(__xludf.DUMMYFUNCTION("""COMPUTED_VALUE"""),"https://universidade.pipelovers.net/m/lessons/inteligencia-artificial-o-que-ela-nao-vai-resolver-para-um-gerente-de-vendas1769552231190?classId=3090")</f>
        <v>https://universidade.pipelovers.net/m/lessons/inteligencia-artificial-o-que-ela-nao-vai-resolver-para-um-gerente-de-vendas1769552231190?classId=3090</v>
      </c>
      <c r="L426" s="535" t="str">
        <f>IFERROR(__xludf.DUMMYFUNCTION("""COMPUTED_VALUE"""),"https://universidade.pipelovers.net/m/lessons/inteligencia-artificial-o-que-ela-nao-vai-resolver-para-um-gerente-de-vendas1769552231190?classId=3090")</f>
        <v>https://universidade.pipelovers.net/m/lessons/inteligencia-artificial-o-que-ela-nao-vai-resolver-para-um-gerente-de-vendas1769552231190?classId=3090</v>
      </c>
      <c r="M426" s="951">
        <f>IFERROR(__xludf.DUMMYFUNCTION("""COMPUTED_VALUE"""),3.71)</f>
        <v>3.71</v>
      </c>
      <c r="N426" s="1058" t="str">
        <f>IFERROR(__xludf.DUMMYFUNCTION("""COMPUTED_VALUE"""),"21. PipeLovers 💙 Planejamento Comercial: ""Inteligência Artificial: o que ela não vai resolver para um  (2023-06-29 18:36 GMT-3)")</f>
        <v>21. PipeLovers 💙 Planejamento Comercial: "Inteligência Artificial: o que ela não vai resolver para um  (2023-06-29 18:36 GMT-3)</v>
      </c>
      <c r="O426" s="294" t="str">
        <f>IFERROR(__xludf.DUMMYFUNCTION("""COMPUTED_VALUE"""),"")</f>
        <v/>
      </c>
      <c r="P426" s="952">
        <f>IFERROR(__xludf.DUMMYFUNCTION("""COMPUTED_VALUE"""),44747.0)</f>
        <v>44747</v>
      </c>
      <c r="Q426" s="294"/>
    </row>
    <row r="427">
      <c r="A427" s="73"/>
      <c r="B427" s="209" t="str">
        <f>IFERROR(__xludf.DUMMYFUNCTION("""COMPUTED_VALUE"""),"Planejamento Comercial")</f>
        <v>Planejamento Comercial</v>
      </c>
      <c r="C427" s="119" t="str">
        <f>IFERROR(__xludf.DUMMYFUNCTION("""COMPUTED_VALUE"""),"Gestão baseada em OKR - Objective and Key Results")</f>
        <v>Gestão baseada em OKR - Objective and Key Results</v>
      </c>
      <c r="D427" s="119" t="str">
        <f>IFERROR(__xludf.DUMMYFUNCTION("""COMPUTED_VALUE"""),"Flavio Nusbaum")</f>
        <v>Flavio Nusbaum</v>
      </c>
      <c r="E427" s="151" t="str">
        <f>IFERROR(__xludf.DUMMYFUNCTION("""COMPUTED_VALUE"""),"Diretor Geral")</f>
        <v>Diretor Geral</v>
      </c>
      <c r="F427" s="648" t="str">
        <f>IFERROR(__xludf.DUMMYFUNCTION("""COMPUTED_VALUE"""),"Martin Baum Consulting")</f>
        <v>Martin Baum Consulting</v>
      </c>
      <c r="G427" s="646"/>
      <c r="H427" s="648" t="str">
        <f>IFERROR(__xludf.DUMMYFUNCTION("""COMPUTED_VALUE"""),"Conhecimento Técnico")</f>
        <v>Conhecimento Técnico</v>
      </c>
      <c r="I427" s="648" t="str">
        <f>IFERROR(__xludf.DUMMYFUNCTION("""COMPUTED_VALUE"""),"Gestão de Vendas")</f>
        <v>Gestão de Vendas</v>
      </c>
      <c r="J427" s="648" t="str">
        <f>IFERROR(__xludf.DUMMYFUNCTION("""COMPUTED_VALUE"""),"Planejamento Comercial")</f>
        <v>Planejamento Comercial</v>
      </c>
      <c r="K427" s="275" t="str">
        <f>IFERROR(__xludf.DUMMYFUNCTION("""COMPUTED_VALUE"""),"https://universidade.pipelovers.net/m/lessons/gestao-baseada-em-okr-objective-and-key-results1769552231241?classId=3091")</f>
        <v>https://universidade.pipelovers.net/m/lessons/gestao-baseada-em-okr-objective-and-key-results1769552231241?classId=3091</v>
      </c>
      <c r="L427" s="535" t="str">
        <f>IFERROR(__xludf.DUMMYFUNCTION("""COMPUTED_VALUE"""),"https://universidade.pipelovers.net/m/lessons/gestao-baseada-em-okr-objective-and-key-results1769552231241?classId=3091")</f>
        <v>https://universidade.pipelovers.net/m/lessons/gestao-baseada-em-okr-objective-and-key-results1769552231241?classId=3091</v>
      </c>
      <c r="M427" s="1056">
        <f>IFERROR(__xludf.DUMMYFUNCTION("""COMPUTED_VALUE"""),2.0)</f>
        <v>2</v>
      </c>
      <c r="N427" s="1057" t="str">
        <f>IFERROR(__xludf.DUMMYFUNCTION("""COMPUTED_VALUE"""),"22. PipeLovers 💙 Planejamento Comercial: ""Gestão baseada em OKRs - Objective and Key Results"" com Flav (2023-07-05 18:36 GMT-3)")</f>
        <v>22. PipeLovers 💙 Planejamento Comercial: "Gestão baseada em OKRs - Objective and Key Results" com Flav (2023-07-05 18:36 GMT-3)</v>
      </c>
      <c r="O427" s="1063" t="str">
        <f>IFERROR(__xludf.DUMMYFUNCTION("""COMPUTED_VALUE"""),"")</f>
        <v/>
      </c>
      <c r="P427" s="952">
        <f>IFERROR(__xludf.DUMMYFUNCTION("""COMPUTED_VALUE"""),44754.0)</f>
        <v>44754</v>
      </c>
      <c r="Q427" s="1063"/>
    </row>
    <row r="428">
      <c r="A428" s="73"/>
      <c r="B428" s="209" t="str">
        <f>IFERROR(__xludf.DUMMYFUNCTION("""COMPUTED_VALUE"""),"Planejamento Comercial")</f>
        <v>Planejamento Comercial</v>
      </c>
      <c r="C428" s="104" t="str">
        <f>IFERROR(__xludf.DUMMYFUNCTION("""COMPUTED_VALUE"""),"Eficiência de funil e rentabilidade de vendas")</f>
        <v>Eficiência de funil e rentabilidade de vendas</v>
      </c>
      <c r="D428" s="104" t="str">
        <f>IFERROR(__xludf.DUMMYFUNCTION("""COMPUTED_VALUE"""),"Cadu Dias")</f>
        <v>Cadu Dias</v>
      </c>
      <c r="E428" s="151" t="str">
        <f>IFERROR(__xludf.DUMMYFUNCTION("""COMPUTED_VALUE"""),"Co-founder")</f>
        <v>Co-founder</v>
      </c>
      <c r="F428" s="648" t="str">
        <f>IFERROR(__xludf.DUMMYFUNCTION("""COMPUTED_VALUE"""),"Growth Machine")</f>
        <v>Growth Machine</v>
      </c>
      <c r="G428" s="646"/>
      <c r="H428" s="648" t="str">
        <f>IFERROR(__xludf.DUMMYFUNCTION("""COMPUTED_VALUE"""),"Conhecimento Técnico")</f>
        <v>Conhecimento Técnico</v>
      </c>
      <c r="I428" s="648" t="str">
        <f>IFERROR(__xludf.DUMMYFUNCTION("""COMPUTED_VALUE"""),"Pensamento Crítico")</f>
        <v>Pensamento Crítico</v>
      </c>
      <c r="J428" s="648" t="str">
        <f>IFERROR(__xludf.DUMMYFUNCTION("""COMPUTED_VALUE"""),"ROI")</f>
        <v>ROI</v>
      </c>
      <c r="K428" s="275" t="str">
        <f>IFERROR(__xludf.DUMMYFUNCTION("""COMPUTED_VALUE"""),"https://universidade.pipelovers.net/m/lessons/eficiencia-de-funil-e-rentabilidade-de-vendas1769552231350?classId=3104")</f>
        <v>https://universidade.pipelovers.net/m/lessons/eficiencia-de-funil-e-rentabilidade-de-vendas1769552231350?classId=3104</v>
      </c>
      <c r="L428" s="535" t="str">
        <f>IFERROR(__xludf.DUMMYFUNCTION("""COMPUTED_VALUE"""),"https://universidade.pipelovers.net/m/lessons/eficiencia-de-funil-e-rentabilidade-de-vendas1769552231350?classId=3104")</f>
        <v>https://universidade.pipelovers.net/m/lessons/eficiencia-de-funil-e-rentabilidade-de-vendas1769552231350?classId=3104</v>
      </c>
      <c r="M428" s="951">
        <f>IFERROR(__xludf.DUMMYFUNCTION("""COMPUTED_VALUE"""),4.29)</f>
        <v>4.29</v>
      </c>
      <c r="N428" s="1058" t="str">
        <f>IFERROR(__xludf.DUMMYFUNCTION("""COMPUTED_VALUE"""),"23. PipeLovers 💙 Planejamento Comercial: ""Eficiência de funil e rentabilidade de vendas"" com Cadu Dias (2023-07-13 18:35 GMT-3)")</f>
        <v>23. PipeLovers 💙 Planejamento Comercial: "Eficiência de funil e rentabilidade de vendas" com Cadu Dias (2023-07-13 18:35 GMT-3)</v>
      </c>
      <c r="O428" s="921" t="str">
        <f>IFERROR(__xludf.DUMMYFUNCTION("""COMPUTED_VALUE"""),"")</f>
        <v/>
      </c>
      <c r="P428" s="952">
        <f>IFERROR(__xludf.DUMMYFUNCTION("""COMPUTED_VALUE"""),44761.0)</f>
        <v>44761</v>
      </c>
      <c r="Q428" s="921"/>
    </row>
    <row r="429">
      <c r="A429" s="73"/>
      <c r="B429" s="209" t="str">
        <f>IFERROR(__xludf.DUMMYFUNCTION("""COMPUTED_VALUE"""),"Planejamento Comercial")</f>
        <v>Planejamento Comercial</v>
      </c>
      <c r="C429" s="268" t="str">
        <f>IFERROR(__xludf.DUMMYFUNCTION("""COMPUTED_VALUE"""),"Planejamento Estratégico para Novos Segmentos e Mercados")</f>
        <v>Planejamento Estratégico para Novos Segmentos e Mercados</v>
      </c>
      <c r="D429" s="268" t="str">
        <f>IFERROR(__xludf.DUMMYFUNCTION("""COMPUTED_VALUE"""),"Heloisa Macedo")</f>
        <v>Heloisa Macedo</v>
      </c>
      <c r="E429" s="228" t="str">
        <f>IFERROR(__xludf.DUMMYFUNCTION("""COMPUTED_VALUE"""),"Sales &amp; Marketing Director")</f>
        <v>Sales &amp; Marketing Director</v>
      </c>
      <c r="F429" s="453" t="str">
        <f>IFERROR(__xludf.DUMMYFUNCTION("""COMPUTED_VALUE"""),"Air Robotics Drones")</f>
        <v>Air Robotics Drones</v>
      </c>
      <c r="G429" s="904"/>
      <c r="H429" s="453" t="str">
        <f>IFERROR(__xludf.DUMMYFUNCTION("""COMPUTED_VALUE"""),"Visão de Negócio")</f>
        <v>Visão de Negócio</v>
      </c>
      <c r="I429" s="453" t="str">
        <f>IFERROR(__xludf.DUMMYFUNCTION("""COMPUTED_VALUE"""),"Conhecimento de Produto e Negócio")</f>
        <v>Conhecimento de Produto e Negócio</v>
      </c>
      <c r="J429" s="453" t="str">
        <f>IFERROR(__xludf.DUMMYFUNCTION("""COMPUTED_VALUE"""),"Segmentação de Mercado")</f>
        <v>Segmentação de Mercado</v>
      </c>
      <c r="K429" s="273" t="str">
        <f>IFERROR(__xludf.DUMMYFUNCTION("""COMPUTED_VALUE"""),"https://universidade.pipelovers.net/m/lessons/planejamento-estrategico-para-novos-segmentos-e-mercados1769552231526?classId=3068")</f>
        <v>https://universidade.pipelovers.net/m/lessons/planejamento-estrategico-para-novos-segmentos-e-mercados1769552231526?classId=3068</v>
      </c>
      <c r="L429" s="535" t="str">
        <f>IFERROR(__xludf.DUMMYFUNCTION("""COMPUTED_VALUE"""),"https://universidade.pipelovers.net/m/lessons/planejamento-estrategico-para-novos-segmentos-e-mercados1769552231526?classId=3068")</f>
        <v>https://universidade.pipelovers.net/m/lessons/planejamento-estrategico-para-novos-segmentos-e-mercados1769552231526?classId=3068</v>
      </c>
      <c r="M429" s="1056">
        <f>IFERROR(__xludf.DUMMYFUNCTION("""COMPUTED_VALUE"""),3.71)</f>
        <v>3.71</v>
      </c>
      <c r="N429" s="1057" t="str">
        <f>IFERROR(__xludf.DUMMYFUNCTION("""COMPUTED_VALUE"""),"24. PipeLovers 💙 Planejamento Comercial - ""Planejamento Estratégico para Novos Segmentos e Mercados"" c (2023-07-20 18:36 GMT-3)")</f>
        <v>24. PipeLovers 💙 Planejamento Comercial - "Planejamento Estratégico para Novos Segmentos e Mercados" c (2023-07-20 18:36 GMT-3)</v>
      </c>
      <c r="O429" s="1063" t="str">
        <f>IFERROR(__xludf.DUMMYFUNCTION("""COMPUTED_VALUE"""),"")</f>
        <v/>
      </c>
      <c r="P429" s="952">
        <f>IFERROR(__xludf.DUMMYFUNCTION("""COMPUTED_VALUE"""),44768.0)</f>
        <v>44768</v>
      </c>
      <c r="Q429" s="1063"/>
    </row>
    <row r="430">
      <c r="A430" s="73"/>
      <c r="B430" s="209" t="str">
        <f>IFERROR(__xludf.DUMMYFUNCTION("""COMPUTED_VALUE"""),"Planejamento Comercial")</f>
        <v>Planejamento Comercial</v>
      </c>
      <c r="C430" s="104" t="str">
        <f>IFERROR(__xludf.DUMMYFUNCTION("""COMPUTED_VALUE"""),"Calculando seu CAC e Unit Economics")</f>
        <v>Calculando seu CAC e Unit Economics</v>
      </c>
      <c r="D430" s="104" t="str">
        <f>IFERROR(__xludf.DUMMYFUNCTION("""COMPUTED_VALUE"""),"Caio Bolognesi  ")</f>
        <v>Caio Bolognesi  </v>
      </c>
      <c r="E430" s="151" t="str">
        <f>IFERROR(__xludf.DUMMYFUNCTION("""COMPUTED_VALUE"""),"General Partner")</f>
        <v>General Partner</v>
      </c>
      <c r="F430" s="648" t="str">
        <f>IFERROR(__xludf.DUMMYFUNCTION("""COMPUTED_VALUE"""),"Monashees")</f>
        <v>Monashees</v>
      </c>
      <c r="G430" s="646"/>
      <c r="H430" s="648" t="str">
        <f>IFERROR(__xludf.DUMMYFUNCTION("""COMPUTED_VALUE"""),"Visão de Negócio")</f>
        <v>Visão de Negócio</v>
      </c>
      <c r="I430" s="648" t="str">
        <f>IFERROR(__xludf.DUMMYFUNCTION("""COMPUTED_VALUE"""),"Conhecimento de Produto e Negócio")</f>
        <v>Conhecimento de Produto e Negócio</v>
      </c>
      <c r="J430" s="648" t="str">
        <f>IFERROR(__xludf.DUMMYFUNCTION("""COMPUTED_VALUE"""),"Unit Economic")</f>
        <v>Unit Economic</v>
      </c>
      <c r="K430" s="275" t="str">
        <f>IFERROR(__xludf.DUMMYFUNCTION("""COMPUTED_VALUE"""),"https://universidade.pipelovers.net/m/lessons/calculando-seu-cac-e-unit-economics1769552231474?classId=3093")</f>
        <v>https://universidade.pipelovers.net/m/lessons/calculando-seu-cac-e-unit-economics1769552231474?classId=3093</v>
      </c>
      <c r="L430" s="535" t="str">
        <f>IFERROR(__xludf.DUMMYFUNCTION("""COMPUTED_VALUE"""),"https://universidade.pipelovers.net/m/lessons/calculando-seu-cac-e-unit-economics1769552231474?classId=3093")</f>
        <v>https://universidade.pipelovers.net/m/lessons/calculando-seu-cac-e-unit-economics1769552231474?classId=3093</v>
      </c>
      <c r="M430" s="951">
        <f>IFERROR(__xludf.DUMMYFUNCTION("""COMPUTED_VALUE"""),4.29)</f>
        <v>4.29</v>
      </c>
      <c r="N430" s="1058" t="str">
        <f>IFERROR(__xludf.DUMMYFUNCTION("""COMPUTED_VALUE"""),"25. PipeLovers 💙 Planejamento Comercial: ""Calculando seu CAC e Unit Economics"" com Caio Bolognesi da M (2023-07-27 18:35 GMT-3)")</f>
        <v>25. PipeLovers 💙 Planejamento Comercial: "Calculando seu CAC e Unit Economics" com Caio Bolognesi da M (2023-07-27 18:35 GMT-3)</v>
      </c>
      <c r="O430" s="921" t="str">
        <f>IFERROR(__xludf.DUMMYFUNCTION("""COMPUTED_VALUE"""),"")</f>
        <v/>
      </c>
      <c r="P430" s="952">
        <f>IFERROR(__xludf.DUMMYFUNCTION("""COMPUTED_VALUE"""),44775.0)</f>
        <v>44775</v>
      </c>
      <c r="Q430" s="921"/>
    </row>
    <row r="431">
      <c r="A431" s="73"/>
      <c r="B431" s="209" t="str">
        <f>IFERROR(__xludf.DUMMYFUNCTION("""COMPUTED_VALUE"""),"Planejamento Comercial")</f>
        <v>Planejamento Comercial</v>
      </c>
      <c r="C431" s="119" t="str">
        <f>IFERROR(__xludf.DUMMYFUNCTION("""COMPUTED_VALUE"""),"Plano de 30-60-90 primeiros dias")</f>
        <v>Plano de 30-60-90 primeiros dias</v>
      </c>
      <c r="D431" s="119" t="str">
        <f>IFERROR(__xludf.DUMMYFUNCTION("""COMPUTED_VALUE"""),"Caio Decicco")</f>
        <v>Caio Decicco</v>
      </c>
      <c r="E431" s="151" t="str">
        <f>IFERROR(__xludf.DUMMYFUNCTION("""COMPUTED_VALUE"""),"Growth and Digital Sales Manager")</f>
        <v>Growth and Digital Sales Manager</v>
      </c>
      <c r="F431" s="648" t="str">
        <f>IFERROR(__xludf.DUMMYFUNCTION("""COMPUTED_VALUE"""),"Accesstage")</f>
        <v>Accesstage</v>
      </c>
      <c r="G431" s="646"/>
      <c r="H431" s="648" t="str">
        <f>IFERROR(__xludf.DUMMYFUNCTION("""COMPUTED_VALUE"""),"Conhecimento Técnico")</f>
        <v>Conhecimento Técnico</v>
      </c>
      <c r="I431" s="648" t="str">
        <f>IFERROR(__xludf.DUMMYFUNCTION("""COMPUTED_VALUE"""),"Gestão de Vendas")</f>
        <v>Gestão de Vendas</v>
      </c>
      <c r="J431" s="648" t="str">
        <f>IFERROR(__xludf.DUMMYFUNCTION("""COMPUTED_VALUE"""),"Planejamento Comercial")</f>
        <v>Planejamento Comercial</v>
      </c>
      <c r="K431" s="275" t="str">
        <f>IFERROR(__xludf.DUMMYFUNCTION("""COMPUTED_VALUE"""),"https://universidade.pipelovers.net/m/lessons/plano-de-30-60-90-primeiros-dias1769552231576?classId=3094")</f>
        <v>https://universidade.pipelovers.net/m/lessons/plano-de-30-60-90-primeiros-dias1769552231576?classId=3094</v>
      </c>
      <c r="L431" s="535" t="str">
        <f>IFERROR(__xludf.DUMMYFUNCTION("""COMPUTED_VALUE"""),"https://universidade.pipelovers.net/m/lessons/plano-de-30-60-90-primeiros-dias1769552231576?classId=3094")</f>
        <v>https://universidade.pipelovers.net/m/lessons/plano-de-30-60-90-primeiros-dias1769552231576?classId=3094</v>
      </c>
      <c r="M431" s="1056">
        <f>IFERROR(__xludf.DUMMYFUNCTION("""COMPUTED_VALUE"""),3.71)</f>
        <v>3.71</v>
      </c>
      <c r="N431" s="1057" t="str">
        <f>IFERROR(__xludf.DUMMYFUNCTION("""COMPUTED_VALUE"""),"26. PipeLovers 💙 Planejamento Comercial: ""Plano de 30-60-90 primeiros dias"" com Caio Deccico (2023-08-03 18:36 GMT-3)")</f>
        <v>26. PipeLovers 💙 Planejamento Comercial: "Plano de 30-60-90 primeiros dias" com Caio Deccico (2023-08-03 18:36 GMT-3)</v>
      </c>
      <c r="O431" s="921" t="str">
        <f>IFERROR(__xludf.DUMMYFUNCTION("""COMPUTED_VALUE"""),"")</f>
        <v/>
      </c>
      <c r="P431" s="952">
        <f>IFERROR(__xludf.DUMMYFUNCTION("""COMPUTED_VALUE"""),44782.0)</f>
        <v>44782</v>
      </c>
      <c r="Q431" s="921"/>
    </row>
    <row r="432">
      <c r="A432" s="73"/>
      <c r="B432" s="209" t="str">
        <f>IFERROR(__xludf.DUMMYFUNCTION("""COMPUTED_VALUE"""),"Planejamento Comercial")</f>
        <v>Planejamento Comercial</v>
      </c>
      <c r="C432" s="104" t="str">
        <f>IFERROR(__xludf.DUMMYFUNCTION("""COMPUTED_VALUE"""),"Operações de Inside Sales para Vendas Complexas")</f>
        <v>Operações de Inside Sales para Vendas Complexas</v>
      </c>
      <c r="D432" s="104" t="str">
        <f>IFERROR(__xludf.DUMMYFUNCTION("""COMPUTED_VALUE"""),"Angela Kanbour")</f>
        <v>Angela Kanbour</v>
      </c>
      <c r="E432" s="151" t="str">
        <f>IFERROR(__xludf.DUMMYFUNCTION("""COMPUTED_VALUE"""),"Business Development &amp; Inside Sales Senior Director")</f>
        <v>Business Development &amp; Inside Sales Senior Director</v>
      </c>
      <c r="F432" s="648" t="str">
        <f>IFERROR(__xludf.DUMMYFUNCTION("""COMPUTED_VALUE"""),"Oracle")</f>
        <v>Oracle</v>
      </c>
      <c r="G432" s="646"/>
      <c r="H432" s="648" t="str">
        <f>IFERROR(__xludf.DUMMYFUNCTION("""COMPUTED_VALUE"""),"Conhecimento Técnico")</f>
        <v>Conhecimento Técnico</v>
      </c>
      <c r="I432" s="648" t="str">
        <f>IFERROR(__xludf.DUMMYFUNCTION("""COMPUTED_VALUE"""),"Gestão de Vendas")</f>
        <v>Gestão de Vendas</v>
      </c>
      <c r="J432" s="648" t="str">
        <f>IFERROR(__xludf.DUMMYFUNCTION("""COMPUTED_VALUE"""),"Ferramentas de Vendas")</f>
        <v>Ferramentas de Vendas</v>
      </c>
      <c r="K432" s="275" t="str">
        <f>IFERROR(__xludf.DUMMYFUNCTION("""COMPUTED_VALUE"""),"https://universidade.pipelovers.net/m/lessons/operacoes-de-inside-sales-para-vendas-complexas1769552242243?classId=3095")</f>
        <v>https://universidade.pipelovers.net/m/lessons/operacoes-de-inside-sales-para-vendas-complexas1769552242243?classId=3095</v>
      </c>
      <c r="L432" s="535" t="str">
        <f>IFERROR(__xludf.DUMMYFUNCTION("""COMPUTED_VALUE"""),"https://universidade.pipelovers.net/m/lessons/operacoes-de-inside-sales-para-vendas-complexas1769552242243?classId=3095")</f>
        <v>https://universidade.pipelovers.net/m/lessons/operacoes-de-inside-sales-para-vendas-complexas1769552242243?classId=3095</v>
      </c>
      <c r="M432" s="951">
        <f>IFERROR(__xludf.DUMMYFUNCTION("""COMPUTED_VALUE"""),4.43)</f>
        <v>4.43</v>
      </c>
      <c r="N432" s="1058" t="str">
        <f>IFERROR(__xludf.DUMMYFUNCTION("""COMPUTED_VALUE"""),"27. PipeLovers 💙 Planejamento Comercial: ""Operações de Inside Sales para Vendas Complexas"" com Angela  (2023-08-10 18:35 GMT-3)")</f>
        <v>27. PipeLovers 💙 Planejamento Comercial: "Operações de Inside Sales para Vendas Complexas" com Angela  (2023-08-10 18:35 GMT-3)</v>
      </c>
      <c r="O432" s="921" t="str">
        <f>IFERROR(__xludf.DUMMYFUNCTION("""COMPUTED_VALUE"""),"")</f>
        <v/>
      </c>
      <c r="P432" s="952">
        <f>IFERROR(__xludf.DUMMYFUNCTION("""COMPUTED_VALUE"""),44789.0)</f>
        <v>44789</v>
      </c>
      <c r="Q432" s="921"/>
    </row>
    <row r="433">
      <c r="A433" s="73"/>
      <c r="B433" s="209" t="str">
        <f>IFERROR(__xludf.DUMMYFUNCTION("""COMPUTED_VALUE"""),"Planejamento Comercial")</f>
        <v>Planejamento Comercial</v>
      </c>
      <c r="C433" s="119" t="str">
        <f>IFERROR(__xludf.DUMMYFUNCTION("""COMPUTED_VALUE"""),"Planejamento de Geração de Demanda")</f>
        <v>Planejamento de Geração de Demanda</v>
      </c>
      <c r="D433" s="119" t="str">
        <f>IFERROR(__xludf.DUMMYFUNCTION("""COMPUTED_VALUE"""),"Weverton Soares")</f>
        <v>Weverton Soares</v>
      </c>
      <c r="E433" s="151" t="str">
        <f>IFERROR(__xludf.DUMMYFUNCTION("""COMPUTED_VALUE"""),"Gerente de Marketing")</f>
        <v>Gerente de Marketing</v>
      </c>
      <c r="F433" s="648" t="str">
        <f>IFERROR(__xludf.DUMMYFUNCTION("""COMPUTED_VALUE"""),"Zoho CRM")</f>
        <v>Zoho CRM</v>
      </c>
      <c r="G433" s="1060" t="str">
        <f>IFERROR(__xludf.DUMMYFUNCTION("""COMPUTED_VALUE"""),"https://www.linkedin.com/in/wevsoares/")</f>
        <v>https://www.linkedin.com/in/wevsoares/</v>
      </c>
      <c r="H433" s="648" t="str">
        <f>IFERROR(__xludf.DUMMYFUNCTION("""COMPUTED_VALUE"""),"Conhecimento Técnico")</f>
        <v>Conhecimento Técnico</v>
      </c>
      <c r="I433" s="648" t="str">
        <f>IFERROR(__xludf.DUMMYFUNCTION("""COMPUTED_VALUE"""),"Gestão de Vendas")</f>
        <v>Gestão de Vendas</v>
      </c>
      <c r="J433" s="648" t="str">
        <f>IFERROR(__xludf.DUMMYFUNCTION("""COMPUTED_VALUE"""),"Planejamento Comercial")</f>
        <v>Planejamento Comercial</v>
      </c>
      <c r="K433" s="275" t="str">
        <f>IFERROR(__xludf.DUMMYFUNCTION("""COMPUTED_VALUE"""),"https://universidade.pipelovers.net/m/lessons/planejamento-de-geracao-de-demanda1769552242542?classId=3097")</f>
        <v>https://universidade.pipelovers.net/m/lessons/planejamento-de-geracao-de-demanda1769552242542?classId=3097</v>
      </c>
      <c r="L433" s="535" t="str">
        <f>IFERROR(__xludf.DUMMYFUNCTION("""COMPUTED_VALUE"""),"https://universidade.pipelovers.net/m/lessons/planejamento-de-geracao-de-demanda1769552242542?classId=3097")</f>
        <v>https://universidade.pipelovers.net/m/lessons/planejamento-de-geracao-de-demanda1769552242542?classId=3097</v>
      </c>
      <c r="M433" s="1056">
        <f>IFERROR(__xludf.DUMMYFUNCTION("""COMPUTED_VALUE"""),3.71)</f>
        <v>3.71</v>
      </c>
      <c r="N433" s="1057" t="str">
        <f>IFERROR(__xludf.DUMMYFUNCTION("""COMPUTED_VALUE"""),"28. PipeLovers 💙 Planejamento Comercial: ""Planejamento de Geração de Demanda"" com Weverton Soares do Z (2023-08-17 18:36 GMT-3)")</f>
        <v>28. PipeLovers 💙 Planejamento Comercial: "Planejamento de Geração de Demanda" com Weverton Soares do Z (2023-08-17 18:36 GMT-3)</v>
      </c>
      <c r="O433" s="921" t="str">
        <f>IFERROR(__xludf.DUMMYFUNCTION("""COMPUTED_VALUE"""),"")</f>
        <v/>
      </c>
      <c r="P433" s="952">
        <f>IFERROR(__xludf.DUMMYFUNCTION("""COMPUTED_VALUE"""),44796.0)</f>
        <v>44796</v>
      </c>
      <c r="Q433" s="921"/>
    </row>
    <row r="434">
      <c r="A434" s="73"/>
      <c r="B434" s="209" t="str">
        <f>IFERROR(__xludf.DUMMYFUNCTION("""COMPUTED_VALUE"""),"Planejamento Comercial")</f>
        <v>Planejamento Comercial</v>
      </c>
      <c r="C434" s="104" t="str">
        <f>IFERROR(__xludf.DUMMYFUNCTION("""COMPUTED_VALUE"""),"Mapeamento da Jornada de Compra do Cliente")</f>
        <v>Mapeamento da Jornada de Compra do Cliente</v>
      </c>
      <c r="D434" s="104" t="str">
        <f>IFERROR(__xludf.DUMMYFUNCTION("""COMPUTED_VALUE"""),"Marcelo Mafra")</f>
        <v>Marcelo Mafra</v>
      </c>
      <c r="E434" s="151" t="str">
        <f>IFERROR(__xludf.DUMMYFUNCTION("""COMPUTED_VALUE"""),"CEO")</f>
        <v>CEO</v>
      </c>
      <c r="F434" s="648" t="str">
        <f>IFERROR(__xludf.DUMMYFUNCTION("""COMPUTED_VALUE"""),"Master Vendas")</f>
        <v>Master Vendas</v>
      </c>
      <c r="G434" s="1060" t="str">
        <f>IFERROR(__xludf.DUMMYFUNCTION("""COMPUTED_VALUE"""),"https://www.linkedin.com/in/marcelomafra/")</f>
        <v>https://www.linkedin.com/in/marcelomafra/</v>
      </c>
      <c r="H434" s="648" t="str">
        <f>IFERROR(__xludf.DUMMYFUNCTION("""COMPUTED_VALUE"""),"Visão de Negócio")</f>
        <v>Visão de Negócio</v>
      </c>
      <c r="I434" s="648" t="str">
        <f>IFERROR(__xludf.DUMMYFUNCTION("""COMPUTED_VALUE"""),"Conhecimento de Produto e Negócio")</f>
        <v>Conhecimento de Produto e Negócio</v>
      </c>
      <c r="J434" s="648" t="str">
        <f>IFERROR(__xludf.DUMMYFUNCTION("""COMPUTED_VALUE"""),"Jornada de Compra do Cliente")</f>
        <v>Jornada de Compra do Cliente</v>
      </c>
      <c r="K434" s="275" t="str">
        <f>IFERROR(__xludf.DUMMYFUNCTION("""COMPUTED_VALUE"""),"https://universidade.pipelovers.net/m/lessons/mapeamento-da-jornada-de-compra-do-cliente1769552242569?classId=3098")</f>
        <v>https://universidade.pipelovers.net/m/lessons/mapeamento-da-jornada-de-compra-do-cliente1769552242569?classId=3098</v>
      </c>
      <c r="L434" s="535" t="str">
        <f>IFERROR(__xludf.DUMMYFUNCTION("""COMPUTED_VALUE"""),"https://universidade.pipelovers.net/m/lessons/mapeamento-da-jornada-de-compra-do-cliente1769552242569?classId=3098")</f>
        <v>https://universidade.pipelovers.net/m/lessons/mapeamento-da-jornada-de-compra-do-cliente1769552242569?classId=3098</v>
      </c>
      <c r="M434" s="951">
        <f>IFERROR(__xludf.DUMMYFUNCTION("""COMPUTED_VALUE"""),3.57)</f>
        <v>3.57</v>
      </c>
      <c r="N434" s="1058" t="str">
        <f>IFERROR(__xludf.DUMMYFUNCTION("""COMPUTED_VALUE"""),"29. PipeLovers 💙 Planejamento Comercial: ""Mapeamento da Jornada de Compra do Cliente"" com Marcelo Mafr (2023-08-24 18:35 GMT-3)")</f>
        <v>29. PipeLovers 💙 Planejamento Comercial: "Mapeamento da Jornada de Compra do Cliente" com Marcelo Mafr (2023-08-24 18:35 GMT-3)</v>
      </c>
      <c r="O434" s="921" t="str">
        <f>IFERROR(__xludf.DUMMYFUNCTION("""COMPUTED_VALUE"""),"")</f>
        <v/>
      </c>
      <c r="P434" s="952">
        <f>IFERROR(__xludf.DUMMYFUNCTION("""COMPUTED_VALUE"""),44803.0)</f>
        <v>44803</v>
      </c>
      <c r="Q434" s="921"/>
    </row>
    <row r="435">
      <c r="A435" s="73"/>
      <c r="B435" s="209" t="str">
        <f>IFERROR(__xludf.DUMMYFUNCTION("""COMPUTED_VALUE"""),"Planejamento Comercial")</f>
        <v>Planejamento Comercial</v>
      </c>
      <c r="C435" s="119" t="str">
        <f>IFERROR(__xludf.DUMMYFUNCTION("""COMPUTED_VALUE"""),"Planejamento de Key Accounts")</f>
        <v>Planejamento de Key Accounts</v>
      </c>
      <c r="D435" s="104" t="str">
        <f>IFERROR(__xludf.DUMMYFUNCTION("""COMPUTED_VALUE"""),"Lucas Momm")</f>
        <v>Lucas Momm</v>
      </c>
      <c r="E435" s="151" t="str">
        <f>IFERROR(__xludf.DUMMYFUNCTION("""COMPUTED_VALUE"""),"CRO e Co-founder")</f>
        <v>CRO e Co-founder</v>
      </c>
      <c r="F435" s="646" t="str">
        <f>IFERROR(__xludf.DUMMYFUNCTION("""COMPUTED_VALUE"""),"Mind Minners")</f>
        <v>Mind Minners</v>
      </c>
      <c r="G435" s="646"/>
      <c r="H435" s="648" t="str">
        <f>IFERROR(__xludf.DUMMYFUNCTION("""COMPUTED_VALUE"""),"Conhecimento Técnico")</f>
        <v>Conhecimento Técnico</v>
      </c>
      <c r="I435" s="648" t="str">
        <f>IFERROR(__xludf.DUMMYFUNCTION("""COMPUTED_VALUE"""),"Técnicas de Vendas")</f>
        <v>Técnicas de Vendas</v>
      </c>
      <c r="J435" s="648" t="str">
        <f>IFERROR(__xludf.DUMMYFUNCTION("""COMPUTED_VALUE"""),"Gestão de Carteira de Clientes")</f>
        <v>Gestão de Carteira de Clientes</v>
      </c>
      <c r="K435" s="282" t="str">
        <f>IFERROR(__xludf.DUMMYFUNCTION("""COMPUTED_VALUE"""),"https://universidade.pipelovers.net/m/lessons/planejamento-de-key-accounts1769552242658?classId=3103")</f>
        <v>https://universidade.pipelovers.net/m/lessons/planejamento-de-key-accounts1769552242658?classId=3103</v>
      </c>
      <c r="L435" s="500" t="str">
        <f>IFERROR(__xludf.DUMMYFUNCTION("""COMPUTED_VALUE"""),"https://universidade.pipelovers.net/m/lessons/planejamento-de-key-accounts1769552242658?classId=3103")</f>
        <v>https://universidade.pipelovers.net/m/lessons/planejamento-de-key-accounts1769552242658?classId=3103</v>
      </c>
      <c r="M435" s="1056">
        <f>IFERROR(__xludf.DUMMYFUNCTION("""COMPUTED_VALUE"""),3.71)</f>
        <v>3.71</v>
      </c>
      <c r="N435" s="1057" t="str">
        <f>IFERROR(__xludf.DUMMYFUNCTION("""COMPUTED_VALUE"""),"30. PipeLovers 💙 Planejamento Comercial: ""Planejamento de Key Accounts"" com Lucas Momm da Mind Minners (2023-09-01 13:09 GMT-3)")</f>
        <v>30. PipeLovers 💙 Planejamento Comercial: "Planejamento de Key Accounts" com Lucas Momm da Mind Minners (2023-09-01 13:09 GMT-3)</v>
      </c>
      <c r="O435" s="921" t="str">
        <f>IFERROR(__xludf.DUMMYFUNCTION("""COMPUTED_VALUE"""),"")</f>
        <v/>
      </c>
      <c r="P435" s="952">
        <f>IFERROR(__xludf.DUMMYFUNCTION("""COMPUTED_VALUE"""),44810.0)</f>
        <v>44810</v>
      </c>
      <c r="Q435" s="921"/>
    </row>
    <row r="436">
      <c r="A436" s="73"/>
      <c r="B436" s="209" t="str">
        <f>IFERROR(__xludf.DUMMYFUNCTION("""COMPUTED_VALUE"""),"Planejamento Comercial")</f>
        <v>Planejamento Comercial</v>
      </c>
      <c r="C436" s="1066" t="str">
        <f>IFERROR(__xludf.DUMMYFUNCTION("""COMPUTED_VALUE"""),"Google Maps como base de prospecção")</f>
        <v>Google Maps como base de prospecção</v>
      </c>
      <c r="D436" s="119" t="str">
        <f>IFERROR(__xludf.DUMMYFUNCTION("""COMPUTED_VALUE"""),"Michel Zetun")</f>
        <v>Michel Zetun</v>
      </c>
      <c r="E436" s="105" t="str">
        <f>IFERROR(__xludf.DUMMYFUNCTION("""COMPUTED_VALUE"""),"Founder ")</f>
        <v>Founder </v>
      </c>
      <c r="F436" s="448" t="str">
        <f>IFERROR(__xludf.DUMMYFUNCTION("""COMPUTED_VALUE"""),"MapLead")</f>
        <v>MapLead</v>
      </c>
      <c r="G436" s="446"/>
      <c r="H436" s="446" t="str">
        <f>IFERROR(__xludf.DUMMYFUNCTION("""COMPUTED_VALUE"""),"Conhecimento Técnico")</f>
        <v>Conhecimento Técnico</v>
      </c>
      <c r="I436" s="446" t="str">
        <f>IFERROR(__xludf.DUMMYFUNCTION("""COMPUTED_VALUE"""),"Técnicas de Vendas")</f>
        <v>Técnicas de Vendas</v>
      </c>
      <c r="J436" s="446" t="str">
        <f>IFERROR(__xludf.DUMMYFUNCTION("""COMPUTED_VALUE"""),"Abordagem e Prospecção")</f>
        <v>Abordagem e Prospecção</v>
      </c>
      <c r="K436" s="275" t="str">
        <f>IFERROR(__xludf.DUMMYFUNCTION("""COMPUTED_VALUE"""),"https://universidade.pipelovers.net/m/lessons/google-maps-como-base-de-prospeccao1769552242716?classId=3100")</f>
        <v>https://universidade.pipelovers.net/m/lessons/google-maps-como-base-de-prospeccao1769552242716?classId=3100</v>
      </c>
      <c r="L436" s="535" t="str">
        <f>IFERROR(__xludf.DUMMYFUNCTION("""COMPUTED_VALUE"""),"https://universidade.pipelovers.net/m/lessons/google-maps-como-base-de-prospeccao1769552242716?classId=3100")</f>
        <v>https://universidade.pipelovers.net/m/lessons/google-maps-como-base-de-prospeccao1769552242716?classId=3100</v>
      </c>
      <c r="M436" s="951">
        <f>IFERROR(__xludf.DUMMYFUNCTION("""COMPUTED_VALUE"""),3.71)</f>
        <v>3.71</v>
      </c>
      <c r="N436" s="1058" t="str">
        <f>IFERROR(__xludf.DUMMYFUNCTION("""COMPUTED_VALUE"""),"31. PipeLovers 💙 Planejamento Comercial: ""Google Maps como base de prospecção"" com Michel Zetun (2023-09-14 13:06 GMT-3)")</f>
        <v>31. PipeLovers 💙 Planejamento Comercial: "Google Maps como base de prospecção" com Michel Zetun (2023-09-14 13:06 GMT-3)</v>
      </c>
      <c r="O436" s="921" t="str">
        <f>IFERROR(__xludf.DUMMYFUNCTION("""COMPUTED_VALUE"""),"")</f>
        <v/>
      </c>
      <c r="P436" s="952">
        <f>IFERROR(__xludf.DUMMYFUNCTION("""COMPUTED_VALUE"""),44817.0)</f>
        <v>44817</v>
      </c>
      <c r="Q436" s="921"/>
    </row>
    <row r="437">
      <c r="A437" s="73"/>
      <c r="B437" s="209" t="str">
        <f>IFERROR(__xludf.DUMMYFUNCTION("""COMPUTED_VALUE"""),"Planejamento Comercial")</f>
        <v>Planejamento Comercial</v>
      </c>
      <c r="C437" s="104" t="str">
        <f>IFERROR(__xludf.DUMMYFUNCTION("""COMPUTED_VALUE"""),"Como avaliar um headhunter para seu time de vendas")</f>
        <v>Como avaliar um headhunter para seu time de vendas</v>
      </c>
      <c r="D437" s="119" t="str">
        <f>IFERROR(__xludf.DUMMYFUNCTION("""COMPUTED_VALUE"""),"Gustavo Salles")</f>
        <v>Gustavo Salles</v>
      </c>
      <c r="E437" s="105" t="str">
        <f>IFERROR(__xludf.DUMMYFUNCTION("""COMPUTED_VALUE"""),"CEO e Fundador")</f>
        <v>CEO e Fundador</v>
      </c>
      <c r="F437" s="448" t="str">
        <f>IFERROR(__xludf.DUMMYFUNCTION("""COMPUTED_VALUE"""),"Sales Hunter")</f>
        <v>Sales Hunter</v>
      </c>
      <c r="G437" s="446"/>
      <c r="H437" s="446" t="str">
        <f>IFERROR(__xludf.DUMMYFUNCTION("""COMPUTED_VALUE"""),"Relacionamento Interpessoal")</f>
        <v>Relacionamento Interpessoal</v>
      </c>
      <c r="I437" s="446" t="str">
        <f>IFERROR(__xludf.DUMMYFUNCTION("""COMPUTED_VALUE"""),"Liderança e Influência")</f>
        <v>Liderança e Influência</v>
      </c>
      <c r="J437" s="446" t="str">
        <f>IFERROR(__xludf.DUMMYFUNCTION("""COMPUTED_VALUE"""),"Mentoria e Desenvolvimento de Talentos")</f>
        <v>Mentoria e Desenvolvimento de Talentos</v>
      </c>
      <c r="K437" s="275" t="str">
        <f>IFERROR(__xludf.DUMMYFUNCTION("""COMPUTED_VALUE"""),"https://universidade.pipelovers.net/aulas/como-avaliar-um-headhunter-para-seu-time-de-vendas-1775491524100")</f>
        <v>https://universidade.pipelovers.net/aulas/como-avaliar-um-headhunter-para-seu-time-de-vendas-1775491524100</v>
      </c>
      <c r="L437" s="535" t="str">
        <f>IFERROR(__xludf.DUMMYFUNCTION("""COMPUTED_VALUE"""),"https://universidade.pipelovers.net/aulas/como-avaliar-um-headhunter-para-seu-time-de-vendas-1775491524100")</f>
        <v>https://universidade.pipelovers.net/aulas/como-avaliar-um-headhunter-para-seu-time-de-vendas-1775491524100</v>
      </c>
      <c r="M437" s="1056">
        <f>IFERROR(__xludf.DUMMYFUNCTION("""COMPUTED_VALUE"""),3.5)</f>
        <v>3.5</v>
      </c>
      <c r="N437" s="1057" t="str">
        <f>IFERROR(__xludf.DUMMYFUNCTION("""COMPUTED_VALUE"""),"32. PipeLovers 💙 Planejamento Comercial: ""Como avaliar um headhunter para seu time de vendas"" com Gust (2023-09-21 13:06 GMT-3)")</f>
        <v>32. PipeLovers 💙 Planejamento Comercial: "Como avaliar um headhunter para seu time de vendas" com Gust (2023-09-21 13:06 GMT-3)</v>
      </c>
      <c r="O437" s="921" t="str">
        <f>IFERROR(__xludf.DUMMYFUNCTION("""COMPUTED_VALUE"""),"")</f>
        <v/>
      </c>
      <c r="P437" s="952">
        <f>IFERROR(__xludf.DUMMYFUNCTION("""COMPUTED_VALUE"""),44824.0)</f>
        <v>44824</v>
      </c>
      <c r="Q437" s="921"/>
    </row>
    <row r="438">
      <c r="A438" s="73"/>
      <c r="B438" s="209" t="str">
        <f>IFERROR(__xludf.DUMMYFUNCTION("""COMPUTED_VALUE"""),"Planejamento Comercial")</f>
        <v>Planejamento Comercial</v>
      </c>
      <c r="C438" s="145" t="str">
        <f>IFERROR(__xludf.DUMMYFUNCTION("""COMPUTED_VALUE"""),"Como conquistar confiança de Stakeholders?")</f>
        <v>Como conquistar confiança de Stakeholders?</v>
      </c>
      <c r="D438" s="104" t="str">
        <f>IFERROR(__xludf.DUMMYFUNCTION("""COMPUTED_VALUE"""),"Marina Marinangelo")</f>
        <v>Marina Marinangelo</v>
      </c>
      <c r="E438" s="105" t="str">
        <f>IFERROR(__xludf.DUMMYFUNCTION("""COMPUTED_VALUE"""),"Startup Program Manager")</f>
        <v>Startup Program Manager</v>
      </c>
      <c r="F438" s="448" t="str">
        <f>IFERROR(__xludf.DUMMYFUNCTION("""COMPUTED_VALUE"""),"Amazon Web Services (AWS)")</f>
        <v>Amazon Web Services (AWS)</v>
      </c>
      <c r="G438" s="446"/>
      <c r="H438" s="446" t="str">
        <f>IFERROR(__xludf.DUMMYFUNCTION("""COMPUTED_VALUE"""),"Relacionamento Interpessoal")</f>
        <v>Relacionamento Interpessoal</v>
      </c>
      <c r="I438" s="446" t="str">
        <f>IFERROR(__xludf.DUMMYFUNCTION("""COMPUTED_VALUE"""),"Liderança e Influência")</f>
        <v>Liderança e Influência</v>
      </c>
      <c r="J438" s="446" t="str">
        <f>IFERROR(__xludf.DUMMYFUNCTION("""COMPUTED_VALUE"""),"Stakeholder Management")</f>
        <v>Stakeholder Management</v>
      </c>
      <c r="K438" s="282" t="str">
        <f>IFERROR(__xludf.DUMMYFUNCTION("""COMPUTED_VALUE"""),"https://universidade.pipelovers.net/m/lessons/como-conquistar-confianca-de-stakeholders1769552242776?classId=3102")</f>
        <v>https://universidade.pipelovers.net/m/lessons/como-conquistar-confianca-de-stakeholders1769552242776?classId=3102</v>
      </c>
      <c r="L438" s="500" t="str">
        <f>IFERROR(__xludf.DUMMYFUNCTION("""COMPUTED_VALUE"""),"https://universidade.pipelovers.net/m/lessons/como-conquistar-confianca-de-stakeholders1769552242776?classId=3102")</f>
        <v>https://universidade.pipelovers.net/m/lessons/como-conquistar-confianca-de-stakeholders1769552242776?classId=3102</v>
      </c>
      <c r="M438" s="951">
        <f>IFERROR(__xludf.DUMMYFUNCTION("""COMPUTED_VALUE"""),2.0)</f>
        <v>2</v>
      </c>
      <c r="N438" s="1058" t="str">
        <f>IFERROR(__xludf.DUMMYFUNCTION("""COMPUTED_VALUE"""),"33. PipeLovers 💙 Planejamento Comercial: ""Como conquistar confiança de Stakeholders?""com Marina Marinangelo da Amazon Web Services (AWS)")</f>
        <v>33. PipeLovers 💙 Planejamento Comercial: "Como conquistar confiança de Stakeholders?"com Marina Marinangelo da Amazon Web Services (AWS)</v>
      </c>
      <c r="O438" s="921" t="str">
        <f>IFERROR(__xludf.DUMMYFUNCTION("""COMPUTED_VALUE"""),"")</f>
        <v/>
      </c>
      <c r="P438" s="952">
        <f>IFERROR(__xludf.DUMMYFUNCTION("""COMPUTED_VALUE"""),44831.0)</f>
        <v>44831</v>
      </c>
      <c r="Q438" s="921"/>
    </row>
    <row r="439">
      <c r="A439" s="73"/>
      <c r="B439" s="209" t="str">
        <f>IFERROR(__xludf.DUMMYFUNCTION("""COMPUTED_VALUE"""),"Planejamento Comercial")</f>
        <v>Planejamento Comercial</v>
      </c>
      <c r="C439" s="104" t="str">
        <f>IFERROR(__xludf.DUMMYFUNCTION("""COMPUTED_VALUE"""),"Apresentações Executivas para o Conselho da Empresa")</f>
        <v>Apresentações Executivas para o Conselho da Empresa</v>
      </c>
      <c r="D439" s="104" t="str">
        <f>IFERROR(__xludf.DUMMYFUNCTION("""COMPUTED_VALUE"""),"Ricardo Gottschalk")</f>
        <v>Ricardo Gottschalk</v>
      </c>
      <c r="E439" s="105" t="str">
        <f>IFERROR(__xludf.DUMMYFUNCTION("""COMPUTED_VALUE"""),"CRO &amp; Co-founder")</f>
        <v>CRO &amp; Co-founder</v>
      </c>
      <c r="F439" s="448" t="str">
        <f>IFERROR(__xludf.DUMMYFUNCTION("""COMPUTED_VALUE"""),"Conta Simples")</f>
        <v>Conta Simples</v>
      </c>
      <c r="G439" s="446"/>
      <c r="H439" s="446" t="str">
        <f>IFERROR(__xludf.DUMMYFUNCTION("""COMPUTED_VALUE"""),"Relacionamento Interpessoal")</f>
        <v>Relacionamento Interpessoal</v>
      </c>
      <c r="I439" s="446" t="str">
        <f>IFERROR(__xludf.DUMMYFUNCTION("""COMPUTED_VALUE"""),"Comunicação e Relacionamento")</f>
        <v>Comunicação e Relacionamento</v>
      </c>
      <c r="J439" s="446" t="str">
        <f>IFERROR(__xludf.DUMMYFUNCTION("""COMPUTED_VALUE"""),"Comunicação Não-Agressiva")</f>
        <v>Comunicação Não-Agressiva</v>
      </c>
      <c r="K439" s="275" t="str">
        <f>IFERROR(__xludf.DUMMYFUNCTION("""COMPUTED_VALUE"""),"https://universidade.pipelovers.net/m/lessons/apresentacoes-executivas-para-o-conselho-da-empresa1769552242831?classId=3105")</f>
        <v>https://universidade.pipelovers.net/m/lessons/apresentacoes-executivas-para-o-conselho-da-empresa1769552242831?classId=3105</v>
      </c>
      <c r="L439" s="535" t="str">
        <f>IFERROR(__xludf.DUMMYFUNCTION("""COMPUTED_VALUE"""),"https://universidade.pipelovers.net/m/lessons/apresentacoes-executivas-para-o-conselho-da-empresa1769552242831?classId=3105")</f>
        <v>https://universidade.pipelovers.net/m/lessons/apresentacoes-executivas-para-o-conselho-da-empresa1769552242831?classId=3105</v>
      </c>
      <c r="M439" s="1056">
        <f>IFERROR(__xludf.DUMMYFUNCTION("""COMPUTED_VALUE"""),4.43)</f>
        <v>4.43</v>
      </c>
      <c r="N439" s="1057" t="str">
        <f>IFERROR(__xludf.DUMMYFUNCTION("""COMPUTED_VALUE"""),"34. PipeLovers 💙 Planejamento Comercial: ""Apresentações Executivas para o Conselho da Empresa"" com Ric (2023-10-05 13:08 GMT-3)")</f>
        <v>34. PipeLovers 💙 Planejamento Comercial: "Apresentações Executivas para o Conselho da Empresa" com Ric (2023-10-05 13:08 GMT-3)</v>
      </c>
      <c r="O439" s="921" t="str">
        <f>IFERROR(__xludf.DUMMYFUNCTION("""COMPUTED_VALUE"""),"")</f>
        <v/>
      </c>
      <c r="P439" s="952">
        <f>IFERROR(__xludf.DUMMYFUNCTION("""COMPUTED_VALUE"""),44838.0)</f>
        <v>44838</v>
      </c>
      <c r="Q439" s="921"/>
    </row>
    <row r="440">
      <c r="A440" s="73"/>
      <c r="B440" s="209" t="str">
        <f>IFERROR(__xludf.DUMMYFUNCTION("""COMPUTED_VALUE"""),"Planejamento Comercial")</f>
        <v>Planejamento Comercial</v>
      </c>
      <c r="C440" s="1066" t="str">
        <f>IFERROR(__xludf.DUMMYFUNCTION("""COMPUTED_VALUE"""),"Como avaliar a terceirização de prospecção?")</f>
        <v>Como avaliar a terceirização de prospecção?</v>
      </c>
      <c r="D440" s="119" t="str">
        <f>IFERROR(__xludf.DUMMYFUNCTION("""COMPUTED_VALUE"""),"Aquiles Casabona")</f>
        <v>Aquiles Casabona</v>
      </c>
      <c r="E440" s="105" t="str">
        <f>IFERROR(__xludf.DUMMYFUNCTION("""COMPUTED_VALUE"""),"Chief Revenue Officer - SaaS")</f>
        <v>Chief Revenue Officer - SaaS</v>
      </c>
      <c r="F440" s="448" t="str">
        <f>IFERROR(__xludf.DUMMYFUNCTION("""COMPUTED_VALUE"""),"ASB Marketing")</f>
        <v>ASB Marketing</v>
      </c>
      <c r="G440" s="446"/>
      <c r="H440" s="446" t="str">
        <f>IFERROR(__xludf.DUMMYFUNCTION("""COMPUTED_VALUE"""),"Conhecimento Técnico")</f>
        <v>Conhecimento Técnico</v>
      </c>
      <c r="I440" s="446" t="str">
        <f>IFERROR(__xludf.DUMMYFUNCTION("""COMPUTED_VALUE"""),"Técnicas de Vendas")</f>
        <v>Técnicas de Vendas</v>
      </c>
      <c r="J440" s="446" t="str">
        <f>IFERROR(__xludf.DUMMYFUNCTION("""COMPUTED_VALUE"""),"Abordagem e Prospecção")</f>
        <v>Abordagem e Prospecção</v>
      </c>
      <c r="K440" s="275" t="str">
        <f>IFERROR(__xludf.DUMMYFUNCTION("""COMPUTED_VALUE"""),"https://universidade.pipelovers.net/aulas/como-avaliar-a-terceirizaca0-de-prospecca0-1775492909109")</f>
        <v>https://universidade.pipelovers.net/aulas/como-avaliar-a-terceirizaca0-de-prospecca0-1775492909109</v>
      </c>
      <c r="L440" s="535" t="str">
        <f>IFERROR(__xludf.DUMMYFUNCTION("""COMPUTED_VALUE"""),"https://universidade.pipelovers.net/aulas/como-avaliar-a-terceirizaca0-de-prospecca0-1775492909109")</f>
        <v>https://universidade.pipelovers.net/aulas/como-avaliar-a-terceirizaca0-de-prospecca0-1775492909109</v>
      </c>
      <c r="M440" s="951">
        <f>IFERROR(__xludf.DUMMYFUNCTION("""COMPUTED_VALUE"""),3.0)</f>
        <v>3</v>
      </c>
      <c r="N440" s="1058" t="str">
        <f>IFERROR(__xludf.DUMMYFUNCTION("""COMPUTED_VALUE"""),"35. PipeLovers 💙 Planejamento Comercial: ""Como avaliar a terceirização de prospecção?"" com Aquiles Cas (2023-10-19 18:38 GMT-3)")</f>
        <v>35. PipeLovers 💙 Planejamento Comercial: "Como avaliar a terceirização de prospecção?" com Aquiles Cas (2023-10-19 18:38 GMT-3)</v>
      </c>
      <c r="O440" s="1067" t="str">
        <f>IFERROR(__xludf.DUMMYFUNCTION("""COMPUTED_VALUE"""),"")</f>
        <v/>
      </c>
      <c r="P440" s="952">
        <f>IFERROR(__xludf.DUMMYFUNCTION("""COMPUTED_VALUE"""),44845.0)</f>
        <v>44845</v>
      </c>
      <c r="Q440" s="1067"/>
    </row>
    <row r="441">
      <c r="A441" s="73"/>
      <c r="B441" s="209" t="str">
        <f>IFERROR(__xludf.DUMMYFUNCTION("""COMPUTED_VALUE"""),"Planejamento Comercial")</f>
        <v>Planejamento Comercial</v>
      </c>
      <c r="C441" s="119" t="str">
        <f>IFERROR(__xludf.DUMMYFUNCTION("""COMPUTED_VALUE"""),"Estratégicas de aquisição de clientes com ampliação de portfólio")</f>
        <v>Estratégicas de aquisição de clientes com ampliação de portfólio</v>
      </c>
      <c r="D441" s="119" t="str">
        <f>IFERROR(__xludf.DUMMYFUNCTION("""COMPUTED_VALUE"""),"Michael Lima")</f>
        <v>Michael Lima</v>
      </c>
      <c r="E441" s="105" t="str">
        <f>IFERROR(__xludf.DUMMYFUNCTION("""COMPUTED_VALUE"""),"Senior Sales Manager")</f>
        <v>Senior Sales Manager</v>
      </c>
      <c r="F441" s="448" t="str">
        <f>IFERROR(__xludf.DUMMYFUNCTION("""COMPUTED_VALUE"""),"Zenvia")</f>
        <v>Zenvia</v>
      </c>
      <c r="G441" s="446"/>
      <c r="H441" s="446" t="str">
        <f>IFERROR(__xludf.DUMMYFUNCTION("""COMPUTED_VALUE"""),"Conhecimento Técnico")</f>
        <v>Conhecimento Técnico</v>
      </c>
      <c r="I441" s="446" t="str">
        <f>IFERROR(__xludf.DUMMYFUNCTION("""COMPUTED_VALUE"""),"Gestão de Vendas")</f>
        <v>Gestão de Vendas</v>
      </c>
      <c r="J441" s="446" t="str">
        <f>IFERROR(__xludf.DUMMYFUNCTION("""COMPUTED_VALUE"""),"UpSell e Cross Sell")</f>
        <v>UpSell e Cross Sell</v>
      </c>
      <c r="K441" s="275" t="str">
        <f>IFERROR(__xludf.DUMMYFUNCTION("""COMPUTED_VALUE"""),"https://universidade.pipelovers.net/m/lessons/estrategicas-de-aquisicao-de-clientes-com-ampliacao-de-portfolio1769552242871?classId=3107")</f>
        <v>https://universidade.pipelovers.net/m/lessons/estrategicas-de-aquisicao-de-clientes-com-ampliacao-de-portfolio1769552242871?classId=3107</v>
      </c>
      <c r="L441" s="535" t="str">
        <f>IFERROR(__xludf.DUMMYFUNCTION("""COMPUTED_VALUE"""),"https://universidade.pipelovers.net/m/lessons/estrategicas-de-aquisicao-de-clientes-com-ampliacao-de-portfolio1769552242871?classId=3107")</f>
        <v>https://universidade.pipelovers.net/m/lessons/estrategicas-de-aquisicao-de-clientes-com-ampliacao-de-portfolio1769552242871?classId=3107</v>
      </c>
      <c r="M441" s="1056">
        <f>IFERROR(__xludf.DUMMYFUNCTION("""COMPUTED_VALUE"""),4.29)</f>
        <v>4.29</v>
      </c>
      <c r="N441" s="1057" t="str">
        <f>IFERROR(__xludf.DUMMYFUNCTION("""COMPUTED_VALUE"""),"36. PipeLovers 💙 Planejamento Comercial: ""Estratégias de aquisição de clientes com ampliação de portfó (2023-10-26 13:06 GMT-3)")</f>
        <v>36. PipeLovers 💙 Planejamento Comercial: "Estratégias de aquisição de clientes com ampliação de portfó (2023-10-26 13:06 GMT-3)</v>
      </c>
      <c r="O441" s="1067" t="str">
        <f>IFERROR(__xludf.DUMMYFUNCTION("""COMPUTED_VALUE"""),"")</f>
        <v/>
      </c>
      <c r="P441" s="952">
        <f>IFERROR(__xludf.DUMMYFUNCTION("""COMPUTED_VALUE"""),44852.0)</f>
        <v>44852</v>
      </c>
      <c r="Q441" s="1067"/>
    </row>
    <row r="442">
      <c r="A442" s="73"/>
      <c r="B442" s="209" t="str">
        <f>IFERROR(__xludf.DUMMYFUNCTION("""COMPUTED_VALUE"""),"Planejamento Comercial")</f>
        <v>Planejamento Comercial</v>
      </c>
      <c r="C442" s="104" t="str">
        <f>IFERROR(__xludf.DUMMYFUNCTION("""COMPUTED_VALUE"""),"Palestra RD Summit 2023")</f>
        <v>Palestra RD Summit 2023</v>
      </c>
      <c r="D442" s="104" t="str">
        <f>IFERROR(__xludf.DUMMYFUNCTION("""COMPUTED_VALUE"""),"Gustavo Pagotto")</f>
        <v>Gustavo Pagotto</v>
      </c>
      <c r="E442" s="105" t="str">
        <f>IFERROR(__xludf.DUMMYFUNCTION("""COMPUTED_VALUE"""),"Fundador")</f>
        <v>Fundador</v>
      </c>
      <c r="F442" s="448" t="str">
        <f>IFERROR(__xludf.DUMMYFUNCTION("""COMPUTED_VALUE"""),"PipeLovers")</f>
        <v>PipeLovers</v>
      </c>
      <c r="G442" s="447" t="str">
        <f>IFERROR(__xludf.DUMMYFUNCTION("""COMPUTED_VALUE"""),"https://www.linkedin.com/in/gpagotto/")</f>
        <v>https://www.linkedin.com/in/gpagotto/</v>
      </c>
      <c r="H442" s="446" t="str">
        <f>IFERROR(__xludf.DUMMYFUNCTION("""COMPUTED_VALUE"""),"Conhecimento Técnico")</f>
        <v>Conhecimento Técnico</v>
      </c>
      <c r="I442" s="446" t="str">
        <f>IFERROR(__xludf.DUMMYFUNCTION("""COMPUTED_VALUE"""),"Gestão de Vendas")</f>
        <v>Gestão de Vendas</v>
      </c>
      <c r="J442" s="446" t="str">
        <f>IFERROR(__xludf.DUMMYFUNCTION("""COMPUTED_VALUE"""),"Rotinas e Rituais")</f>
        <v>Rotinas e Rituais</v>
      </c>
      <c r="K442" s="275" t="str">
        <f>IFERROR(__xludf.DUMMYFUNCTION("""COMPUTED_VALUE"""),"https://universidade.pipelovers.net/m/lessons/palestra-rd-summit-20231769552039345?classId=3108")</f>
        <v>https://universidade.pipelovers.net/m/lessons/palestra-rd-summit-20231769552039345?classId=3108</v>
      </c>
      <c r="L442" s="535" t="str">
        <f>IFERROR(__xludf.DUMMYFUNCTION("""COMPUTED_VALUE"""),"https://universidade.pipelovers.net/m/lessons/palestra-rd-summit-20231769552039345?classId=3108")</f>
        <v>https://universidade.pipelovers.net/m/lessons/palestra-rd-summit-20231769552039345?classId=3108</v>
      </c>
      <c r="M442" s="951">
        <f>IFERROR(__xludf.DUMMYFUNCTION("""COMPUTED_VALUE"""),2.0)</f>
        <v>2</v>
      </c>
      <c r="N442" s="1058" t="str">
        <f>IFERROR(__xludf.DUMMYFUNCTION("""COMPUTED_VALUE"""),"37. ""Palestra RD Summit 2023"" com Gustavo Pagotto (2023-11-07 08:09 GMT-3)")</f>
        <v>37. "Palestra RD Summit 2023" com Gustavo Pagotto (2023-11-07 08:09 GMT-3)</v>
      </c>
      <c r="O442" s="1067" t="str">
        <f>IFERROR(__xludf.DUMMYFUNCTION("""COMPUTED_VALUE"""),"")</f>
        <v/>
      </c>
      <c r="P442" s="952">
        <f>IFERROR(__xludf.DUMMYFUNCTION("""COMPUTED_VALUE"""),44859.0)</f>
        <v>44859</v>
      </c>
      <c r="Q442" s="1067"/>
    </row>
    <row r="443">
      <c r="A443" s="73"/>
      <c r="B443" s="209" t="str">
        <f>IFERROR(__xludf.DUMMYFUNCTION("""COMPUTED_VALUE"""),"Planejamento Comercial")</f>
        <v>Planejamento Comercial</v>
      </c>
      <c r="C443" s="119" t="str">
        <f>IFERROR(__xludf.DUMMYFUNCTION("""COMPUTED_VALUE"""),"Como alinhar expectativas entre diferentes níveis de senioridade?")</f>
        <v>Como alinhar expectativas entre diferentes níveis de senioridade?</v>
      </c>
      <c r="D443" s="119" t="str">
        <f>IFERROR(__xludf.DUMMYFUNCTION("""COMPUTED_VALUE"""),"Leonardo Sertã")</f>
        <v>Leonardo Sertã</v>
      </c>
      <c r="E443" s="105" t="str">
        <f>IFERROR(__xludf.DUMMYFUNCTION("""COMPUTED_VALUE"""),"ex-PayPal e Mckinsey")</f>
        <v>ex-PayPal e Mckinsey</v>
      </c>
      <c r="F443" s="448" t="str">
        <f>IFERROR(__xludf.DUMMYFUNCTION("""COMPUTED_VALUE"""),"-")</f>
        <v>-</v>
      </c>
      <c r="G443" s="446"/>
      <c r="H443" s="446" t="str">
        <f>IFERROR(__xludf.DUMMYFUNCTION("""COMPUTED_VALUE"""),"Relacionamento Interpessoal")</f>
        <v>Relacionamento Interpessoal</v>
      </c>
      <c r="I443" s="446" t="str">
        <f>IFERROR(__xludf.DUMMYFUNCTION("""COMPUTED_VALUE"""),"Comunicação e Relacionamento")</f>
        <v>Comunicação e Relacionamento</v>
      </c>
      <c r="J443" s="446" t="str">
        <f>IFERROR(__xludf.DUMMYFUNCTION("""COMPUTED_VALUE"""),"Dar e Receber Feedbacks")</f>
        <v>Dar e Receber Feedbacks</v>
      </c>
      <c r="K443" s="275" t="str">
        <f>IFERROR(__xludf.DUMMYFUNCTION("""COMPUTED_VALUE"""),"https://universidade.pipelovers.net/m/lessons/como-alinhar-expectativas-entre-diferentes-niveis-de-senioridade1769552243258?classId=3109")</f>
        <v>https://universidade.pipelovers.net/m/lessons/como-alinhar-expectativas-entre-diferentes-niveis-de-senioridade1769552243258?classId=3109</v>
      </c>
      <c r="L443" s="535" t="str">
        <f>IFERROR(__xludf.DUMMYFUNCTION("""COMPUTED_VALUE"""),"https://universidade.pipelovers.net/m/lessons/como-alinhar-expectativas-entre-diferentes-niveis-de-senioridade1769552243258?classId=3109")</f>
        <v>https://universidade.pipelovers.net/m/lessons/como-alinhar-expectativas-entre-diferentes-niveis-de-senioridade1769552243258?classId=3109</v>
      </c>
      <c r="M443" s="951">
        <f>IFERROR(__xludf.DUMMYFUNCTION("""COMPUTED_VALUE"""),4.29)</f>
        <v>4.29</v>
      </c>
      <c r="N443" s="1058" t="str">
        <f>IFERROR(__xludf.DUMMYFUNCTION("""COMPUTED_VALUE"""),"38. PipeLovers 💙 Planejamento Comercial: ""Como alinhar expectativas entre diferentes níveis de seniori (2023-11-16 13:36 GMT-3)")</f>
        <v>38. PipeLovers 💙 Planejamento Comercial: "Como alinhar expectativas entre diferentes níveis de seniori (2023-11-16 13:36 GMT-3)</v>
      </c>
      <c r="O443" s="1072" t="str">
        <f>IFERROR(__xludf.DUMMYFUNCTION("""COMPUTED_VALUE"""),"")</f>
        <v/>
      </c>
      <c r="P443" s="952">
        <f>IFERROR(__xludf.DUMMYFUNCTION("""COMPUTED_VALUE"""),44866.0)</f>
        <v>44866</v>
      </c>
      <c r="Q443" s="1072"/>
    </row>
    <row r="444">
      <c r="A444" s="73"/>
      <c r="B444" s="209" t="str">
        <f>IFERROR(__xludf.DUMMYFUNCTION("""COMPUTED_VALUE"""),"Planejamento Comercial")</f>
        <v>Planejamento Comercial</v>
      </c>
      <c r="C444" s="104" t="str">
        <f>IFERROR(__xludf.DUMMYFUNCTION("""COMPUTED_VALUE"""),"Sales Coaching baseado em métricas")</f>
        <v>Sales Coaching baseado em métricas</v>
      </c>
      <c r="D444" s="104" t="str">
        <f>IFERROR(__xludf.DUMMYFUNCTION("""COMPUTED_VALUE"""),"Daniel Baunds")</f>
        <v>Daniel Baunds</v>
      </c>
      <c r="E444" s="105" t="str">
        <f>IFERROR(__xludf.DUMMYFUNCTION("""COMPUTED_VALUE"""),"Especialista em Aceleração de Vendas")</f>
        <v>Especialista em Aceleração de Vendas</v>
      </c>
      <c r="F444" s="448" t="str">
        <f>IFERROR(__xludf.DUMMYFUNCTION("""COMPUTED_VALUE"""),"-")</f>
        <v>-</v>
      </c>
      <c r="G444" s="446"/>
      <c r="H444" s="446" t="str">
        <f>IFERROR(__xludf.DUMMYFUNCTION("""COMPUTED_VALUE"""),"Visão de Negócio")</f>
        <v>Visão de Negócio</v>
      </c>
      <c r="I444" s="446" t="str">
        <f>IFERROR(__xludf.DUMMYFUNCTION("""COMPUTED_VALUE"""),"Tendencias de mercado")</f>
        <v>Tendencias de mercado</v>
      </c>
      <c r="J444" s="446" t="str">
        <f>IFERROR(__xludf.DUMMYFUNCTION("""COMPUTED_VALUE"""),"Tendencias do Setor")</f>
        <v>Tendencias do Setor</v>
      </c>
      <c r="K444" s="282" t="str">
        <f>IFERROR(__xludf.DUMMYFUNCTION("""COMPUTED_VALUE"""),"https://universidade.pipelovers.net/m/lessons/sales-coaching-baseado-em-metricas1769552243176?classId=3110")</f>
        <v>https://universidade.pipelovers.net/m/lessons/sales-coaching-baseado-em-metricas1769552243176?classId=3110</v>
      </c>
      <c r="L444" s="500" t="str">
        <f>IFERROR(__xludf.DUMMYFUNCTION("""COMPUTED_VALUE"""),"https://universidade.pipelovers.net/m/lessons/sales-coaching-baseado-em-metricas1769552243176?classId=3110")</f>
        <v>https://universidade.pipelovers.net/m/lessons/sales-coaching-baseado-em-metricas1769552243176?classId=3110</v>
      </c>
      <c r="M444" s="1056">
        <f>IFERROR(__xludf.DUMMYFUNCTION("""COMPUTED_VALUE"""),4.29)</f>
        <v>4.29</v>
      </c>
      <c r="N444" s="1057" t="str">
        <f>IFERROR(__xludf.DUMMYFUNCTION("""COMPUTED_VALUE"""),"39. PipeLovers 💙 Planejamento Comercial: ""Sales Coaching baseado em métricas"" com Daniel Baunds (2023-11-23 13:06 GMT-3)")</f>
        <v>39. PipeLovers 💙 Planejamento Comercial: "Sales Coaching baseado em métricas" com Daniel Baunds (2023-11-23 13:06 GMT-3)</v>
      </c>
      <c r="O444" s="1067" t="str">
        <f>IFERROR(__xludf.DUMMYFUNCTION("""COMPUTED_VALUE"""),"")</f>
        <v/>
      </c>
      <c r="P444" s="952">
        <f>IFERROR(__xludf.DUMMYFUNCTION("""COMPUTED_VALUE"""),44873.0)</f>
        <v>44873</v>
      </c>
      <c r="Q444" s="1067"/>
    </row>
    <row r="445">
      <c r="A445" s="73"/>
      <c r="B445" s="209" t="str">
        <f>IFERROR(__xludf.DUMMYFUNCTION("""COMPUTED_VALUE"""),"Planejamento Comercial")</f>
        <v>Planejamento Comercial</v>
      </c>
      <c r="C445" s="119" t="str">
        <f>IFERROR(__xludf.DUMMYFUNCTION("""COMPUTED_VALUE"""),"Integrando times de produto e comercial")</f>
        <v>Integrando times de produto e comercial</v>
      </c>
      <c r="D445" s="119" t="str">
        <f>IFERROR(__xludf.DUMMYFUNCTION("""COMPUTED_VALUE"""),"Nicolas Scridelli")</f>
        <v>Nicolas Scridelli</v>
      </c>
      <c r="E445" s="105" t="str">
        <f>IFERROR(__xludf.DUMMYFUNCTION("""COMPUTED_VALUE"""),"CEO")</f>
        <v>CEO</v>
      </c>
      <c r="F445" s="448" t="str">
        <f>IFERROR(__xludf.DUMMYFUNCTION("""COMPUTED_VALUE"""),"Triider &amp; Habitissimo")</f>
        <v>Triider &amp; Habitissimo</v>
      </c>
      <c r="G445" s="446"/>
      <c r="H445" s="446" t="str">
        <f>IFERROR(__xludf.DUMMYFUNCTION("""COMPUTED_VALUE"""),"Relacionamento Interpessoal")</f>
        <v>Relacionamento Interpessoal</v>
      </c>
      <c r="I445" s="446" t="str">
        <f>IFERROR(__xludf.DUMMYFUNCTION("""COMPUTED_VALUE"""),"Liderança e Influência")</f>
        <v>Liderança e Influência</v>
      </c>
      <c r="J445" s="446" t="str">
        <f>IFERROR(__xludf.DUMMYFUNCTION("""COMPUTED_VALUE"""),"Gestão de Conflitos e Resolução de Problemas")</f>
        <v>Gestão de Conflitos e Resolução de Problemas</v>
      </c>
      <c r="K445" s="275" t="str">
        <f>IFERROR(__xludf.DUMMYFUNCTION("""COMPUTED_VALUE"""),"https://universidade.pipelovers.net/m/lessons/integrando-times-de-produto-e-comercial1769552243229?classId=3111")</f>
        <v>https://universidade.pipelovers.net/m/lessons/integrando-times-de-produto-e-comercial1769552243229?classId=3111</v>
      </c>
      <c r="L445" s="535" t="str">
        <f>IFERROR(__xludf.DUMMYFUNCTION("""COMPUTED_VALUE"""),"https://universidade.pipelovers.net/m/lessons/integrando-times-de-produto-e-comercial1769552243229?classId=3111")</f>
        <v>https://universidade.pipelovers.net/m/lessons/integrando-times-de-produto-e-comercial1769552243229?classId=3111</v>
      </c>
      <c r="M445" s="951">
        <f>IFERROR(__xludf.DUMMYFUNCTION("""COMPUTED_VALUE"""),3.71)</f>
        <v>3.71</v>
      </c>
      <c r="N445" s="1058" t="str">
        <f>IFERROR(__xludf.DUMMYFUNCTION("""COMPUTED_VALUE"""),"40. PipeLovers 💙 Planejamento Comercial: ""Comunicação de metas baseado em dados"" com Hugo Scott (2023-11-30 18:35 GMT-3)")</f>
        <v>40. PipeLovers 💙 Planejamento Comercial: "Comunicação de metas baseado em dados" com Hugo Scott (2023-11-30 18:35 GMT-3)</v>
      </c>
      <c r="O445" s="1072" t="str">
        <f>IFERROR(__xludf.DUMMYFUNCTION("""COMPUTED_VALUE"""),"")</f>
        <v/>
      </c>
      <c r="P445" s="952">
        <f>IFERROR(__xludf.DUMMYFUNCTION("""COMPUTED_VALUE"""),44880.0)</f>
        <v>44880</v>
      </c>
      <c r="Q445" s="1072"/>
    </row>
    <row r="446">
      <c r="A446" s="73"/>
      <c r="B446" s="209" t="str">
        <f>IFERROR(__xludf.DUMMYFUNCTION("""COMPUTED_VALUE"""),"Planejamento Comercial")</f>
        <v>Planejamento Comercial</v>
      </c>
      <c r="C446" s="104" t="str">
        <f>IFERROR(__xludf.DUMMYFUNCTION("""COMPUTED_VALUE"""),"Comunicação de metas baseado em dados ")</f>
        <v>Comunicação de metas baseado em dados </v>
      </c>
      <c r="D446" s="119" t="str">
        <f>IFERROR(__xludf.DUMMYFUNCTION("""COMPUTED_VALUE"""),"Hugo Scott")</f>
        <v>Hugo Scott</v>
      </c>
      <c r="E446" s="105" t="str">
        <f>IFERROR(__xludf.DUMMYFUNCTION("""COMPUTED_VALUE"""),"Gerente de Planejamento Comercial e Inteligência de Mercado")</f>
        <v>Gerente de Planejamento Comercial e Inteligência de Mercado</v>
      </c>
      <c r="F446" s="448" t="str">
        <f>IFERROR(__xludf.DUMMYFUNCTION("""COMPUTED_VALUE"""),"Localiza")</f>
        <v>Localiza</v>
      </c>
      <c r="G446" s="446"/>
      <c r="H446" s="446" t="str">
        <f>IFERROR(__xludf.DUMMYFUNCTION("""COMPUTED_VALUE"""),"Relacionamento Interpessoal")</f>
        <v>Relacionamento Interpessoal</v>
      </c>
      <c r="I446" s="446" t="str">
        <f>IFERROR(__xludf.DUMMYFUNCTION("""COMPUTED_VALUE"""),"Comunicação e Relacionamento")</f>
        <v>Comunicação e Relacionamento</v>
      </c>
      <c r="J446" s="446" t="str">
        <f>IFERROR(__xludf.DUMMYFUNCTION("""COMPUTED_VALUE"""),"Comunicação Não-Agressiva")</f>
        <v>Comunicação Não-Agressiva</v>
      </c>
      <c r="K446" s="275" t="str">
        <f>IFERROR(__xludf.DUMMYFUNCTION("""COMPUTED_VALUE"""),"https://universidade.pipelovers.net/aulas/comunicacao-de-metas-baseado-em-dados-1775493397166")</f>
        <v>https://universidade.pipelovers.net/aulas/comunicacao-de-metas-baseado-em-dados-1775493397166</v>
      </c>
      <c r="L446" s="535" t="str">
        <f>IFERROR(__xludf.DUMMYFUNCTION("""COMPUTED_VALUE"""),"https://universidade.pipelovers.net/aulas/comunicacao-de-metas-baseado-em-dados-1775493397166")</f>
        <v>https://universidade.pipelovers.net/aulas/comunicacao-de-metas-baseado-em-dados-1775493397166</v>
      </c>
      <c r="M446" s="1056">
        <f>IFERROR(__xludf.DUMMYFUNCTION("""COMPUTED_VALUE"""),3.71)</f>
        <v>3.71</v>
      </c>
      <c r="N446" s="1057" t="str">
        <f>IFERROR(__xludf.DUMMYFUNCTION("""COMPUTED_VALUE"""),"41. PipeLovers 💙 Planejamento Comercial: ""Integrando times de produto e comercial"" com Nicolas Scridel (2023-12-07 13:06 GMT-3)")</f>
        <v>41. PipeLovers 💙 Planejamento Comercial: "Integrando times de produto e comercial" com Nicolas Scridel (2023-12-07 13:06 GMT-3)</v>
      </c>
      <c r="O446" s="1072" t="str">
        <f>IFERROR(__xludf.DUMMYFUNCTION("""COMPUTED_VALUE"""),"")</f>
        <v/>
      </c>
      <c r="P446" s="952">
        <f>IFERROR(__xludf.DUMMYFUNCTION("""COMPUTED_VALUE"""),44887.0)</f>
        <v>44887</v>
      </c>
      <c r="Q446" s="1072"/>
    </row>
    <row r="447">
      <c r="A447" s="73"/>
      <c r="B447" s="209" t="str">
        <f>IFERROR(__xludf.DUMMYFUNCTION("""COMPUTED_VALUE"""),"Planejamento Comercial")</f>
        <v>Planejamento Comercial</v>
      </c>
      <c r="C447" s="1066" t="str">
        <f>IFERROR(__xludf.DUMMYFUNCTION("""COMPUTED_VALUE"""),"Metologia Lean aplicado ao planejamento de vendas")</f>
        <v>Metologia Lean aplicado ao planejamento de vendas</v>
      </c>
      <c r="D447" s="119" t="str">
        <f>IFERROR(__xludf.DUMMYFUNCTION("""COMPUTED_VALUE"""),"Gilberto Strafacci")</f>
        <v>Gilberto Strafacci</v>
      </c>
      <c r="E447" s="105" t="str">
        <f>IFERROR(__xludf.DUMMYFUNCTION("""COMPUTED_VALUE"""),"VP of Strategy and Operations")</f>
        <v>VP of Strategy and Operations</v>
      </c>
      <c r="F447" s="448" t="str">
        <f>IFERROR(__xludf.DUMMYFUNCTION("""COMPUTED_VALUE"""),"Setec Consulting Group")</f>
        <v>Setec Consulting Group</v>
      </c>
      <c r="G447" s="446"/>
      <c r="H447" s="446" t="str">
        <f>IFERROR(__xludf.DUMMYFUNCTION("""COMPUTED_VALUE"""),"Conhecimento Técnico")</f>
        <v>Conhecimento Técnico</v>
      </c>
      <c r="I447" s="446" t="str">
        <f>IFERROR(__xludf.DUMMYFUNCTION("""COMPUTED_VALUE"""),"Gestão de Vendas")</f>
        <v>Gestão de Vendas</v>
      </c>
      <c r="J447" s="446" t="str">
        <f>IFERROR(__xludf.DUMMYFUNCTION("""COMPUTED_VALUE"""),"Metodologias de Vendas")</f>
        <v>Metodologias de Vendas</v>
      </c>
      <c r="K447" s="1076" t="str">
        <f>IFERROR(__xludf.DUMMYFUNCTION("""COMPUTED_VALUE"""),"https://universidade.pipelovers.net/m/lessons/metologia-lean-aplicado-ao-planejamento-de-vendas1769552243324?classId=3482")</f>
        <v>https://universidade.pipelovers.net/m/lessons/metologia-lean-aplicado-ao-planejamento-de-vendas1769552243324?classId=3482</v>
      </c>
      <c r="L447" s="1077" t="str">
        <f>IFERROR(__xludf.DUMMYFUNCTION("""COMPUTED_VALUE"""),"https://universidade.pipelovers.net/m/lessons/metologia-lean-aplicado-ao-planejamento-de-vendas1769552243324?classId=3482")</f>
        <v>https://universidade.pipelovers.net/m/lessons/metologia-lean-aplicado-ao-planejamento-de-vendas1769552243324?classId=3482</v>
      </c>
      <c r="M447" s="1056">
        <f>IFERROR(__xludf.DUMMYFUNCTION("""COMPUTED_VALUE"""),4.29)</f>
        <v>4.29</v>
      </c>
      <c r="N447" s="1057" t="str">
        <f>IFERROR(__xludf.DUMMYFUNCTION("""COMPUTED_VALUE"""),"42. PipeLovers 💙 Planejamento Comercial: ""Metodologia Lean aplicado ao planejamento de vendas"" com Gil (2023-12-14 13:05 GMT-3)")</f>
        <v>42. PipeLovers 💙 Planejamento Comercial: "Metodologia Lean aplicado ao planejamento de vendas" com Gil (2023-12-14 13:05 GMT-3)</v>
      </c>
      <c r="O447" s="1072" t="str">
        <f>IFERROR(__xludf.DUMMYFUNCTION("""COMPUTED_VALUE"""),"")</f>
        <v/>
      </c>
      <c r="P447" s="952">
        <f>IFERROR(__xludf.DUMMYFUNCTION("""COMPUTED_VALUE"""),44894.0)</f>
        <v>44894</v>
      </c>
      <c r="Q447" s="1072"/>
    </row>
    <row r="448">
      <c r="A448" s="73"/>
      <c r="B448" s="103" t="str">
        <f>IFERROR(__xludf.DUMMYFUNCTION("""COMPUTED_VALUE"""),"Planejamento Comercial")</f>
        <v>Planejamento Comercial</v>
      </c>
      <c r="C448" s="216" t="str">
        <f>IFERROR(__xludf.DUMMYFUNCTION("""COMPUTED_VALUE"""),"Melhores práticas para elaborar um planejamento top down")</f>
        <v>Melhores práticas para elaborar um planejamento top down</v>
      </c>
      <c r="D448" s="119" t="str">
        <f>IFERROR(__xludf.DUMMYFUNCTION("""COMPUTED_VALUE"""),"Patricia Jôlo")</f>
        <v>Patricia Jôlo</v>
      </c>
      <c r="E448" s="105" t="str">
        <f>IFERROR(__xludf.DUMMYFUNCTION("""COMPUTED_VALUE"""),"Especialista em Vendas e Customer Success")</f>
        <v>Especialista em Vendas e Customer Success</v>
      </c>
      <c r="F448" s="448"/>
      <c r="G448" s="446"/>
      <c r="H448" s="446" t="str">
        <f>IFERROR(__xludf.DUMMYFUNCTION("""COMPUTED_VALUE"""),"Conhecimento Técnico")</f>
        <v>Conhecimento Técnico</v>
      </c>
      <c r="I448" s="446" t="str">
        <f>IFERROR(__xludf.DUMMYFUNCTION("""COMPUTED_VALUE"""),"Gestão de Vendas")</f>
        <v>Gestão de Vendas</v>
      </c>
      <c r="J448" s="446" t="str">
        <f>IFERROR(__xludf.DUMMYFUNCTION("""COMPUTED_VALUE"""),"Planejamento Comercial")</f>
        <v>Planejamento Comercial</v>
      </c>
      <c r="K448" s="282" t="str">
        <f>IFERROR(__xludf.DUMMYFUNCTION("""COMPUTED_VALUE"""),"https://universidade.pipelovers.net/m/lessons/melhores-praticas-para-elaborar-um-planejamento-top-down1769552243353?classId=3115")</f>
        <v>https://universidade.pipelovers.net/m/lessons/melhores-praticas-para-elaborar-um-planejamento-top-down1769552243353?classId=3115</v>
      </c>
      <c r="L448" s="500" t="str">
        <f>IFERROR(__xludf.DUMMYFUNCTION("""COMPUTED_VALUE"""),"https://universidade.pipelovers.net/m/lessons/melhores-praticas-para-elaborar-um-planejamento-top-down1769552243353?classId=3115")</f>
        <v>https://universidade.pipelovers.net/m/lessons/melhores-praticas-para-elaborar-um-planejamento-top-down1769552243353?classId=3115</v>
      </c>
      <c r="M448" s="951">
        <f>IFERROR(__xludf.DUMMYFUNCTION("""COMPUTED_VALUE"""),3.0)</f>
        <v>3</v>
      </c>
      <c r="N448" s="1081" t="str">
        <f>IFERROR(__xludf.DUMMYFUNCTION("""COMPUTED_VALUE"""),"43. PipeLovers 💙 Planejamento Comercial: ""Melhores práticas para elaborar um planejamento top down"" co (2023-12-21 13:05 GMT-3)")</f>
        <v>43. PipeLovers 💙 Planejamento Comercial: "Melhores práticas para elaborar um planejamento top down" co (2023-12-21 13:05 GMT-3)</v>
      </c>
      <c r="O448" s="1067" t="str">
        <f>IFERROR(__xludf.DUMMYFUNCTION("""COMPUTED_VALUE"""),"")</f>
        <v/>
      </c>
      <c r="P448" s="952">
        <f>IFERROR(__xludf.DUMMYFUNCTION("""COMPUTED_VALUE"""),44901.0)</f>
        <v>44901</v>
      </c>
      <c r="Q448" s="1067"/>
    </row>
    <row r="449">
      <c r="A449" s="73"/>
      <c r="B449" s="103" t="str">
        <f>IFERROR(__xludf.DUMMYFUNCTION("""COMPUTED_VALUE"""),"")</f>
        <v/>
      </c>
      <c r="C449" s="268" t="str">
        <f>IFERROR(__xludf.DUMMYFUNCTION("""COMPUTED_VALUE"""),"")</f>
        <v/>
      </c>
      <c r="D449" s="104" t="str">
        <f>IFERROR(__xludf.DUMMYFUNCTION("""COMPUTED_VALUE"""),"")</f>
        <v/>
      </c>
      <c r="E449" s="105" t="str">
        <f>IFERROR(__xludf.DUMMYFUNCTION("""COMPUTED_VALUE"""),"")</f>
        <v/>
      </c>
      <c r="F449" s="448" t="str">
        <f>IFERROR(__xludf.DUMMYFUNCTION("""COMPUTED_VALUE"""),"")</f>
        <v/>
      </c>
      <c r="G449" s="446" t="str">
        <f>IFERROR(__xludf.DUMMYFUNCTION("""COMPUTED_VALUE"""),"")</f>
        <v/>
      </c>
      <c r="H449" s="446" t="str">
        <f>IFERROR(__xludf.DUMMYFUNCTION("""COMPUTED_VALUE"""),"")</f>
        <v/>
      </c>
      <c r="I449" s="446" t="str">
        <f>IFERROR(__xludf.DUMMYFUNCTION("""COMPUTED_VALUE"""),"")</f>
        <v/>
      </c>
      <c r="J449" s="446" t="str">
        <f>IFERROR(__xludf.DUMMYFUNCTION("""COMPUTED_VALUE"""),"")</f>
        <v/>
      </c>
      <c r="K449" s="282" t="str">
        <f>IFERROR(__xludf.DUMMYFUNCTION("""COMPUTED_VALUE"""),"")</f>
        <v/>
      </c>
      <c r="L449" s="500" t="str">
        <f>IFERROR(__xludf.DUMMYFUNCTION("""COMPUTED_VALUE"""),"")</f>
        <v/>
      </c>
      <c r="M449" s="1082" t="str">
        <f>IFERROR(__xludf.DUMMYFUNCTION("""COMPUTED_VALUE"""),"")</f>
        <v/>
      </c>
      <c r="N449" s="1083" t="str">
        <f>IFERROR(__xludf.DUMMYFUNCTION("""COMPUTED_VALUE"""),"")</f>
        <v/>
      </c>
      <c r="O449" s="1072" t="str">
        <f>IFERROR(__xludf.DUMMYFUNCTION("""COMPUTED_VALUE"""),"")</f>
        <v/>
      </c>
      <c r="P449" s="952" t="str">
        <f>IFERROR(__xludf.DUMMYFUNCTION("""COMPUTED_VALUE"""),"")</f>
        <v/>
      </c>
      <c r="Q449" s="1072"/>
    </row>
    <row r="450">
      <c r="A450" s="73"/>
      <c r="B450" s="103" t="str">
        <f>IFERROR(__xludf.DUMMYFUNCTION("""COMPUTED_VALUE"""),"Líderes de Vendas")</f>
        <v>Líderes de Vendas</v>
      </c>
      <c r="C450" s="216" t="str">
        <f>IFERROR(__xludf.DUMMYFUNCTION("""COMPUTED_VALUE"""),"Planejamento de Vendas B2B na Pratica")</f>
        <v>Planejamento de Vendas B2B na Pratica</v>
      </c>
      <c r="D450" s="119" t="str">
        <f>IFERROR(__xludf.DUMMYFUNCTION("""COMPUTED_VALUE"""),"Leonardo Barros")</f>
        <v>Leonardo Barros</v>
      </c>
      <c r="E450" s="105" t="str">
        <f>IFERROR(__xludf.DUMMYFUNCTION("""COMPUTED_VALUE"""),"Sr Partner Marketing Manager Brazil")</f>
        <v>Sr Partner Marketing Manager Brazil</v>
      </c>
      <c r="F450" s="448" t="str">
        <f>IFERROR(__xludf.DUMMYFUNCTION("""COMPUTED_VALUE"""),"Amazon AWS")</f>
        <v>Amazon AWS</v>
      </c>
      <c r="G450" s="446"/>
      <c r="H450" s="446" t="str">
        <f>IFERROR(__xludf.DUMMYFUNCTION("""COMPUTED_VALUE"""),"Conhecimento Técnico")</f>
        <v>Conhecimento Técnico</v>
      </c>
      <c r="I450" s="446" t="str">
        <f>IFERROR(__xludf.DUMMYFUNCTION("""COMPUTED_VALUE"""),"Gestão de Vendas")</f>
        <v>Gestão de Vendas</v>
      </c>
      <c r="J450" s="446" t="str">
        <f>IFERROR(__xludf.DUMMYFUNCTION("""COMPUTED_VALUE"""),"Planejamento Comercial")</f>
        <v>Planejamento Comercial</v>
      </c>
      <c r="K450" s="282" t="str">
        <f>IFERROR(__xludf.DUMMYFUNCTION("""COMPUTED_VALUE"""),"https://universidade.pipelovers.net/aulas/planejamento-de-vendas-b2b-na-pratica-1775494022190")</f>
        <v>https://universidade.pipelovers.net/aulas/planejamento-de-vendas-b2b-na-pratica-1775494022190</v>
      </c>
      <c r="L450" s="500" t="str">
        <f>IFERROR(__xludf.DUMMYFUNCTION("""COMPUTED_VALUE"""),"https://universidade.pipelovers.net/aulas/planejamento-de-vendas-b2b-na-pratica-1775494022190")</f>
        <v>https://universidade.pipelovers.net/aulas/planejamento-de-vendas-b2b-na-pratica-1775494022190</v>
      </c>
      <c r="M450" s="1085">
        <f>IFERROR(__xludf.DUMMYFUNCTION("""COMPUTED_VALUE"""),3.57)</f>
        <v>3.57</v>
      </c>
      <c r="N450" s="1081" t="str">
        <f>IFERROR(__xludf.DUMMYFUNCTION("""COMPUTED_VALUE"""),"1. PipeLovers 💚 Sales Leaders com Leonardo Barros ""Planejamento de Vendas B2B na Pratica"".mp4")</f>
        <v>1. PipeLovers 💚 Sales Leaders com Leonardo Barros "Planejamento de Vendas B2B na Pratica".mp4</v>
      </c>
      <c r="O450" s="1067" t="str">
        <f>IFERROR(__xludf.DUMMYFUNCTION("""COMPUTED_VALUE"""),"")</f>
        <v/>
      </c>
      <c r="P450" s="952">
        <f>IFERROR(__xludf.DUMMYFUNCTION("""COMPUTED_VALUE"""),44915.0)</f>
        <v>44915</v>
      </c>
      <c r="Q450" s="1067"/>
    </row>
    <row r="451">
      <c r="A451" s="73"/>
      <c r="B451" s="103" t="str">
        <f>IFERROR(__xludf.DUMMYFUNCTION("""COMPUTED_VALUE"""),"Líderes de Vendas")</f>
        <v>Líderes de Vendas</v>
      </c>
      <c r="C451" s="268" t="str">
        <f>IFERROR(__xludf.DUMMYFUNCTION("""COMPUTED_VALUE"""),"Recrutamento de Equipes de Vendas de Alta Performance")</f>
        <v>Recrutamento de Equipes de Vendas de Alta Performance</v>
      </c>
      <c r="D451" s="104" t="str">
        <f>IFERROR(__xludf.DUMMYFUNCTION("""COMPUTED_VALUE"""),"Marina Carvalho")</f>
        <v>Marina Carvalho</v>
      </c>
      <c r="E451" s="105" t="str">
        <f>IFERROR(__xludf.DUMMYFUNCTION("""COMPUTED_VALUE"""),"Talent Acquisition Manager")</f>
        <v>Talent Acquisition Manager</v>
      </c>
      <c r="F451" s="448" t="str">
        <f>IFERROR(__xludf.DUMMYFUNCTION("""COMPUTED_VALUE"""),"Beontag")</f>
        <v>Beontag</v>
      </c>
      <c r="G451" s="446"/>
      <c r="H451" s="446" t="str">
        <f>IFERROR(__xludf.DUMMYFUNCTION("""COMPUTED_VALUE"""),"Relacionamento Interpessoal")</f>
        <v>Relacionamento Interpessoal</v>
      </c>
      <c r="I451" s="446" t="str">
        <f>IFERROR(__xludf.DUMMYFUNCTION("""COMPUTED_VALUE"""),"Liderança e Influência")</f>
        <v>Liderança e Influência</v>
      </c>
      <c r="J451" s="446" t="str">
        <f>IFERROR(__xludf.DUMMYFUNCTION("""COMPUTED_VALUE"""),"Mentoria e Desenvolvimento de Talentos")</f>
        <v>Mentoria e Desenvolvimento de Talentos</v>
      </c>
      <c r="K451" s="275" t="str">
        <f>IFERROR(__xludf.DUMMYFUNCTION("""COMPUTED_VALUE"""),"https://universidade.pipelovers.net/aulas/recrutamento-de-equipes-de-vendas-de-alta-performance-1775495873086")</f>
        <v>https://universidade.pipelovers.net/aulas/recrutamento-de-equipes-de-vendas-de-alta-performance-1775495873086</v>
      </c>
      <c r="L451" s="535" t="str">
        <f>IFERROR(__xludf.DUMMYFUNCTION("""COMPUTED_VALUE"""),"https://universidade.pipelovers.net/aulas/recrutamento-de-equipes-de-vendas-de-alta-performance-1775495873086")</f>
        <v>https://universidade.pipelovers.net/aulas/recrutamento-de-equipes-de-vendas-de-alta-performance-1775495873086</v>
      </c>
      <c r="M451" s="1082">
        <f>IFERROR(__xludf.DUMMYFUNCTION("""COMPUTED_VALUE"""),3.71)</f>
        <v>3.71</v>
      </c>
      <c r="N451" s="1083" t="str">
        <f>IFERROR(__xludf.DUMMYFUNCTION("""COMPUTED_VALUE"""),"2. PipeLovers 💚 Sales Leaders com Marina Carvalho ""Recrutamento de Equipes de Vendas de Alta Performance"".mp4")</f>
        <v>2. PipeLovers 💚 Sales Leaders com Marina Carvalho "Recrutamento de Equipes de Vendas de Alta Performance".mp4</v>
      </c>
      <c r="O451" s="1072" t="str">
        <f>IFERROR(__xludf.DUMMYFUNCTION("""COMPUTED_VALUE"""),"")</f>
        <v/>
      </c>
      <c r="P451" s="952">
        <f>IFERROR(__xludf.DUMMYFUNCTION("""COMPUTED_VALUE"""),44922.0)</f>
        <v>44922</v>
      </c>
      <c r="Q451" s="1072"/>
    </row>
    <row r="452">
      <c r="A452" s="73"/>
      <c r="B452" s="103" t="str">
        <f>IFERROR(__xludf.DUMMYFUNCTION("""COMPUTED_VALUE"""),"Líderes de Vendas")</f>
        <v>Líderes de Vendas</v>
      </c>
      <c r="C452" s="216" t="str">
        <f>IFERROR(__xludf.DUMMYFUNCTION("""COMPUTED_VALUE"""),"Como montar seu stack de ferramentas")</f>
        <v>Como montar seu stack de ferramentas</v>
      </c>
      <c r="D452" s="119" t="str">
        <f>IFERROR(__xludf.DUMMYFUNCTION("""COMPUTED_VALUE"""),"Eduardo Muller")</f>
        <v>Eduardo Muller</v>
      </c>
      <c r="E452" s="105" t="str">
        <f>IFERROR(__xludf.DUMMYFUNCTION("""COMPUTED_VALUE"""),"CEO")</f>
        <v>CEO</v>
      </c>
      <c r="F452" s="448" t="str">
        <f>IFERROR(__xludf.DUMMYFUNCTION("""COMPUTED_VALUE"""),"B2B Stack")</f>
        <v>B2B Stack</v>
      </c>
      <c r="G452" s="446"/>
      <c r="H452" s="446" t="str">
        <f>IFERROR(__xludf.DUMMYFUNCTION("""COMPUTED_VALUE"""),"Conhecimento Técnico")</f>
        <v>Conhecimento Técnico</v>
      </c>
      <c r="I452" s="446" t="str">
        <f>IFERROR(__xludf.DUMMYFUNCTION("""COMPUTED_VALUE"""),"Gestão de Vendas")</f>
        <v>Gestão de Vendas</v>
      </c>
      <c r="J452" s="446" t="str">
        <f>IFERROR(__xludf.DUMMYFUNCTION("""COMPUTED_VALUE"""),"Ferramentas de Vendas")</f>
        <v>Ferramentas de Vendas</v>
      </c>
      <c r="K452" s="450" t="str">
        <f>IFERROR(__xludf.DUMMYFUNCTION("""COMPUTED_VALUE"""),"https://universidade.pipelovers.net/aulas/como-montar-seu-stack-de-ferramentas-1775505416458")</f>
        <v>https://universidade.pipelovers.net/aulas/como-montar-seu-stack-de-ferramentas-1775505416458</v>
      </c>
      <c r="L452" s="562" t="str">
        <f>IFERROR(__xludf.DUMMYFUNCTION("""COMPUTED_VALUE"""),"https://universidade.pipelovers.net/aulas/como-montar-seu-stack-de-ferramentas-1775505416458")</f>
        <v>https://universidade.pipelovers.net/aulas/como-montar-seu-stack-de-ferramentas-1775505416458</v>
      </c>
      <c r="M452" s="1085">
        <f>IFERROR(__xludf.DUMMYFUNCTION("""COMPUTED_VALUE"""),3.71)</f>
        <v>3.71</v>
      </c>
      <c r="N452" s="615" t="str">
        <f>IFERROR(__xludf.DUMMYFUNCTION("""COMPUTED_VALUE"""),"3. PipeLovers 💚 Sales Leaders com Eduardo Muller ""Como montar seu stack de ferramentas"".mp4")</f>
        <v>3. PipeLovers 💚 Sales Leaders com Eduardo Muller "Como montar seu stack de ferramentas".mp4</v>
      </c>
      <c r="O452" s="1067" t="str">
        <f>IFERROR(__xludf.DUMMYFUNCTION("""COMPUTED_VALUE"""),"")</f>
        <v/>
      </c>
      <c r="P452" s="952">
        <f>IFERROR(__xludf.DUMMYFUNCTION("""COMPUTED_VALUE"""),44929.0)</f>
        <v>44929</v>
      </c>
      <c r="Q452" s="1067"/>
    </row>
    <row r="453">
      <c r="A453" s="73"/>
      <c r="B453" s="103" t="str">
        <f>IFERROR(__xludf.DUMMYFUNCTION("""COMPUTED_VALUE"""),"Líderes de Vendas")</f>
        <v>Líderes de Vendas</v>
      </c>
      <c r="C453" s="268" t="str">
        <f>IFERROR(__xludf.DUMMYFUNCTION("""COMPUTED_VALUE"""),"Vendas, Gestão 4.0, Educação e Empreendedorismo")</f>
        <v>Vendas, Gestão 4.0, Educação e Empreendedorismo</v>
      </c>
      <c r="D453" s="104" t="str">
        <f>IFERROR(__xludf.DUMMYFUNCTION("""COMPUTED_VALUE"""),"Alfredo Soares")</f>
        <v>Alfredo Soares</v>
      </c>
      <c r="E453" s="105" t="str">
        <f>IFERROR(__xludf.DUMMYFUNCTION("""COMPUTED_VALUE"""),"Fundador")</f>
        <v>Fundador</v>
      </c>
      <c r="F453" s="448" t="str">
        <f>IFERROR(__xludf.DUMMYFUNCTION("""COMPUTED_VALUE"""),"G4 Educação")</f>
        <v>G4 Educação</v>
      </c>
      <c r="G453" s="446"/>
      <c r="H453" s="446" t="str">
        <f>IFERROR(__xludf.DUMMYFUNCTION("""COMPUTED_VALUE"""),"Visão de Negócio")</f>
        <v>Visão de Negócio</v>
      </c>
      <c r="I453" s="446" t="str">
        <f>IFERROR(__xludf.DUMMYFUNCTION("""COMPUTED_VALUE"""),"Tendencias de mercado")</f>
        <v>Tendencias de mercado</v>
      </c>
      <c r="J453" s="446" t="str">
        <f>IFERROR(__xludf.DUMMYFUNCTION("""COMPUTED_VALUE"""),"Tendencias do Setor")</f>
        <v>Tendencias do Setor</v>
      </c>
      <c r="K453" s="275" t="str">
        <f>IFERROR(__xludf.DUMMYFUNCTION("""COMPUTED_VALUE"""),"https://universidade.pipelovers.net/m/lessons/vendas-gestao-40-educacao-e-empreendedorismo1769552243459?classId=3116")</f>
        <v>https://universidade.pipelovers.net/m/lessons/vendas-gestao-40-educacao-e-empreendedorismo1769552243459?classId=3116</v>
      </c>
      <c r="L453" s="535" t="str">
        <f>IFERROR(__xludf.DUMMYFUNCTION("""COMPUTED_VALUE"""),"https://universidade.pipelovers.net/m/lessons/vendas-gestao-40-educacao-e-empreendedorismo1769552243459?classId=3116")</f>
        <v>https://universidade.pipelovers.net/m/lessons/vendas-gestao-40-educacao-e-empreendedorismo1769552243459?classId=3116</v>
      </c>
      <c r="M453" s="1082">
        <f>IFERROR(__xludf.DUMMYFUNCTION("""COMPUTED_VALUE"""),3.71)</f>
        <v>3.71</v>
      </c>
      <c r="N453" s="1083" t="str">
        <f>IFERROR(__xludf.DUMMYFUNCTION("""COMPUTED_VALUE"""),"4. PipeLovers 💚 Sales Leaders com Alfredo Soares ""Vendas, Gestão 4.0, Educação e Empreendedorismo"".mp4")</f>
        <v>4. PipeLovers 💚 Sales Leaders com Alfredo Soares "Vendas, Gestão 4.0, Educação e Empreendedorismo".mp4</v>
      </c>
      <c r="O453" s="1072" t="str">
        <f>IFERROR(__xludf.DUMMYFUNCTION("""COMPUTED_VALUE"""),"")</f>
        <v/>
      </c>
      <c r="P453" s="952">
        <f>IFERROR(__xludf.DUMMYFUNCTION("""COMPUTED_VALUE"""),44936.0)</f>
        <v>44936</v>
      </c>
      <c r="Q453" s="1072"/>
    </row>
    <row r="454">
      <c r="A454" s="73"/>
      <c r="B454" s="103" t="str">
        <f>IFERROR(__xludf.DUMMYFUNCTION("""COMPUTED_VALUE"""),"Líderes de Vendas")</f>
        <v>Líderes de Vendas</v>
      </c>
      <c r="C454" s="216" t="str">
        <f>IFERROR(__xludf.DUMMYFUNCTION("""COMPUTED_VALUE"""),"Cultura de Equipes de Vendas de Alta Performance")</f>
        <v>Cultura de Equipes de Vendas de Alta Performance</v>
      </c>
      <c r="D454" s="119" t="str">
        <f>IFERROR(__xludf.DUMMYFUNCTION("""COMPUTED_VALUE"""),"Denis Tassitano 
Carla Gatti
Daniel Schwebel")</f>
        <v>Denis Tassitano 
Carla Gatti
Daniel Schwebel</v>
      </c>
      <c r="E454" s="105" t="str">
        <f>IFERROR(__xludf.DUMMYFUNCTION("""COMPUTED_VALUE"""),"VP Head of Concur LATAM
CRO
Diretor de Vendas LATAM")</f>
        <v>VP Head of Concur LATAM
CRO
Diretor de Vendas LATAM</v>
      </c>
      <c r="F454" s="448" t="str">
        <f>IFERROR(__xludf.DUMMYFUNCTION("""COMPUTED_VALUE"""),"SAP
Autodoc
Sinch")</f>
        <v>SAP
Autodoc
Sinch</v>
      </c>
      <c r="G454" s="446"/>
      <c r="H454" s="446" t="str">
        <f>IFERROR(__xludf.DUMMYFUNCTION("""COMPUTED_VALUE"""),"Relacionamento Interpessoal")</f>
        <v>Relacionamento Interpessoal</v>
      </c>
      <c r="I454" s="446" t="str">
        <f>IFERROR(__xludf.DUMMYFUNCTION("""COMPUTED_VALUE"""),"Liderança e Influência")</f>
        <v>Liderança e Influência</v>
      </c>
      <c r="J454" s="446" t="str">
        <f>IFERROR(__xludf.DUMMYFUNCTION("""COMPUTED_VALUE"""),"Mentoria e Desenvolvimento de Talentos")</f>
        <v>Mentoria e Desenvolvimento de Talentos</v>
      </c>
      <c r="K454" s="275" t="str">
        <f>IFERROR(__xludf.DUMMYFUNCTION("""COMPUTED_VALUE"""),"https://universidade.pipelovers.net/m/lessons/cultura-de-equipes-de-vendas-de-alta-performance1769552243539?classId=3481")</f>
        <v>https://universidade.pipelovers.net/m/lessons/cultura-de-equipes-de-vendas-de-alta-performance1769552243539?classId=3481</v>
      </c>
      <c r="L454" s="535" t="str">
        <f>IFERROR(__xludf.DUMMYFUNCTION("""COMPUTED_VALUE"""),"https://universidade.pipelovers.net/m/lessons/cultura-de-equipes-de-vendas-de-alta-performance1769552243539?classId=3481")</f>
        <v>https://universidade.pipelovers.net/m/lessons/cultura-de-equipes-de-vendas-de-alta-performance1769552243539?classId=3481</v>
      </c>
      <c r="M454" s="1085">
        <f>IFERROR(__xludf.DUMMYFUNCTION("""COMPUTED_VALUE"""),3.0)</f>
        <v>3</v>
      </c>
      <c r="N454" s="1081"/>
      <c r="O454" s="1067" t="str">
        <f>IFERROR(__xludf.DUMMYFUNCTION("""COMPUTED_VALUE"""),"")</f>
        <v/>
      </c>
      <c r="P454" s="952">
        <f>IFERROR(__xludf.DUMMYFUNCTION("""COMPUTED_VALUE"""),44943.0)</f>
        <v>44943</v>
      </c>
      <c r="Q454" s="1067"/>
    </row>
    <row r="455">
      <c r="A455" s="73"/>
      <c r="B455" s="103" t="str">
        <f>IFERROR(__xludf.DUMMYFUNCTION("""COMPUTED_VALUE"""),"Líderes de Vendas")</f>
        <v>Líderes de Vendas</v>
      </c>
      <c r="C455" s="555" t="str">
        <f>IFERROR(__xludf.DUMMYFUNCTION("""COMPUTED_VALUE"""),"Carreira em Vendas: Desafios da Liderança Comercial")</f>
        <v>Carreira em Vendas: Desafios da Liderança Comercial</v>
      </c>
      <c r="D455" s="175" t="str">
        <f>IFERROR(__xludf.DUMMYFUNCTION("""COMPUTED_VALUE"""),"Gustavo Pagotto")</f>
        <v>Gustavo Pagotto</v>
      </c>
      <c r="E455" s="174" t="str">
        <f>IFERROR(__xludf.DUMMYFUNCTION("""COMPUTED_VALUE"""),"Fundador")</f>
        <v>Fundador</v>
      </c>
      <c r="F455" s="478" t="str">
        <f>IFERROR(__xludf.DUMMYFUNCTION("""COMPUTED_VALUE"""),"PipeLovers")</f>
        <v>PipeLovers</v>
      </c>
      <c r="G455" s="1089" t="str">
        <f>IFERROR(__xludf.DUMMYFUNCTION("""COMPUTED_VALUE"""),"https://www.linkedin.com/in/gpagotto/")</f>
        <v>https://www.linkedin.com/in/gpagotto/</v>
      </c>
      <c r="H455" s="446" t="str">
        <f>IFERROR(__xludf.DUMMYFUNCTION("""COMPUTED_VALUE"""),"Relacionamento Interpessoal")</f>
        <v>Relacionamento Interpessoal</v>
      </c>
      <c r="I455" s="446" t="str">
        <f>IFERROR(__xludf.DUMMYFUNCTION("""COMPUTED_VALUE"""),"Liderança e Influência")</f>
        <v>Liderança e Influência</v>
      </c>
      <c r="J455" s="446" t="str">
        <f>IFERROR(__xludf.DUMMYFUNCTION("""COMPUTED_VALUE"""),"Mentoria e Desenvolvimento de Talentos")</f>
        <v>Mentoria e Desenvolvimento de Talentos</v>
      </c>
      <c r="K455" s="275" t="str">
        <f>IFERROR(__xludf.DUMMYFUNCTION("""COMPUTED_VALUE"""),"https://universidade.pipelovers.net/m/lessons/carreira-em-vendas-desafios-da-lideranca-comercial1769552243571?classId=3775")</f>
        <v>https://universidade.pipelovers.net/m/lessons/carreira-em-vendas-desafios-da-lideranca-comercial1769552243571?classId=3775</v>
      </c>
      <c r="L455" s="535" t="str">
        <f>IFERROR(__xludf.DUMMYFUNCTION("""COMPUTED_VALUE"""),"https://universidade.pipelovers.net/m/lessons/carreira-em-vendas-desafios-da-lideranca-comercial1769552243571?classId=3775")</f>
        <v>https://universidade.pipelovers.net/m/lessons/carreira-em-vendas-desafios-da-lideranca-comercial1769552243571?classId=3775</v>
      </c>
      <c r="M455" s="1082">
        <f>IFERROR(__xludf.DUMMYFUNCTION("""COMPUTED_VALUE"""),3.71)</f>
        <v>3.71</v>
      </c>
      <c r="N455" s="1083" t="str">
        <f>IFERROR(__xludf.DUMMYFUNCTION("""COMPUTED_VALUE"""),"5. PipeLovers 💚 Sales Leaders com Gustavo Pagotto ""Carreira em Vendas: Desafios da Liderança Comercial"" (2022-09-22 18:05 GMT-3)")</f>
        <v>5. PipeLovers 💚 Sales Leaders com Gustavo Pagotto "Carreira em Vendas: Desafios da Liderança Comercial" (2022-09-22 18:05 GMT-3)</v>
      </c>
      <c r="O455" s="1072" t="str">
        <f>IFERROR(__xludf.DUMMYFUNCTION("""COMPUTED_VALUE"""),"")</f>
        <v/>
      </c>
      <c r="P455" s="952">
        <f>IFERROR(__xludf.DUMMYFUNCTION("""COMPUTED_VALUE"""),44950.0)</f>
        <v>44950</v>
      </c>
      <c r="Q455" s="1072"/>
    </row>
    <row r="456">
      <c r="A456" s="73"/>
      <c r="B456" s="103" t="str">
        <f>IFERROR(__xludf.DUMMYFUNCTION("""COMPUTED_VALUE"""),"Líderes de Vendas")</f>
        <v>Líderes de Vendas</v>
      </c>
      <c r="C456" s="481" t="str">
        <f>IFERROR(__xludf.DUMMYFUNCTION("""COMPUTED_VALUE"""),"Alinhamento entre Marketing e Vendas B2B")</f>
        <v>Alinhamento entre Marketing e Vendas B2B</v>
      </c>
      <c r="D456" s="173" t="str">
        <f>IFERROR(__xludf.DUMMYFUNCTION("""COMPUTED_VALUE"""),"André Siqueira")</f>
        <v>André Siqueira</v>
      </c>
      <c r="E456" s="174" t="str">
        <f>IFERROR(__xludf.DUMMYFUNCTION("""COMPUTED_VALUE"""),"Fundador")</f>
        <v>Fundador</v>
      </c>
      <c r="F456" s="478" t="str">
        <f>IFERROR(__xludf.DUMMYFUNCTION("""COMPUTED_VALUE"""),"RD Station")</f>
        <v>RD Station</v>
      </c>
      <c r="G456" s="478"/>
      <c r="H456" s="446" t="str">
        <f>IFERROR(__xludf.DUMMYFUNCTION("""COMPUTED_VALUE"""),"Relacionamento Interpessoal")</f>
        <v>Relacionamento Interpessoal</v>
      </c>
      <c r="I456" s="446" t="str">
        <f>IFERROR(__xludf.DUMMYFUNCTION("""COMPUTED_VALUE"""),"Liderança e Influência")</f>
        <v>Liderança e Influência</v>
      </c>
      <c r="J456" s="446" t="str">
        <f>IFERROR(__xludf.DUMMYFUNCTION("""COMPUTED_VALUE"""),"Gestão de Conflitos e Resolução de Problemas")</f>
        <v>Gestão de Conflitos e Resolução de Problemas</v>
      </c>
      <c r="K456" s="275" t="str">
        <f>IFERROR(__xludf.DUMMYFUNCTION("""COMPUTED_VALUE"""),"https://universidade.pipelovers.net/m/lessons/alinhamento-entre-marketing-e-vendas-b2b1769552247196?classId=3118")</f>
        <v>https://universidade.pipelovers.net/m/lessons/alinhamento-entre-marketing-e-vendas-b2b1769552247196?classId=3118</v>
      </c>
      <c r="L456" s="535" t="str">
        <f>IFERROR(__xludf.DUMMYFUNCTION("""COMPUTED_VALUE"""),"https://universidade.pipelovers.net/m/lessons/alinhamento-entre-marketing-e-vendas-b2b1769552247196?classId=3118")</f>
        <v>https://universidade.pipelovers.net/m/lessons/alinhamento-entre-marketing-e-vendas-b2b1769552247196?classId=3118</v>
      </c>
      <c r="M456" s="1085">
        <f>IFERROR(__xludf.DUMMYFUNCTION("""COMPUTED_VALUE"""),3.0)</f>
        <v>3</v>
      </c>
      <c r="N456" s="1081" t="str">
        <f>IFERROR(__xludf.DUMMYFUNCTION("""COMPUTED_VALUE"""),"6. PipeLovers 💚 Sales Leaders com André Siqueira ""Alinhamento entre Marketing e Vendas B2B"" (2022-09-27 18:04 GMT-3)")</f>
        <v>6. PipeLovers 💚 Sales Leaders com André Siqueira "Alinhamento entre Marketing e Vendas B2B" (2022-09-27 18:04 GMT-3)</v>
      </c>
      <c r="O456" s="1067" t="str">
        <f>IFERROR(__xludf.DUMMYFUNCTION("""COMPUTED_VALUE"""),"")</f>
        <v/>
      </c>
      <c r="P456" s="952">
        <f>IFERROR(__xludf.DUMMYFUNCTION("""COMPUTED_VALUE"""),44957.0)</f>
        <v>44957</v>
      </c>
      <c r="Q456" s="1067"/>
    </row>
    <row r="457">
      <c r="A457" s="73"/>
      <c r="B457" s="103" t="str">
        <f>IFERROR(__xludf.DUMMYFUNCTION("""COMPUTED_VALUE"""),"Líderes de Vendas")</f>
        <v>Líderes de Vendas</v>
      </c>
      <c r="C457" s="555" t="str">
        <f>IFERROR(__xludf.DUMMYFUNCTION("""COMPUTED_VALUE"""),"Construindo uma máquina de vendas Inbound")</f>
        <v>Construindo uma máquina de vendas Inbound</v>
      </c>
      <c r="D457" s="175" t="str">
        <f>IFERROR(__xludf.DUMMYFUNCTION("""COMPUTED_VALUE"""),"Thiago Gabri")</f>
        <v>Thiago Gabri</v>
      </c>
      <c r="E457" s="174" t="str">
        <f>IFERROR(__xludf.DUMMYFUNCTION("""COMPUTED_VALUE"""),"Fundador")</f>
        <v>Fundador</v>
      </c>
      <c r="F457" s="446" t="str">
        <f>IFERROR(__xludf.DUMMYFUNCTION("""COMPUTED_VALUE"""),"O Guia Não Definitivo de Vendas")</f>
        <v>O Guia Não Definitivo de Vendas</v>
      </c>
      <c r="G457" s="478"/>
      <c r="H457" s="446" t="str">
        <f>IFERROR(__xludf.DUMMYFUNCTION("""COMPUTED_VALUE"""),"Conhecimento Técnico")</f>
        <v>Conhecimento Técnico</v>
      </c>
      <c r="I457" s="446" t="str">
        <f>IFERROR(__xludf.DUMMYFUNCTION("""COMPUTED_VALUE"""),"Técnicas de Vendas")</f>
        <v>Técnicas de Vendas</v>
      </c>
      <c r="J457" s="446" t="str">
        <f>IFERROR(__xludf.DUMMYFUNCTION("""COMPUTED_VALUE"""),"Abordagem e Prospecção")</f>
        <v>Abordagem e Prospecção</v>
      </c>
      <c r="K457" s="275" t="str">
        <f>IFERROR(__xludf.DUMMYFUNCTION("""COMPUTED_VALUE"""),"https://universidade.pipelovers.net/m/lessons/construindo-uma-maquina-de-vendas-inbound1769552247256?classId=3479")</f>
        <v>https://universidade.pipelovers.net/m/lessons/construindo-uma-maquina-de-vendas-inbound1769552247256?classId=3479</v>
      </c>
      <c r="L457" s="535" t="str">
        <f>IFERROR(__xludf.DUMMYFUNCTION("""COMPUTED_VALUE"""),"https://universidade.pipelovers.net/m/lessons/construindo-uma-maquina-de-vendas-inbound1769552247256?classId=3479")</f>
        <v>https://universidade.pipelovers.net/m/lessons/construindo-uma-maquina-de-vendas-inbound1769552247256?classId=3479</v>
      </c>
      <c r="M457" s="1082">
        <f>IFERROR(__xludf.DUMMYFUNCTION("""COMPUTED_VALUE"""),3.71)</f>
        <v>3.71</v>
      </c>
      <c r="N457" s="1083" t="str">
        <f>IFERROR(__xludf.DUMMYFUNCTION("""COMPUTED_VALUE"""),"7. PipeLovers 💚 Sales Leaders com Thiago Gabri ""Construindo uma máquina de vendas Inbound"" (2022-10-04 18:03 GMT-3)")</f>
        <v>7. PipeLovers 💚 Sales Leaders com Thiago Gabri "Construindo uma máquina de vendas Inbound" (2022-10-04 18:03 GMT-3)</v>
      </c>
      <c r="O457" s="1072" t="str">
        <f>IFERROR(__xludf.DUMMYFUNCTION("""COMPUTED_VALUE"""),"")</f>
        <v/>
      </c>
      <c r="P457" s="952">
        <f>IFERROR(__xludf.DUMMYFUNCTION("""COMPUTED_VALUE"""),44964.0)</f>
        <v>44964</v>
      </c>
      <c r="Q457" s="1072"/>
    </row>
    <row r="458">
      <c r="A458" s="73"/>
      <c r="B458" s="103" t="str">
        <f>IFERROR(__xludf.DUMMYFUNCTION("""COMPUTED_VALUE"""),"Líderes de Vendas")</f>
        <v>Líderes de Vendas</v>
      </c>
      <c r="C458" s="481" t="str">
        <f>IFERROR(__xludf.DUMMYFUNCTION("""COMPUTED_VALUE"""),"Escalando Equipes de Prospecção")</f>
        <v>Escalando Equipes de Prospecção</v>
      </c>
      <c r="D458" s="173" t="str">
        <f>IFERROR(__xludf.DUMMYFUNCTION("""COMPUTED_VALUE"""),"Juliane Garcia")</f>
        <v>Juliane Garcia</v>
      </c>
      <c r="E458" s="174" t="str">
        <f>IFERROR(__xludf.DUMMYFUNCTION("""COMPUTED_VALUE"""),"Demand Generation Manager")</f>
        <v>Demand Generation Manager</v>
      </c>
      <c r="F458" s="478" t="str">
        <f>IFERROR(__xludf.DUMMYFUNCTION("""COMPUTED_VALUE"""),"Amazon AWS")</f>
        <v>Amazon AWS</v>
      </c>
      <c r="G458" s="478"/>
      <c r="H458" s="446" t="str">
        <f>IFERROR(__xludf.DUMMYFUNCTION("""COMPUTED_VALUE"""),"Conhecimento Técnico")</f>
        <v>Conhecimento Técnico</v>
      </c>
      <c r="I458" s="446" t="str">
        <f>IFERROR(__xludf.DUMMYFUNCTION("""COMPUTED_VALUE"""),"Técnicas de Vendas")</f>
        <v>Técnicas de Vendas</v>
      </c>
      <c r="J458" s="446" t="str">
        <f>IFERROR(__xludf.DUMMYFUNCTION("""COMPUTED_VALUE"""),"Abordagem e Prospecção")</f>
        <v>Abordagem e Prospecção</v>
      </c>
      <c r="K458" s="275" t="str">
        <f>IFERROR(__xludf.DUMMYFUNCTION("""COMPUTED_VALUE"""),"https://universidade.pipelovers.net/m/lessons/escalando-equipes-de-prospeccao1769552247342?classId=3478")</f>
        <v>https://universidade.pipelovers.net/m/lessons/escalando-equipes-de-prospeccao1769552247342?classId=3478</v>
      </c>
      <c r="L458" s="535" t="str">
        <f>IFERROR(__xludf.DUMMYFUNCTION("""COMPUTED_VALUE"""),"https://universidade.pipelovers.net/m/lessons/escalando-equipes-de-prospeccao1769552247342?classId=3478")</f>
        <v>https://universidade.pipelovers.net/m/lessons/escalando-equipes-de-prospeccao1769552247342?classId=3478</v>
      </c>
      <c r="M458" s="1085">
        <f>IFERROR(__xludf.DUMMYFUNCTION("""COMPUTED_VALUE"""),3.71)</f>
        <v>3.71</v>
      </c>
      <c r="N458" s="1081" t="str">
        <f>IFERROR(__xludf.DUMMYFUNCTION("""COMPUTED_VALUE"""),"8. PipeLovers 💚 Sales Leaders com Juliane Garcia ""Escalando Equipes de Prospecção"" (2022-10-11 18:06 GMT-3)")</f>
        <v>8. PipeLovers 💚 Sales Leaders com Juliane Garcia "Escalando Equipes de Prospecção" (2022-10-11 18:06 GMT-3)</v>
      </c>
      <c r="O458" s="1067" t="str">
        <f>IFERROR(__xludf.DUMMYFUNCTION("""COMPUTED_VALUE"""),"")</f>
        <v/>
      </c>
      <c r="P458" s="952">
        <f>IFERROR(__xludf.DUMMYFUNCTION("""COMPUTED_VALUE"""),44971.0)</f>
        <v>44971</v>
      </c>
      <c r="Q458" s="1067"/>
    </row>
    <row r="459">
      <c r="A459" s="73"/>
      <c r="B459" s="103" t="str">
        <f>IFERROR(__xludf.DUMMYFUNCTION("""COMPUTED_VALUE"""),"Líderes de Vendas")</f>
        <v>Líderes de Vendas</v>
      </c>
      <c r="C459" s="555" t="str">
        <f>IFERROR(__xludf.DUMMYFUNCTION("""COMPUTED_VALUE"""),"Parcerias Estratégicas e Canais Indiretos")</f>
        <v>Parcerias Estratégicas e Canais Indiretos</v>
      </c>
      <c r="D459" s="175" t="str">
        <f>IFERROR(__xludf.DUMMYFUNCTION("""COMPUTED_VALUE"""),"Cláudio Bessa")</f>
        <v>Cláudio Bessa</v>
      </c>
      <c r="E459" s="174" t="str">
        <f>IFERROR(__xludf.DUMMYFUNCTION("""COMPUTED_VALUE"""),"Principal LATAM Leader")</f>
        <v>Principal LATAM Leader</v>
      </c>
      <c r="F459" s="446" t="str">
        <f>IFERROR(__xludf.DUMMYFUNCTION("""COMPUTED_VALUE"""),"IBM")</f>
        <v>IBM</v>
      </c>
      <c r="G459" s="478"/>
      <c r="H459" s="446" t="str">
        <f>IFERROR(__xludf.DUMMYFUNCTION("""COMPUTED_VALUE"""),"Relacionamento Interpessoal")</f>
        <v>Relacionamento Interpessoal</v>
      </c>
      <c r="I459" s="446" t="str">
        <f>IFERROR(__xludf.DUMMYFUNCTION("""COMPUTED_VALUE"""),"Liderança e Influência")</f>
        <v>Liderança e Influência</v>
      </c>
      <c r="J459" s="446" t="str">
        <f>IFERROR(__xludf.DUMMYFUNCTION("""COMPUTED_VALUE"""),"Stakeholder Management")</f>
        <v>Stakeholder Management</v>
      </c>
      <c r="K459" s="450" t="str">
        <f>IFERROR(__xludf.DUMMYFUNCTION("""COMPUTED_VALUE"""),"https://universidade.pipelovers.net/m/lessons/parcerias-estrategicas-e-canais-indiretos1769552247370?classId=3477")</f>
        <v>https://universidade.pipelovers.net/m/lessons/parcerias-estrategicas-e-canais-indiretos1769552247370?classId=3477</v>
      </c>
      <c r="L459" s="451" t="str">
        <f>IFERROR(__xludf.DUMMYFUNCTION("""COMPUTED_VALUE"""),"https://universidade.pipelovers.net/m/lessons/parcerias-estrategicas-e-canais-indiretos1769552247370?classId=3477")</f>
        <v>https://universidade.pipelovers.net/m/lessons/parcerias-estrategicas-e-canais-indiretos1769552247370?classId=3477</v>
      </c>
      <c r="M459" s="1082">
        <f>IFERROR(__xludf.DUMMYFUNCTION("""COMPUTED_VALUE"""),3.0)</f>
        <v>3</v>
      </c>
      <c r="N459" s="1081" t="str">
        <f>IFERROR(__xludf.DUMMYFUNCTION("""COMPUTED_VALUE"""),"9. PipeLovers 💚 Sales Leaders com Claudio Bessa ""Parcerias Estratégicas e Canais Indiretos"" (2022-10-13 18:04 GMT-3)")</f>
        <v>9. PipeLovers 💚 Sales Leaders com Claudio Bessa "Parcerias Estratégicas e Canais Indiretos" (2022-10-13 18:04 GMT-3)</v>
      </c>
      <c r="O459" s="1072" t="str">
        <f>IFERROR(__xludf.DUMMYFUNCTION("""COMPUTED_VALUE"""),"")</f>
        <v/>
      </c>
      <c r="P459" s="952">
        <f>IFERROR(__xludf.DUMMYFUNCTION("""COMPUTED_VALUE"""),44978.0)</f>
        <v>44978</v>
      </c>
      <c r="Q459" s="1072"/>
    </row>
    <row r="460">
      <c r="A460" s="73"/>
      <c r="B460" s="549" t="str">
        <f>IFERROR(__xludf.DUMMYFUNCTION("""COMPUTED_VALUE"""),"Líderes de Vendas")</f>
        <v>Líderes de Vendas</v>
      </c>
      <c r="C460" s="216" t="str">
        <f>IFERROR(__xludf.DUMMYFUNCTION("""COMPUTED_VALUE"""),"Estratégias de Customer Success para aceleração e crescimento")</f>
        <v>Estratégias de Customer Success para aceleração e crescimento</v>
      </c>
      <c r="D460" s="104" t="str">
        <f>IFERROR(__xludf.DUMMYFUNCTION("""COMPUTED_VALUE"""),"Mateus Pestana")</f>
        <v>Mateus Pestana</v>
      </c>
      <c r="E460" s="105" t="str">
        <f>IFERROR(__xludf.DUMMYFUNCTION("""COMPUTED_VALUE"""),"CEO")</f>
        <v>CEO</v>
      </c>
      <c r="F460" s="448" t="str">
        <f>IFERROR(__xludf.DUMMYFUNCTION("""COMPUTED_VALUE"""),"SenseData")</f>
        <v>SenseData</v>
      </c>
      <c r="G460" s="448"/>
      <c r="H460" s="448" t="str">
        <f>IFERROR(__xludf.DUMMYFUNCTION("""COMPUTED_VALUE"""),"Conhecimento Técnico")</f>
        <v>Conhecimento Técnico</v>
      </c>
      <c r="I460" s="446" t="str">
        <f>IFERROR(__xludf.DUMMYFUNCTION("""COMPUTED_VALUE"""),"Técnicas de Vendas")</f>
        <v>Técnicas de Vendas</v>
      </c>
      <c r="J460" s="446" t="str">
        <f>IFERROR(__xludf.DUMMYFUNCTION("""COMPUTED_VALUE"""),"Gestão de Carteira de Clientes")</f>
        <v>Gestão de Carteira de Clientes</v>
      </c>
      <c r="K460" s="275" t="str">
        <f>IFERROR(__xludf.DUMMYFUNCTION("""COMPUTED_VALUE"""),"https://universidade.pipelovers.net/m/lessons/estrategias-de-customer-success-para-aceleracao-e-crescimento1769552247399?classId=3475")</f>
        <v>https://universidade.pipelovers.net/m/lessons/estrategias-de-customer-success-para-aceleracao-e-crescimento1769552247399?classId=3475</v>
      </c>
      <c r="L460" s="535" t="str">
        <f>IFERROR(__xludf.DUMMYFUNCTION("""COMPUTED_VALUE"""),"https://universidade.pipelovers.net/m/lessons/estrategias-de-customer-success-para-aceleracao-e-crescimento1769552247399?classId=3475")</f>
        <v>https://universidade.pipelovers.net/m/lessons/estrategias-de-customer-success-para-aceleracao-e-crescimento1769552247399?classId=3475</v>
      </c>
      <c r="M460" s="1082">
        <f>IFERROR(__xludf.DUMMYFUNCTION("""COMPUTED_VALUE"""),4.29)</f>
        <v>4.29</v>
      </c>
      <c r="N460" s="1083" t="str">
        <f>IFERROR(__xludf.DUMMYFUNCTION("""COMPUTED_VALUE"""),"10. PipeLovers 💚 Sales Leaders com Mateus Pestana ""Estratégias de Customer Success"" (2022-10-27 18:05 GMT-3)")</f>
        <v>10. PipeLovers 💚 Sales Leaders com Mateus Pestana "Estratégias de Customer Success" (2022-10-27 18:05 GMT-3)</v>
      </c>
      <c r="O460" s="218" t="str">
        <f>IFERROR(__xludf.DUMMYFUNCTION("""COMPUTED_VALUE"""),"")</f>
        <v/>
      </c>
      <c r="P460" s="1090">
        <f>IFERROR(__xludf.DUMMYFUNCTION("""COMPUTED_VALUE"""),44985.0)</f>
        <v>44985</v>
      </c>
      <c r="Q460" s="218"/>
    </row>
    <row r="461">
      <c r="A461" s="73"/>
      <c r="B461" s="103" t="str">
        <f>IFERROR(__xludf.DUMMYFUNCTION("""COMPUTED_VALUE"""),"Líderes de Vendas")</f>
        <v>Líderes de Vendas</v>
      </c>
      <c r="C461" s="481" t="str">
        <f>IFERROR(__xludf.DUMMYFUNCTION("""COMPUTED_VALUE"""),"Gestão de Equipes de Vendas Enterprise")</f>
        <v>Gestão de Equipes de Vendas Enterprise</v>
      </c>
      <c r="D461" s="175" t="str">
        <f>IFERROR(__xludf.DUMMYFUNCTION("""COMPUTED_VALUE"""),"Luís Puccetti")</f>
        <v>Luís Puccetti</v>
      </c>
      <c r="E461" s="110" t="str">
        <f>IFERROR(__xludf.DUMMYFUNCTION("""COMPUTED_VALUE"""),"Enterprise Sales Director")</f>
        <v>Enterprise Sales Director</v>
      </c>
      <c r="F461" s="478" t="str">
        <f>IFERROR(__xludf.DUMMYFUNCTION("""COMPUTED_VALUE"""),"DocuSign")</f>
        <v>DocuSign</v>
      </c>
      <c r="G461" s="478"/>
      <c r="H461" s="446" t="str">
        <f>IFERROR(__xludf.DUMMYFUNCTION("""COMPUTED_VALUE"""),"Conhecimento Técnico")</f>
        <v>Conhecimento Técnico</v>
      </c>
      <c r="I461" s="446" t="str">
        <f>IFERROR(__xludf.DUMMYFUNCTION("""COMPUTED_VALUE"""),"Gestão de Vendas")</f>
        <v>Gestão de Vendas</v>
      </c>
      <c r="J461" s="446" t="str">
        <f>IFERROR(__xludf.DUMMYFUNCTION("""COMPUTED_VALUE"""),"Rotinas e Rituais")</f>
        <v>Rotinas e Rituais</v>
      </c>
      <c r="K461" s="275" t="str">
        <f>IFERROR(__xludf.DUMMYFUNCTION("""COMPUTED_VALUE"""),"https://universidade.pipelovers.net/m/lessons/gestao-de-equipes-de-vendas-enterprise1769552247429?classId=3472")</f>
        <v>https://universidade.pipelovers.net/m/lessons/gestao-de-equipes-de-vendas-enterprise1769552247429?classId=3472</v>
      </c>
      <c r="L461" s="535" t="str">
        <f>IFERROR(__xludf.DUMMYFUNCTION("""COMPUTED_VALUE"""),"https://universidade.pipelovers.net/m/lessons/gestao-de-equipes-de-vendas-enterprise1769552247429?classId=3472")</f>
        <v>https://universidade.pipelovers.net/m/lessons/gestao-de-equipes-de-vendas-enterprise1769552247429?classId=3472</v>
      </c>
      <c r="M461" s="1082">
        <f>IFERROR(__xludf.DUMMYFUNCTION("""COMPUTED_VALUE"""),3.0)</f>
        <v>3</v>
      </c>
      <c r="N461" s="1083" t="str">
        <f>IFERROR(__xludf.DUMMYFUNCTION("""COMPUTED_VALUE"""),"12. PipeLovers 💚 Sales Leaders com Ludmilla Fernandes ""Escalando Operações de Vendas para PMEs"" (2022-11-10 18:05 GMT-3)")</f>
        <v>12. PipeLovers 💚 Sales Leaders com Ludmilla Fernandes "Escalando Operações de Vendas para PMEs" (2022-11-10 18:05 GMT-3)</v>
      </c>
      <c r="O461" s="218" t="str">
        <f>IFERROR(__xludf.DUMMYFUNCTION("""COMPUTED_VALUE"""),"")</f>
        <v/>
      </c>
      <c r="P461" s="952">
        <f>IFERROR(__xludf.DUMMYFUNCTION("""COMPUTED_VALUE"""),44992.0)</f>
        <v>44992</v>
      </c>
      <c r="Q461" s="218"/>
    </row>
    <row r="462">
      <c r="A462" s="73"/>
      <c r="B462" s="103" t="str">
        <f>IFERROR(__xludf.DUMMYFUNCTION("""COMPUTED_VALUE"""),"Líderes de Vendas")</f>
        <v>Líderes de Vendas</v>
      </c>
      <c r="C462" s="555" t="str">
        <f>IFERROR(__xludf.DUMMYFUNCTION("""COMPUTED_VALUE"""),"Escalando Operações de Vendas para PMEs")</f>
        <v>Escalando Operações de Vendas para PMEs</v>
      </c>
      <c r="D462" s="173" t="str">
        <f>IFERROR(__xludf.DUMMYFUNCTION("""COMPUTED_VALUE"""),"Ludmilla Fernandes")</f>
        <v>Ludmilla Fernandes</v>
      </c>
      <c r="E462" s="110" t="str">
        <f>IFERROR(__xludf.DUMMYFUNCTION("""COMPUTED_VALUE"""),"COO")</f>
        <v>COO</v>
      </c>
      <c r="F462" s="478" t="str">
        <f>IFERROR(__xludf.DUMMYFUNCTION("""COMPUTED_VALUE"""),"Sólides")</f>
        <v>Sólides</v>
      </c>
      <c r="G462" s="478"/>
      <c r="H462" s="446"/>
      <c r="I462" s="446"/>
      <c r="J462" s="446"/>
      <c r="K462" s="275" t="str">
        <f>IFERROR(__xludf.DUMMYFUNCTION("""COMPUTED_VALUE"""),"https://universidade.pipelovers.net/m/lessons/escalando-operacoes-de-vendas-para-pmes1769552247459?moduleId=910&amp;classId=3501")</f>
        <v>https://universidade.pipelovers.net/m/lessons/escalando-operacoes-de-vendas-para-pmes1769552247459?moduleId=910&amp;classId=3501</v>
      </c>
      <c r="L462" s="535"/>
      <c r="M462" s="1085">
        <f>IFERROR(__xludf.DUMMYFUNCTION("""COMPUTED_VALUE"""),4.36)</f>
        <v>4.36</v>
      </c>
      <c r="N462" s="1083"/>
      <c r="O462" s="218" t="str">
        <f>IFERROR(__xludf.DUMMYFUNCTION("""COMPUTED_VALUE"""),"")</f>
        <v/>
      </c>
      <c r="P462" s="952"/>
      <c r="Q462" s="218"/>
    </row>
    <row r="463">
      <c r="A463" s="73"/>
      <c r="B463" s="103" t="str">
        <f>IFERROR(__xludf.DUMMYFUNCTION("""COMPUTED_VALUE"""),"Líderes de Vendas")</f>
        <v>Líderes de Vendas</v>
      </c>
      <c r="C463" s="481" t="str">
        <f>IFERROR(__xludf.DUMMYFUNCTION("""COMPUTED_VALUE"""),"Estratégias de Pricing para B2B")</f>
        <v>Estratégias de Pricing para B2B</v>
      </c>
      <c r="D463" s="175" t="str">
        <f>IFERROR(__xludf.DUMMYFUNCTION("""COMPUTED_VALUE"""),"Raphael Dyxklay")</f>
        <v>Raphael Dyxklay</v>
      </c>
      <c r="E463" s="110" t="str">
        <f>IFERROR(__xludf.DUMMYFUNCTION("""COMPUTED_VALUE"""),"Fundador")</f>
        <v>Fundador</v>
      </c>
      <c r="F463" s="446" t="str">
        <f>IFERROR(__xludf.DUMMYFUNCTION("""COMPUTED_VALUE"""),"Barte")</f>
        <v>Barte</v>
      </c>
      <c r="G463" s="478"/>
      <c r="H463" s="446" t="str">
        <f>IFERROR(__xludf.DUMMYFUNCTION("""COMPUTED_VALUE"""),"Conhecimento Técnico")</f>
        <v>Conhecimento Técnico</v>
      </c>
      <c r="I463" s="446" t="str">
        <f>IFERROR(__xludf.DUMMYFUNCTION("""COMPUTED_VALUE"""),"Técnicas de Vendas")</f>
        <v>Técnicas de Vendas</v>
      </c>
      <c r="J463" s="446" t="str">
        <f>IFERROR(__xludf.DUMMYFUNCTION("""COMPUTED_VALUE"""),"Negociação e Fechamento de Vendas")</f>
        <v>Negociação e Fechamento de Vendas</v>
      </c>
      <c r="K463" s="275" t="str">
        <f>IFERROR(__xludf.DUMMYFUNCTION("""COMPUTED_VALUE"""),"https://universidade.pipelovers.net/m/lessons/estrategias-de-pricing-para-b2b1769552247505?classId=3120")</f>
        <v>https://universidade.pipelovers.net/m/lessons/estrategias-de-pricing-para-b2b1769552247505?classId=3120</v>
      </c>
      <c r="L463" s="535" t="str">
        <f>IFERROR(__xludf.DUMMYFUNCTION("""COMPUTED_VALUE"""),"https://universidade.pipelovers.net/m/lessons/estrategias-de-pricing-para-b2b1769552247505?classId=3120")</f>
        <v>https://universidade.pipelovers.net/m/lessons/estrategias-de-pricing-para-b2b1769552247505?classId=3120</v>
      </c>
      <c r="M463" s="1085">
        <f>IFERROR(__xludf.DUMMYFUNCTION("""COMPUTED_VALUE"""),2.0)</f>
        <v>2</v>
      </c>
      <c r="N463" s="1081" t="str">
        <f>IFERROR(__xludf.DUMMYFUNCTION("""COMPUTED_VALUE"""),"13. PipeLovers💚 com Raphael Dyxklay: “Estratégias de Pricing para B2B” (2022-11-17 18:35 GMT-3)")</f>
        <v>13. PipeLovers💚 com Raphael Dyxklay: “Estratégias de Pricing para B2B” (2022-11-17 18:35 GMT-3)</v>
      </c>
      <c r="O463" s="218" t="str">
        <f>IFERROR(__xludf.DUMMYFUNCTION("""COMPUTED_VALUE"""),"")</f>
        <v/>
      </c>
      <c r="P463" s="952">
        <f>IFERROR(__xludf.DUMMYFUNCTION("""COMPUTED_VALUE"""),44999.0)</f>
        <v>44999</v>
      </c>
      <c r="Q463" s="218"/>
    </row>
    <row r="464">
      <c r="A464" s="73"/>
      <c r="B464" s="103" t="str">
        <f>IFERROR(__xludf.DUMMYFUNCTION("""COMPUTED_VALUE"""),"Líderes de Vendas")</f>
        <v>Líderes de Vendas</v>
      </c>
      <c r="C464" s="555" t="str">
        <f>IFERROR(__xludf.DUMMYFUNCTION("""COMPUTED_VALUE"""),"Vendas no Mercado de Midia e Advertising")</f>
        <v>Vendas no Mercado de Midia e Advertising</v>
      </c>
      <c r="D464" s="173" t="str">
        <f>IFERROR(__xludf.DUMMYFUNCTION("""COMPUTED_VALUE"""),"Michelle Schneider")</f>
        <v>Michelle Schneider</v>
      </c>
      <c r="E464" s="110" t="str">
        <f>IFERROR(__xludf.DUMMYFUNCTION("""COMPUTED_VALUE"""),"Sales Industry Leader")</f>
        <v>Sales Industry Leader</v>
      </c>
      <c r="F464" s="478" t="str">
        <f>IFERROR(__xludf.DUMMYFUNCTION("""COMPUTED_VALUE"""),"TikTok")</f>
        <v>TikTok</v>
      </c>
      <c r="G464" s="478"/>
      <c r="H464" s="446" t="str">
        <f>IFERROR(__xludf.DUMMYFUNCTION("""COMPUTED_VALUE"""),"Visão de Negócio")</f>
        <v>Visão de Negócio</v>
      </c>
      <c r="I464" s="446" t="str">
        <f>IFERROR(__xludf.DUMMYFUNCTION("""COMPUTED_VALUE"""),"Conhecimento de Produto e Negócio")</f>
        <v>Conhecimento de Produto e Negócio</v>
      </c>
      <c r="J464" s="446" t="str">
        <f>IFERROR(__xludf.DUMMYFUNCTION("""COMPUTED_VALUE"""),"Segmentação de Mercado")</f>
        <v>Segmentação de Mercado</v>
      </c>
      <c r="K464" s="275" t="str">
        <f>IFERROR(__xludf.DUMMYFUNCTION("""COMPUTED_VALUE"""),"https://universidade.pipelovers.net/m/lessons/vendas-no-mercado-de-midia-e-advertising1769552251526?classId=3499")</f>
        <v>https://universidade.pipelovers.net/m/lessons/vendas-no-mercado-de-midia-e-advertising1769552251526?classId=3499</v>
      </c>
      <c r="L464" s="535" t="str">
        <f>IFERROR(__xludf.DUMMYFUNCTION("""COMPUTED_VALUE"""),"https://universidade.pipelovers.net/m/lessons/vendas-no-mercado-de-midia-e-advertising1769552251526?classId=3499")</f>
        <v>https://universidade.pipelovers.net/m/lessons/vendas-no-mercado-de-midia-e-advertising1769552251526?classId=3499</v>
      </c>
      <c r="M464" s="1082">
        <f>IFERROR(__xludf.DUMMYFUNCTION("""COMPUTED_VALUE"""),4.29)</f>
        <v>4.29</v>
      </c>
      <c r="N464" s="1083" t="str">
        <f>IFERROR(__xludf.DUMMYFUNCTION("""COMPUTED_VALUE"""),"14. PipeLovers 💚 Sales Leaders com Michelle Schneider: ""Vendas no Mercado de Midia e Advertising"" (2022-11-22 18:06 GMT-3)")</f>
        <v>14. PipeLovers 💚 Sales Leaders com Michelle Schneider: "Vendas no Mercado de Midia e Advertising" (2022-11-22 18:06 GMT-3)</v>
      </c>
      <c r="O464" s="218" t="str">
        <f>IFERROR(__xludf.DUMMYFUNCTION("""COMPUTED_VALUE"""),"")</f>
        <v/>
      </c>
      <c r="P464" s="952">
        <f>IFERROR(__xludf.DUMMYFUNCTION("""COMPUTED_VALUE"""),45006.0)</f>
        <v>45006</v>
      </c>
      <c r="Q464" s="218"/>
    </row>
    <row r="465">
      <c r="A465" s="73"/>
      <c r="B465" s="103" t="str">
        <f>IFERROR(__xludf.DUMMYFUNCTION("""COMPUTED_VALUE"""),"Líderes de Vendas")</f>
        <v>Líderes de Vendas</v>
      </c>
      <c r="C465" s="481" t="str">
        <f>IFERROR(__xludf.DUMMYFUNCTION("""COMPUTED_VALUE"""),"Gestão de Vendas de Serviços")</f>
        <v>Gestão de Vendas de Serviços</v>
      </c>
      <c r="D465" s="175" t="str">
        <f>IFERROR(__xludf.DUMMYFUNCTION("""COMPUTED_VALUE"""),"Lelio Souza")</f>
        <v>Lelio Souza</v>
      </c>
      <c r="E465" s="110" t="str">
        <f>IFERROR(__xludf.DUMMYFUNCTION("""COMPUTED_VALUE"""),"VP Digital Services")</f>
        <v>VP Digital Services</v>
      </c>
      <c r="F465" s="478" t="str">
        <f>IFERROR(__xludf.DUMMYFUNCTION("""COMPUTED_VALUE"""),"Afya")</f>
        <v>Afya</v>
      </c>
      <c r="G465" s="478"/>
      <c r="H465" s="446" t="str">
        <f>IFERROR(__xludf.DUMMYFUNCTION("""COMPUTED_VALUE"""),"Conhecimento Técnico")</f>
        <v>Conhecimento Técnico</v>
      </c>
      <c r="I465" s="446" t="str">
        <f>IFERROR(__xludf.DUMMYFUNCTION("""COMPUTED_VALUE"""),"Gestão de Vendas")</f>
        <v>Gestão de Vendas</v>
      </c>
      <c r="J465" s="446" t="str">
        <f>IFERROR(__xludf.DUMMYFUNCTION("""COMPUTED_VALUE"""),"Rotinas e Rituais")</f>
        <v>Rotinas e Rituais</v>
      </c>
      <c r="K465" s="275" t="str">
        <f>IFERROR(__xludf.DUMMYFUNCTION("""COMPUTED_VALUE"""),"https://universidade.pipelovers.net/m/lessons/gestao-de-vendas-de-servicos1769552251657?classId=3496")</f>
        <v>https://universidade.pipelovers.net/m/lessons/gestao-de-vendas-de-servicos1769552251657?classId=3496</v>
      </c>
      <c r="L465" s="535" t="str">
        <f>IFERROR(__xludf.DUMMYFUNCTION("""COMPUTED_VALUE"""),"https://universidade.pipelovers.net/m/lessons/gestao-de-vendas-de-servicos1769552251657?classId=3496")</f>
        <v>https://universidade.pipelovers.net/m/lessons/gestao-de-vendas-de-servicos1769552251657?classId=3496</v>
      </c>
      <c r="M465" s="1085">
        <f>IFERROR(__xludf.DUMMYFUNCTION("""COMPUTED_VALUE"""),3.71)</f>
        <v>3.71</v>
      </c>
      <c r="N465" s="1081" t="str">
        <f>IFERROR(__xludf.DUMMYFUNCTION("""COMPUTED_VALUE"""),"15. PipeLovers💚Sales Leaders com Lelio Souza ""Gestão de Vendas de Serviços"" (2022-12-01 18:36 GMT-3)")</f>
        <v>15. PipeLovers💚Sales Leaders com Lelio Souza "Gestão de Vendas de Serviços" (2022-12-01 18:36 GMT-3)</v>
      </c>
      <c r="O465" s="218" t="str">
        <f>IFERROR(__xludf.DUMMYFUNCTION("""COMPUTED_VALUE"""),"")</f>
        <v/>
      </c>
      <c r="P465" s="952">
        <f>IFERROR(__xludf.DUMMYFUNCTION("""COMPUTED_VALUE"""),45013.0)</f>
        <v>45013</v>
      </c>
      <c r="Q465" s="218"/>
    </row>
    <row r="466">
      <c r="A466" s="73"/>
      <c r="B466" s="103" t="str">
        <f>IFERROR(__xludf.DUMMYFUNCTION("""COMPUTED_VALUE"""),"Líderes de Vendas")</f>
        <v>Líderes de Vendas</v>
      </c>
      <c r="C466" s="268" t="str">
        <f>IFERROR(__xludf.DUMMYFUNCTION("""COMPUTED_VALUE"""),"Gestão de Vendas nas Big Techs")</f>
        <v>Gestão de Vendas nas Big Techs</v>
      </c>
      <c r="D466" s="173" t="str">
        <f>IFERROR(__xludf.DUMMYFUNCTION("""COMPUTED_VALUE"""),"Cleber Voelzke")</f>
        <v>Cleber Voelzke</v>
      </c>
      <c r="E466" s="174" t="str">
        <f>IFERROR(__xludf.DUMMYFUNCTION("""COMPUTED_VALUE"""),"RVP Service Sales LATAM")</f>
        <v>RVP Service Sales LATAM</v>
      </c>
      <c r="F466" s="478" t="str">
        <f>IFERROR(__xludf.DUMMYFUNCTION("""COMPUTED_VALUE"""),"Salesforce")</f>
        <v>Salesforce</v>
      </c>
      <c r="G466" s="478"/>
      <c r="H466" s="446" t="str">
        <f>IFERROR(__xludf.DUMMYFUNCTION("""COMPUTED_VALUE"""),"Visão de Negócio")</f>
        <v>Visão de Negócio</v>
      </c>
      <c r="I466" s="446" t="str">
        <f>IFERROR(__xludf.DUMMYFUNCTION("""COMPUTED_VALUE"""),"Tendencias de mercado")</f>
        <v>Tendencias de mercado</v>
      </c>
      <c r="J466" s="446" t="str">
        <f>IFERROR(__xludf.DUMMYFUNCTION("""COMPUTED_VALUE"""),"Tendencias do Setor")</f>
        <v>Tendencias do Setor</v>
      </c>
      <c r="K466" s="450" t="str">
        <f>IFERROR(__xludf.DUMMYFUNCTION("""COMPUTED_VALUE"""),"https://universidade.pipelovers.net/m/lessons/gestao-de-vendas-nas-big-techs1769552251724?classId=3495")</f>
        <v>https://universidade.pipelovers.net/m/lessons/gestao-de-vendas-nas-big-techs1769552251724?classId=3495</v>
      </c>
      <c r="L466" s="451" t="str">
        <f>IFERROR(__xludf.DUMMYFUNCTION("""COMPUTED_VALUE"""),"https://universidade.pipelovers.net/m/lessons/gestao-de-vendas-nas-big-techs1769552251724?classId=3495")</f>
        <v>https://universidade.pipelovers.net/m/lessons/gestao-de-vendas-nas-big-techs1769552251724?classId=3495</v>
      </c>
      <c r="M466" s="1082">
        <f>IFERROR(__xludf.DUMMYFUNCTION("""COMPUTED_VALUE"""),3.71)</f>
        <v>3.71</v>
      </c>
      <c r="N466" s="615" t="str">
        <f>IFERROR(__xludf.DUMMYFUNCTION("""COMPUTED_VALUE"""),"16. PipeLovers💚Sales Leaders com Cléber Voelzke: “Gestão de Vendas nas Big Techs” (2022-12-08 18:04 GMT-3)")</f>
        <v>16. PipeLovers💚Sales Leaders com Cléber Voelzke: “Gestão de Vendas nas Big Techs” (2022-12-08 18:04 GMT-3)</v>
      </c>
      <c r="O466" s="218" t="str">
        <f>IFERROR(__xludf.DUMMYFUNCTION("""COMPUTED_VALUE"""),"")</f>
        <v/>
      </c>
      <c r="P466" s="952">
        <f>IFERROR(__xludf.DUMMYFUNCTION("""COMPUTED_VALUE"""),45020.0)</f>
        <v>45020</v>
      </c>
      <c r="Q466" s="218"/>
    </row>
    <row r="467">
      <c r="A467" s="73"/>
      <c r="B467" s="103" t="str">
        <f>IFERROR(__xludf.DUMMYFUNCTION("""COMPUTED_VALUE"""),"Líderes de Vendas")</f>
        <v>Líderes de Vendas</v>
      </c>
      <c r="C467" s="481" t="str">
        <f>IFERROR(__xludf.DUMMYFUNCTION("""COMPUTED_VALUE"""),"Integrando Equipes de Vendas pós M&amp;A")</f>
        <v>Integrando Equipes de Vendas pós M&amp;A</v>
      </c>
      <c r="D467" s="175" t="str">
        <f>IFERROR(__xludf.DUMMYFUNCTION("""COMPUTED_VALUE"""),"Alexandre Apendino")</f>
        <v>Alexandre Apendino</v>
      </c>
      <c r="E467" s="174" t="str">
        <f>IFERROR(__xludf.DUMMYFUNCTION("""COMPUTED_VALUE"""),"Executive VP")</f>
        <v>Executive VP</v>
      </c>
      <c r="F467" s="478" t="str">
        <f>IFERROR(__xludf.DUMMYFUNCTION("""COMPUTED_VALUE"""),"TOTVS")</f>
        <v>TOTVS</v>
      </c>
      <c r="G467" s="478"/>
      <c r="H467" s="446" t="str">
        <f>IFERROR(__xludf.DUMMYFUNCTION("""COMPUTED_VALUE"""),"Visão de Negócio")</f>
        <v>Visão de Negócio</v>
      </c>
      <c r="I467" s="446" t="str">
        <f>IFERROR(__xludf.DUMMYFUNCTION("""COMPUTED_VALUE"""),"Tendencias de mercado")</f>
        <v>Tendencias de mercado</v>
      </c>
      <c r="J467" s="446" t="str">
        <f>IFERROR(__xludf.DUMMYFUNCTION("""COMPUTED_VALUE"""),"Fusões, Aquisições e Falências")</f>
        <v>Fusões, Aquisições e Falências</v>
      </c>
      <c r="K467" s="275" t="str">
        <f>IFERROR(__xludf.DUMMYFUNCTION("""COMPUTED_VALUE"""),"https://universidade.pipelovers.net/m/lessons/integrando-equipes-de-vendas-pos-ma1769552251793?classId=3494")</f>
        <v>https://universidade.pipelovers.net/m/lessons/integrando-equipes-de-vendas-pos-ma1769552251793?classId=3494</v>
      </c>
      <c r="L467" s="535" t="str">
        <f>IFERROR(__xludf.DUMMYFUNCTION("""COMPUTED_VALUE"""),"https://universidade.pipelovers.net/m/lessons/integrando-equipes-de-vendas-pos-ma1769552251793?classId=3494")</f>
        <v>https://universidade.pipelovers.net/m/lessons/integrando-equipes-de-vendas-pos-ma1769552251793?classId=3494</v>
      </c>
      <c r="M467" s="1085">
        <f>IFERROR(__xludf.DUMMYFUNCTION("""COMPUTED_VALUE"""),4.29)</f>
        <v>4.29</v>
      </c>
      <c r="N467" s="1081" t="str">
        <f>IFERROR(__xludf.DUMMYFUNCTION("""COMPUTED_VALUE"""),"17. PipeLovers💚Sales Leaders com Alexandre Apendino: ""Integrando Equipes de Vendas pós M&amp;A"" (2022-12-15 18:05 GMT-3)")</f>
        <v>17. PipeLovers💚Sales Leaders com Alexandre Apendino: "Integrando Equipes de Vendas pós M&amp;A" (2022-12-15 18:05 GMT-3)</v>
      </c>
      <c r="O467" s="218" t="str">
        <f>IFERROR(__xludf.DUMMYFUNCTION("""COMPUTED_VALUE"""),"")</f>
        <v/>
      </c>
      <c r="P467" s="952">
        <f>IFERROR(__xludf.DUMMYFUNCTION("""COMPUTED_VALUE"""),45027.0)</f>
        <v>45027</v>
      </c>
      <c r="Q467" s="218"/>
    </row>
    <row r="468">
      <c r="A468" s="73"/>
      <c r="B468" s="103" t="str">
        <f>IFERROR(__xludf.DUMMYFUNCTION("""COMPUTED_VALUE"""),"Líderes de Vendas")</f>
        <v>Líderes de Vendas</v>
      </c>
      <c r="C468" s="1095" t="str">
        <f>IFERROR(__xludf.DUMMYFUNCTION("""COMPUTED_VALUE"""),"Demissões e Layoffs")</f>
        <v>Demissões e Layoffs</v>
      </c>
      <c r="D468" s="173" t="str">
        <f>IFERROR(__xludf.DUMMYFUNCTION("""COMPUTED_VALUE"""),"Tiago Tadeu")</f>
        <v>Tiago Tadeu</v>
      </c>
      <c r="E468" s="174" t="str">
        <f>IFERROR(__xludf.DUMMYFUNCTION("""COMPUTED_VALUE"""),"Head of Business Development &amp; Sales")</f>
        <v>Head of Business Development &amp; Sales</v>
      </c>
      <c r="F468" s="478" t="str">
        <f>IFERROR(__xludf.DUMMYFUNCTION("""COMPUTED_VALUE"""),"Cora")</f>
        <v>Cora</v>
      </c>
      <c r="G468" s="478"/>
      <c r="H468" s="446" t="str">
        <f>IFERROR(__xludf.DUMMYFUNCTION("""COMPUTED_VALUE"""),"Visão de Negócio")</f>
        <v>Visão de Negócio</v>
      </c>
      <c r="I468" s="446" t="str">
        <f>IFERROR(__xludf.DUMMYFUNCTION("""COMPUTED_VALUE"""),"Tendencias de mercado")</f>
        <v>Tendencias de mercado</v>
      </c>
      <c r="J468" s="446" t="str">
        <f>IFERROR(__xludf.DUMMYFUNCTION("""COMPUTED_VALUE"""),"Fusões, Aquisições e Falências")</f>
        <v>Fusões, Aquisições e Falências</v>
      </c>
      <c r="K468" s="275" t="str">
        <f>IFERROR(__xludf.DUMMYFUNCTION("""COMPUTED_VALUE"""),"https://universidade.pipelovers.net/m/lessons/demissoes-e-layoffs1769552251847?classId=3493")</f>
        <v>https://universidade.pipelovers.net/m/lessons/demissoes-e-layoffs1769552251847?classId=3493</v>
      </c>
      <c r="L468" s="535" t="str">
        <f>IFERROR(__xludf.DUMMYFUNCTION("""COMPUTED_VALUE"""),"https://universidade.pipelovers.net/m/lessons/demissoes-e-layoffs1769552251847?classId=3493")</f>
        <v>https://universidade.pipelovers.net/m/lessons/demissoes-e-layoffs1769552251847?classId=3493</v>
      </c>
      <c r="M468" s="1082">
        <f>IFERROR(__xludf.DUMMYFUNCTION("""COMPUTED_VALUE"""),3.0)</f>
        <v>3</v>
      </c>
      <c r="N468" s="1083"/>
      <c r="O468" s="151" t="str">
        <f>IFERROR(__xludf.DUMMYFUNCTION("""COMPUTED_VALUE"""),"")</f>
        <v/>
      </c>
      <c r="P468" s="952">
        <f>IFERROR(__xludf.DUMMYFUNCTION("""COMPUTED_VALUE"""),45034.0)</f>
        <v>45034</v>
      </c>
      <c r="Q468" s="151"/>
    </row>
    <row r="469">
      <c r="A469" s="73"/>
      <c r="B469" s="103" t="str">
        <f>IFERROR(__xludf.DUMMYFUNCTION("""COMPUTED_VALUE"""),"Líderes de Vendas")</f>
        <v>Líderes de Vendas</v>
      </c>
      <c r="C469" s="481" t="str">
        <f>IFERROR(__xludf.DUMMYFUNCTION("""COMPUTED_VALUE"""),"Criando uma Cultura de Alta Performance")</f>
        <v>Criando uma Cultura de Alta Performance</v>
      </c>
      <c r="D469" s="175" t="str">
        <f>IFERROR(__xludf.DUMMYFUNCTION("""COMPUTED_VALUE"""),"Livia Alves")</f>
        <v>Livia Alves</v>
      </c>
      <c r="E469" s="174" t="str">
        <f>IFERROR(__xludf.DUMMYFUNCTION("""COMPUTED_VALUE"""),"Sales Director")</f>
        <v>Sales Director</v>
      </c>
      <c r="F469" s="478" t="str">
        <f>IFERROR(__xludf.DUMMYFUNCTION("""COMPUTED_VALUE"""),"Mercafácil")</f>
        <v>Mercafácil</v>
      </c>
      <c r="G469" s="1089" t="str">
        <f>IFERROR(__xludf.DUMMYFUNCTION("""COMPUTED_VALUE"""),"https://www.linkedin.com/in/liviaalves-/")</f>
        <v>https://www.linkedin.com/in/liviaalves-/</v>
      </c>
      <c r="H469" s="446" t="str">
        <f>IFERROR(__xludf.DUMMYFUNCTION("""COMPUTED_VALUE"""),"Relacionamento Interpessoal")</f>
        <v>Relacionamento Interpessoal</v>
      </c>
      <c r="I469" s="446" t="str">
        <f>IFERROR(__xludf.DUMMYFUNCTION("""COMPUTED_VALUE"""),"Liderança e Influência")</f>
        <v>Liderança e Influência</v>
      </c>
      <c r="J469" s="446" t="str">
        <f>IFERROR(__xludf.DUMMYFUNCTION("""COMPUTED_VALUE"""),"Reconhecimento e Recompensas")</f>
        <v>Reconhecimento e Recompensas</v>
      </c>
      <c r="K469" s="275" t="str">
        <f>IFERROR(__xludf.DUMMYFUNCTION("""COMPUTED_VALUE"""),"https://universidade.pipelovers.net/m/lessons/criando-uma-cultura-de-alta-performance1769552251931?classId=3122")</f>
        <v>https://universidade.pipelovers.net/m/lessons/criando-uma-cultura-de-alta-performance1769552251931?classId=3122</v>
      </c>
      <c r="L469" s="1097" t="str">
        <f>IFERROR(__xludf.DUMMYFUNCTION("""COMPUTED_VALUE"""),"https://universidade.pipelovers.net/m/lessons/criando-uma-cultura-de-alta-performance1769552251931?classId=3122")</f>
        <v>https://universidade.pipelovers.net/m/lessons/criando-uma-cultura-de-alta-performance1769552251931?classId=3122</v>
      </c>
      <c r="M469" s="1085">
        <f>IFERROR(__xludf.DUMMYFUNCTION("""COMPUTED_VALUE"""),4.29)</f>
        <v>4.29</v>
      </c>
      <c r="N469" s="1081" t="str">
        <f>IFERROR(__xludf.DUMMYFUNCTION("""COMPUTED_VALUE"""),"19. PipeLovers 💙 Líderes de Vendas ""Criando uma cultura de alta performance"" com Lívia Alves (2023-01-05 08:04 GMT-3)")</f>
        <v>19. PipeLovers 💙 Líderes de Vendas "Criando uma cultura de alta performance" com Lívia Alves (2023-01-05 08:04 GMT-3)</v>
      </c>
      <c r="O469" s="151" t="str">
        <f>IFERROR(__xludf.DUMMYFUNCTION("""COMPUTED_VALUE"""),"")</f>
        <v/>
      </c>
      <c r="P469" s="952">
        <f>IFERROR(__xludf.DUMMYFUNCTION("""COMPUTED_VALUE"""),45041.0)</f>
        <v>45041</v>
      </c>
      <c r="Q469" s="151"/>
    </row>
    <row r="470">
      <c r="A470" s="73"/>
      <c r="B470" s="103" t="str">
        <f>IFERROR(__xludf.DUMMYFUNCTION("""COMPUTED_VALUE"""),"Líderes de Vendas")</f>
        <v>Líderes de Vendas</v>
      </c>
      <c r="C470" s="555" t="str">
        <f>IFERROR(__xludf.DUMMYFUNCTION("""COMPUTED_VALUE"""),"ABM - Account Based Marketing")</f>
        <v>ABM - Account Based Marketing</v>
      </c>
      <c r="D470" s="173" t="str">
        <f>IFERROR(__xludf.DUMMYFUNCTION("""COMPUTED_VALUE"""),"Felipe Spina")</f>
        <v>Felipe Spina</v>
      </c>
      <c r="E470" s="174" t="str">
        <f>IFERROR(__xludf.DUMMYFUNCTION("""COMPUTED_VALUE"""),"Co-Founder &amp; CEO")</f>
        <v>Co-Founder &amp; CEO</v>
      </c>
      <c r="F470" s="478" t="str">
        <f>IFERROR(__xludf.DUMMYFUNCTION("""COMPUTED_VALUE"""),"MaestroABM")</f>
        <v>MaestroABM</v>
      </c>
      <c r="G470" s="1089" t="str">
        <f>IFERROR(__xludf.DUMMYFUNCTION("""COMPUTED_VALUE"""),"https://www.linkedin.com/in/fspina/")</f>
        <v>https://www.linkedin.com/in/fspina/</v>
      </c>
      <c r="H470" s="446" t="str">
        <f>IFERROR(__xludf.DUMMYFUNCTION("""COMPUTED_VALUE"""),"Conhecimento Técnico")</f>
        <v>Conhecimento Técnico</v>
      </c>
      <c r="I470" s="446" t="str">
        <f>IFERROR(__xludf.DUMMYFUNCTION("""COMPUTED_VALUE"""),"Técnicas de Vendas")</f>
        <v>Técnicas de Vendas</v>
      </c>
      <c r="J470" s="446" t="str">
        <f>IFERROR(__xludf.DUMMYFUNCTION("""COMPUTED_VALUE"""),"Abordagem e Prospecção")</f>
        <v>Abordagem e Prospecção</v>
      </c>
      <c r="K470" s="282" t="str">
        <f>IFERROR(__xludf.DUMMYFUNCTION("""COMPUTED_VALUE"""),"https://universidade.pipelovers.net/m/lessons/account-based-marketing-o-papel-do-vendedor-nessa-estrategia1769552344814?classId=3611")</f>
        <v>https://universidade.pipelovers.net/m/lessons/account-based-marketing-o-papel-do-vendedor-nessa-estrategia1769552344814?classId=3611</v>
      </c>
      <c r="L470" s="1098" t="str">
        <f>IFERROR(__xludf.DUMMYFUNCTION("""COMPUTED_VALUE"""),"https://universidade.pipelovers.net/m/lessons/account-based-marketing-o-papel-do-vendedor-nessa-estrategia1769552344814?classId=3611")</f>
        <v>https://universidade.pipelovers.net/m/lessons/account-based-marketing-o-papel-do-vendedor-nessa-estrategia1769552344814?classId=3611</v>
      </c>
      <c r="M470" s="1082">
        <f>IFERROR(__xludf.DUMMYFUNCTION("""COMPUTED_VALUE"""),3.71)</f>
        <v>3.71</v>
      </c>
      <c r="N470" s="1083" t="str">
        <f>IFERROR(__xludf.DUMMYFUNCTION("""COMPUTED_VALUE"""),"20. PipeLovers 💙 Líderes de Vendas ""ABM - Account Based Marketing"" com Felipe Spina (2023-01-12 08:04 GMT-3)")</f>
        <v>20. PipeLovers 💙 Líderes de Vendas "ABM - Account Based Marketing" com Felipe Spina (2023-01-12 08:04 GMT-3)</v>
      </c>
      <c r="O470" s="151" t="str">
        <f>IFERROR(__xludf.DUMMYFUNCTION("""COMPUTED_VALUE"""),"")</f>
        <v/>
      </c>
      <c r="P470" s="952">
        <f>IFERROR(__xludf.DUMMYFUNCTION("""COMPUTED_VALUE"""),45048.0)</f>
        <v>45048</v>
      </c>
      <c r="Q470" s="151"/>
    </row>
    <row r="471">
      <c r="A471" s="73"/>
      <c r="B471" s="103" t="str">
        <f>IFERROR(__xludf.DUMMYFUNCTION("""COMPUTED_VALUE"""),"Líderes de Vendas")</f>
        <v>Líderes de Vendas</v>
      </c>
      <c r="C471" s="481" t="str">
        <f>IFERROR(__xludf.DUMMYFUNCTION("""COMPUTED_VALUE"""),"WhatsApp para Acelerar Vendas")</f>
        <v>WhatsApp para Acelerar Vendas</v>
      </c>
      <c r="D471" s="175" t="str">
        <f>IFERROR(__xludf.DUMMYFUNCTION("""COMPUTED_VALUE"""),"Jose Martim Juacida")</f>
        <v>Jose Martim Juacida</v>
      </c>
      <c r="E471" s="206" t="str">
        <f>IFERROR(__xludf.DUMMYFUNCTION("""COMPUTED_VALUE"""),"Strategic Client Sales LATAM")</f>
        <v>Strategic Client Sales LATAM</v>
      </c>
      <c r="F471" s="646" t="str">
        <f>IFERROR(__xludf.DUMMYFUNCTION("""COMPUTED_VALUE"""),"Meta")</f>
        <v>Meta</v>
      </c>
      <c r="G471" s="646"/>
      <c r="H471" s="648" t="str">
        <f>IFERROR(__xludf.DUMMYFUNCTION("""COMPUTED_VALUE"""),"Conhecimento Técnico")</f>
        <v>Conhecimento Técnico</v>
      </c>
      <c r="I471" s="648" t="str">
        <f>IFERROR(__xludf.DUMMYFUNCTION("""COMPUTED_VALUE"""),"Técnicas de Vendas")</f>
        <v>Técnicas de Vendas</v>
      </c>
      <c r="J471" s="446" t="str">
        <f>IFERROR(__xludf.DUMMYFUNCTION("""COMPUTED_VALUE"""),"Abordagem e Prospecção")</f>
        <v>Abordagem e Prospecção</v>
      </c>
      <c r="K471" s="275" t="str">
        <f>IFERROR(__xludf.DUMMYFUNCTION("""COMPUTED_VALUE"""),"https://universidade.pipelovers.net/m/lessons/whatsapp-para-acelerar-vendas1769552252013?classId=3125")</f>
        <v>https://universidade.pipelovers.net/m/lessons/whatsapp-para-acelerar-vendas1769552252013?classId=3125</v>
      </c>
      <c r="L471" s="535" t="str">
        <f>IFERROR(__xludf.DUMMYFUNCTION("""COMPUTED_VALUE"""),"https://universidade.pipelovers.net/m/lessons/whatsapp-para-acelerar-vendas1769552252013?classId=3125")</f>
        <v>https://universidade.pipelovers.net/m/lessons/whatsapp-para-acelerar-vendas1769552252013?classId=3125</v>
      </c>
      <c r="M471" s="1085">
        <f>IFERROR(__xludf.DUMMYFUNCTION("""COMPUTED_VALUE"""),4.43)</f>
        <v>4.43</v>
      </c>
      <c r="N471" s="1099" t="str">
        <f>IFERROR(__xludf.DUMMYFUNCTION("""COMPUTED_VALUE"""),"21. PipeLovers 💙 Líderes de Vendas ""WhatsApp para Acelerar Vendas"" com Jose Martim Juacida (2023-01-17 08:04 GMT-3)")</f>
        <v>21. PipeLovers 💙 Líderes de Vendas "WhatsApp para Acelerar Vendas" com Jose Martim Juacida (2023-01-17 08:04 GMT-3)</v>
      </c>
      <c r="O471" s="151" t="str">
        <f>IFERROR(__xludf.DUMMYFUNCTION("""COMPUTED_VALUE"""),"")</f>
        <v/>
      </c>
      <c r="P471" s="952">
        <f>IFERROR(__xludf.DUMMYFUNCTION("""COMPUTED_VALUE"""),45055.0)</f>
        <v>45055</v>
      </c>
      <c r="Q471" s="151"/>
    </row>
    <row r="472">
      <c r="A472" s="73"/>
      <c r="B472" s="103" t="str">
        <f>IFERROR(__xludf.DUMMYFUNCTION("""COMPUTED_VALUE"""),"Líderes de Vendas")</f>
        <v>Líderes de Vendas</v>
      </c>
      <c r="C472" s="268" t="str">
        <f>IFERROR(__xludf.DUMMYFUNCTION("""COMPUTED_VALUE"""),"Metas e Rampagem de Vendedores ")</f>
        <v>Metas e Rampagem de Vendedores </v>
      </c>
      <c r="D472" s="119" t="str">
        <f>IFERROR(__xludf.DUMMYFUNCTION("""COMPUTED_VALUE"""),"Henrique Santos")</f>
        <v>Henrique Santos</v>
      </c>
      <c r="E472" s="151" t="str">
        <f>IFERROR(__xludf.DUMMYFUNCTION("""COMPUTED_VALUE"""),"Diretor de Revenue Operations")</f>
        <v>Diretor de Revenue Operations</v>
      </c>
      <c r="F472" s="648" t="str">
        <f>IFERROR(__xludf.DUMMYFUNCTION("""COMPUTED_VALUE"""),"Nstech")</f>
        <v>Nstech</v>
      </c>
      <c r="G472" s="646"/>
      <c r="H472" s="648" t="str">
        <f>IFERROR(__xludf.DUMMYFUNCTION("""COMPUTED_VALUE"""),"Conhecimento Técnico")</f>
        <v>Conhecimento Técnico</v>
      </c>
      <c r="I472" s="648" t="str">
        <f>IFERROR(__xludf.DUMMYFUNCTION("""COMPUTED_VALUE"""),"Gestão de Vendas")</f>
        <v>Gestão de Vendas</v>
      </c>
      <c r="J472" s="648" t="str">
        <f>IFERROR(__xludf.DUMMYFUNCTION("""COMPUTED_VALUE"""),"Planejamento Comercial")</f>
        <v>Planejamento Comercial</v>
      </c>
      <c r="K472" s="275" t="str">
        <f>IFERROR(__xludf.DUMMYFUNCTION("""COMPUTED_VALUE"""),"https://universidade.pipelovers.net/aulas/metas-e-rampagem-de-vendedores-1775499932119")</f>
        <v>https://universidade.pipelovers.net/aulas/metas-e-rampagem-de-vendedores-1775499932119</v>
      </c>
      <c r="L472" s="535" t="str">
        <f>IFERROR(__xludf.DUMMYFUNCTION("""COMPUTED_VALUE"""),"https://universidade.pipelovers.net/aulas/metas-e-rampagem-de-vendedores-1775499932119")</f>
        <v>https://universidade.pipelovers.net/aulas/metas-e-rampagem-de-vendedores-1775499932119</v>
      </c>
      <c r="M472" s="1082">
        <f>IFERROR(__xludf.DUMMYFUNCTION("""COMPUTED_VALUE"""),4.29)</f>
        <v>4.29</v>
      </c>
      <c r="N472" s="1081" t="str">
        <f>IFERROR(__xludf.DUMMYFUNCTION("""COMPUTED_VALUE"""),"22. PipeLovers 💙 Líderes de Vendas ""Metas e Rampagem de Vendedores"" com Henrique Santos (2023-01-26 08:04 GMT-3)")</f>
        <v>22. PipeLovers 💙 Líderes de Vendas "Metas e Rampagem de Vendedores" com Henrique Santos (2023-01-26 08:04 GMT-3)</v>
      </c>
      <c r="O472" s="151" t="str">
        <f>IFERROR(__xludf.DUMMYFUNCTION("""COMPUTED_VALUE"""),"")</f>
        <v/>
      </c>
      <c r="P472" s="952">
        <f>IFERROR(__xludf.DUMMYFUNCTION("""COMPUTED_VALUE"""),45062.0)</f>
        <v>45062</v>
      </c>
      <c r="Q472" s="151"/>
    </row>
    <row r="473">
      <c r="A473" s="73"/>
      <c r="B473" s="103" t="str">
        <f>IFERROR(__xludf.DUMMYFUNCTION("""COMPUTED_VALUE"""),"Líderes de Vendas")</f>
        <v>Líderes de Vendas</v>
      </c>
      <c r="C473" s="216" t="str">
        <f>IFERROR(__xludf.DUMMYFUNCTION("""COMPUTED_VALUE"""),"Terceirização de Equipes de Vendas")</f>
        <v>Terceirização de Equipes de Vendas</v>
      </c>
      <c r="D473" s="104" t="str">
        <f>IFERROR(__xludf.DUMMYFUNCTION("""COMPUTED_VALUE"""),"Oshry Vidal")</f>
        <v>Oshry Vidal</v>
      </c>
      <c r="E473" s="218" t="str">
        <f>IFERROR(__xludf.DUMMYFUNCTION("""COMPUTED_VALUE"""),"Sales Manager")</f>
        <v>Sales Manager</v>
      </c>
      <c r="F473" s="667" t="str">
        <f>IFERROR(__xludf.DUMMYFUNCTION("""COMPUTED_VALUE"""),"Pinterest")</f>
        <v>Pinterest</v>
      </c>
      <c r="G473" s="873" t="str">
        <f>IFERROR(__xludf.DUMMYFUNCTION("""COMPUTED_VALUE"""),"https://www.linkedin.com/in/vidalo/")</f>
        <v>https://www.linkedin.com/in/vidalo/</v>
      </c>
      <c r="H473" s="667" t="str">
        <f>IFERROR(__xludf.DUMMYFUNCTION("""COMPUTED_VALUE"""),"Conhecimento Técnico")</f>
        <v>Conhecimento Técnico</v>
      </c>
      <c r="I473" s="667" t="str">
        <f>IFERROR(__xludf.DUMMYFUNCTION("""COMPUTED_VALUE"""),"Gestão de Vendas")</f>
        <v>Gestão de Vendas</v>
      </c>
      <c r="J473" s="648" t="str">
        <f>IFERROR(__xludf.DUMMYFUNCTION("""COMPUTED_VALUE"""),"Planejamento Comercial")</f>
        <v>Planejamento Comercial</v>
      </c>
      <c r="K473" s="275" t="str">
        <f>IFERROR(__xludf.DUMMYFUNCTION("""COMPUTED_VALUE"""),"https://universidade.pipelovers.net/m/lessons/terceirizacao-de-equipes-de-vendas1769552262930?classId=3130")</f>
        <v>https://universidade.pipelovers.net/m/lessons/terceirizacao-de-equipes-de-vendas1769552262930?classId=3130</v>
      </c>
      <c r="L473" s="535" t="str">
        <f>IFERROR(__xludf.DUMMYFUNCTION("""COMPUTED_VALUE"""),"https://universidade.pipelovers.net/m/lessons/terceirizacao-de-equipes-de-vendas1769552262930?classId=3130")</f>
        <v>https://universidade.pipelovers.net/m/lessons/terceirizacao-de-equipes-de-vendas1769552262930?classId=3130</v>
      </c>
      <c r="M473" s="1085">
        <f>IFERROR(__xludf.DUMMYFUNCTION("""COMPUTED_VALUE"""),4.43)</f>
        <v>4.43</v>
      </c>
      <c r="N473" s="1083" t="str">
        <f>IFERROR(__xludf.DUMMYFUNCTION("""COMPUTED_VALUE"""),"23. PipeLovers 💙 Líderes de Vendas ""Terceirização de Equipes de Vendas"" com Oshry Vidal (2023-01-31 08:06 GMT-3)")</f>
        <v>23. PipeLovers 💙 Líderes de Vendas "Terceirização de Equipes de Vendas" com Oshry Vidal (2023-01-31 08:06 GMT-3)</v>
      </c>
      <c r="O473" s="151" t="str">
        <f>IFERROR(__xludf.DUMMYFUNCTION("""COMPUTED_VALUE"""),"")</f>
        <v/>
      </c>
      <c r="P473" s="952">
        <f>IFERROR(__xludf.DUMMYFUNCTION("""COMPUTED_VALUE"""),45069.0)</f>
        <v>45069</v>
      </c>
      <c r="Q473" s="151"/>
    </row>
    <row r="474">
      <c r="A474" s="73"/>
      <c r="B474" s="103" t="str">
        <f>IFERROR(__xludf.DUMMYFUNCTION("""COMPUTED_VALUE"""),"Líderes de Vendas")</f>
        <v>Líderes de Vendas</v>
      </c>
      <c r="C474" s="268" t="str">
        <f>IFERROR(__xludf.DUMMYFUNCTION("""COMPUTED_VALUE"""),"Land &amp; Expand")</f>
        <v>Land &amp; Expand</v>
      </c>
      <c r="D474" s="119" t="str">
        <f>IFERROR(__xludf.DUMMYFUNCTION("""COMPUTED_VALUE"""),"Rafael Mussato")</f>
        <v>Rafael Mussato</v>
      </c>
      <c r="E474" s="218" t="str">
        <f>IFERROR(__xludf.DUMMYFUNCTION("""COMPUTED_VALUE"""),"Sales Manager")</f>
        <v>Sales Manager</v>
      </c>
      <c r="F474" s="667" t="str">
        <f>IFERROR(__xludf.DUMMYFUNCTION("""COMPUTED_VALUE"""),"Zendesk")</f>
        <v>Zendesk</v>
      </c>
      <c r="G474" s="872"/>
      <c r="H474" s="667" t="str">
        <f>IFERROR(__xludf.DUMMYFUNCTION("""COMPUTED_VALUE"""),"Conhecimento Técnico")</f>
        <v>Conhecimento Técnico</v>
      </c>
      <c r="I474" s="667" t="str">
        <f>IFERROR(__xludf.DUMMYFUNCTION("""COMPUTED_VALUE"""),"Gestão de Vendas")</f>
        <v>Gestão de Vendas</v>
      </c>
      <c r="J474" s="667" t="str">
        <f>IFERROR(__xludf.DUMMYFUNCTION("""COMPUTED_VALUE"""),"UpSell e Cross Sell")</f>
        <v>UpSell e Cross Sell</v>
      </c>
      <c r="K474" s="275" t="str">
        <f>IFERROR(__xludf.DUMMYFUNCTION("""COMPUTED_VALUE"""),"https://universidade.pipelovers.net/m/lessons/land-expand1769552263983?classId=3132")</f>
        <v>https://universidade.pipelovers.net/m/lessons/land-expand1769552263983?classId=3132</v>
      </c>
      <c r="L474" s="535" t="str">
        <f>IFERROR(__xludf.DUMMYFUNCTION("""COMPUTED_VALUE"""),"https://universidade.pipelovers.net/m/lessons/land-expand1769552263983?classId=3132")</f>
        <v>https://universidade.pipelovers.net/m/lessons/land-expand1769552263983?classId=3132</v>
      </c>
      <c r="M474" s="1082">
        <f>IFERROR(__xludf.DUMMYFUNCTION("""COMPUTED_VALUE"""),4.29)</f>
        <v>4.29</v>
      </c>
      <c r="N474" s="1081" t="str">
        <f>IFERROR(__xludf.DUMMYFUNCTION("""COMPUTED_VALUE"""),"24. PipeLovers 💙 Líderes de Vendas - ""Land &amp; Expand"" com Rafael Mussato do Zendesk (2023-02-07 08:06 GMT-3)")</f>
        <v>24. PipeLovers 💙 Líderes de Vendas - "Land &amp; Expand" com Rafael Mussato do Zendesk (2023-02-07 08:06 GMT-3)</v>
      </c>
      <c r="O474" s="151" t="str">
        <f>IFERROR(__xludf.DUMMYFUNCTION("""COMPUTED_VALUE"""),"")</f>
        <v/>
      </c>
      <c r="P474" s="952">
        <f>IFERROR(__xludf.DUMMYFUNCTION("""COMPUTED_VALUE"""),45076.0)</f>
        <v>45076</v>
      </c>
      <c r="Q474" s="151"/>
    </row>
    <row r="475">
      <c r="A475" s="73"/>
      <c r="B475" s="103" t="str">
        <f>IFERROR(__xludf.DUMMYFUNCTION("""COMPUTED_VALUE"""),"Líderes de Vendas")</f>
        <v>Líderes de Vendas</v>
      </c>
      <c r="C475" s="216" t="str">
        <f>IFERROR(__xludf.DUMMYFUNCTION("""COMPUTED_VALUE"""),"CRM Hubspot - Melhores Práticas")</f>
        <v>CRM Hubspot - Melhores Práticas</v>
      </c>
      <c r="D475" s="104" t="str">
        <f>IFERROR(__xludf.DUMMYFUNCTION("""COMPUTED_VALUE"""),"Gabriela Uekita")</f>
        <v>Gabriela Uekita</v>
      </c>
      <c r="E475" s="208" t="str">
        <f>IFERROR(__xludf.DUMMYFUNCTION("""COMPUTED_VALUE"""),"Lider Revenue Ops")</f>
        <v>Lider Revenue Ops</v>
      </c>
      <c r="F475" s="655" t="str">
        <f>IFERROR(__xludf.DUMMYFUNCTION("""COMPUTED_VALUE"""),"Pipo Saúde")</f>
        <v>Pipo Saúde</v>
      </c>
      <c r="G475" s="913"/>
      <c r="H475" s="655" t="str">
        <f>IFERROR(__xludf.DUMMYFUNCTION("""COMPUTED_VALUE"""),"Autodesenvolvimento")</f>
        <v>Autodesenvolvimento</v>
      </c>
      <c r="I475" s="655" t="str">
        <f>IFERROR(__xludf.DUMMYFUNCTION("""COMPUTED_VALUE"""),"Gestão de Tempo e da Informação")</f>
        <v>Gestão de Tempo e da Informação</v>
      </c>
      <c r="J475" s="667" t="str">
        <f>IFERROR(__xludf.DUMMYFUNCTION("""COMPUTED_VALUE"""),"Melhores Práticas de CRM")</f>
        <v>Melhores Práticas de CRM</v>
      </c>
      <c r="K475" s="275" t="str">
        <f>IFERROR(__xludf.DUMMYFUNCTION("""COMPUTED_VALUE"""),"https://universidade.pipelovers.net/m/lessons/crm-hubspot-melhores-praticas1769552264024?classId=3134")</f>
        <v>https://universidade.pipelovers.net/m/lessons/crm-hubspot-melhores-praticas1769552264024?classId=3134</v>
      </c>
      <c r="L475" s="535" t="str">
        <f>IFERROR(__xludf.DUMMYFUNCTION("""COMPUTED_VALUE"""),"https://universidade.pipelovers.net/m/lessons/crm-hubspot-melhores-praticas1769552264024?classId=3134")</f>
        <v>https://universidade.pipelovers.net/m/lessons/crm-hubspot-melhores-praticas1769552264024?classId=3134</v>
      </c>
      <c r="M475" s="1085">
        <f>IFERROR(__xludf.DUMMYFUNCTION("""COMPUTED_VALUE"""),3.71)</f>
        <v>3.71</v>
      </c>
      <c r="N475" s="1083" t="str">
        <f>IFERROR(__xludf.DUMMYFUNCTION("""COMPUTED_VALUE"""),"25. PipeLovers 💙 Líderes de Vendas ""CRM Hubspot - Melhores Práticas"" com Gabriela Uekita (2023-02-14 08:04 GMT-3)")</f>
        <v>25. PipeLovers 💙 Líderes de Vendas "CRM Hubspot - Melhores Práticas" com Gabriela Uekita (2023-02-14 08:04 GMT-3)</v>
      </c>
      <c r="O475" s="151" t="str">
        <f>IFERROR(__xludf.DUMMYFUNCTION("""COMPUTED_VALUE"""),"")</f>
        <v/>
      </c>
      <c r="P475" s="952">
        <f>IFERROR(__xludf.DUMMYFUNCTION("""COMPUTED_VALUE"""),45083.0)</f>
        <v>45083</v>
      </c>
      <c r="Q475" s="151"/>
    </row>
    <row r="476">
      <c r="A476" s="73"/>
      <c r="B476" s="103" t="str">
        <f>IFERROR(__xludf.DUMMYFUNCTION("""COMPUTED_VALUE"""),"Líderes de Vendas")</f>
        <v>Líderes de Vendas</v>
      </c>
      <c r="C476" s="268" t="str">
        <f>IFERROR(__xludf.DUMMYFUNCTION("""COMPUTED_VALUE"""),"E-commerce como Canal de Vendas B2B")</f>
        <v>E-commerce como Canal de Vendas B2B</v>
      </c>
      <c r="D476" s="119" t="str">
        <f>IFERROR(__xludf.DUMMYFUNCTION("""COMPUTED_VALUE"""),"Paulo Felix")</f>
        <v>Paulo Felix</v>
      </c>
      <c r="E476" s="218" t="str">
        <f>IFERROR(__xludf.DUMMYFUNCTION("""COMPUTED_VALUE"""),"Diretor de Negócios")</f>
        <v>Diretor de Negócios</v>
      </c>
      <c r="F476" s="667" t="str">
        <f>IFERROR(__xludf.DUMMYFUNCTION("""COMPUTED_VALUE"""),"Grupo FCâmara")</f>
        <v>Grupo FCâmara</v>
      </c>
      <c r="G476" s="873" t="str">
        <f>IFERROR(__xludf.DUMMYFUNCTION("""COMPUTED_VALUE"""),"https://www.linkedin.com/in/paulofelix/")</f>
        <v>https://www.linkedin.com/in/paulofelix/</v>
      </c>
      <c r="H476" s="667" t="str">
        <f>IFERROR(__xludf.DUMMYFUNCTION("""COMPUTED_VALUE"""),"Visão de Negócio")</f>
        <v>Visão de Negócio</v>
      </c>
      <c r="I476" s="667" t="str">
        <f>IFERROR(__xludf.DUMMYFUNCTION("""COMPUTED_VALUE"""),"Tendencias de mercado")</f>
        <v>Tendencias de mercado</v>
      </c>
      <c r="J476" s="655" t="str">
        <f>IFERROR(__xludf.DUMMYFUNCTION("""COMPUTED_VALUE"""),"Inovações Tecnológicas")</f>
        <v>Inovações Tecnológicas</v>
      </c>
      <c r="K476" s="275" t="str">
        <f>IFERROR(__xludf.DUMMYFUNCTION("""COMPUTED_VALUE"""),"https://universidade.pipelovers.net/m/lessons/e-commerce-como-canal-de-vendas-b2b1769552264051?classId=3136")</f>
        <v>https://universidade.pipelovers.net/m/lessons/e-commerce-como-canal-de-vendas-b2b1769552264051?classId=3136</v>
      </c>
      <c r="L476" s="535" t="str">
        <f>IFERROR(__xludf.DUMMYFUNCTION("""COMPUTED_VALUE"""),"https://universidade.pipelovers.net/m/lessons/e-commerce-como-canal-de-vendas-b2b1769552264051?classId=3136")</f>
        <v>https://universidade.pipelovers.net/m/lessons/e-commerce-como-canal-de-vendas-b2b1769552264051?classId=3136</v>
      </c>
      <c r="M476" s="1082">
        <f>IFERROR(__xludf.DUMMYFUNCTION("""COMPUTED_VALUE"""),4.29)</f>
        <v>4.29</v>
      </c>
      <c r="N476" s="1081" t="str">
        <f>IFERROR(__xludf.DUMMYFUNCTION("""COMPUTED_VALUE"""),"26. PipeLovers 💙 Líderes de Vendas ""E-commerce como canal de vendas B2B"" com Paulo Felix (2023-02-24 08:09 GMT-3)")</f>
        <v>26. PipeLovers 💙 Líderes de Vendas "E-commerce como canal de vendas B2B" com Paulo Felix (2023-02-24 08:09 GMT-3)</v>
      </c>
      <c r="O476" s="151" t="str">
        <f>IFERROR(__xludf.DUMMYFUNCTION("""COMPUTED_VALUE"""),"")</f>
        <v/>
      </c>
      <c r="P476" s="952">
        <f>IFERROR(__xludf.DUMMYFUNCTION("""COMPUTED_VALUE"""),45090.0)</f>
        <v>45090</v>
      </c>
      <c r="Q476" s="151"/>
    </row>
    <row r="477">
      <c r="A477" s="73"/>
      <c r="B477" s="103" t="str">
        <f>IFERROR(__xludf.DUMMYFUNCTION("""COMPUTED_VALUE"""),"Líderes de Vendas")</f>
        <v>Líderes de Vendas</v>
      </c>
      <c r="C477" s="216" t="str">
        <f>IFERROR(__xludf.DUMMYFUNCTION("""COMPUTED_VALUE"""),"Cultura de Feedback para Líderes de Vendas")</f>
        <v>Cultura de Feedback para Líderes de Vendas</v>
      </c>
      <c r="D477" s="104" t="str">
        <f>IFERROR(__xludf.DUMMYFUNCTION("""COMPUTED_VALUE"""),"Ana Carolina Deberaldini")</f>
        <v>Ana Carolina Deberaldini</v>
      </c>
      <c r="E477" s="218" t="str">
        <f>IFERROR(__xludf.DUMMYFUNCTION("""COMPUTED_VALUE"""),"Head of Account and Customer Success Management")</f>
        <v>Head of Account and Customer Success Management</v>
      </c>
      <c r="F477" s="872" t="str">
        <f>IFERROR(__xludf.DUMMYFUNCTION("""COMPUTED_VALUE"""),"Creditas")</f>
        <v>Creditas</v>
      </c>
      <c r="G477" s="872"/>
      <c r="H477" s="667" t="str">
        <f>IFERROR(__xludf.DUMMYFUNCTION("""COMPUTED_VALUE"""),"Relacionamento Interpessoal")</f>
        <v>Relacionamento Interpessoal</v>
      </c>
      <c r="I477" s="667" t="str">
        <f>IFERROR(__xludf.DUMMYFUNCTION("""COMPUTED_VALUE"""),"Comunicação e Relacionamento")</f>
        <v>Comunicação e Relacionamento</v>
      </c>
      <c r="J477" s="667" t="str">
        <f>IFERROR(__xludf.DUMMYFUNCTION("""COMPUTED_VALUE"""),"Dar e Receber Feedbacks")</f>
        <v>Dar e Receber Feedbacks</v>
      </c>
      <c r="K477" s="275" t="str">
        <f>IFERROR(__xludf.DUMMYFUNCTION("""COMPUTED_VALUE"""),"https://universidade.pipelovers.net/m/lessons/cultura-de-feedback-para-lideres-de-vendas1769552264076?classId=3141")</f>
        <v>https://universidade.pipelovers.net/m/lessons/cultura-de-feedback-para-lideres-de-vendas1769552264076?classId=3141</v>
      </c>
      <c r="L477" s="535" t="str">
        <f>IFERROR(__xludf.DUMMYFUNCTION("""COMPUTED_VALUE"""),"https://universidade.pipelovers.net/m/lessons/cultura-de-feedback-para-lideres-de-vendas1769552264076?classId=3141")</f>
        <v>https://universidade.pipelovers.net/m/lessons/cultura-de-feedback-para-lideres-de-vendas1769552264076?classId=3141</v>
      </c>
      <c r="M477" s="1085">
        <f>IFERROR(__xludf.DUMMYFUNCTION("""COMPUTED_VALUE"""),4.43)</f>
        <v>4.43</v>
      </c>
      <c r="N477" s="1083" t="str">
        <f>IFERROR(__xludf.DUMMYFUNCTION("""COMPUTED_VALUE"""),"27. PipeLovers 💙 Líderes de Vendas - ""Cultura de Feedback para Líderes de Vendas"" com Carol Deberaldin (2023-02-28 08:04 GMT-3)")</f>
        <v>27. PipeLovers 💙 Líderes de Vendas - "Cultura de Feedback para Líderes de Vendas" com Carol Deberaldin (2023-02-28 08:04 GMT-3)</v>
      </c>
      <c r="O477" s="151" t="str">
        <f>IFERROR(__xludf.DUMMYFUNCTION("""COMPUTED_VALUE"""),"")</f>
        <v/>
      </c>
      <c r="P477" s="952">
        <f>IFERROR(__xludf.DUMMYFUNCTION("""COMPUTED_VALUE"""),45097.0)</f>
        <v>45097</v>
      </c>
      <c r="Q477" s="151"/>
    </row>
    <row r="478">
      <c r="A478" s="73"/>
      <c r="B478" s="103" t="str">
        <f>IFERROR(__xludf.DUMMYFUNCTION("""COMPUTED_VALUE"""),"Líderes de Vendas")</f>
        <v>Líderes de Vendas</v>
      </c>
      <c r="C478" s="268" t="str">
        <f>IFERROR(__xludf.DUMMYFUNCTION("""COMPUTED_VALUE"""),"Passagem de Bastão Entre Hunters &amp; Farmers")</f>
        <v>Passagem de Bastão Entre Hunters &amp; Farmers</v>
      </c>
      <c r="D478" s="119" t="str">
        <f>IFERROR(__xludf.DUMMYFUNCTION("""COMPUTED_VALUE"""),"Henrique Marques")</f>
        <v>Henrique Marques</v>
      </c>
      <c r="E478" s="218" t="str">
        <f>IFERROR(__xludf.DUMMYFUNCTION("""COMPUTED_VALUE"""),"Sales Director")</f>
        <v>Sales Director</v>
      </c>
      <c r="F478" s="667" t="str">
        <f>IFERROR(__xludf.DUMMYFUNCTION("""COMPUTED_VALUE"""),"Sinch")</f>
        <v>Sinch</v>
      </c>
      <c r="G478" s="872"/>
      <c r="H478" s="667" t="str">
        <f>IFERROR(__xludf.DUMMYFUNCTION("""COMPUTED_VALUE"""),"Relacionamento Interpessoal")</f>
        <v>Relacionamento Interpessoal</v>
      </c>
      <c r="I478" s="667" t="str">
        <f>IFERROR(__xludf.DUMMYFUNCTION("""COMPUTED_VALUE"""),"Liderança e Influência")</f>
        <v>Liderança e Influência</v>
      </c>
      <c r="J478" s="667" t="str">
        <f>IFERROR(__xludf.DUMMYFUNCTION("""COMPUTED_VALUE"""),"Resolução de Conflitos")</f>
        <v>Resolução de Conflitos</v>
      </c>
      <c r="K478" s="275" t="str">
        <f>IFERROR(__xludf.DUMMYFUNCTION("""COMPUTED_VALUE"""),"https://universidade.pipelovers.net/m/lessons/passagem-de-bastao-entre-hunters-farmers1769552264134?classId=3138")</f>
        <v>https://universidade.pipelovers.net/m/lessons/passagem-de-bastao-entre-hunters-farmers1769552264134?classId=3138</v>
      </c>
      <c r="L478" s="535" t="str">
        <f>IFERROR(__xludf.DUMMYFUNCTION("""COMPUTED_VALUE"""),"https://universidade.pipelovers.net/m/lessons/passagem-de-bastao-entre-hunters-farmers1769552264134?classId=3138")</f>
        <v>https://universidade.pipelovers.net/m/lessons/passagem-de-bastao-entre-hunters-farmers1769552264134?classId=3138</v>
      </c>
      <c r="M478" s="1082">
        <f>IFERROR(__xludf.DUMMYFUNCTION("""COMPUTED_VALUE"""),3.71)</f>
        <v>3.71</v>
      </c>
      <c r="N478" s="1081" t="str">
        <f>IFERROR(__xludf.DUMMYFUNCTION("""COMPUTED_VALUE"""),"28. PipeLovers 💙 Líderes de Vendas - ""Passagem de bastão entre hunters e farmes"" com Henrique Marques, (2023-03-07 08:06 GMT-3)")</f>
        <v>28. PipeLovers 💙 Líderes de Vendas - "Passagem de bastão entre hunters e farmes" com Henrique Marques, (2023-03-07 08:06 GMT-3)</v>
      </c>
      <c r="O478" s="151" t="str">
        <f>IFERROR(__xludf.DUMMYFUNCTION("""COMPUTED_VALUE"""),"")</f>
        <v/>
      </c>
      <c r="P478" s="952">
        <f>IFERROR(__xludf.DUMMYFUNCTION("""COMPUTED_VALUE"""),45104.0)</f>
        <v>45104</v>
      </c>
      <c r="Q478" s="151"/>
    </row>
    <row r="479">
      <c r="A479" s="73"/>
      <c r="B479" s="103" t="str">
        <f>IFERROR(__xludf.DUMMYFUNCTION("""COMPUTED_VALUE"""),"Líderes de Vendas")</f>
        <v>Líderes de Vendas</v>
      </c>
      <c r="C479" s="216" t="str">
        <f>IFERROR(__xludf.DUMMYFUNCTION("""COMPUTED_VALUE"""),"Win-Loss Analysis")</f>
        <v>Win-Loss Analysis</v>
      </c>
      <c r="D479" s="104" t="str">
        <f>IFERROR(__xludf.DUMMYFUNCTION("""COMPUTED_VALUE"""),"Caio Montagner")</f>
        <v>Caio Montagner</v>
      </c>
      <c r="E479" s="218" t="str">
        <f>IFERROR(__xludf.DUMMYFUNCTION("""COMPUTED_VALUE"""),"Head educacional")</f>
        <v>Head educacional</v>
      </c>
      <c r="F479" s="667" t="str">
        <f>IFERROR(__xludf.DUMMYFUNCTION("""COMPUTED_VALUE"""),"Live University")</f>
        <v>Live University</v>
      </c>
      <c r="G479" s="872"/>
      <c r="H479" s="667" t="str">
        <f>IFERROR(__xludf.DUMMYFUNCTION("""COMPUTED_VALUE"""),"Conhecimento Técnico")</f>
        <v>Conhecimento Técnico</v>
      </c>
      <c r="I479" s="667" t="str">
        <f>IFERROR(__xludf.DUMMYFUNCTION("""COMPUTED_VALUE"""),"Pensamento Crítico")</f>
        <v>Pensamento Crítico</v>
      </c>
      <c r="J479" s="667" t="str">
        <f>IFERROR(__xludf.DUMMYFUNCTION("""COMPUTED_VALUE"""),"Win Loss Analysis")</f>
        <v>Win Loss Analysis</v>
      </c>
      <c r="K479" s="275" t="str">
        <f>IFERROR(__xludf.DUMMYFUNCTION("""COMPUTED_VALUE"""),"https://universidade.pipelovers.net/m/lessons/win-loss-analysis1769552264107?classId=3139")</f>
        <v>https://universidade.pipelovers.net/m/lessons/win-loss-analysis1769552264107?classId=3139</v>
      </c>
      <c r="L479" s="535" t="str">
        <f>IFERROR(__xludf.DUMMYFUNCTION("""COMPUTED_VALUE"""),"https://universidade.pipelovers.net/m/lessons/win-loss-analysis1769552264107?classId=3139")</f>
        <v>https://universidade.pipelovers.net/m/lessons/win-loss-analysis1769552264107?classId=3139</v>
      </c>
      <c r="M479" s="1085">
        <f>IFERROR(__xludf.DUMMYFUNCTION("""COMPUTED_VALUE"""),4.43)</f>
        <v>4.43</v>
      </c>
      <c r="N479" s="1083" t="str">
        <f>IFERROR(__xludf.DUMMYFUNCTION("""COMPUTED_VALUE"""),"29. PipeLovers 💙 Líderes de Vendas - ""Win-Loss Analysis"" com Caio Montagner da Live University (2023-03-14 08:03 GMT-3)")</f>
        <v>29. PipeLovers 💙 Líderes de Vendas - "Win-Loss Analysis" com Caio Montagner da Live University (2023-03-14 08:03 GMT-3)</v>
      </c>
      <c r="O479" s="151" t="str">
        <f>IFERROR(__xludf.DUMMYFUNCTION("""COMPUTED_VALUE"""),"")</f>
        <v/>
      </c>
      <c r="P479" s="952">
        <f>IFERROR(__xludf.DUMMYFUNCTION("""COMPUTED_VALUE"""),45111.0)</f>
        <v>45111</v>
      </c>
      <c r="Q479" s="151"/>
    </row>
    <row r="480">
      <c r="A480" s="73"/>
      <c r="B480" s="103" t="str">
        <f>IFERROR(__xludf.DUMMYFUNCTION("""COMPUTED_VALUE"""),"Líderes de Vendas")</f>
        <v>Líderes de Vendas</v>
      </c>
      <c r="C480" s="268" t="str">
        <f>IFERROR(__xludf.DUMMYFUNCTION("""COMPUTED_VALUE"""),"O papel da liderança no Work-Life Balance")</f>
        <v>O papel da liderança no Work-Life Balance</v>
      </c>
      <c r="D480" s="119" t="str">
        <f>IFERROR(__xludf.DUMMYFUNCTION("""COMPUTED_VALUE"""),"Mauricio Schorsch")</f>
        <v>Mauricio Schorsch</v>
      </c>
      <c r="E480" s="218" t="str">
        <f>IFERROR(__xludf.DUMMYFUNCTION("""COMPUTED_VALUE"""),"Sales Director")</f>
        <v>Sales Director</v>
      </c>
      <c r="F480" s="667" t="str">
        <f>IFERROR(__xludf.DUMMYFUNCTION("""COMPUTED_VALUE"""),"Qualtrics")</f>
        <v>Qualtrics</v>
      </c>
      <c r="G480" s="873" t="str">
        <f>IFERROR(__xludf.DUMMYFUNCTION("""COMPUTED_VALUE"""),"https://www.linkedin.com/in/mauricioschorsch/")</f>
        <v>https://www.linkedin.com/in/mauricioschorsch/</v>
      </c>
      <c r="H480" s="667" t="str">
        <f>IFERROR(__xludf.DUMMYFUNCTION("""COMPUTED_VALUE"""),"Autodesenvolvimento")</f>
        <v>Autodesenvolvimento</v>
      </c>
      <c r="I480" s="667" t="str">
        <f>IFERROR(__xludf.DUMMYFUNCTION("""COMPUTED_VALUE"""),"Inteligência Emocional")</f>
        <v>Inteligência Emocional</v>
      </c>
      <c r="J480" s="667" t="str">
        <f>IFERROR(__xludf.DUMMYFUNCTION("""COMPUTED_VALUE"""),"Gatilhos de Stress")</f>
        <v>Gatilhos de Stress</v>
      </c>
      <c r="K480" s="275" t="str">
        <f>IFERROR(__xludf.DUMMYFUNCTION("""COMPUTED_VALUE"""),"https://universidade.pipelovers.net/m/lessons/o-papel-da-lideranca-no-work-life-balance1769552264162?classId=3143")</f>
        <v>https://universidade.pipelovers.net/m/lessons/o-papel-da-lideranca-no-work-life-balance1769552264162?classId=3143</v>
      </c>
      <c r="L480" s="535" t="str">
        <f>IFERROR(__xludf.DUMMYFUNCTION("""COMPUTED_VALUE"""),"https://universidade.pipelovers.net/m/lessons/o-papel-da-lideranca-no-work-life-balance1769552264162?classId=3143")</f>
        <v>https://universidade.pipelovers.net/m/lessons/o-papel-da-lideranca-no-work-life-balance1769552264162?classId=3143</v>
      </c>
      <c r="M480" s="1082">
        <f>IFERROR(__xludf.DUMMYFUNCTION("""COMPUTED_VALUE"""),3.71)</f>
        <v>3.71</v>
      </c>
      <c r="N480" s="1081" t="str">
        <f>IFERROR(__xludf.DUMMYFUNCTION("""COMPUTED_VALUE"""),"30. PipeLovers 💙 Líderes de Vendas - ""O papel da liderança no Work-Life Balance"" com Mauricio Schorsch (2023-03-21 08:05 GMT-3)")</f>
        <v>30. PipeLovers 💙 Líderes de Vendas - "O papel da liderança no Work-Life Balance" com Mauricio Schorsch (2023-03-21 08:05 GMT-3)</v>
      </c>
      <c r="O480" s="151" t="str">
        <f>IFERROR(__xludf.DUMMYFUNCTION("""COMPUTED_VALUE"""),"")</f>
        <v/>
      </c>
      <c r="P480" s="952">
        <f>IFERROR(__xludf.DUMMYFUNCTION("""COMPUTED_VALUE"""),45118.0)</f>
        <v>45118</v>
      </c>
      <c r="Q480" s="151"/>
    </row>
    <row r="481">
      <c r="A481" s="73"/>
      <c r="B481" s="103" t="str">
        <f>IFERROR(__xludf.DUMMYFUNCTION("""COMPUTED_VALUE"""),"Líderes de Vendas")</f>
        <v>Líderes de Vendas</v>
      </c>
      <c r="C481" s="216" t="str">
        <f>IFERROR(__xludf.DUMMYFUNCTION("""COMPUTED_VALUE"""),"O que motiva vendedores de alta performance?")</f>
        <v>O que motiva vendedores de alta performance?</v>
      </c>
      <c r="D481" s="104" t="str">
        <f>IFERROR(__xludf.DUMMYFUNCTION("""COMPUTED_VALUE"""),"Wanderley Cintra")</f>
        <v>Wanderley Cintra</v>
      </c>
      <c r="E481" s="218" t="str">
        <f>IFERROR(__xludf.DUMMYFUNCTION("""COMPUTED_VALUE"""),"Diretor Executivo")</f>
        <v>Diretor Executivo</v>
      </c>
      <c r="F481" s="667" t="str">
        <f>IFERROR(__xludf.DUMMYFUNCTION("""COMPUTED_VALUE"""),"Custódio Soluções")</f>
        <v>Custódio Soluções</v>
      </c>
      <c r="G481" s="872"/>
      <c r="H481" s="667" t="str">
        <f>IFERROR(__xludf.DUMMYFUNCTION("""COMPUTED_VALUE"""),"Autodesenvolvimento")</f>
        <v>Autodesenvolvimento</v>
      </c>
      <c r="I481" s="667" t="str">
        <f>IFERROR(__xludf.DUMMYFUNCTION("""COMPUTED_VALUE"""),"Inteligência Emocional")</f>
        <v>Inteligência Emocional</v>
      </c>
      <c r="J481" s="667" t="str">
        <f>IFERROR(__xludf.DUMMYFUNCTION("""COMPUTED_VALUE"""),"Motivação")</f>
        <v>Motivação</v>
      </c>
      <c r="K481" s="275" t="str">
        <f>IFERROR(__xludf.DUMMYFUNCTION("""COMPUTED_VALUE"""),"https://universidade.pipelovers.net/m/lessons/o-que-motiva-vendedores-de-alta-performance1769552264188?classId=3144")</f>
        <v>https://universidade.pipelovers.net/m/lessons/o-que-motiva-vendedores-de-alta-performance1769552264188?classId=3144</v>
      </c>
      <c r="L481" s="535" t="str">
        <f>IFERROR(__xludf.DUMMYFUNCTION("""COMPUTED_VALUE"""),"https://universidade.pipelovers.net/m/lessons/o-que-motiva-vendedores-de-alta-performance1769552264188?classId=3144")</f>
        <v>https://universidade.pipelovers.net/m/lessons/o-que-motiva-vendedores-de-alta-performance1769552264188?classId=3144</v>
      </c>
      <c r="M481" s="1085">
        <f>IFERROR(__xludf.DUMMYFUNCTION("""COMPUTED_VALUE"""),4.43)</f>
        <v>4.43</v>
      </c>
      <c r="N481" s="1083" t="str">
        <f>IFERROR(__xludf.DUMMYFUNCTION("""COMPUTED_VALUE"""),"31. PipeLovers 💙 Líderes de Vendas - ""O que motiva vendedores de alta performance?"" com Wanderley Cint (2023-03-28 08:04 GMT-3)")</f>
        <v>31. PipeLovers 💙 Líderes de Vendas - "O que motiva vendedores de alta performance?" com Wanderley Cint (2023-03-28 08:04 GMT-3)</v>
      </c>
      <c r="O481" s="151" t="str">
        <f>IFERROR(__xludf.DUMMYFUNCTION("""COMPUTED_VALUE"""),"")</f>
        <v/>
      </c>
      <c r="P481" s="952">
        <f>IFERROR(__xludf.DUMMYFUNCTION("""COMPUTED_VALUE"""),45125.0)</f>
        <v>45125</v>
      </c>
      <c r="Q481" s="151"/>
    </row>
    <row r="482">
      <c r="A482" s="73"/>
      <c r="B482" s="103" t="str">
        <f>IFERROR(__xludf.DUMMYFUNCTION("""COMPUTED_VALUE"""),"Líderes de Vendas")</f>
        <v>Líderes de Vendas</v>
      </c>
      <c r="C482" s="268" t="str">
        <f>IFERROR(__xludf.DUMMYFUNCTION("""COMPUTED_VALUE"""),"Extraindo o máximo de uma sessão de benchmark")</f>
        <v>Extraindo o máximo de uma sessão de benchmark</v>
      </c>
      <c r="D482" s="119" t="str">
        <f>IFERROR(__xludf.DUMMYFUNCTION("""COMPUTED_VALUE"""),"Rafael Alexandre")</f>
        <v>Rafael Alexandre</v>
      </c>
      <c r="E482" s="218" t="str">
        <f>IFERROR(__xludf.DUMMYFUNCTION("""COMPUTED_VALUE"""),"Partner")</f>
        <v>Partner</v>
      </c>
      <c r="F482" s="667" t="str">
        <f>IFERROR(__xludf.DUMMYFUNCTION("""COMPUTED_VALUE"""),"Inside")</f>
        <v>Inside</v>
      </c>
      <c r="G482" s="873" t="str">
        <f>IFERROR(__xludf.DUMMYFUNCTION("""COMPUTED_VALUE"""),"https://www.linkedin.com/in/rafaelalexandre/")</f>
        <v>https://www.linkedin.com/in/rafaelalexandre/</v>
      </c>
      <c r="H482" s="667" t="str">
        <f>IFERROR(__xludf.DUMMYFUNCTION("""COMPUTED_VALUE"""),"Autodesenvolvimento")</f>
        <v>Autodesenvolvimento</v>
      </c>
      <c r="I482" s="667" t="str">
        <f>IFERROR(__xludf.DUMMYFUNCTION("""COMPUTED_VALUE"""),"Aprendizado Ativo")</f>
        <v>Aprendizado Ativo</v>
      </c>
      <c r="J482" s="667" t="str">
        <f>IFERROR(__xludf.DUMMYFUNCTION("""COMPUTED_VALUE"""),"Benchmarking")</f>
        <v>Benchmarking</v>
      </c>
      <c r="K482" s="275" t="str">
        <f>IFERROR(__xludf.DUMMYFUNCTION("""COMPUTED_VALUE"""),"https://universidade.pipelovers.net/m/lessons/extraindo-o-maximo-de-uma-sessao-de-benchmark1769552264244?classId=3145")</f>
        <v>https://universidade.pipelovers.net/m/lessons/extraindo-o-maximo-de-uma-sessao-de-benchmark1769552264244?classId=3145</v>
      </c>
      <c r="L482" s="535" t="str">
        <f>IFERROR(__xludf.DUMMYFUNCTION("""COMPUTED_VALUE"""),"https://universidade.pipelovers.net/m/lessons/extraindo-o-maximo-de-uma-sessao-de-benchmark1769552264244?classId=3145")</f>
        <v>https://universidade.pipelovers.net/m/lessons/extraindo-o-maximo-de-uma-sessao-de-benchmark1769552264244?classId=3145</v>
      </c>
      <c r="M482" s="1085">
        <f>IFERROR(__xludf.DUMMYFUNCTION("""COMPUTED_VALUE"""),3.71)</f>
        <v>3.71</v>
      </c>
      <c r="N482" s="1083" t="str">
        <f>IFERROR(__xludf.DUMMYFUNCTION("""COMPUTED_VALUE"""),"32. PipeLovers 💙 Líderes de Vendas - ""Extraindo o máximo de uma sessão de benchamark"" com Rafael Alexa (2023-04-11 08:05 GMT-3)")</f>
        <v>32. PipeLovers 💙 Líderes de Vendas - "Extraindo o máximo de uma sessão de benchamark" com Rafael Alexa (2023-04-11 08:05 GMT-3)</v>
      </c>
      <c r="O482" s="151" t="str">
        <f>IFERROR(__xludf.DUMMYFUNCTION("""COMPUTED_VALUE"""),"")</f>
        <v/>
      </c>
      <c r="P482" s="952">
        <f>IFERROR(__xludf.DUMMYFUNCTION("""COMPUTED_VALUE"""),45132.0)</f>
        <v>45132</v>
      </c>
      <c r="Q482" s="151"/>
    </row>
    <row r="483">
      <c r="A483" s="73"/>
      <c r="B483" s="103" t="str">
        <f>IFERROR(__xludf.DUMMYFUNCTION("""COMPUTED_VALUE"""),"Líderes de Vendas")</f>
        <v>Líderes de Vendas</v>
      </c>
      <c r="C483" s="216" t="str">
        <f>IFERROR(__xludf.DUMMYFUNCTION("""COMPUTED_VALUE"""),"Como conduzir conversas dificeis com vendedores?")</f>
        <v>Como conduzir conversas dificeis com vendedores?</v>
      </c>
      <c r="D483" s="104" t="str">
        <f>IFERROR(__xludf.DUMMYFUNCTION("""COMPUTED_VALUE"""),"Viviane Oliveira")</f>
        <v>Viviane Oliveira</v>
      </c>
      <c r="E483" s="218" t="str">
        <f>IFERROR(__xludf.DUMMYFUNCTION("""COMPUTED_VALUE"""),"Gerente Executiva")</f>
        <v>Gerente Executiva</v>
      </c>
      <c r="F483" s="667" t="str">
        <f>IFERROR(__xludf.DUMMYFUNCTION("""COMPUTED_VALUE"""),"TOTVS")</f>
        <v>TOTVS</v>
      </c>
      <c r="G483" s="872"/>
      <c r="H483" s="667" t="str">
        <f>IFERROR(__xludf.DUMMYFUNCTION("""COMPUTED_VALUE"""),"Relacionamento Interpessoal")</f>
        <v>Relacionamento Interpessoal</v>
      </c>
      <c r="I483" s="667" t="str">
        <f>IFERROR(__xludf.DUMMYFUNCTION("""COMPUTED_VALUE"""),"Comunicação e Relacionamento")</f>
        <v>Comunicação e Relacionamento</v>
      </c>
      <c r="J483" s="667" t="str">
        <f>IFERROR(__xludf.DUMMYFUNCTION("""COMPUTED_VALUE"""),"Comunicação Não-Agressiva")</f>
        <v>Comunicação Não-Agressiva</v>
      </c>
      <c r="K483" s="275" t="str">
        <f>IFERROR(__xludf.DUMMYFUNCTION("""COMPUTED_VALUE"""),"https://universidade.pipelovers.net/m/lessons/como-conduzir-conversas-dificeis-com-vendedores1769552264271?classId=3146")</f>
        <v>https://universidade.pipelovers.net/m/lessons/como-conduzir-conversas-dificeis-com-vendedores1769552264271?classId=3146</v>
      </c>
      <c r="L483" s="535" t="str">
        <f>IFERROR(__xludf.DUMMYFUNCTION("""COMPUTED_VALUE"""),"https://universidade.pipelovers.net/m/lessons/como-conduzir-conversas-dificeis-com-vendedores1769552264271?classId=3146")</f>
        <v>https://universidade.pipelovers.net/m/lessons/como-conduzir-conversas-dificeis-com-vendedores1769552264271?classId=3146</v>
      </c>
      <c r="M483" s="1082">
        <f>IFERROR(__xludf.DUMMYFUNCTION("""COMPUTED_VALUE"""),3.0)</f>
        <v>3</v>
      </c>
      <c r="N483" s="1081" t="str">
        <f>IFERROR(__xludf.DUMMYFUNCTION("""COMPUTED_VALUE"""),"33. PipeLovers 💙 Líderes de Vendas: ""Como conduzir conversas difíceis com vendedores?"" com Viviane Oli (2023-04-18 08:05 GMT-3)")</f>
        <v>33. PipeLovers 💙 Líderes de Vendas: "Como conduzir conversas difíceis com vendedores?" com Viviane Oli (2023-04-18 08:05 GMT-3)</v>
      </c>
      <c r="O483" s="151" t="str">
        <f>IFERROR(__xludf.DUMMYFUNCTION("""COMPUTED_VALUE"""),"")</f>
        <v/>
      </c>
      <c r="P483" s="952">
        <f>IFERROR(__xludf.DUMMYFUNCTION("""COMPUTED_VALUE"""),45139.0)</f>
        <v>45139</v>
      </c>
      <c r="Q483" s="151"/>
    </row>
    <row r="484">
      <c r="A484" s="73"/>
      <c r="B484" s="103" t="str">
        <f>IFERROR(__xludf.DUMMYFUNCTION("""COMPUTED_VALUE"""),"Líderes de Vendas")</f>
        <v>Líderes de Vendas</v>
      </c>
      <c r="C484" s="268" t="str">
        <f>IFERROR(__xludf.DUMMYFUNCTION("""COMPUTED_VALUE"""),"O impacto de comunicar a estratégia da empresa para vendedores")</f>
        <v>O impacto de comunicar a estratégia da empresa para vendedores</v>
      </c>
      <c r="D484" s="119" t="str">
        <f>IFERROR(__xludf.DUMMYFUNCTION("""COMPUTED_VALUE"""),"Jessica Bortolato")</f>
        <v>Jessica Bortolato</v>
      </c>
      <c r="E484" s="303" t="str">
        <f>IFERROR(__xludf.DUMMYFUNCTION("""COMPUTED_VALUE"""),"Vice President of Sales")</f>
        <v>Vice President of Sales</v>
      </c>
      <c r="F484" s="484" t="str">
        <f>IFERROR(__xludf.DUMMYFUNCTION("""COMPUTED_VALUE"""),"Gupy")</f>
        <v>Gupy</v>
      </c>
      <c r="G484" s="878"/>
      <c r="H484" s="484" t="str">
        <f>IFERROR(__xludf.DUMMYFUNCTION("""COMPUTED_VALUE"""),"Relacionamento Interpessoal")</f>
        <v>Relacionamento Interpessoal</v>
      </c>
      <c r="I484" s="484" t="str">
        <f>IFERROR(__xludf.DUMMYFUNCTION("""COMPUTED_VALUE"""),"Liderança e Influência")</f>
        <v>Liderança e Influência</v>
      </c>
      <c r="J484" s="667" t="str">
        <f>IFERROR(__xludf.DUMMYFUNCTION("""COMPUTED_VALUE"""),"Credibilidade e Reputação")</f>
        <v>Credibilidade e Reputação</v>
      </c>
      <c r="K484" s="275" t="str">
        <f>IFERROR(__xludf.DUMMYFUNCTION("""COMPUTED_VALUE"""),"https://universidade.pipelovers.net/m/lessons/o-impacto-de-comunicar-a-estrategia-da-empresa-para-vendedores1769552264297?classId=3200")</f>
        <v>https://universidade.pipelovers.net/m/lessons/o-impacto-de-comunicar-a-estrategia-da-empresa-para-vendedores1769552264297?classId=3200</v>
      </c>
      <c r="L484" s="535" t="str">
        <f>IFERROR(__xludf.DUMMYFUNCTION("""COMPUTED_VALUE"""),"https://universidade.pipelovers.net/m/lessons/o-impacto-de-comunicar-a-estrategia-da-empresa-para-vendedores1769552264297?classId=3200")</f>
        <v>https://universidade.pipelovers.net/m/lessons/o-impacto-de-comunicar-a-estrategia-da-empresa-para-vendedores1769552264297?classId=3200</v>
      </c>
      <c r="M484" s="1085">
        <f>IFERROR(__xludf.DUMMYFUNCTION("""COMPUTED_VALUE"""),3.71)</f>
        <v>3.71</v>
      </c>
      <c r="N484" s="1083" t="str">
        <f>IFERROR(__xludf.DUMMYFUNCTION("""COMPUTED_VALUE"""),"34. PipeLovers 💙 Líderes de Vendas: ""O impacto de comunicar a estratégia da empresa para vendedores"" c (2023-04-25 08:04 GMT-3)")</f>
        <v>34. PipeLovers 💙 Líderes de Vendas: "O impacto de comunicar a estratégia da empresa para vendedores" c (2023-04-25 08:04 GMT-3)</v>
      </c>
      <c r="O484" s="151" t="str">
        <f>IFERROR(__xludf.DUMMYFUNCTION("""COMPUTED_VALUE"""),"")</f>
        <v/>
      </c>
      <c r="P484" s="952">
        <f>IFERROR(__xludf.DUMMYFUNCTION("""COMPUTED_VALUE"""),45146.0)</f>
        <v>45146</v>
      </c>
      <c r="Q484" s="151"/>
    </row>
    <row r="485">
      <c r="A485" s="73"/>
      <c r="B485" s="209" t="str">
        <f>IFERROR(__xludf.DUMMYFUNCTION("""COMPUTED_VALUE"""),"Líderes de Vendas")</f>
        <v>Líderes de Vendas</v>
      </c>
      <c r="C485" s="216" t="str">
        <f>IFERROR(__xludf.DUMMYFUNCTION("""COMPUTED_VALUE"""),"Qual perfil de vendedor ideal para sua empresa?")</f>
        <v>Qual perfil de vendedor ideal para sua empresa?</v>
      </c>
      <c r="D485" s="104" t="str">
        <f>IFERROR(__xludf.DUMMYFUNCTION("""COMPUTED_VALUE"""),"Gustavo Pagotto")</f>
        <v>Gustavo Pagotto</v>
      </c>
      <c r="E485" s="303" t="str">
        <f>IFERROR(__xludf.DUMMYFUNCTION("""COMPUTED_VALUE"""),"Fundador")</f>
        <v>Fundador</v>
      </c>
      <c r="F485" s="484" t="str">
        <f>IFERROR(__xludf.DUMMYFUNCTION("""COMPUTED_VALUE"""),"PipeLovers")</f>
        <v>PipeLovers</v>
      </c>
      <c r="G485" s="879" t="str">
        <f>IFERROR(__xludf.DUMMYFUNCTION("""COMPUTED_VALUE"""),"https://www.linkedin.com/in/gpagotto/")</f>
        <v>https://www.linkedin.com/in/gpagotto/</v>
      </c>
      <c r="H485" s="484" t="str">
        <f>IFERROR(__xludf.DUMMYFUNCTION("""COMPUTED_VALUE"""),"Visão de Negócio")</f>
        <v>Visão de Negócio</v>
      </c>
      <c r="I485" s="484" t="str">
        <f>IFERROR(__xludf.DUMMYFUNCTION("""COMPUTED_VALUE"""),"Conhecimento de Produto e Negócio")</f>
        <v>Conhecimento de Produto e Negócio</v>
      </c>
      <c r="J485" s="484" t="str">
        <f>IFERROR(__xludf.DUMMYFUNCTION("""COMPUTED_VALUE"""),"ICP (Perfil de Cliente Ideal)")</f>
        <v>ICP (Perfil de Cliente Ideal)</v>
      </c>
      <c r="K485" s="275" t="str">
        <f>IFERROR(__xludf.DUMMYFUNCTION("""COMPUTED_VALUE"""),"https://universidade.pipelovers.net/m/lessons/qual-perfil-de-vendedor-ideal-para-sua-empresa1769552264323?classId=3201")</f>
        <v>https://universidade.pipelovers.net/m/lessons/qual-perfil-de-vendedor-ideal-para-sua-empresa1769552264323?classId=3201</v>
      </c>
      <c r="L485" s="535" t="str">
        <f>IFERROR(__xludf.DUMMYFUNCTION("""COMPUTED_VALUE"""),"https://universidade.pipelovers.net/m/lessons/qual-perfil-de-vendedor-ideal-para-sua-empresa1769552264323?classId=3201")</f>
        <v>https://universidade.pipelovers.net/m/lessons/qual-perfil-de-vendedor-ideal-para-sua-empresa1769552264323?classId=3201</v>
      </c>
      <c r="M485" s="1082">
        <f>IFERROR(__xludf.DUMMYFUNCTION("""COMPUTED_VALUE"""),2.0)</f>
        <v>2</v>
      </c>
      <c r="N485" s="1081" t="str">
        <f>IFERROR(__xludf.DUMMYFUNCTION("""COMPUTED_VALUE"""),"35. PipeLovers 💙 Líderes de Vendas: ""Qual perfil de vendedor ideal para sua empresa?"" com Gustavo Pago (2023-05-02 08:05 GMT-3)")</f>
        <v>35. PipeLovers 💙 Líderes de Vendas: "Qual perfil de vendedor ideal para sua empresa?" com Gustavo Pago (2023-05-02 08:05 GMT-3)</v>
      </c>
      <c r="O485" s="110" t="str">
        <f>IFERROR(__xludf.DUMMYFUNCTION("""COMPUTED_VALUE"""),"")</f>
        <v/>
      </c>
      <c r="P485" s="952">
        <f>IFERROR(__xludf.DUMMYFUNCTION("""COMPUTED_VALUE"""),45153.0)</f>
        <v>45153</v>
      </c>
      <c r="Q485" s="110"/>
    </row>
    <row r="486">
      <c r="A486" s="73"/>
      <c r="B486" s="209" t="str">
        <f>IFERROR(__xludf.DUMMYFUNCTION("""COMPUTED_VALUE"""),"Líderes de Vendas")</f>
        <v>Líderes de Vendas</v>
      </c>
      <c r="C486" s="268" t="str">
        <f>IFERROR(__xludf.DUMMYFUNCTION("""COMPUTED_VALUE"""),"Relações Publicas como estratégia de crescimento")</f>
        <v>Relações Publicas como estratégia de crescimento</v>
      </c>
      <c r="D486" s="119" t="str">
        <f>IFERROR(__xludf.DUMMYFUNCTION("""COMPUTED_VALUE"""),"Fernanda Brunsizian ")</f>
        <v>Fernanda Brunsizian </v>
      </c>
      <c r="E486" s="228" t="str">
        <f>IFERROR(__xludf.DUMMYFUNCTION("""COMPUTED_VALUE"""),"Brand and Communications, Latin America")</f>
        <v>Brand and Communications, Latin America</v>
      </c>
      <c r="F486" s="453" t="str">
        <f>IFERROR(__xludf.DUMMYFUNCTION("""COMPUTED_VALUE"""),"Atlas")</f>
        <v>Atlas</v>
      </c>
      <c r="G486" s="904"/>
      <c r="H486" s="453" t="str">
        <f>IFERROR(__xludf.DUMMYFUNCTION("""COMPUTED_VALUE"""),"Relacionamento Interpessoal")</f>
        <v>Relacionamento Interpessoal</v>
      </c>
      <c r="I486" s="453" t="str">
        <f>IFERROR(__xludf.DUMMYFUNCTION("""COMPUTED_VALUE"""),"Liderança e Influência")</f>
        <v>Liderança e Influência</v>
      </c>
      <c r="J486" s="484" t="str">
        <f>IFERROR(__xludf.DUMMYFUNCTION("""COMPUTED_VALUE"""),"Provas Sociais")</f>
        <v>Provas Sociais</v>
      </c>
      <c r="K486" s="275" t="str">
        <f>IFERROR(__xludf.DUMMYFUNCTION("""COMPUTED_VALUE"""),"https://universidade.pipelovers.net/m/lessons/relacoes-publicas-como-estrategia-de-crescimento1769552264352?classId=3202")</f>
        <v>https://universidade.pipelovers.net/m/lessons/relacoes-publicas-como-estrategia-de-crescimento1769552264352?classId=3202</v>
      </c>
      <c r="L486" s="535" t="str">
        <f>IFERROR(__xludf.DUMMYFUNCTION("""COMPUTED_VALUE"""),"https://universidade.pipelovers.net/m/lessons/relacoes-publicas-como-estrategia-de-crescimento1769552264352?classId=3202")</f>
        <v>https://universidade.pipelovers.net/m/lessons/relacoes-publicas-como-estrategia-de-crescimento1769552264352?classId=3202</v>
      </c>
      <c r="M486" s="1085">
        <f>IFERROR(__xludf.DUMMYFUNCTION("""COMPUTED_VALUE"""),4.29)</f>
        <v>4.29</v>
      </c>
      <c r="N486" s="1083" t="str">
        <f>IFERROR(__xludf.DUMMYFUNCTION("""COMPUTED_VALUE"""),"36. PipeLovers 💙 Líderes de Vendas: ""Relações Publicas como estratégia de crescimento"" com Fernanda Br (2023-05-09 08:33 GMT-3)")</f>
        <v>36. PipeLovers 💙 Líderes de Vendas: "Relações Publicas como estratégia de crescimento" com Fernanda Br (2023-05-09 08:33 GMT-3)</v>
      </c>
      <c r="O486" s="110" t="str">
        <f>IFERROR(__xludf.DUMMYFUNCTION("""COMPUTED_VALUE"""),"")</f>
        <v/>
      </c>
      <c r="P486" s="952">
        <f>IFERROR(__xludf.DUMMYFUNCTION("""COMPUTED_VALUE"""),45160.0)</f>
        <v>45160</v>
      </c>
      <c r="Q486" s="110"/>
    </row>
    <row r="487">
      <c r="A487" s="73"/>
      <c r="B487" s="209" t="str">
        <f>IFERROR(__xludf.DUMMYFUNCTION("""COMPUTED_VALUE"""),"Líderes de Vendas")</f>
        <v>Líderes de Vendas</v>
      </c>
      <c r="C487" s="216" t="str">
        <f>IFERROR(__xludf.DUMMYFUNCTION("""COMPUTED_VALUE"""),"Alinhamento entre Marketing e Vendas")</f>
        <v>Alinhamento entre Marketing e Vendas</v>
      </c>
      <c r="D487" s="104" t="str">
        <f>IFERROR(__xludf.DUMMYFUNCTION("""COMPUTED_VALUE"""),"Felipe de la Rosa")</f>
        <v>Felipe de la Rosa</v>
      </c>
      <c r="E487" s="303" t="str">
        <f>IFERROR(__xludf.DUMMYFUNCTION("""COMPUTED_VALUE"""),"Senior Marketing Manager")</f>
        <v>Senior Marketing Manager</v>
      </c>
      <c r="F487" s="484" t="str">
        <f>IFERROR(__xludf.DUMMYFUNCTION("""COMPUTED_VALUE"""),"Nubank")</f>
        <v>Nubank</v>
      </c>
      <c r="G487" s="878"/>
      <c r="H487" s="484" t="str">
        <f>IFERROR(__xludf.DUMMYFUNCTION("""COMPUTED_VALUE"""),"Relacionamento Interpessoal")</f>
        <v>Relacionamento Interpessoal</v>
      </c>
      <c r="I487" s="484" t="str">
        <f>IFERROR(__xludf.DUMMYFUNCTION("""COMPUTED_VALUE"""),"Liderança e Influência")</f>
        <v>Liderança e Influência</v>
      </c>
      <c r="J487" s="453" t="str">
        <f>IFERROR(__xludf.DUMMYFUNCTION("""COMPUTED_VALUE"""),"Gestão de Conflitos e Resolução de Problemas")</f>
        <v>Gestão de Conflitos e Resolução de Problemas</v>
      </c>
      <c r="K487" s="275" t="str">
        <f>IFERROR(__xludf.DUMMYFUNCTION("""COMPUTED_VALUE"""),"https://universidade.pipelovers.net/m/lessons/alinhamento-entre-marketing-e-vendas1769552264387?classId=3203")</f>
        <v>https://universidade.pipelovers.net/m/lessons/alinhamento-entre-marketing-e-vendas1769552264387?classId=3203</v>
      </c>
      <c r="L487" s="535" t="str">
        <f>IFERROR(__xludf.DUMMYFUNCTION("""COMPUTED_VALUE"""),"https://universidade.pipelovers.net/m/lessons/alinhamento-entre-marketing-e-vendas1769552264387?classId=3203")</f>
        <v>https://universidade.pipelovers.net/m/lessons/alinhamento-entre-marketing-e-vendas1769552264387?classId=3203</v>
      </c>
      <c r="M487" s="1082">
        <f>IFERROR(__xludf.DUMMYFUNCTION("""COMPUTED_VALUE"""),4.43)</f>
        <v>4.43</v>
      </c>
      <c r="N487" s="1081" t="str">
        <f>IFERROR(__xludf.DUMMYFUNCTION("""COMPUTED_VALUE"""),"37. PipeLovers 💙 Líderes de Vendas: ""Alinhamento entre Marketing e Vendas"" com Felipe de la Rosa do Nu (2023-05-17 08:05 GMT-3)")</f>
        <v>37. PipeLovers 💙 Líderes de Vendas: "Alinhamento entre Marketing e Vendas" com Felipe de la Rosa do Nu (2023-05-17 08:05 GMT-3)</v>
      </c>
      <c r="O487" s="110" t="str">
        <f>IFERROR(__xludf.DUMMYFUNCTION("""COMPUTED_VALUE"""),"")</f>
        <v/>
      </c>
      <c r="P487" s="952">
        <f>IFERROR(__xludf.DUMMYFUNCTION("""COMPUTED_VALUE"""),45167.0)</f>
        <v>45167</v>
      </c>
      <c r="Q487" s="110"/>
    </row>
    <row r="488">
      <c r="A488" s="73"/>
      <c r="B488" s="209" t="str">
        <f>IFERROR(__xludf.DUMMYFUNCTION("""COMPUTED_VALUE"""),"Líderes de Vendas")</f>
        <v>Líderes de Vendas</v>
      </c>
      <c r="C488" s="268" t="str">
        <f>IFERROR(__xludf.DUMMYFUNCTION("""COMPUTED_VALUE"""),"Pesquisa de NPS como fonte de insights")</f>
        <v>Pesquisa de NPS como fonte de insights</v>
      </c>
      <c r="D488" s="119" t="str">
        <f>IFERROR(__xludf.DUMMYFUNCTION("""COMPUTED_VALUE"""),"Lucas Matoso")</f>
        <v>Lucas Matoso</v>
      </c>
      <c r="E488" s="228" t="str">
        <f>IFERROR(__xludf.DUMMYFUNCTION("""COMPUTED_VALUE"""),"Product Manager")</f>
        <v>Product Manager</v>
      </c>
      <c r="F488" s="453" t="str">
        <f>IFERROR(__xludf.DUMMYFUNCTION("""COMPUTED_VALUE"""),"G4 Educação")</f>
        <v>G4 Educação</v>
      </c>
      <c r="G488" s="904"/>
      <c r="H488" s="453" t="str">
        <f>IFERROR(__xludf.DUMMYFUNCTION("""COMPUTED_VALUE"""),"Conhecimento Técnico")</f>
        <v>Conhecimento Técnico</v>
      </c>
      <c r="I488" s="453" t="str">
        <f>IFERROR(__xludf.DUMMYFUNCTION("""COMPUTED_VALUE"""),"Pensamento Crítico")</f>
        <v>Pensamento Crítico</v>
      </c>
      <c r="J488" s="484" t="str">
        <f>IFERROR(__xludf.DUMMYFUNCTION("""COMPUTED_VALUE"""),"Métricas de Funil")</f>
        <v>Métricas de Funil</v>
      </c>
      <c r="K488" s="275" t="str">
        <f>IFERROR(__xludf.DUMMYFUNCTION("""COMPUTED_VALUE"""),"https://universidade.pipelovers.net/m/lessons/pesquisa-de-nps-como-fonte-de-insights1769552264439?classId=3204")</f>
        <v>https://universidade.pipelovers.net/m/lessons/pesquisa-de-nps-como-fonte-de-insights1769552264439?classId=3204</v>
      </c>
      <c r="L488" s="535" t="str">
        <f>IFERROR(__xludf.DUMMYFUNCTION("""COMPUTED_VALUE"""),"https://universidade.pipelovers.net/m/lessons/pesquisa-de-nps-como-fonte-de-insights1769552264439?classId=3204")</f>
        <v>https://universidade.pipelovers.net/m/lessons/pesquisa-de-nps-como-fonte-de-insights1769552264439?classId=3204</v>
      </c>
      <c r="M488" s="1085">
        <f>IFERROR(__xludf.DUMMYFUNCTION("""COMPUTED_VALUE"""),2.0)</f>
        <v>2</v>
      </c>
      <c r="N488" s="1083" t="str">
        <f>IFERROR(__xludf.DUMMYFUNCTION("""COMPUTED_VALUE"""),"38. PipeLovers 💙 Líderes de Vendas: ""Pesquisa de NPS como fonte de insights"" com Lucas Matoso do G4 Ed (2023-05-23 08:05 GMT-3)")</f>
        <v>38. PipeLovers 💙 Líderes de Vendas: "Pesquisa de NPS como fonte de insights" com Lucas Matoso do G4 Ed (2023-05-23 08:05 GMT-3)</v>
      </c>
      <c r="O488" s="110" t="str">
        <f>IFERROR(__xludf.DUMMYFUNCTION("""COMPUTED_VALUE"""),"")</f>
        <v/>
      </c>
      <c r="P488" s="952">
        <f>IFERROR(__xludf.DUMMYFUNCTION("""COMPUTED_VALUE"""),45174.0)</f>
        <v>45174</v>
      </c>
      <c r="Q488" s="110"/>
    </row>
    <row r="489">
      <c r="A489" s="73"/>
      <c r="B489" s="209" t="str">
        <f>IFERROR(__xludf.DUMMYFUNCTION("""COMPUTED_VALUE"""),"Líderes de Vendas")</f>
        <v>Líderes de Vendas</v>
      </c>
      <c r="C489" s="1113" t="str">
        <f>IFERROR(__xludf.DUMMYFUNCTION("""COMPUTED_VALUE"""),"Rituais efetivos para Gestão de Vendas")</f>
        <v>Rituais efetivos para Gestão de Vendas</v>
      </c>
      <c r="D489" s="104" t="str">
        <f>IFERROR(__xludf.DUMMYFUNCTION("""COMPUTED_VALUE"""),"Rodrigo Costa")</f>
        <v>Rodrigo Costa</v>
      </c>
      <c r="E489" s="303" t="str">
        <f>IFERROR(__xludf.DUMMYFUNCTION("""COMPUTED_VALUE"""),"-")</f>
        <v>-</v>
      </c>
      <c r="F489" s="484" t="str">
        <f>IFERROR(__xludf.DUMMYFUNCTION("""COMPUTED_VALUE"""),"-")</f>
        <v>-</v>
      </c>
      <c r="G489" s="878"/>
      <c r="H489" s="484" t="str">
        <f>IFERROR(__xludf.DUMMYFUNCTION("""COMPUTED_VALUE"""),"Conhecimento Técnico")</f>
        <v>Conhecimento Técnico</v>
      </c>
      <c r="I489" s="484" t="str">
        <f>IFERROR(__xludf.DUMMYFUNCTION("""COMPUTED_VALUE"""),"Gestão de Vendas")</f>
        <v>Gestão de Vendas</v>
      </c>
      <c r="J489" s="453" t="str">
        <f>IFERROR(__xludf.DUMMYFUNCTION("""COMPUTED_VALUE"""),"Rotinas e Rituais")</f>
        <v>Rotinas e Rituais</v>
      </c>
      <c r="K489" s="275" t="str">
        <f>IFERROR(__xludf.DUMMYFUNCTION("""COMPUTED_VALUE"""),"https://universidade.pipelovers.net/m/lessons/rituais-efetivos-para-gestao-de-vendas1769552264515?classId=3205")</f>
        <v>https://universidade.pipelovers.net/m/lessons/rituais-efetivos-para-gestao-de-vendas1769552264515?classId=3205</v>
      </c>
      <c r="L489" s="535" t="str">
        <f>IFERROR(__xludf.DUMMYFUNCTION("""COMPUTED_VALUE"""),"https://universidade.pipelovers.net/m/lessons/rituais-efetivos-para-gestao-de-vendas1769552264515?classId=3205")</f>
        <v>https://universidade.pipelovers.net/m/lessons/rituais-efetivos-para-gestao-de-vendas1769552264515?classId=3205</v>
      </c>
      <c r="M489" s="1082">
        <f>IFERROR(__xludf.DUMMYFUNCTION("""COMPUTED_VALUE"""),3.71)</f>
        <v>3.71</v>
      </c>
      <c r="N489" s="1081" t="str">
        <f>IFERROR(__xludf.DUMMYFUNCTION("""COMPUTED_VALUE"""),"39. PipeLovers 💙 Líderes de Vendas: ""Rituais efetivos para Gestão de Vendas"" com Rodrigo Costa (2023-05-30 08:04 GMT-3)")</f>
        <v>39. PipeLovers 💙 Líderes de Vendas: "Rituais efetivos para Gestão de Vendas" com Rodrigo Costa (2023-05-30 08:04 GMT-3)</v>
      </c>
      <c r="O489" s="110" t="str">
        <f>IFERROR(__xludf.DUMMYFUNCTION("""COMPUTED_VALUE"""),"")</f>
        <v/>
      </c>
      <c r="P489" s="952">
        <f>IFERROR(__xludf.DUMMYFUNCTION("""COMPUTED_VALUE"""),45181.0)</f>
        <v>45181</v>
      </c>
      <c r="Q489" s="110"/>
    </row>
    <row r="490">
      <c r="A490" s="73"/>
      <c r="B490" s="209" t="str">
        <f>IFERROR(__xludf.DUMMYFUNCTION("""COMPUTED_VALUE"""),"Líderes de Vendas")</f>
        <v>Líderes de Vendas</v>
      </c>
      <c r="C490" s="268" t="str">
        <f>IFERROR(__xludf.DUMMYFUNCTION("""COMPUTED_VALUE"""),"Planejamento de Vendas Bottom-Up")</f>
        <v>Planejamento de Vendas Bottom-Up</v>
      </c>
      <c r="D490" s="119" t="str">
        <f>IFERROR(__xludf.DUMMYFUNCTION("""COMPUTED_VALUE"""),"Marcio Martins")</f>
        <v>Marcio Martins</v>
      </c>
      <c r="E490" s="228" t="str">
        <f>IFERROR(__xludf.DUMMYFUNCTION("""COMPUTED_VALUE"""),"Diretor Regional de Desenvolvimento de Negócios - América Latina")</f>
        <v>Diretor Regional de Desenvolvimento de Negócios - América Latina</v>
      </c>
      <c r="F490" s="453" t="str">
        <f>IFERROR(__xludf.DUMMYFUNCTION("""COMPUTED_VALUE"""),"Marsh McLennan")</f>
        <v>Marsh McLennan</v>
      </c>
      <c r="G490" s="904"/>
      <c r="H490" s="453" t="str">
        <f>IFERROR(__xludf.DUMMYFUNCTION("""COMPUTED_VALUE"""),"Conhecimento Técnico")</f>
        <v>Conhecimento Técnico</v>
      </c>
      <c r="I490" s="453" t="str">
        <f>IFERROR(__xludf.DUMMYFUNCTION("""COMPUTED_VALUE"""),"Gestão de Vendas")</f>
        <v>Gestão de Vendas</v>
      </c>
      <c r="J490" s="484" t="str">
        <f>IFERROR(__xludf.DUMMYFUNCTION("""COMPUTED_VALUE"""),"Planejamento Comercial")</f>
        <v>Planejamento Comercial</v>
      </c>
      <c r="K490" s="275" t="str">
        <f>IFERROR(__xludf.DUMMYFUNCTION("""COMPUTED_VALUE"""),"https://universidade.pipelovers.net/m/lessons/planejamento-de-vendas-bottom-up1769552264540?classId=3206")</f>
        <v>https://universidade.pipelovers.net/m/lessons/planejamento-de-vendas-bottom-up1769552264540?classId=3206</v>
      </c>
      <c r="L490" s="535" t="str">
        <f>IFERROR(__xludf.DUMMYFUNCTION("""COMPUTED_VALUE"""),"https://universidade.pipelovers.net/m/lessons/planejamento-de-vendas-bottom-up1769552264540?classId=3206")</f>
        <v>https://universidade.pipelovers.net/m/lessons/planejamento-de-vendas-bottom-up1769552264540?classId=3206</v>
      </c>
      <c r="M490" s="1085">
        <f>IFERROR(__xludf.DUMMYFUNCTION("""COMPUTED_VALUE"""),4.29)</f>
        <v>4.29</v>
      </c>
      <c r="N490" s="1083" t="str">
        <f>IFERROR(__xludf.DUMMYFUNCTION("""COMPUTED_VALUE"""),"40. PipeLovers 💙 Líderes de Vendas - ""Planejamento de Vendas Bottom-Up"" com Marcio Martins da Marsh Mc (2023-06-06 08:05 GMT-3)")</f>
        <v>40. PipeLovers 💙 Líderes de Vendas - "Planejamento de Vendas Bottom-Up" com Marcio Martins da Marsh Mc (2023-06-06 08:05 GMT-3)</v>
      </c>
      <c r="O490" s="110" t="str">
        <f>IFERROR(__xludf.DUMMYFUNCTION("""COMPUTED_VALUE"""),"")</f>
        <v/>
      </c>
      <c r="P490" s="952">
        <f>IFERROR(__xludf.DUMMYFUNCTION("""COMPUTED_VALUE"""),45188.0)</f>
        <v>45188</v>
      </c>
      <c r="Q490" s="110"/>
    </row>
    <row r="491">
      <c r="A491" s="73"/>
      <c r="B491" s="209" t="str">
        <f>IFERROR(__xludf.DUMMYFUNCTION("""COMPUTED_VALUE"""),"Líderes de Vendas")</f>
        <v>Líderes de Vendas</v>
      </c>
      <c r="C491" s="216" t="str">
        <f>IFERROR(__xludf.DUMMYFUNCTION("""COMPUTED_VALUE"""),"Saúde Mental para Lideres de Vendas")</f>
        <v>Saúde Mental para Lideres de Vendas</v>
      </c>
      <c r="D491" s="104" t="str">
        <f>IFERROR(__xludf.DUMMYFUNCTION("""COMPUTED_VALUE"""),"Luciano Santos")</f>
        <v>Luciano Santos</v>
      </c>
      <c r="E491" s="303" t="str">
        <f>IFERROR(__xludf.DUMMYFUNCTION("""COMPUTED_VALUE"""),"Autor, Mentor e Palestrante")</f>
        <v>Autor, Mentor e Palestrante</v>
      </c>
      <c r="F491" s="484"/>
      <c r="G491" s="878"/>
      <c r="H491" s="484" t="str">
        <f>IFERROR(__xludf.DUMMYFUNCTION("""COMPUTED_VALUE"""),"Autodesenvolvimento")</f>
        <v>Autodesenvolvimento</v>
      </c>
      <c r="I491" s="484" t="str">
        <f>IFERROR(__xludf.DUMMYFUNCTION("""COMPUTED_VALUE"""),"Inteligência Emocional")</f>
        <v>Inteligência Emocional</v>
      </c>
      <c r="J491" s="453" t="str">
        <f>IFERROR(__xludf.DUMMYFUNCTION("""COMPUTED_VALUE"""),"Resiliência")</f>
        <v>Resiliência</v>
      </c>
      <c r="K491" s="275" t="str">
        <f>IFERROR(__xludf.DUMMYFUNCTION("""COMPUTED_VALUE"""),"https://universidade.pipelovers.net/m/lessons/saude-mental-para-lideres-de-vendas1769552264576?classId=3207")</f>
        <v>https://universidade.pipelovers.net/m/lessons/saude-mental-para-lideres-de-vendas1769552264576?classId=3207</v>
      </c>
      <c r="L491" s="535" t="str">
        <f>IFERROR(__xludf.DUMMYFUNCTION("""COMPUTED_VALUE"""),"https://universidade.pipelovers.net/m/lessons/saude-mental-para-lideres-de-vendas1769552264576?classId=3207")</f>
        <v>https://universidade.pipelovers.net/m/lessons/saude-mental-para-lideres-de-vendas1769552264576?classId=3207</v>
      </c>
      <c r="M491" s="1082">
        <f>IFERROR(__xludf.DUMMYFUNCTION("""COMPUTED_VALUE"""),3.71)</f>
        <v>3.71</v>
      </c>
      <c r="N491" s="1081" t="str">
        <f>IFERROR(__xludf.DUMMYFUNCTION("""COMPUTED_VALUE"""),"41. PipeLovers 💙 Líderes de Vendas: "" Saúde Mental para Lideres de Vendas "" com Luciano Santos. (2023-06-13 08:34 GMT-3)")</f>
        <v>41. PipeLovers 💙 Líderes de Vendas: " Saúde Mental para Lideres de Vendas " com Luciano Santos. (2023-06-13 08:34 GMT-3)</v>
      </c>
      <c r="O491" s="293" t="str">
        <f>IFERROR(__xludf.DUMMYFUNCTION("""COMPUTED_VALUE"""),"")</f>
        <v/>
      </c>
      <c r="P491" s="952">
        <f>IFERROR(__xludf.DUMMYFUNCTION("""COMPUTED_VALUE"""),45195.0)</f>
        <v>45195</v>
      </c>
      <c r="Q491" s="293"/>
    </row>
    <row r="492">
      <c r="A492" s="73"/>
      <c r="B492" s="209" t="str">
        <f>IFERROR(__xludf.DUMMYFUNCTION("""COMPUTED_VALUE"""),"Líderes de Vendas")</f>
        <v>Líderes de Vendas</v>
      </c>
      <c r="C492" s="268" t="str">
        <f>IFERROR(__xludf.DUMMYFUNCTION("""COMPUTED_VALUE"""),"Estratégias de Internacionalização")</f>
        <v>Estratégias de Internacionalização</v>
      </c>
      <c r="D492" s="119" t="str">
        <f>IFERROR(__xludf.DUMMYFUNCTION("""COMPUTED_VALUE"""),"João Pedro Roth")</f>
        <v>João Pedro Roth</v>
      </c>
      <c r="E492" s="228" t="str">
        <f>IFERROR(__xludf.DUMMYFUNCTION("""COMPUTED_VALUE"""),"Sr. Manager, New Business")</f>
        <v>Sr. Manager, New Business</v>
      </c>
      <c r="F492" s="453" t="str">
        <f>IFERROR(__xludf.DUMMYFUNCTION("""COMPUTED_VALUE"""),"Lemon")</f>
        <v>Lemon</v>
      </c>
      <c r="G492" s="904"/>
      <c r="H492" s="453" t="str">
        <f>IFERROR(__xludf.DUMMYFUNCTION("""COMPUTED_VALUE"""),"Visão de Negócio")</f>
        <v>Visão de Negócio</v>
      </c>
      <c r="I492" s="453" t="str">
        <f>IFERROR(__xludf.DUMMYFUNCTION("""COMPUTED_VALUE"""),"Tendencias de mercado")</f>
        <v>Tendencias de mercado</v>
      </c>
      <c r="J492" s="484" t="str">
        <f>IFERROR(__xludf.DUMMYFUNCTION("""COMPUTED_VALUE"""),"Cenário Internacional")</f>
        <v>Cenário Internacional</v>
      </c>
      <c r="K492" s="282" t="str">
        <f>IFERROR(__xludf.DUMMYFUNCTION("""COMPUTED_VALUE"""),"https://universidade.pipelovers.net/m/lessons/estrategias-de-internacionalizacao1769552264608?classId=3208")</f>
        <v>https://universidade.pipelovers.net/m/lessons/estrategias-de-internacionalizacao1769552264608?classId=3208</v>
      </c>
      <c r="L492" s="500" t="str">
        <f>IFERROR(__xludf.DUMMYFUNCTION("""COMPUTED_VALUE"""),"https://universidade.pipelovers.net/m/lessons/estrategias-de-internacionalizacao1769552264608?classId=3208")</f>
        <v>https://universidade.pipelovers.net/m/lessons/estrategias-de-internacionalizacao1769552264608?classId=3208</v>
      </c>
      <c r="M492" s="1085">
        <f>IFERROR(__xludf.DUMMYFUNCTION("""COMPUTED_VALUE"""),3.0)</f>
        <v>3</v>
      </c>
      <c r="N492" s="1083" t="str">
        <f>IFERROR(__xludf.DUMMYFUNCTION("""COMPUTED_VALUE"""),"42. PipeLovers 💙 Líderes de Vendas: ""Estratégias de Internacionalização"" com João Roth (2023-06-20 08:05 GMT-3)")</f>
        <v>42. PipeLovers 💙 Líderes de Vendas: "Estratégias de Internacionalização" com João Roth (2023-06-20 08:05 GMT-3)</v>
      </c>
      <c r="O492" s="110" t="str">
        <f>IFERROR(__xludf.DUMMYFUNCTION("""COMPUTED_VALUE"""),"")</f>
        <v/>
      </c>
      <c r="P492" s="952">
        <f>IFERROR(__xludf.DUMMYFUNCTION("""COMPUTED_VALUE"""),45202.0)</f>
        <v>45202</v>
      </c>
      <c r="Q492" s="110"/>
    </row>
    <row r="493">
      <c r="A493" s="73"/>
      <c r="B493" s="209" t="str">
        <f>IFERROR(__xludf.DUMMYFUNCTION("""COMPUTED_VALUE"""),"Líderes de Vendas")</f>
        <v>Líderes de Vendas</v>
      </c>
      <c r="C493" s="216" t="str">
        <f>IFERROR(__xludf.DUMMYFUNCTION("""COMPUTED_VALUE"""),"Como formar um vendedor como seu sucessor?")</f>
        <v>Como formar um vendedor como seu sucessor?</v>
      </c>
      <c r="D493" s="104" t="str">
        <f>IFERROR(__xludf.DUMMYFUNCTION("""COMPUTED_VALUE"""),"Amanda Oliveira")</f>
        <v>Amanda Oliveira</v>
      </c>
      <c r="E493" s="303" t="str">
        <f>IFERROR(__xludf.DUMMYFUNCTION("""COMPUTED_VALUE"""),"Head of New Business")</f>
        <v>Head of New Business</v>
      </c>
      <c r="F493" s="484" t="str">
        <f>IFERROR(__xludf.DUMMYFUNCTION("""COMPUTED_VALUE"""),"LinkedIn")</f>
        <v>LinkedIn</v>
      </c>
      <c r="G493" s="878"/>
      <c r="H493" s="484" t="str">
        <f>IFERROR(__xludf.DUMMYFUNCTION("""COMPUTED_VALUE"""),"Relacionamento Interpessoal")</f>
        <v>Relacionamento Interpessoal</v>
      </c>
      <c r="I493" s="484" t="str">
        <f>IFERROR(__xludf.DUMMYFUNCTION("""COMPUTED_VALUE"""),"Liderança e Influência")</f>
        <v>Liderança e Influência</v>
      </c>
      <c r="J493" s="453" t="str">
        <f>IFERROR(__xludf.DUMMYFUNCTION("""COMPUTED_VALUE"""),"Mentoria e Desenvolvimento de Talentos")</f>
        <v>Mentoria e Desenvolvimento de Talentos</v>
      </c>
      <c r="K493" s="275" t="str">
        <f>IFERROR(__xludf.DUMMYFUNCTION("""COMPUTED_VALUE"""),"https://universidade.pipelovers.net/m/lessons/como-formar-um-vendedor-como-seu-sucessor1769552264640?classId=3209")</f>
        <v>https://universidade.pipelovers.net/m/lessons/como-formar-um-vendedor-como-seu-sucessor1769552264640?classId=3209</v>
      </c>
      <c r="L493" s="535" t="str">
        <f>IFERROR(__xludf.DUMMYFUNCTION("""COMPUTED_VALUE"""),"https://universidade.pipelovers.net/m/lessons/como-formar-um-vendedor-como-seu-sucessor1769552264640?classId=3209")</f>
        <v>https://universidade.pipelovers.net/m/lessons/como-formar-um-vendedor-como-seu-sucessor1769552264640?classId=3209</v>
      </c>
      <c r="M493" s="1082">
        <f>IFERROR(__xludf.DUMMYFUNCTION("""COMPUTED_VALUE"""),3.71)</f>
        <v>3.71</v>
      </c>
      <c r="N493" s="1081" t="str">
        <f>IFERROR(__xludf.DUMMYFUNCTION("""COMPUTED_VALUE""")," 43. PipeLovers 💙 Líderes de Vendas: ""Como formar um vendedor como seu sucessor?"" com Amanda Oliveira d (2023-06-27 13:06 GMT-3)")</f>
        <v> 43. PipeLovers 💙 Líderes de Vendas: "Como formar um vendedor como seu sucessor?" com Amanda Oliveira d (2023-06-27 13:06 GMT-3)</v>
      </c>
      <c r="O493" s="110" t="str">
        <f>IFERROR(__xludf.DUMMYFUNCTION("""COMPUTED_VALUE"""),"")</f>
        <v/>
      </c>
      <c r="P493" s="952">
        <f>IFERROR(__xludf.DUMMYFUNCTION("""COMPUTED_VALUE"""),45209.0)</f>
        <v>45209</v>
      </c>
      <c r="Q493" s="110"/>
    </row>
    <row r="494">
      <c r="A494" s="73"/>
      <c r="B494" s="209" t="str">
        <f>IFERROR(__xludf.DUMMYFUNCTION("""COMPUTED_VALUE"""),"Líderes de Vendas")</f>
        <v>Líderes de Vendas</v>
      </c>
      <c r="C494" s="268" t="str">
        <f>IFERROR(__xludf.DUMMYFUNCTION("""COMPUTED_VALUE"""),"A importância de idiomas na sua carreira ")</f>
        <v>A importância de idiomas na sua carreira </v>
      </c>
      <c r="D494" s="119" t="str">
        <f>IFERROR(__xludf.DUMMYFUNCTION("""COMPUTED_VALUE"""),"Martin Barquinero")</f>
        <v>Martin Barquinero</v>
      </c>
      <c r="E494" s="228" t="str">
        <f>IFERROR(__xludf.DUMMYFUNCTION("""COMPUTED_VALUE"""),"Diretor de Vendas B2B")</f>
        <v>Diretor de Vendas B2B</v>
      </c>
      <c r="F494" s="453" t="str">
        <f>IFERROR(__xludf.DUMMYFUNCTION("""COMPUTED_VALUE"""),"Open English")</f>
        <v>Open English</v>
      </c>
      <c r="G494" s="904"/>
      <c r="H494" s="453" t="str">
        <f>IFERROR(__xludf.DUMMYFUNCTION("""COMPUTED_VALUE"""),"Autodesenvolvimento")</f>
        <v>Autodesenvolvimento</v>
      </c>
      <c r="I494" s="453" t="str">
        <f>IFERROR(__xludf.DUMMYFUNCTION("""COMPUTED_VALUE"""),"Aprendizado Ativo")</f>
        <v>Aprendizado Ativo</v>
      </c>
      <c r="J494" s="484" t="str">
        <f>IFERROR(__xludf.DUMMYFUNCTION("""COMPUTED_VALUE"""),"Benchmarking")</f>
        <v>Benchmarking</v>
      </c>
      <c r="K494" s="275" t="str">
        <f>IFERROR(__xludf.DUMMYFUNCTION("""COMPUTED_VALUE"""),"https://universidade.pipelovers.net/aulas/a-importancia-de-idiomas-na-sua-carreira-1775811110807")</f>
        <v>https://universidade.pipelovers.net/aulas/a-importancia-de-idiomas-na-sua-carreira-1775811110807</v>
      </c>
      <c r="L494" s="535" t="str">
        <f>IFERROR(__xludf.DUMMYFUNCTION("""COMPUTED_VALUE"""),"https://universidade.pipelovers.net/aulas/a-importancia-de-idiomas-na-sua-carreira-1775811110807")</f>
        <v>https://universidade.pipelovers.net/aulas/a-importancia-de-idiomas-na-sua-carreira-1775811110807</v>
      </c>
      <c r="M494" s="1085">
        <f>IFERROR(__xludf.DUMMYFUNCTION("""COMPUTED_VALUE"""),2.0)</f>
        <v>2</v>
      </c>
      <c r="N494" s="1083" t="str">
        <f>IFERROR(__xludf.DUMMYFUNCTION("""COMPUTED_VALUE"""),"44. PipeLovers 💙 Líderes de Vendas: ""A importância de idiomas na sua carreira em vendas"" com Martin Ba (2023-07-11 08:05 GMT-3)")</f>
        <v>44. PipeLovers 💙 Líderes de Vendas: "A importância de idiomas na sua carreira em vendas" com Martin Ba (2023-07-11 08:05 GMT-3)</v>
      </c>
      <c r="O494" s="110" t="str">
        <f>IFERROR(__xludf.DUMMYFUNCTION("""COMPUTED_VALUE"""),"")</f>
        <v/>
      </c>
      <c r="P494" s="952">
        <f>IFERROR(__xludf.DUMMYFUNCTION("""COMPUTED_VALUE"""),45216.0)</f>
        <v>45216</v>
      </c>
      <c r="Q494" s="110"/>
    </row>
    <row r="495">
      <c r="A495" s="73"/>
      <c r="B495" s="209" t="str">
        <f>IFERROR(__xludf.DUMMYFUNCTION("""COMPUTED_VALUE"""),"Líderes de Vendas")</f>
        <v>Líderes de Vendas</v>
      </c>
      <c r="C495" s="1113" t="str">
        <f>IFERROR(__xludf.DUMMYFUNCTION("""COMPUTED_VALUE"""),"Como estruturar uma nova unidade de negócios")</f>
        <v>Como estruturar uma nova unidade de negócios</v>
      </c>
      <c r="D495" s="104" t="str">
        <f>IFERROR(__xludf.DUMMYFUNCTION("""COMPUTED_VALUE"""),"Fernanda Ferraz")</f>
        <v>Fernanda Ferraz</v>
      </c>
      <c r="E495" s="303" t="str">
        <f>IFERROR(__xludf.DUMMYFUNCTION("""COMPUTED_VALUE"""),"Diretora Geral")</f>
        <v>Diretora Geral</v>
      </c>
      <c r="F495" s="484" t="str">
        <f>IFERROR(__xludf.DUMMYFUNCTION("""COMPUTED_VALUE"""),"Wiipo by Senior")</f>
        <v>Wiipo by Senior</v>
      </c>
      <c r="G495" s="878"/>
      <c r="H495" s="484" t="str">
        <f>IFERROR(__xludf.DUMMYFUNCTION("""COMPUTED_VALUE"""),"Visão de Negócio")</f>
        <v>Visão de Negócio</v>
      </c>
      <c r="I495" s="484" t="str">
        <f>IFERROR(__xludf.DUMMYFUNCTION("""COMPUTED_VALUE"""),"Conhecimento de Produto e Negócio")</f>
        <v>Conhecimento de Produto e Negócio</v>
      </c>
      <c r="J495" s="453" t="str">
        <f>IFERROR(__xludf.DUMMYFUNCTION("""COMPUTED_VALUE"""),"Posicionamento de Produto")</f>
        <v>Posicionamento de Produto</v>
      </c>
      <c r="K495" s="275" t="str">
        <f>IFERROR(__xludf.DUMMYFUNCTION("""COMPUTED_VALUE"""),"https://universidade.pipelovers.net/m/lessons/como-estruturar-uma-nova-unidade-de-negocios1769552264713?classId=3211")</f>
        <v>https://universidade.pipelovers.net/m/lessons/como-estruturar-uma-nova-unidade-de-negocios1769552264713?classId=3211</v>
      </c>
      <c r="L495" s="535" t="str">
        <f>IFERROR(__xludf.DUMMYFUNCTION("""COMPUTED_VALUE"""),"https://universidade.pipelovers.net/m/lessons/como-estruturar-uma-nova-unidade-de-negocios1769552264713?classId=3211")</f>
        <v>https://universidade.pipelovers.net/m/lessons/como-estruturar-uma-nova-unidade-de-negocios1769552264713?classId=3211</v>
      </c>
      <c r="M495" s="1082">
        <f>IFERROR(__xludf.DUMMYFUNCTION("""COMPUTED_VALUE"""),2.0)</f>
        <v>2</v>
      </c>
      <c r="N495" s="1081" t="str">
        <f>IFERROR(__xludf.DUMMYFUNCTION("""COMPUTED_VALUE"""),"45. PipeLovers 💙 Líderes de Vendas: ""Como estruturar uma nova unidade de negócios"" com Fernanda Ferraz (2023-07-18 18:37 GMT-3)")</f>
        <v>45. PipeLovers 💙 Líderes de Vendas: "Como estruturar uma nova unidade de negócios" com Fernanda Ferraz (2023-07-18 18:37 GMT-3)</v>
      </c>
      <c r="O495" s="110" t="str">
        <f>IFERROR(__xludf.DUMMYFUNCTION("""COMPUTED_VALUE"""),"")</f>
        <v/>
      </c>
      <c r="P495" s="952">
        <f>IFERROR(__xludf.DUMMYFUNCTION("""COMPUTED_VALUE"""),45223.0)</f>
        <v>45223</v>
      </c>
      <c r="Q495" s="110"/>
    </row>
    <row r="496">
      <c r="A496" s="73"/>
      <c r="B496" s="209" t="str">
        <f>IFERROR(__xludf.DUMMYFUNCTION("""COMPUTED_VALUE"""),"Líderes de Vendas")</f>
        <v>Líderes de Vendas</v>
      </c>
      <c r="C496" s="268" t="str">
        <f>IFERROR(__xludf.DUMMYFUNCTION("""COMPUTED_VALUE"""),"Vendas Omnichannel: aumentando a conversão de vendas com comunicação 360")</f>
        <v>Vendas Omnichannel: aumentando a conversão de vendas com comunicação 360</v>
      </c>
      <c r="D496" s="119" t="str">
        <f>IFERROR(__xludf.DUMMYFUNCTION("""COMPUTED_VALUE"""),"Ricardo Gonçalves ")</f>
        <v>Ricardo Gonçalves </v>
      </c>
      <c r="E496" s="228" t="str">
        <f>IFERROR(__xludf.DUMMYFUNCTION("""COMPUTED_VALUE"""),"Country Manager")</f>
        <v>Country Manager</v>
      </c>
      <c r="F496" s="453" t="str">
        <f>IFERROR(__xludf.DUMMYFUNCTION("""COMPUTED_VALUE"""),"SleekFlow")</f>
        <v>SleekFlow</v>
      </c>
      <c r="G496" s="904"/>
      <c r="H496" s="453" t="str">
        <f>IFERROR(__xludf.DUMMYFUNCTION("""COMPUTED_VALUE"""),"Conhecimento Técnico")</f>
        <v>Conhecimento Técnico</v>
      </c>
      <c r="I496" s="453" t="str">
        <f>IFERROR(__xludf.DUMMYFUNCTION("""COMPUTED_VALUE"""),"Técnicas de Vendas")</f>
        <v>Técnicas de Vendas</v>
      </c>
      <c r="J496" s="484" t="str">
        <f>IFERROR(__xludf.DUMMYFUNCTION("""COMPUTED_VALUE"""),"Abordagem e Prospecção")</f>
        <v>Abordagem e Prospecção</v>
      </c>
      <c r="K496" s="282" t="str">
        <f>IFERROR(__xludf.DUMMYFUNCTION("""COMPUTED_VALUE"""),"https://universidade.pipelovers.net/m/lessons/vendas-omnichannel-aumentando-a-conversao-de-vendas-com-comunicacao-3601769552264744?classId=3212")</f>
        <v>https://universidade.pipelovers.net/m/lessons/vendas-omnichannel-aumentando-a-conversao-de-vendas-com-comunicacao-3601769552264744?classId=3212</v>
      </c>
      <c r="L496" s="500" t="str">
        <f>IFERROR(__xludf.DUMMYFUNCTION("""COMPUTED_VALUE"""),"https://universidade.pipelovers.net/m/lessons/vendas-omnichannel-aumentando-a-conversao-de-vendas-com-comunicacao-3601769552264744?classId=3212")</f>
        <v>https://universidade.pipelovers.net/m/lessons/vendas-omnichannel-aumentando-a-conversao-de-vendas-com-comunicacao-3601769552264744?classId=3212</v>
      </c>
      <c r="M496" s="1085">
        <f>IFERROR(__xludf.DUMMYFUNCTION("""COMPUTED_VALUE"""),3.0)</f>
        <v>3</v>
      </c>
      <c r="N496" s="1083" t="str">
        <f>IFERROR(__xludf.DUMMYFUNCTION("""COMPUTED_VALUE"""),"46. PipeLovers 💙 Líderes de Vendas: ""Vendas Omnichannel: aumentando a conversão de vendas com comunica (2023-07-25 08:06 GMT-3)")</f>
        <v>46. PipeLovers 💙 Líderes de Vendas: "Vendas Omnichannel: aumentando a conversão de vendas com comunica (2023-07-25 08:06 GMT-3)</v>
      </c>
      <c r="O496" s="110" t="str">
        <f>IFERROR(__xludf.DUMMYFUNCTION("""COMPUTED_VALUE"""),"")</f>
        <v/>
      </c>
      <c r="P496" s="952">
        <f>IFERROR(__xludf.DUMMYFUNCTION("""COMPUTED_VALUE"""),45230.0)</f>
        <v>45230</v>
      </c>
      <c r="Q496" s="110"/>
    </row>
    <row r="497">
      <c r="A497" s="73"/>
      <c r="B497" s="209" t="str">
        <f>IFERROR(__xludf.DUMMYFUNCTION("""COMPUTED_VALUE"""),"Líderes de Vendas")</f>
        <v>Líderes de Vendas</v>
      </c>
      <c r="C497" s="1113" t="str">
        <f>IFERROR(__xludf.DUMMYFUNCTION("""COMPUTED_VALUE"""),"Carreira em rede: rotacionando dentro da organização")</f>
        <v>Carreira em rede: rotacionando dentro da organização</v>
      </c>
      <c r="D497" s="119" t="str">
        <f>IFERROR(__xludf.DUMMYFUNCTION("""COMPUTED_VALUE"""),"Alexandre Murat")</f>
        <v>Alexandre Murat</v>
      </c>
      <c r="E497" s="303" t="str">
        <f>IFERROR(__xludf.DUMMYFUNCTION("""COMPUTED_VALUE"""),"-")</f>
        <v>-</v>
      </c>
      <c r="F497" s="484" t="str">
        <f>IFERROR(__xludf.DUMMYFUNCTION("""COMPUTED_VALUE"""),"-")</f>
        <v>-</v>
      </c>
      <c r="G497" s="878"/>
      <c r="H497" s="484" t="str">
        <f>IFERROR(__xludf.DUMMYFUNCTION("""COMPUTED_VALUE"""),"Relacionamento Interpessoal")</f>
        <v>Relacionamento Interpessoal</v>
      </c>
      <c r="I497" s="484" t="str">
        <f>IFERROR(__xludf.DUMMYFUNCTION("""COMPUTED_VALUE"""),"Liderança e Influência")</f>
        <v>Liderança e Influência</v>
      </c>
      <c r="J497" s="453" t="str">
        <f>IFERROR(__xludf.DUMMYFUNCTION("""COMPUTED_VALUE"""),"Mentoria e Desenvolvimento de Talentos")</f>
        <v>Mentoria e Desenvolvimento de Talentos</v>
      </c>
      <c r="K497" s="275" t="str">
        <f>IFERROR(__xludf.DUMMYFUNCTION("""COMPUTED_VALUE"""),"https://universidade.pipelovers.net/m/lessons/carreira-em-rede-rotacionando-dentro-da-organizacao1769552267627?classId=3214")</f>
        <v>https://universidade.pipelovers.net/m/lessons/carreira-em-rede-rotacionando-dentro-da-organizacao1769552267627?classId=3214</v>
      </c>
      <c r="L497" s="535" t="str">
        <f>IFERROR(__xludf.DUMMYFUNCTION("""COMPUTED_VALUE"""),"https://universidade.pipelovers.net/m/lessons/carreira-em-rede-rotacionando-dentro-da-organizacao1769552267627?classId=3214")</f>
        <v>https://universidade.pipelovers.net/m/lessons/carreira-em-rede-rotacionando-dentro-da-organizacao1769552267627?classId=3214</v>
      </c>
      <c r="M497" s="1082">
        <f>IFERROR(__xludf.DUMMYFUNCTION("""COMPUTED_VALUE"""),2.0)</f>
        <v>2</v>
      </c>
      <c r="N497" s="1081" t="str">
        <f>IFERROR(__xludf.DUMMYFUNCTION("""COMPUTED_VALUE"""),"47. PipeLovers 💙 Líderes de Vendas: ""Carreira em rede: rotacionando dentro da organização"" com Alexand (2023-08-01 08:05 GMT-3)")</f>
        <v>47. PipeLovers 💙 Líderes de Vendas: "Carreira em rede: rotacionando dentro da organização" com Alexand (2023-08-01 08:05 GMT-3)</v>
      </c>
      <c r="O497" s="110" t="str">
        <f>IFERROR(__xludf.DUMMYFUNCTION("""COMPUTED_VALUE"""),"")</f>
        <v/>
      </c>
      <c r="P497" s="952">
        <f>IFERROR(__xludf.DUMMYFUNCTION("""COMPUTED_VALUE"""),45237.0)</f>
        <v>45237</v>
      </c>
      <c r="Q497" s="110"/>
    </row>
    <row r="498">
      <c r="A498" s="73"/>
      <c r="B498" s="209" t="str">
        <f>IFERROR(__xludf.DUMMYFUNCTION("""COMPUTED_VALUE"""),"Líderes de Vendas")</f>
        <v>Líderes de Vendas</v>
      </c>
      <c r="C498" s="1115" t="str">
        <f>IFERROR(__xludf.DUMMYFUNCTION("""COMPUTED_VALUE"""),"SPIN Selling como metodologia em todo funil de vendas ")</f>
        <v>SPIN Selling como metodologia em todo funil de vendas </v>
      </c>
      <c r="D498" s="104" t="str">
        <f>IFERROR(__xludf.DUMMYFUNCTION("""COMPUTED_VALUE"""),"Bruno Lotfi")</f>
        <v>Bruno Lotfi</v>
      </c>
      <c r="E498" s="228" t="str">
        <f>IFERROR(__xludf.DUMMYFUNCTION("""COMPUTED_VALUE"""),"Vice President - Sales &amp; Marketing")</f>
        <v>Vice President - Sales &amp; Marketing</v>
      </c>
      <c r="F498" s="453" t="str">
        <f>IFERROR(__xludf.DUMMYFUNCTION("""COMPUTED_VALUE"""),"Buonny")</f>
        <v>Buonny</v>
      </c>
      <c r="G498" s="904"/>
      <c r="H498" s="453" t="str">
        <f>IFERROR(__xludf.DUMMYFUNCTION("""COMPUTED_VALUE"""),"Conhecimento Técnico")</f>
        <v>Conhecimento Técnico</v>
      </c>
      <c r="I498" s="453" t="str">
        <f>IFERROR(__xludf.DUMMYFUNCTION("""COMPUTED_VALUE"""),"Gestão de Vendas")</f>
        <v>Gestão de Vendas</v>
      </c>
      <c r="J498" s="484" t="str">
        <f>IFERROR(__xludf.DUMMYFUNCTION("""COMPUTED_VALUE"""),"Metodologia de Vendas")</f>
        <v>Metodologia de Vendas</v>
      </c>
      <c r="K498" s="275" t="str">
        <f>IFERROR(__xludf.DUMMYFUNCTION("""COMPUTED_VALUE"""),"https://universidade.pipelovers.net/aulas/spin-selling-como-metodologia-em-todo-funil-de-vendas-1775811498821")</f>
        <v>https://universidade.pipelovers.net/aulas/spin-selling-como-metodologia-em-todo-funil-de-vendas-1775811498821</v>
      </c>
      <c r="L498" s="535" t="str">
        <f>IFERROR(__xludf.DUMMYFUNCTION("""COMPUTED_VALUE"""),"https://universidade.pipelovers.net/aulas/spin-selling-como-metodologia-em-todo-funil-de-vendas-1775811498821")</f>
        <v>https://universidade.pipelovers.net/aulas/spin-selling-como-metodologia-em-todo-funil-de-vendas-1775811498821</v>
      </c>
      <c r="M498" s="1085">
        <f>IFERROR(__xludf.DUMMYFUNCTION("""COMPUTED_VALUE"""),2.0)</f>
        <v>2</v>
      </c>
      <c r="N498" s="1083" t="str">
        <f>IFERROR(__xludf.DUMMYFUNCTION("""COMPUTED_VALUE"""),"48. PipeLovers 💙 Líderes de Vendas: SPIN Selling como metodologia em todo funil de vendas  (2023-08-08 08:04 GMT-3)")</f>
        <v>48. PipeLovers 💙 Líderes de Vendas: SPIN Selling como metodologia em todo funil de vendas  (2023-08-08 08:04 GMT-3)</v>
      </c>
      <c r="O498" s="110" t="str">
        <f>IFERROR(__xludf.DUMMYFUNCTION("""COMPUTED_VALUE"""),"")</f>
        <v/>
      </c>
      <c r="P498" s="952">
        <f>IFERROR(__xludf.DUMMYFUNCTION("""COMPUTED_VALUE"""),45244.0)</f>
        <v>45244</v>
      </c>
      <c r="Q498" s="110"/>
    </row>
    <row r="499">
      <c r="A499" s="73"/>
      <c r="B499" s="209" t="str">
        <f>IFERROR(__xludf.DUMMYFUNCTION("""COMPUTED_VALUE"""),"Líderes de Vendas")</f>
        <v>Líderes de Vendas</v>
      </c>
      <c r="C499" s="216" t="str">
        <f>IFERROR(__xludf.DUMMYFUNCTION("""COMPUTED_VALUE"""),"Construção e gestão de playbooks de vendas")</f>
        <v>Construção e gestão de playbooks de vendas</v>
      </c>
      <c r="D499" s="119" t="str">
        <f>IFERROR(__xludf.DUMMYFUNCTION("""COMPUTED_VALUE"""),"Henrique Pimentel")</f>
        <v>Henrique Pimentel</v>
      </c>
      <c r="E499" s="303" t="str">
        <f>IFERROR(__xludf.DUMMYFUNCTION("""COMPUTED_VALUE"""),"Fundador")</f>
        <v>Fundador</v>
      </c>
      <c r="F499" s="484" t="str">
        <f>IFERROR(__xludf.DUMMYFUNCTION("""COMPUTED_VALUE"""),"Playbooks")</f>
        <v>Playbooks</v>
      </c>
      <c r="G499" s="878"/>
      <c r="H499" s="484" t="str">
        <f>IFERROR(__xludf.DUMMYFUNCTION("""COMPUTED_VALUE"""),"Conhecimento Técnico")</f>
        <v>Conhecimento Técnico</v>
      </c>
      <c r="I499" s="484" t="str">
        <f>IFERROR(__xludf.DUMMYFUNCTION("""COMPUTED_VALUE"""),"Gestão de Vendas")</f>
        <v>Gestão de Vendas</v>
      </c>
      <c r="J499" s="453" t="str">
        <f>IFERROR(__xludf.DUMMYFUNCTION("""COMPUTED_VALUE"""),"Ferramentas de Vendas")</f>
        <v>Ferramentas de Vendas</v>
      </c>
      <c r="K499" s="275" t="str">
        <f>IFERROR(__xludf.DUMMYFUNCTION("""COMPUTED_VALUE"""),"https://universidade.pipelovers.net/m/lessons/construcao-e-gestao-de-playbooks-de-vendas1769552267688?classId=3220")</f>
        <v>https://universidade.pipelovers.net/m/lessons/construcao-e-gestao-de-playbooks-de-vendas1769552267688?classId=3220</v>
      </c>
      <c r="L499" s="535" t="str">
        <f>IFERROR(__xludf.DUMMYFUNCTION("""COMPUTED_VALUE"""),"https://universidade.pipelovers.net/m/lessons/construcao-e-gestao-de-playbooks-de-vendas1769552267688?classId=3220")</f>
        <v>https://universidade.pipelovers.net/m/lessons/construcao-e-gestao-de-playbooks-de-vendas1769552267688?classId=3220</v>
      </c>
      <c r="M499" s="1082">
        <f>IFERROR(__xludf.DUMMYFUNCTION("""COMPUTED_VALUE"""),3.71)</f>
        <v>3.71</v>
      </c>
      <c r="N499" s="1081" t="str">
        <f>IFERROR(__xludf.DUMMYFUNCTION("""COMPUTED_VALUE"""),"49. PipeLovers 💙 Líderes de Vendas: ""Construção e gestão de playbooks de vendas"" com Henrique Pimentel (2023-08-15 08:06 GMT-3)")</f>
        <v>49. PipeLovers 💙 Líderes de Vendas: "Construção e gestão de playbooks de vendas" com Henrique Pimentel (2023-08-15 08:06 GMT-3)</v>
      </c>
      <c r="O499" s="110" t="str">
        <f>IFERROR(__xludf.DUMMYFUNCTION("""COMPUTED_VALUE"""),"")</f>
        <v/>
      </c>
      <c r="P499" s="952">
        <f>IFERROR(__xludf.DUMMYFUNCTION("""COMPUTED_VALUE"""),45251.0)</f>
        <v>45251</v>
      </c>
      <c r="Q499" s="110"/>
    </row>
    <row r="500">
      <c r="A500" s="73"/>
      <c r="B500" s="209" t="str">
        <f>IFERROR(__xludf.DUMMYFUNCTION("""COMPUTED_VALUE"""),"Líderes de Vendas")</f>
        <v>Líderes de Vendas</v>
      </c>
      <c r="C500" s="268" t="str">
        <f>IFERROR(__xludf.DUMMYFUNCTION("""COMPUTED_VALUE"""),"Aumento de conversão basedo em nichos e especialização")</f>
        <v>Aumento de conversão basedo em nichos e especialização</v>
      </c>
      <c r="D500" s="104" t="str">
        <f>IFERROR(__xludf.DUMMYFUNCTION("""COMPUTED_VALUE"""),"Marcelo Ferreira")</f>
        <v>Marcelo Ferreira</v>
      </c>
      <c r="E500" s="228" t="str">
        <f>IFERROR(__xludf.DUMMYFUNCTION("""COMPUTED_VALUE"""),"VP Vendas e Marketing")</f>
        <v>VP Vendas e Marketing</v>
      </c>
      <c r="F500" s="453" t="str">
        <f>IFERROR(__xludf.DUMMYFUNCTION("""COMPUTED_VALUE"""),"Cortex")</f>
        <v>Cortex</v>
      </c>
      <c r="G500" s="904"/>
      <c r="H500" s="453" t="str">
        <f>IFERROR(__xludf.DUMMYFUNCTION("""COMPUTED_VALUE"""),"Visão de Negócio")</f>
        <v>Visão de Negócio</v>
      </c>
      <c r="I500" s="453" t="str">
        <f>IFERROR(__xludf.DUMMYFUNCTION("""COMPUTED_VALUE"""),"Conhecimento de Produto e Negócio")</f>
        <v>Conhecimento de Produto e Negócio</v>
      </c>
      <c r="J500" s="484" t="str">
        <f>IFERROR(__xludf.DUMMYFUNCTION("""COMPUTED_VALUE"""),"Segmentação de Mercado")</f>
        <v>Segmentação de Mercado</v>
      </c>
      <c r="K500" s="275" t="str">
        <f>IFERROR(__xludf.DUMMYFUNCTION("""COMPUTED_VALUE"""),"https://universidade.pipelovers.net/m/lessons/aumento-de-conversao-basedo-em-nichos-e-especializacao1769552267720?classId=3221")</f>
        <v>https://universidade.pipelovers.net/m/lessons/aumento-de-conversao-basedo-em-nichos-e-especializacao1769552267720?classId=3221</v>
      </c>
      <c r="L500" s="535" t="str">
        <f>IFERROR(__xludf.DUMMYFUNCTION("""COMPUTED_VALUE"""),"https://universidade.pipelovers.net/m/lessons/aumento-de-conversao-basedo-em-nichos-e-especializacao1769552267720?classId=3221")</f>
        <v>https://universidade.pipelovers.net/m/lessons/aumento-de-conversao-basedo-em-nichos-e-especializacao1769552267720?classId=3221</v>
      </c>
      <c r="M500" s="1085">
        <f>IFERROR(__xludf.DUMMYFUNCTION("""COMPUTED_VALUE"""),3.71)</f>
        <v>3.71</v>
      </c>
      <c r="N500" s="1083" t="str">
        <f>IFERROR(__xludf.DUMMYFUNCTION("""COMPUTED_VALUE"""),"50. PipeLovers 💙 Líderes de Vendas: ""Aumento de conversão baseado em nichos e especialização"" (2023-08-22 08:04 GMT-3)")</f>
        <v>50. PipeLovers 💙 Líderes de Vendas: "Aumento de conversão baseado em nichos e especialização" (2023-08-22 08:04 GMT-3)</v>
      </c>
      <c r="O500" s="110" t="str">
        <f>IFERROR(__xludf.DUMMYFUNCTION("""COMPUTED_VALUE"""),"")</f>
        <v/>
      </c>
      <c r="P500" s="952">
        <f>IFERROR(__xludf.DUMMYFUNCTION("""COMPUTED_VALUE"""),45258.0)</f>
        <v>45258</v>
      </c>
      <c r="Q500" s="110"/>
    </row>
    <row r="501">
      <c r="A501" s="73"/>
      <c r="B501" s="209" t="str">
        <f>IFERROR(__xludf.DUMMYFUNCTION("""COMPUTED_VALUE"""),"Líderes de Vendas")</f>
        <v>Líderes de Vendas</v>
      </c>
      <c r="C501" s="216" t="str">
        <f>IFERROR(__xludf.DUMMYFUNCTION("""COMPUTED_VALUE"""),"O CFO como um aliado do time de vendas")</f>
        <v>O CFO como um aliado do time de vendas</v>
      </c>
      <c r="D501" s="119" t="str">
        <f>IFERROR(__xludf.DUMMYFUNCTION("""COMPUTED_VALUE"""),"Arthur Cunha")</f>
        <v>Arthur Cunha</v>
      </c>
      <c r="E501" s="303" t="str">
        <f>IFERROR(__xludf.DUMMYFUNCTION("""COMPUTED_VALUE"""),"Co-founder")</f>
        <v>Co-founder</v>
      </c>
      <c r="F501" s="484" t="str">
        <f>IFERROR(__xludf.DUMMYFUNCTION("""COMPUTED_VALUE"""),"Neofin")</f>
        <v>Neofin</v>
      </c>
      <c r="G501" s="878"/>
      <c r="H501" s="484" t="str">
        <f>IFERROR(__xludf.DUMMYFUNCTION("""COMPUTED_VALUE"""),"Relacionamento Interpessoal")</f>
        <v>Relacionamento Interpessoal</v>
      </c>
      <c r="I501" s="484" t="str">
        <f>IFERROR(__xludf.DUMMYFUNCTION("""COMPUTED_VALUE"""),"Liderança e Influência")</f>
        <v>Liderança e Influência</v>
      </c>
      <c r="J501" s="453" t="str">
        <f>IFERROR(__xludf.DUMMYFUNCTION("""COMPUTED_VALUE"""),"Stakeholder Management")</f>
        <v>Stakeholder Management</v>
      </c>
      <c r="K501" s="275" t="str">
        <f>IFERROR(__xludf.DUMMYFUNCTION("""COMPUTED_VALUE"""),"https://universidade.pipelovers.net/m/lessons/o-cfo-como-um-aliado-do-time-de-vendas1769552267798?classId=3222")</f>
        <v>https://universidade.pipelovers.net/m/lessons/o-cfo-como-um-aliado-do-time-de-vendas1769552267798?classId=3222</v>
      </c>
      <c r="L501" s="535" t="str">
        <f>IFERROR(__xludf.DUMMYFUNCTION("""COMPUTED_VALUE"""),"https://universidade.pipelovers.net/m/lessons/o-cfo-como-um-aliado-do-time-de-vendas1769552267798?classId=3222")</f>
        <v>https://universidade.pipelovers.net/m/lessons/o-cfo-como-um-aliado-do-time-de-vendas1769552267798?classId=3222</v>
      </c>
      <c r="M501" s="1085">
        <f>IFERROR(__xludf.DUMMYFUNCTION("""COMPUTED_VALUE"""),2.0)</f>
        <v>2</v>
      </c>
      <c r="N501" s="1083" t="str">
        <f>IFERROR(__xludf.DUMMYFUNCTION("""COMPUTED_VALUE"""),"51. PipeLovers 💙 Líderes de Vendas: ""O CFO como um aliado do time de vendas"" com Arthur Cunha (2023-08-29 08:04 GMT-3)")</f>
        <v>51. PipeLovers 💙 Líderes de Vendas: "O CFO como um aliado do time de vendas" com Arthur Cunha (2023-08-29 08:04 GMT-3)</v>
      </c>
      <c r="O501" s="110" t="str">
        <f>IFERROR(__xludf.DUMMYFUNCTION("""COMPUTED_VALUE"""),"")</f>
        <v/>
      </c>
      <c r="P501" s="952">
        <f>IFERROR(__xludf.DUMMYFUNCTION("""COMPUTED_VALUE"""),45265.0)</f>
        <v>45265</v>
      </c>
      <c r="Q501" s="110"/>
    </row>
    <row r="502">
      <c r="A502" s="73"/>
      <c r="B502" s="209" t="str">
        <f>IFERROR(__xludf.DUMMYFUNCTION("""COMPUTED_VALUE"""),"Líderes de Vendas")</f>
        <v>Líderes de Vendas</v>
      </c>
      <c r="C502" s="216" t="str">
        <f>IFERROR(__xludf.DUMMYFUNCTION("""COMPUTED_VALUE"""),"Aumento de portfólio de produtos: desafios e oportunidades")</f>
        <v>Aumento de portfólio de produtos: desafios e oportunidades</v>
      </c>
      <c r="D502" s="104" t="str">
        <f>IFERROR(__xludf.DUMMYFUNCTION("""COMPUTED_VALUE"""),"Adilson Souza")</f>
        <v>Adilson Souza</v>
      </c>
      <c r="E502" s="228" t="str">
        <f>IFERROR(__xludf.DUMMYFUNCTION("""COMPUTED_VALUE"""),"Diretor Comercial ")</f>
        <v>Diretor Comercial </v>
      </c>
      <c r="F502" s="453" t="str">
        <f>IFERROR(__xludf.DUMMYFUNCTION("""COMPUTED_VALUE""")," InfoJobs")</f>
        <v> InfoJobs</v>
      </c>
      <c r="G502" s="904"/>
      <c r="H502" s="453" t="str">
        <f>IFERROR(__xludf.DUMMYFUNCTION("""COMPUTED_VALUE"""),"Visão de Negócio")</f>
        <v>Visão de Negócio</v>
      </c>
      <c r="I502" s="453" t="str">
        <f>IFERROR(__xludf.DUMMYFUNCTION("""COMPUTED_VALUE"""),"Conhecimento de Produto e Negócio")</f>
        <v>Conhecimento de Produto e Negócio</v>
      </c>
      <c r="J502" s="484" t="str">
        <f>IFERROR(__xludf.DUMMYFUNCTION("""COMPUTED_VALUE"""),"Ciclo de Vida de Produto")</f>
        <v>Ciclo de Vida de Produto</v>
      </c>
      <c r="K502" s="275" t="str">
        <f>IFERROR(__xludf.DUMMYFUNCTION("""COMPUTED_VALUE"""),"https://universidade.pipelovers.net/m/lessons/aumento-de-portfolio-de-produtos-desafios-e-oportunidades1769552267829?classId=3223")</f>
        <v>https://universidade.pipelovers.net/m/lessons/aumento-de-portfolio-de-produtos-desafios-e-oportunidades1769552267829?classId=3223</v>
      </c>
      <c r="L502" s="535" t="str">
        <f>IFERROR(__xludf.DUMMYFUNCTION("""COMPUTED_VALUE"""),"https://universidade.pipelovers.net/m/lessons/aumento-de-portfolio-de-produtos-desafios-e-oportunidades1769552267829?classId=3223")</f>
        <v>https://universidade.pipelovers.net/m/lessons/aumento-de-portfolio-de-produtos-desafios-e-oportunidades1769552267829?classId=3223</v>
      </c>
      <c r="M502" s="1082">
        <f>IFERROR(__xludf.DUMMYFUNCTION("""COMPUTED_VALUE"""),3.71)</f>
        <v>3.71</v>
      </c>
      <c r="N502" s="1081" t="str">
        <f>IFERROR(__xludf.DUMMYFUNCTION("""COMPUTED_VALUE"""),"52. PipeLovers 💙 Líderes de Vendas - “Aumento de portfólio de produtos: desafios e oportunidades”com A (2023-09-05 08:03 GMT-3)")</f>
        <v>52. PipeLovers 💙 Líderes de Vendas - “Aumento de portfólio de produtos: desafios e oportunidades”com A (2023-09-05 08:03 GMT-3)</v>
      </c>
      <c r="O502" s="110" t="str">
        <f>IFERROR(__xludf.DUMMYFUNCTION("""COMPUTED_VALUE"""),"")</f>
        <v/>
      </c>
      <c r="P502" s="952">
        <f>IFERROR(__xludf.DUMMYFUNCTION("""COMPUTED_VALUE"""),45272.0)</f>
        <v>45272</v>
      </c>
      <c r="Q502" s="110"/>
    </row>
    <row r="503">
      <c r="A503" s="73"/>
      <c r="B503" s="209" t="str">
        <f>IFERROR(__xludf.DUMMYFUNCTION("""COMPUTED_VALUE"""),"Líderes de Vendas")</f>
        <v>Líderes de Vendas</v>
      </c>
      <c r="C503" s="216" t="str">
        <f>IFERROR(__xludf.DUMMYFUNCTION("""COMPUTED_VALUE"""),"Gamification na gestão comercial")</f>
        <v>Gamification na gestão comercial</v>
      </c>
      <c r="D503" s="119" t="str">
        <f>IFERROR(__xludf.DUMMYFUNCTION("""COMPUTED_VALUE"""),"Felipe dos Santos")</f>
        <v>Felipe dos Santos</v>
      </c>
      <c r="E503" s="303" t="str">
        <f>IFERROR(__xludf.DUMMYFUNCTION("""COMPUTED_VALUE"""),"CEO &amp; Founder")</f>
        <v>CEO &amp; Founder</v>
      </c>
      <c r="F503" s="484" t="str">
        <f>IFERROR(__xludf.DUMMYFUNCTION("""COMPUTED_VALUE"""),"Play2Sell")</f>
        <v>Play2Sell</v>
      </c>
      <c r="G503" s="879" t="str">
        <f>IFERROR(__xludf.DUMMYFUNCTION("""COMPUTED_VALUE"""),"https://www.linkedin.com/in/felipeplay2sell/")</f>
        <v>https://www.linkedin.com/in/felipeplay2sell/</v>
      </c>
      <c r="H503" s="484" t="str">
        <f>IFERROR(__xludf.DUMMYFUNCTION("""COMPUTED_VALUE"""),"Conhecimento Técnico")</f>
        <v>Conhecimento Técnico</v>
      </c>
      <c r="I503" s="484" t="str">
        <f>IFERROR(__xludf.DUMMYFUNCTION("""COMPUTED_VALUE"""),"Gestão de Vendas")</f>
        <v>Gestão de Vendas</v>
      </c>
      <c r="J503" s="550" t="str">
        <f>IFERROR(__xludf.DUMMYFUNCTION("""COMPUTED_VALUE"""),"Rotinas e Rituais")</f>
        <v>Rotinas e Rituais</v>
      </c>
      <c r="K503" s="275" t="str">
        <f>IFERROR(__xludf.DUMMYFUNCTION("""COMPUTED_VALUE"""),"https://universidade.pipelovers.net/m/lessons/gamification-na-gestao-comercial1769552267860?classId=3224")</f>
        <v>https://universidade.pipelovers.net/m/lessons/gamification-na-gestao-comercial1769552267860?classId=3224</v>
      </c>
      <c r="L503" s="535" t="str">
        <f>IFERROR(__xludf.DUMMYFUNCTION("""COMPUTED_VALUE"""),"https://universidade.pipelovers.net/m/lessons/gamification-na-gestao-comercial1769552267860?classId=3224")</f>
        <v>https://universidade.pipelovers.net/m/lessons/gamification-na-gestao-comercial1769552267860?classId=3224</v>
      </c>
      <c r="M503" s="1085">
        <f>IFERROR(__xludf.DUMMYFUNCTION("""COMPUTED_VALUE"""),2.0)</f>
        <v>2</v>
      </c>
      <c r="N503" s="1083" t="str">
        <f>IFERROR(__xludf.DUMMYFUNCTION("""COMPUTED_VALUE"""),"53. PipeLovers 💙 Líderes de Vendas: ""Gamification na gestão comercial"" com Felipe dos Santos  (2023-09-12 08:03 GMT-3)")</f>
        <v>53. PipeLovers 💙 Líderes de Vendas: "Gamification na gestão comercial" com Felipe dos Santos  (2023-09-12 08:03 GMT-3)</v>
      </c>
      <c r="O503" s="110" t="str">
        <f>IFERROR(__xludf.DUMMYFUNCTION("""COMPUTED_VALUE"""),"")</f>
        <v/>
      </c>
      <c r="P503" s="952">
        <f>IFERROR(__xludf.DUMMYFUNCTION("""COMPUTED_VALUE"""),45279.0)</f>
        <v>45279</v>
      </c>
      <c r="Q503" s="110"/>
    </row>
    <row r="504">
      <c r="A504" s="73"/>
      <c r="B504" s="209" t="str">
        <f>IFERROR(__xludf.DUMMYFUNCTION("""COMPUTED_VALUE"""),"Líderes de Vendas")</f>
        <v>Líderes de Vendas</v>
      </c>
      <c r="C504" s="268" t="str">
        <f>IFERROR(__xludf.DUMMYFUNCTION("""COMPUTED_VALUE"""),"Sucessão de um founder na diretoria de vendas")</f>
        <v>Sucessão de um founder na diretoria de vendas</v>
      </c>
      <c r="D504" s="104" t="str">
        <f>IFERROR(__xludf.DUMMYFUNCTION("""COMPUTED_VALUE"""),"Geraldo Victorazzo")</f>
        <v>Geraldo Victorazzo</v>
      </c>
      <c r="E504" s="228" t="str">
        <f>IFERROR(__xludf.DUMMYFUNCTION("""COMPUTED_VALUE"""),"Diretor Executivo")</f>
        <v>Diretor Executivo</v>
      </c>
      <c r="F504" s="453" t="str">
        <f>IFERROR(__xludf.DUMMYFUNCTION("""COMPUTED_VALUE"""),"AutoAvaliar")</f>
        <v>AutoAvaliar</v>
      </c>
      <c r="G504" s="904"/>
      <c r="H504" s="453" t="str">
        <f>IFERROR(__xludf.DUMMYFUNCTION("""COMPUTED_VALUE"""),"Relacionamento Interpessoal")</f>
        <v>Relacionamento Interpessoal</v>
      </c>
      <c r="I504" s="453" t="str">
        <f>IFERROR(__xludf.DUMMYFUNCTION("""COMPUTED_VALUE"""),"Liderança e Influência")</f>
        <v>Liderança e Influência</v>
      </c>
      <c r="J504" s="484" t="str">
        <f>IFERROR(__xludf.DUMMYFUNCTION("""COMPUTED_VALUE"""),"Mentoria e Desenvolvimento de Talentos")</f>
        <v>Mentoria e Desenvolvimento de Talentos</v>
      </c>
      <c r="K504" s="1116" t="str">
        <f>IFERROR(__xludf.DUMMYFUNCTION("""COMPUTED_VALUE"""),"https://universidade.pipelovers.net/m/lessons/sucessao-de-um-founder-na-diretoria-de-vendas1769552272009?classId=3225")</f>
        <v>https://universidade.pipelovers.net/m/lessons/sucessao-de-um-founder-na-diretoria-de-vendas1769552272009?classId=3225</v>
      </c>
      <c r="L504" s="1117" t="str">
        <f>IFERROR(__xludf.DUMMYFUNCTION("""COMPUTED_VALUE"""),"https://universidade.pipelovers.net/m/lessons/sucessao-de-um-founder-na-diretoria-de-vendas1769552272009?classId=3225")</f>
        <v>https://universidade.pipelovers.net/m/lessons/sucessao-de-um-founder-na-diretoria-de-vendas1769552272009?classId=3225</v>
      </c>
      <c r="M504" s="1082">
        <f>IFERROR(__xludf.DUMMYFUNCTION("""COMPUTED_VALUE"""),3.71)</f>
        <v>3.71</v>
      </c>
      <c r="N504" s="1081" t="str">
        <f>IFERROR(__xludf.DUMMYFUNCTION("""COMPUTED_VALUE"""),"54. PipeLovers 💙 Líderes de Vendas: ""Sucessão de um founder na diretoria de vendas"" com Geraldo Victor (2023-09-19 08:04 GMT-3)")</f>
        <v>54. PipeLovers 💙 Líderes de Vendas: "Sucessão de um founder na diretoria de vendas" com Geraldo Victor (2023-09-19 08:04 GMT-3)</v>
      </c>
      <c r="O504" s="110" t="str">
        <f>IFERROR(__xludf.DUMMYFUNCTION("""COMPUTED_VALUE"""),"")</f>
        <v/>
      </c>
      <c r="P504" s="952">
        <f>IFERROR(__xludf.DUMMYFUNCTION("""COMPUTED_VALUE"""),45286.0)</f>
        <v>45286</v>
      </c>
      <c r="Q504" s="110"/>
    </row>
    <row r="505">
      <c r="A505" s="73"/>
      <c r="B505" s="209" t="str">
        <f>IFERROR(__xludf.DUMMYFUNCTION("""COMPUTED_VALUE"""),"Líderes de Vendas")</f>
        <v>Líderes de Vendas</v>
      </c>
      <c r="C505" s="216" t="str">
        <f>IFERROR(__xludf.DUMMYFUNCTION("""COMPUTED_VALUE"""),"O futuro de big data na prospecção")</f>
        <v>O futuro de big data na prospecção</v>
      </c>
      <c r="D505" s="119" t="str">
        <f>IFERROR(__xludf.DUMMYFUNCTION("""COMPUTED_VALUE"""),"Thiago Holtz")</f>
        <v>Thiago Holtz</v>
      </c>
      <c r="E505" s="303" t="str">
        <f>IFERROR(__xludf.DUMMYFUNCTION("""COMPUTED_VALUE"""),"Chief Revenue Officer")</f>
        <v>Chief Revenue Officer</v>
      </c>
      <c r="F505" s="484" t="str">
        <f>IFERROR(__xludf.DUMMYFUNCTION("""COMPUTED_VALUE"""),"Speedio")</f>
        <v>Speedio</v>
      </c>
      <c r="G505" s="878"/>
      <c r="H505" s="484" t="str">
        <f>IFERROR(__xludf.DUMMYFUNCTION("""COMPUTED_VALUE"""),"Visão de Negócio")</f>
        <v>Visão de Negócio</v>
      </c>
      <c r="I505" s="484" t="str">
        <f>IFERROR(__xludf.DUMMYFUNCTION("""COMPUTED_VALUE"""),"Tendencias de mercado")</f>
        <v>Tendencias de mercado</v>
      </c>
      <c r="J505" s="453" t="str">
        <f>IFERROR(__xludf.DUMMYFUNCTION("""COMPUTED_VALUE"""),"Inovações Tecnológicas")</f>
        <v>Inovações Tecnológicas</v>
      </c>
      <c r="K505" s="275" t="str">
        <f>IFERROR(__xludf.DUMMYFUNCTION("""COMPUTED_VALUE"""),"https://universidade.pipelovers.net/m/lessons/o-futuro-de-big-data-na-prospeccao1769552272118?classId=3226")</f>
        <v>https://universidade.pipelovers.net/m/lessons/o-futuro-de-big-data-na-prospeccao1769552272118?classId=3226</v>
      </c>
      <c r="L505" s="535" t="str">
        <f>IFERROR(__xludf.DUMMYFUNCTION("""COMPUTED_VALUE"""),"https://universidade.pipelovers.net/m/lessons/o-futuro-de-big-data-na-prospeccao1769552272118?classId=3226")</f>
        <v>https://universidade.pipelovers.net/m/lessons/o-futuro-de-big-data-na-prospeccao1769552272118?classId=3226</v>
      </c>
      <c r="M505" s="1085">
        <f>IFERROR(__xludf.DUMMYFUNCTION("""COMPUTED_VALUE"""),2.0)</f>
        <v>2</v>
      </c>
      <c r="N505" s="1083" t="str">
        <f>IFERROR(__xludf.DUMMYFUNCTION("""COMPUTED_VALUE"""),"55. PipeLovers 💙 Líderes de Vendas: ""O futuro de big data na prospecção"" com Thiago Holtz da Speedio (2023-09-26 08:04 GMT-3)")</f>
        <v>55. PipeLovers 💙 Líderes de Vendas: "O futuro de big data na prospecção" com Thiago Holtz da Speedio (2023-09-26 08:04 GMT-3)</v>
      </c>
      <c r="O505" s="110" t="str">
        <f>IFERROR(__xludf.DUMMYFUNCTION("""COMPUTED_VALUE"""),"")</f>
        <v/>
      </c>
      <c r="P505" s="952">
        <f>IFERROR(__xludf.DUMMYFUNCTION("""COMPUTED_VALUE"""),45293.0)</f>
        <v>45293</v>
      </c>
      <c r="Q505" s="110"/>
    </row>
    <row r="506">
      <c r="A506" s="73"/>
      <c r="B506" s="209" t="str">
        <f>IFERROR(__xludf.DUMMYFUNCTION("""COMPUTED_VALUE"""),"Líderes de Vendas")</f>
        <v>Líderes de Vendas</v>
      </c>
      <c r="C506" s="268" t="str">
        <f>IFERROR(__xludf.DUMMYFUNCTION("""COMPUTED_VALUE"""),"Como aumentar a participação de mercado")</f>
        <v>Como aumentar a participação de mercado</v>
      </c>
      <c r="D506" s="104" t="str">
        <f>IFERROR(__xludf.DUMMYFUNCTION("""COMPUTED_VALUE"""),"Gabriel Barboza
David Costa Lima")</f>
        <v>Gabriel Barboza
David Costa Lima</v>
      </c>
      <c r="E506" s="228" t="str">
        <f>IFERROR(__xludf.DUMMYFUNCTION("""COMPUTED_VALUE"""),"Co-founders")</f>
        <v>Co-founders</v>
      </c>
      <c r="F506" s="453" t="str">
        <f>IFERROR(__xludf.DUMMYFUNCTION("""COMPUTED_VALUE"""),"B2B Insiders")</f>
        <v>B2B Insiders</v>
      </c>
      <c r="G506" s="904"/>
      <c r="H506" s="453" t="str">
        <f>IFERROR(__xludf.DUMMYFUNCTION("""COMPUTED_VALUE"""),"Visão de Negócio")</f>
        <v>Visão de Negócio</v>
      </c>
      <c r="I506" s="453" t="str">
        <f>IFERROR(__xludf.DUMMYFUNCTION("""COMPUTED_VALUE"""),"conhecimento de Produto e Negócio")</f>
        <v>conhecimento de Produto e Negócio</v>
      </c>
      <c r="J506" s="484" t="str">
        <f>IFERROR(__xludf.DUMMYFUNCTION("""COMPUTED_VALUE"""),"Segmentação de Mercado")</f>
        <v>Segmentação de Mercado</v>
      </c>
      <c r="K506" s="275" t="str">
        <f>IFERROR(__xludf.DUMMYFUNCTION("""COMPUTED_VALUE"""),"https://universidade.pipelovers.net/m/lessons/como-aumentar-a-participacao-de-mercado1769552272169?classId=3227")</f>
        <v>https://universidade.pipelovers.net/m/lessons/como-aumentar-a-participacao-de-mercado1769552272169?classId=3227</v>
      </c>
      <c r="L506" s="535" t="str">
        <f>IFERROR(__xludf.DUMMYFUNCTION("""COMPUTED_VALUE"""),"https://universidade.pipelovers.net/m/lessons/como-aumentar-a-participacao-de-mercado1769552272169?classId=3227")</f>
        <v>https://universidade.pipelovers.net/m/lessons/como-aumentar-a-participacao-de-mercado1769552272169?classId=3227</v>
      </c>
      <c r="M506" s="1082">
        <f>IFERROR(__xludf.DUMMYFUNCTION("""COMPUTED_VALUE"""),3.71)</f>
        <v>3.71</v>
      </c>
      <c r="N506" s="1081" t="str">
        <f>IFERROR(__xludf.DUMMYFUNCTION("""COMPUTED_VALUE"""),"56. PipeLovers 💙 Líderes de Vendas: ""Como aumentar sua participação no mercado"" com Gabriel Barboza e  (2023-10-03 08:04 GMT-3)")</f>
        <v>56. PipeLovers 💙 Líderes de Vendas: "Como aumentar sua participação no mercado" com Gabriel Barboza e  (2023-10-03 08:04 GMT-3)</v>
      </c>
      <c r="O506" s="110" t="str">
        <f>IFERROR(__xludf.DUMMYFUNCTION("""COMPUTED_VALUE"""),"")</f>
        <v/>
      </c>
      <c r="P506" s="952">
        <f>IFERROR(__xludf.DUMMYFUNCTION("""COMPUTED_VALUE"""),45300.0)</f>
        <v>45300</v>
      </c>
      <c r="Q506" s="110"/>
    </row>
    <row r="507">
      <c r="A507" s="73"/>
      <c r="B507" s="209" t="str">
        <f>IFERROR(__xludf.DUMMYFUNCTION("""COMPUTED_VALUE"""),"Líderes de Vendas")</f>
        <v>Líderes de Vendas</v>
      </c>
      <c r="C507" s="216" t="str">
        <f>IFERROR(__xludf.DUMMYFUNCTION("""COMPUTED_VALUE"""),"Escolhendo um mentor para sua carreira")</f>
        <v>Escolhendo um mentor para sua carreira</v>
      </c>
      <c r="D507" s="119" t="str">
        <f>IFERROR(__xludf.DUMMYFUNCTION("""COMPUTED_VALUE"""),"Natalia Quadros ")</f>
        <v>Natalia Quadros </v>
      </c>
      <c r="E507" s="303" t="str">
        <f>IFERROR(__xludf.DUMMYFUNCTION("""COMPUTED_VALUE"""),"Head of Growth CX Latin America &amp; Caribbean na SAP")</f>
        <v>Head of Growth CX Latin America &amp; Caribbean na SAP</v>
      </c>
      <c r="F507" s="484" t="str">
        <f>IFERROR(__xludf.DUMMYFUNCTION("""COMPUTED_VALUE"""),"SAP")</f>
        <v>SAP</v>
      </c>
      <c r="G507" s="878"/>
      <c r="H507" s="484" t="str">
        <f>IFERROR(__xludf.DUMMYFUNCTION("""COMPUTED_VALUE"""),"Relacionamento Interpessoal")</f>
        <v>Relacionamento Interpessoal</v>
      </c>
      <c r="I507" s="484" t="str">
        <f>IFERROR(__xludf.DUMMYFUNCTION("""COMPUTED_VALUE"""),"Liderança e Influência")</f>
        <v>Liderança e Influência</v>
      </c>
      <c r="J507" s="453" t="str">
        <f>IFERROR(__xludf.DUMMYFUNCTION("""COMPUTED_VALUE"""),"Mentoria e Desenvolvimento de Talentos")</f>
        <v>Mentoria e Desenvolvimento de Talentos</v>
      </c>
      <c r="K507" s="275" t="str">
        <f>IFERROR(__xludf.DUMMYFUNCTION("""COMPUTED_VALUE"""),"https://universidade.pipelovers.net/m/lessons/escolhendo-um-mentor-para-sua-carreira1769552272246?classId=3228")</f>
        <v>https://universidade.pipelovers.net/m/lessons/escolhendo-um-mentor-para-sua-carreira1769552272246?classId=3228</v>
      </c>
      <c r="L507" s="535" t="str">
        <f>IFERROR(__xludf.DUMMYFUNCTION("""COMPUTED_VALUE"""),"https://universidade.pipelovers.net/m/lessons/escolhendo-um-mentor-para-sua-carreira1769552272246?classId=3228")</f>
        <v>https://universidade.pipelovers.net/m/lessons/escolhendo-um-mentor-para-sua-carreira1769552272246?classId=3228</v>
      </c>
      <c r="M507" s="1085">
        <f>IFERROR(__xludf.DUMMYFUNCTION("""COMPUTED_VALUE"""),4.29)</f>
        <v>4.29</v>
      </c>
      <c r="N507" s="1083" t="str">
        <f>IFERROR(__xludf.DUMMYFUNCTION("""COMPUTED_VALUE"""),"57. PipeLovers 💙 Líderes de Vendas : ""Escolhendo um mentor para sua carreira""com Natalia Quadros ")</f>
        <v>57. PipeLovers 💙 Líderes de Vendas : "Escolhendo um mentor para sua carreira"com Natalia Quadros </v>
      </c>
      <c r="O507" s="293" t="str">
        <f>IFERROR(__xludf.DUMMYFUNCTION("""COMPUTED_VALUE"""),"")</f>
        <v/>
      </c>
      <c r="P507" s="952">
        <f>IFERROR(__xludf.DUMMYFUNCTION("""COMPUTED_VALUE"""),45307.0)</f>
        <v>45307</v>
      </c>
      <c r="Q507" s="293"/>
    </row>
    <row r="508">
      <c r="A508" s="73"/>
      <c r="B508" s="209" t="str">
        <f>IFERROR(__xludf.DUMMYFUNCTION("""COMPUTED_VALUE"""),"Líderes de Vendas")</f>
        <v>Líderes de Vendas</v>
      </c>
      <c r="C508" s="529" t="str">
        <f>IFERROR(__xludf.DUMMYFUNCTION("""COMPUTED_VALUE"""),"Chief Revenue Officer: papéis e responsabilidades")</f>
        <v>Chief Revenue Officer: papéis e responsabilidades</v>
      </c>
      <c r="D508" s="104" t="str">
        <f>IFERROR(__xludf.DUMMYFUNCTION("""COMPUTED_VALUE"""),"Raphael Godoy")</f>
        <v>Raphael Godoy</v>
      </c>
      <c r="E508" s="228" t="str">
        <f>IFERROR(__xludf.DUMMYFUNCTION("""COMPUTED_VALUE"""),"hief Sales &amp; Marketing Officer")</f>
        <v>hief Sales &amp; Marketing Officer</v>
      </c>
      <c r="F508" s="453" t="str">
        <f>IFERROR(__xludf.DUMMYFUNCTION("""COMPUTED_VALUE"""),"Kamino")</f>
        <v>Kamino</v>
      </c>
      <c r="G508" s="904"/>
      <c r="H508" s="453" t="str">
        <f>IFERROR(__xludf.DUMMYFUNCTION("""COMPUTED_VALUE"""),"Conhecimento Técnico")</f>
        <v>Conhecimento Técnico</v>
      </c>
      <c r="I508" s="453" t="str">
        <f>IFERROR(__xludf.DUMMYFUNCTION("""COMPUTED_VALUE"""),"Gestão de Vendas")</f>
        <v>Gestão de Vendas</v>
      </c>
      <c r="J508" s="484" t="str">
        <f>IFERROR(__xludf.DUMMYFUNCTION("""COMPUTED_VALUE"""),"Rotinas e Rituais")</f>
        <v>Rotinas e Rituais</v>
      </c>
      <c r="K508" s="275" t="str">
        <f>IFERROR(__xludf.DUMMYFUNCTION("""COMPUTED_VALUE"""),"https://universidade.pipelovers.net/m/lessons/chief-revenue-officer-papeis-e-responsabilidades1769552272299?classId=3229")</f>
        <v>https://universidade.pipelovers.net/m/lessons/chief-revenue-officer-papeis-e-responsabilidades1769552272299?classId=3229</v>
      </c>
      <c r="L508" s="535" t="str">
        <f>IFERROR(__xludf.DUMMYFUNCTION("""COMPUTED_VALUE"""),"https://universidade.pipelovers.net/m/lessons/chief-revenue-officer-papeis-e-responsabilidades1769552272299?classId=3229")</f>
        <v>https://universidade.pipelovers.net/m/lessons/chief-revenue-officer-papeis-e-responsabilidades1769552272299?classId=3229</v>
      </c>
      <c r="M508" s="1082">
        <f>IFERROR(__xludf.DUMMYFUNCTION("""COMPUTED_VALUE"""),4.29)</f>
        <v>4.29</v>
      </c>
      <c r="N508" s="1081" t="str">
        <f>IFERROR(__xludf.DUMMYFUNCTION("""COMPUTED_VALUE"""),"58. PipeLovers 💙 Líderes de Vendas: ""Chief Revenue Officer: papéis e responsabilidades"" com Raphael Go (2023-10-24 08:04 GMT-3)")</f>
        <v>58. PipeLovers 💙 Líderes de Vendas: "Chief Revenue Officer: papéis e responsabilidades" com Raphael Go (2023-10-24 08:04 GMT-3)</v>
      </c>
      <c r="O508" s="110" t="str">
        <f>IFERROR(__xludf.DUMMYFUNCTION("""COMPUTED_VALUE"""),"")</f>
        <v/>
      </c>
      <c r="P508" s="952">
        <f>IFERROR(__xludf.DUMMYFUNCTION("""COMPUTED_VALUE"""),45314.0)</f>
        <v>45314</v>
      </c>
      <c r="Q508" s="110"/>
    </row>
    <row r="509">
      <c r="A509" s="73"/>
      <c r="B509" s="209" t="str">
        <f>IFERROR(__xludf.DUMMYFUNCTION("""COMPUTED_VALUE"""),"Líderes de Vendas")</f>
        <v>Líderes de Vendas</v>
      </c>
      <c r="C509" s="216" t="str">
        <f>IFERROR(__xludf.DUMMYFUNCTION("""COMPUTED_VALUE"""),"Como estimular o autodesenvolvimento do seu time de vendas?")</f>
        <v>Como estimular o autodesenvolvimento do seu time de vendas?</v>
      </c>
      <c r="D509" s="119" t="str">
        <f>IFERROR(__xludf.DUMMYFUNCTION("""COMPUTED_VALUE"""),"Guilherme Luz")</f>
        <v>Guilherme Luz</v>
      </c>
      <c r="E509" s="303" t="str">
        <f>IFERROR(__xludf.DUMMYFUNCTION("""COMPUTED_VALUE"""),"CEO")</f>
        <v>CEO</v>
      </c>
      <c r="F509" s="484" t="str">
        <f>IFERROR(__xludf.DUMMYFUNCTION("""COMPUTED_VALUE"""),"Galena")</f>
        <v>Galena</v>
      </c>
      <c r="G509" s="878"/>
      <c r="H509" s="484" t="str">
        <f>IFERROR(__xludf.DUMMYFUNCTION("""COMPUTED_VALUE"""),"Autodesenvolvimento")</f>
        <v>Autodesenvolvimento</v>
      </c>
      <c r="I509" s="484" t="str">
        <f>IFERROR(__xludf.DUMMYFUNCTION("""COMPUTED_VALUE"""),"Aprendizado Ativo")</f>
        <v>Aprendizado Ativo</v>
      </c>
      <c r="J509" s="453" t="str">
        <f>IFERROR(__xludf.DUMMYFUNCTION("""COMPUTED_VALUE"""),"Benchmarking")</f>
        <v>Benchmarking</v>
      </c>
      <c r="K509" s="275" t="str">
        <f>IFERROR(__xludf.DUMMYFUNCTION("""COMPUTED_VALUE"""),"https://universidade.pipelovers.net/m/lessons/como-estimular-o-autodesenvolvimento-do-seu-time-de-vendas1769552272391?classId=3230")</f>
        <v>https://universidade.pipelovers.net/m/lessons/como-estimular-o-autodesenvolvimento-do-seu-time-de-vendas1769552272391?classId=3230</v>
      </c>
      <c r="L509" s="535" t="str">
        <f>IFERROR(__xludf.DUMMYFUNCTION("""COMPUTED_VALUE"""),"https://universidade.pipelovers.net/m/lessons/como-estimular-o-autodesenvolvimento-do-seu-time-de-vendas1769552272391?classId=3230")</f>
        <v>https://universidade.pipelovers.net/m/lessons/como-estimular-o-autodesenvolvimento-do-seu-time-de-vendas1769552272391?classId=3230</v>
      </c>
      <c r="M509" s="1085">
        <f>IFERROR(__xludf.DUMMYFUNCTION("""COMPUTED_VALUE"""),2.0)</f>
        <v>2</v>
      </c>
      <c r="N509" s="1083" t="str">
        <f>IFERROR(__xludf.DUMMYFUNCTION("""COMPUTED_VALUE"""),"59. PipeLovers 💙 Líderes de Vendas : ""Como estimular o autodesenvolvimento do seu time de vendas?"" com (2023-10-31 08:04 GMT-3)")</f>
        <v>59. PipeLovers 💙 Líderes de Vendas : "Como estimular o autodesenvolvimento do seu time de vendas?" com (2023-10-31 08:04 GMT-3)</v>
      </c>
      <c r="O509" s="110" t="str">
        <f>IFERROR(__xludf.DUMMYFUNCTION("""COMPUTED_VALUE"""),"")</f>
        <v/>
      </c>
      <c r="P509" s="952">
        <f>IFERROR(__xludf.DUMMYFUNCTION("""COMPUTED_VALUE"""),45321.0)</f>
        <v>45321</v>
      </c>
      <c r="Q509" s="110"/>
    </row>
    <row r="510">
      <c r="A510" s="73"/>
      <c r="B510" s="209" t="str">
        <f>IFERROR(__xludf.DUMMYFUNCTION("""COMPUTED_VALUE"""),"Líderes de Vendas")</f>
        <v>Líderes de Vendas</v>
      </c>
      <c r="C510" s="268" t="str">
        <f>IFERROR(__xludf.DUMMYFUNCTION("""COMPUTED_VALUE"""),"Palestra RD Summit 2023")</f>
        <v>Palestra RD Summit 2023</v>
      </c>
      <c r="D510" s="104" t="str">
        <f>IFERROR(__xludf.DUMMYFUNCTION("""COMPUTED_VALUE"""),"Gustavo Pagotto")</f>
        <v>Gustavo Pagotto</v>
      </c>
      <c r="E510" s="228" t="str">
        <f>IFERROR(__xludf.DUMMYFUNCTION("""COMPUTED_VALUE"""),"Fundador")</f>
        <v>Fundador</v>
      </c>
      <c r="F510" s="453" t="str">
        <f>IFERROR(__xludf.DUMMYFUNCTION("""COMPUTED_VALUE"""),"PipeLovers")</f>
        <v>PipeLovers</v>
      </c>
      <c r="G510" s="895" t="str">
        <f>IFERROR(__xludf.DUMMYFUNCTION("""COMPUTED_VALUE"""),"https://www.linkedin.com/in/gpagotto/")</f>
        <v>https://www.linkedin.com/in/gpagotto/</v>
      </c>
      <c r="H510" s="453" t="str">
        <f>IFERROR(__xludf.DUMMYFUNCTION("""COMPUTED_VALUE"""),"Visão de Negócio")</f>
        <v>Visão de Negócio</v>
      </c>
      <c r="I510" s="453" t="str">
        <f>IFERROR(__xludf.DUMMYFUNCTION("""COMPUTED_VALUE"""),"Tendencias de mercado")</f>
        <v>Tendencias de mercado</v>
      </c>
      <c r="J510" s="484" t="str">
        <f>IFERROR(__xludf.DUMMYFUNCTION("""COMPUTED_VALUE"""),"Tendencias do Setor")</f>
        <v>Tendencias do Setor</v>
      </c>
      <c r="K510" s="275" t="str">
        <f>IFERROR(__xludf.DUMMYFUNCTION("""COMPUTED_VALUE"""),"https://universidade.pipelovers.net/m/lessons/palestra-rd-summit-20231769552039345?classId=3108")</f>
        <v>https://universidade.pipelovers.net/m/lessons/palestra-rd-summit-20231769552039345?classId=3108</v>
      </c>
      <c r="L510" s="535" t="str">
        <f>IFERROR(__xludf.DUMMYFUNCTION("""COMPUTED_VALUE"""),"https://universidade.pipelovers.net/m/lessons/palestra-rd-summit-20231769552039345?classId=3108")</f>
        <v>https://universidade.pipelovers.net/m/lessons/palestra-rd-summit-20231769552039345?classId=3108</v>
      </c>
      <c r="M510" s="1082">
        <f>IFERROR(__xludf.DUMMYFUNCTION("""COMPUTED_VALUE"""),5.0)</f>
        <v>5</v>
      </c>
      <c r="N510" s="1081" t="str">
        <f>IFERROR(__xludf.DUMMYFUNCTION("""COMPUTED_VALUE"""),"60. PipeLovers : ""Palestra RD Summit 2023"" com Gustavo Pagotto (2023-11-07 08:09 GMT-3)")</f>
        <v>60. PipeLovers : "Palestra RD Summit 2023" com Gustavo Pagotto (2023-11-07 08:09 GMT-3)</v>
      </c>
      <c r="O510" s="110" t="str">
        <f>IFERROR(__xludf.DUMMYFUNCTION("""COMPUTED_VALUE"""),"")</f>
        <v/>
      </c>
      <c r="P510" s="952">
        <f>IFERROR(__xludf.DUMMYFUNCTION("""COMPUTED_VALUE"""),45328.0)</f>
        <v>45328</v>
      </c>
      <c r="Q510" s="110"/>
    </row>
    <row r="511">
      <c r="A511" s="73"/>
      <c r="B511" s="209" t="str">
        <f>IFERROR(__xludf.DUMMYFUNCTION("""COMPUTED_VALUE"""),"Líderes de Vendas")</f>
        <v>Líderes de Vendas</v>
      </c>
      <c r="C511" s="216" t="str">
        <f>IFERROR(__xludf.DUMMYFUNCTION("""COMPUTED_VALUE"""),"Resiliência e adaptação às mudanças em vendas")</f>
        <v>Resiliência e adaptação às mudanças em vendas</v>
      </c>
      <c r="D511" s="119" t="str">
        <f>IFERROR(__xludf.DUMMYFUNCTION("""COMPUTED_VALUE"""),"Jonathan Souza")</f>
        <v>Jonathan Souza</v>
      </c>
      <c r="E511" s="303" t="str">
        <f>IFERROR(__xludf.DUMMYFUNCTION("""COMPUTED_VALUE"""),"Diretor de Vendas")</f>
        <v>Diretor de Vendas</v>
      </c>
      <c r="F511" s="484" t="str">
        <f>IFERROR(__xludf.DUMMYFUNCTION("""COMPUTED_VALUE"""),"G4 Educação")</f>
        <v>G4 Educação</v>
      </c>
      <c r="G511" s="878"/>
      <c r="H511" s="484" t="str">
        <f>IFERROR(__xludf.DUMMYFUNCTION("""COMPUTED_VALUE"""),"Autodesenvolvimento")</f>
        <v>Autodesenvolvimento</v>
      </c>
      <c r="I511" s="484" t="str">
        <f>IFERROR(__xludf.DUMMYFUNCTION("""COMPUTED_VALUE"""),"Inteligência Emocional")</f>
        <v>Inteligência Emocional</v>
      </c>
      <c r="J511" s="453" t="str">
        <f>IFERROR(__xludf.DUMMYFUNCTION("""COMPUTED_VALUE"""),"Resiliência")</f>
        <v>Resiliência</v>
      </c>
      <c r="K511" s="275" t="str">
        <f>IFERROR(__xludf.DUMMYFUNCTION("""COMPUTED_VALUE"""),"https://universidade.pipelovers.net/m/lessons/resiliencia-e-adaptacao-as-mudancas-em-vendas1769552272446?classId=3231")</f>
        <v>https://universidade.pipelovers.net/m/lessons/resiliencia-e-adaptacao-as-mudancas-em-vendas1769552272446?classId=3231</v>
      </c>
      <c r="L511" s="535" t="str">
        <f>IFERROR(__xludf.DUMMYFUNCTION("""COMPUTED_VALUE"""),"https://universidade.pipelovers.net/m/lessons/resiliencia-e-adaptacao-as-mudancas-em-vendas1769552272446?classId=3231")</f>
        <v>https://universidade.pipelovers.net/m/lessons/resiliencia-e-adaptacao-as-mudancas-em-vendas1769552272446?classId=3231</v>
      </c>
      <c r="M511" s="1085">
        <f>IFERROR(__xludf.DUMMYFUNCTION("""COMPUTED_VALUE"""),4.29)</f>
        <v>4.29</v>
      </c>
      <c r="N511" s="1083" t="str">
        <f>IFERROR(__xludf.DUMMYFUNCTION("""COMPUTED_VALUE"""),"61. PipeLovers 💙 Líderes de Vendas: ""Resiliência e adaptação às mudanças em vendas"" com Jonathan Souza (2023-11-14 08:05 GMT-3)")</f>
        <v>61. PipeLovers 💙 Líderes de Vendas: "Resiliência e adaptação às mudanças em vendas" com Jonathan Souza (2023-11-14 08:05 GMT-3)</v>
      </c>
      <c r="O511" s="110" t="str">
        <f>IFERROR(__xludf.DUMMYFUNCTION("""COMPUTED_VALUE"""),"")</f>
        <v/>
      </c>
      <c r="P511" s="952">
        <f>IFERROR(__xludf.DUMMYFUNCTION("""COMPUTED_VALUE"""),45335.0)</f>
        <v>45335</v>
      </c>
      <c r="Q511" s="110"/>
    </row>
    <row r="512">
      <c r="A512" s="73"/>
      <c r="B512" s="209" t="str">
        <f>IFERROR(__xludf.DUMMYFUNCTION("""COMPUTED_VALUE"""),"Líderes de Vendas")</f>
        <v>Líderes de Vendas</v>
      </c>
      <c r="C512" s="268" t="str">
        <f>IFERROR(__xludf.DUMMYFUNCTION("""COMPUTED_VALUE"""),"Inclusão de PCDs em equipes de vendas")</f>
        <v>Inclusão de PCDs em equipes de vendas</v>
      </c>
      <c r="D512" s="104" t="str">
        <f>IFERROR(__xludf.DUMMYFUNCTION("""COMPUTED_VALUE"""),"Alessandra Trigo")</f>
        <v>Alessandra Trigo</v>
      </c>
      <c r="E512" s="228" t="str">
        <f>IFERROR(__xludf.DUMMYFUNCTION("""COMPUTED_VALUE"""),"Consultora em Diversidade e Inclusão")</f>
        <v>Consultora em Diversidade e Inclusão</v>
      </c>
      <c r="F512" s="453" t="str">
        <f>IFERROR(__xludf.DUMMYFUNCTION("""COMPUTED_VALUE"""),"-")</f>
        <v>-</v>
      </c>
      <c r="G512" s="904"/>
      <c r="H512" s="453" t="str">
        <f>IFERROR(__xludf.DUMMYFUNCTION("""COMPUTED_VALUE"""),"Relacionamento Interpessoal")</f>
        <v>Relacionamento Interpessoal</v>
      </c>
      <c r="I512" s="453" t="str">
        <f>IFERROR(__xludf.DUMMYFUNCTION("""COMPUTED_VALUE"""),"Liderança e Influência")</f>
        <v>Liderança e Influência</v>
      </c>
      <c r="J512" s="484" t="str">
        <f>IFERROR(__xludf.DUMMYFUNCTION("""COMPUTED_VALUE"""),"Mentoria e Desenvolvimento de Talentos")</f>
        <v>Mentoria e Desenvolvimento de Talentos</v>
      </c>
      <c r="K512" s="275" t="str">
        <f>IFERROR(__xludf.DUMMYFUNCTION("""COMPUTED_VALUE"""),"https://universidade.pipelovers.net/m/lessons/inclusao-de-pcds-em-equipes-de-vendas1769552272512?classId=3232")</f>
        <v>https://universidade.pipelovers.net/m/lessons/inclusao-de-pcds-em-equipes-de-vendas1769552272512?classId=3232</v>
      </c>
      <c r="L512" s="535" t="str">
        <f>IFERROR(__xludf.DUMMYFUNCTION("""COMPUTED_VALUE"""),"https://universidade.pipelovers.net/m/lessons/inclusao-de-pcds-em-equipes-de-vendas1769552272512?classId=3232")</f>
        <v>https://universidade.pipelovers.net/m/lessons/inclusao-de-pcds-em-equipes-de-vendas1769552272512?classId=3232</v>
      </c>
      <c r="M512" s="1082">
        <f>IFERROR(__xludf.DUMMYFUNCTION("""COMPUTED_VALUE"""),4.29)</f>
        <v>4.29</v>
      </c>
      <c r="N512" s="1081" t="str">
        <f>IFERROR(__xludf.DUMMYFUNCTION("""COMPUTED_VALUE"""),"62. PipeLovers 💙 Líderes de Vendas : ""Inclusão de PCDs em equipes de vendas"" com Alessandra Trigo (2023-11-21 08:06 GMT-3)")</f>
        <v>62. PipeLovers 💙 Líderes de Vendas : "Inclusão de PCDs em equipes de vendas" com Alessandra Trigo (2023-11-21 08:06 GMT-3)</v>
      </c>
      <c r="O512" s="110" t="str">
        <f>IFERROR(__xludf.DUMMYFUNCTION("""COMPUTED_VALUE"""),"")</f>
        <v/>
      </c>
      <c r="P512" s="952">
        <f>IFERROR(__xludf.DUMMYFUNCTION("""COMPUTED_VALUE"""),45342.0)</f>
        <v>45342</v>
      </c>
      <c r="Q512" s="110"/>
    </row>
    <row r="513">
      <c r="A513" s="73"/>
      <c r="B513" s="209" t="str">
        <f>IFERROR(__xludf.DUMMYFUNCTION("""COMPUTED_VALUE"""),"Líderes de Vendas")</f>
        <v>Líderes de Vendas</v>
      </c>
      <c r="C513" s="216" t="str">
        <f>IFERROR(__xludf.DUMMYFUNCTION("""COMPUTED_VALUE"""),"Criando um Programa de Indicação de Clientes")</f>
        <v>Criando um Programa de Indicação de Clientes</v>
      </c>
      <c r="D513" s="119" t="str">
        <f>IFERROR(__xludf.DUMMYFUNCTION("""COMPUTED_VALUE"""),"Marcelo Pereira")</f>
        <v>Marcelo Pereira</v>
      </c>
      <c r="E513" s="303" t="str">
        <f>IFERROR(__xludf.DUMMYFUNCTION("""COMPUTED_VALUE"""),"CEO")</f>
        <v>CEO</v>
      </c>
      <c r="F513" s="484" t="str">
        <f>IFERROR(__xludf.DUMMYFUNCTION("""COMPUTED_VALUE"""),"Beeviral")</f>
        <v>Beeviral</v>
      </c>
      <c r="G513" s="879" t="str">
        <f>IFERROR(__xludf.DUMMYFUNCTION("""COMPUTED_VALUE"""),"https://www.linkedin.com/in/marcelopereira/")</f>
        <v>https://www.linkedin.com/in/marcelopereira/</v>
      </c>
      <c r="H513" s="484" t="str">
        <f>IFERROR(__xludf.DUMMYFUNCTION("""COMPUTED_VALUE"""),"Relacionamento Interpessoal")</f>
        <v>Relacionamento Interpessoal</v>
      </c>
      <c r="I513" s="484" t="str">
        <f>IFERROR(__xludf.DUMMYFUNCTION("""COMPUTED_VALUE"""),"Liderança e Influência")</f>
        <v>Liderança e Influência</v>
      </c>
      <c r="J513" s="453" t="str">
        <f>IFERROR(__xludf.DUMMYFUNCTION("""COMPUTED_VALUE"""),"Provas Sociais")</f>
        <v>Provas Sociais</v>
      </c>
      <c r="K513" s="275" t="str">
        <f>IFERROR(__xludf.DUMMYFUNCTION("""COMPUTED_VALUE"""),"https://universidade.pipelovers.net/m/lessons/criando-um-programa-de-indicacao-de-clientes1769552272579?classId=3233")</f>
        <v>https://universidade.pipelovers.net/m/lessons/criando-um-programa-de-indicacao-de-clientes1769552272579?classId=3233</v>
      </c>
      <c r="L513" s="535" t="str">
        <f>IFERROR(__xludf.DUMMYFUNCTION("""COMPUTED_VALUE"""),"https://universidade.pipelovers.net/m/lessons/criando-um-programa-de-indicacao-de-clientes1769552272579?classId=3233")</f>
        <v>https://universidade.pipelovers.net/m/lessons/criando-um-programa-de-indicacao-de-clientes1769552272579?classId=3233</v>
      </c>
      <c r="M513" s="1085">
        <f>IFERROR(__xludf.DUMMYFUNCTION("""COMPUTED_VALUE"""),3.71)</f>
        <v>3.71</v>
      </c>
      <c r="N513" s="1083" t="str">
        <f>IFERROR(__xludf.DUMMYFUNCTION("""COMPUTED_VALUE"""),"63. PipeLovers 💙 Líderes de Vendas: ""Criando um Programa de Indicação de Clientes"" com Marcelo Pereira (2023-11-28 08:05 GMT-3)")</f>
        <v>63. PipeLovers 💙 Líderes de Vendas: "Criando um Programa de Indicação de Clientes" com Marcelo Pereira (2023-11-28 08:05 GMT-3)</v>
      </c>
      <c r="O513" s="208" t="str">
        <f>IFERROR(__xludf.DUMMYFUNCTION("""COMPUTED_VALUE"""),"")</f>
        <v/>
      </c>
      <c r="P513" s="952">
        <f>IFERROR(__xludf.DUMMYFUNCTION("""COMPUTED_VALUE"""),45349.0)</f>
        <v>45349</v>
      </c>
      <c r="Q513" s="208"/>
    </row>
    <row r="514">
      <c r="A514" s="73"/>
      <c r="B514" s="209" t="str">
        <f>IFERROR(__xludf.DUMMYFUNCTION("""COMPUTED_VALUE"""),"Líderes de Vendas")</f>
        <v>Líderes de Vendas</v>
      </c>
      <c r="C514" s="268" t="str">
        <f>IFERROR(__xludf.DUMMYFUNCTION("""COMPUTED_VALUE"""),"Como aprender com a concorrência?")</f>
        <v>Como aprender com a concorrência?</v>
      </c>
      <c r="D514" s="104" t="str">
        <f>IFERROR(__xludf.DUMMYFUNCTION("""COMPUTED_VALUE"""),"Carol Manciola ")</f>
        <v>Carol Manciola </v>
      </c>
      <c r="E514" s="228" t="str">
        <f>IFERROR(__xludf.DUMMYFUNCTION("""COMPUTED_VALUE"""),"Autora ")</f>
        <v>Autora </v>
      </c>
      <c r="F514" s="453" t="str">
        <f>IFERROR(__xludf.DUMMYFUNCTION("""COMPUTED_VALUE"""),"""Bora Bater Meta""")</f>
        <v>"Bora Bater Meta"</v>
      </c>
      <c r="G514" s="904"/>
      <c r="H514" s="453" t="str">
        <f>IFERROR(__xludf.DUMMYFUNCTION("""COMPUTED_VALUE"""),"Visão de Negócio")</f>
        <v>Visão de Negócio</v>
      </c>
      <c r="I514" s="453" t="str">
        <f>IFERROR(__xludf.DUMMYFUNCTION("""COMPUTED_VALUE"""),"Conhecimento de Produto e Negócio")</f>
        <v>Conhecimento de Produto e Negócio</v>
      </c>
      <c r="J514" s="484" t="str">
        <f>IFERROR(__xludf.DUMMYFUNCTION("""COMPUTED_VALUE"""),"Análise da Concorrência")</f>
        <v>Análise da Concorrência</v>
      </c>
      <c r="K514" s="275" t="str">
        <f>IFERROR(__xludf.DUMMYFUNCTION("""COMPUTED_VALUE"""),"https://universidade.pipelovers.net/m/lessons/como-aprender-com-a-concorrencia1769552283257?classId=3234")</f>
        <v>https://universidade.pipelovers.net/m/lessons/como-aprender-com-a-concorrencia1769552283257?classId=3234</v>
      </c>
      <c r="L514" s="535" t="str">
        <f>IFERROR(__xludf.DUMMYFUNCTION("""COMPUTED_VALUE"""),"https://universidade.pipelovers.net/m/lessons/como-aprender-com-a-concorrencia1769552283257?classId=3234")</f>
        <v>https://universidade.pipelovers.net/m/lessons/como-aprender-com-a-concorrencia1769552283257?classId=3234</v>
      </c>
      <c r="M514" s="1082">
        <f>IFERROR(__xludf.DUMMYFUNCTION("""COMPUTED_VALUE"""),2.0)</f>
        <v>2</v>
      </c>
      <c r="N514" s="1081" t="str">
        <f>IFERROR(__xludf.DUMMYFUNCTION("""COMPUTED_VALUE"""),"64. PipeLovers 💙 Líderes de Vendas: ""Como aprender com a concorrência?"" com Carol Manciola (2023-12-05 08:05 GMT-3)")</f>
        <v>64. PipeLovers 💙 Líderes de Vendas: "Como aprender com a concorrência?" com Carol Manciola (2023-12-05 08:05 GMT-3)</v>
      </c>
      <c r="O514" s="208" t="str">
        <f>IFERROR(__xludf.DUMMYFUNCTION("""COMPUTED_VALUE"""),"")</f>
        <v/>
      </c>
      <c r="P514" s="952">
        <f>IFERROR(__xludf.DUMMYFUNCTION("""COMPUTED_VALUE"""),45356.0)</f>
        <v>45356</v>
      </c>
      <c r="Q514" s="208"/>
    </row>
    <row r="515">
      <c r="A515" s="73"/>
      <c r="B515" s="209" t="str">
        <f>IFERROR(__xludf.DUMMYFUNCTION("""COMPUTED_VALUE"""),"Líderes de Vendas")</f>
        <v>Líderes de Vendas</v>
      </c>
      <c r="C515" s="216" t="str">
        <f>IFERROR(__xludf.DUMMYFUNCTION("""COMPUTED_VALUE"""),"Jolt Effect: como superar a indecisão de clientes")</f>
        <v>Jolt Effect: como superar a indecisão de clientes</v>
      </c>
      <c r="D515" s="119" t="str">
        <f>IFERROR(__xludf.DUMMYFUNCTION("""COMPUTED_VALUE"""),"Chris Cornehl")</f>
        <v>Chris Cornehl</v>
      </c>
      <c r="E515" s="303" t="str">
        <f>IFERROR(__xludf.DUMMYFUNCTION("""COMPUTED_VALUE"""),"Fundador e CEO")</f>
        <v>Fundador e CEO</v>
      </c>
      <c r="F515" s="484" t="str">
        <f>IFERROR(__xludf.DUMMYFUNCTION("""COMPUTED_VALUE"""),"MeetRox")</f>
        <v>MeetRox</v>
      </c>
      <c r="G515" s="879" t="str">
        <f>IFERROR(__xludf.DUMMYFUNCTION("""COMPUTED_VALUE"""),"https://www.linkedin.com/in/chriscornehl/")</f>
        <v>https://www.linkedin.com/in/chriscornehl/</v>
      </c>
      <c r="H515" s="484" t="str">
        <f>IFERROR(__xludf.DUMMYFUNCTION("""COMPUTED_VALUE"""),"Conhecimento Técnico")</f>
        <v>Conhecimento Técnico</v>
      </c>
      <c r="I515" s="484" t="str">
        <f>IFERROR(__xludf.DUMMYFUNCTION("""COMPUTED_VALUE"""),"Técnicas de Vendas")</f>
        <v>Técnicas de Vendas</v>
      </c>
      <c r="J515" s="453" t="str">
        <f>IFERROR(__xludf.DUMMYFUNCTION("""COMPUTED_VALUE"""),"Contorno de Objeções")</f>
        <v>Contorno de Objeções</v>
      </c>
      <c r="K515" s="275" t="str">
        <f>IFERROR(__xludf.DUMMYFUNCTION("""COMPUTED_VALUE"""),"https://universidade.pipelovers.net/m/lessons/jolt-effect-como-superar-a-indecisao-de-clientes1769552283527?classId=3235")</f>
        <v>https://universidade.pipelovers.net/m/lessons/jolt-effect-como-superar-a-indecisao-de-clientes1769552283527?classId=3235</v>
      </c>
      <c r="L515" s="535" t="str">
        <f>IFERROR(__xludf.DUMMYFUNCTION("""COMPUTED_VALUE"""),"https://universidade.pipelovers.net/m/lessons/jolt-effect-como-superar-a-indecisao-de-clientes1769552283527?classId=3235")</f>
        <v>https://universidade.pipelovers.net/m/lessons/jolt-effect-como-superar-a-indecisao-de-clientes1769552283527?classId=3235</v>
      </c>
      <c r="M515" s="1085">
        <f>IFERROR(__xludf.DUMMYFUNCTION("""COMPUTED_VALUE"""),2.0)</f>
        <v>2</v>
      </c>
      <c r="N515" s="1083" t="str">
        <f>IFERROR(__xludf.DUMMYFUNCTION("""COMPUTED_VALUE"""),"65. PipeLovers 💙 Líderes de Vendas: ""Jolt Effect: como superar a indecisão de clientes"" com Chris Corn (2023-12-12 08:06 GMT-3)")</f>
        <v>65. PipeLovers 💙 Líderes de Vendas: "Jolt Effect: como superar a indecisão de clientes" com Chris Corn (2023-12-12 08:06 GMT-3)</v>
      </c>
      <c r="O515" s="110" t="str">
        <f>IFERROR(__xludf.DUMMYFUNCTION("""COMPUTED_VALUE"""),"")</f>
        <v/>
      </c>
      <c r="P515" s="952">
        <f>IFERROR(__xludf.DUMMYFUNCTION("""COMPUTED_VALUE"""),45363.0)</f>
        <v>45363</v>
      </c>
      <c r="Q515" s="110"/>
    </row>
    <row r="516">
      <c r="A516" s="73"/>
      <c r="B516" s="209" t="str">
        <f>IFERROR(__xludf.DUMMYFUNCTION("""COMPUTED_VALUE"""),"Líderes de Vendas")</f>
        <v>Líderes de Vendas</v>
      </c>
      <c r="C516" s="268" t="str">
        <f>IFERROR(__xludf.DUMMYFUNCTION("""COMPUTED_VALUE"""),"Como calcular o ROI de Sales Enablement")</f>
        <v>Como calcular o ROI de Sales Enablement</v>
      </c>
      <c r="D516" s="104" t="str">
        <f>IFERROR(__xludf.DUMMYFUNCTION("""COMPUTED_VALUE"""),"Renata Centurion")</f>
        <v>Renata Centurion</v>
      </c>
      <c r="E516" s="228" t="str">
        <f>IFERROR(__xludf.DUMMYFUNCTION("""COMPUTED_VALUE"""),"Managing Partner Director")</f>
        <v>Managing Partner Director</v>
      </c>
      <c r="F516" s="453" t="str">
        <f>IFERROR(__xludf.DUMMYFUNCTION("""COMPUTED_VALUE"""),"Winning by Design")</f>
        <v>Winning by Design</v>
      </c>
      <c r="G516" s="895" t="str">
        <f>IFERROR(__xludf.DUMMYFUNCTION("""COMPUTED_VALUE"""),"https://www.linkedin.com/in/renatacenturion/")</f>
        <v>https://www.linkedin.com/in/renatacenturion/</v>
      </c>
      <c r="H516" s="453" t="str">
        <f>IFERROR(__xludf.DUMMYFUNCTION("""COMPUTED_VALUE"""),"Conhecimento Técnico")</f>
        <v>Conhecimento Técnico</v>
      </c>
      <c r="I516" s="453" t="str">
        <f>IFERROR(__xludf.DUMMYFUNCTION("""COMPUTED_VALUE"""),"Técnicas de Vendas")</f>
        <v>Técnicas de Vendas</v>
      </c>
      <c r="J516" s="484" t="str">
        <f>IFERROR(__xludf.DUMMYFUNCTION("""COMPUTED_VALUE"""),"ROI")</f>
        <v>ROI</v>
      </c>
      <c r="K516" s="275" t="str">
        <f>IFERROR(__xludf.DUMMYFUNCTION("""COMPUTED_VALUE"""),"https://universidade.pipelovers.net/m/lessons/como-calcular-o-roi-de-sales-enablement1769552283601?classId=3236")</f>
        <v>https://universidade.pipelovers.net/m/lessons/como-calcular-o-roi-de-sales-enablement1769552283601?classId=3236</v>
      </c>
      <c r="L516" s="535" t="str">
        <f>IFERROR(__xludf.DUMMYFUNCTION("""COMPUTED_VALUE"""),"https://universidade.pipelovers.net/m/lessons/como-calcular-o-roi-de-sales-enablement1769552283601?classId=3236")</f>
        <v>https://universidade.pipelovers.net/m/lessons/como-calcular-o-roi-de-sales-enablement1769552283601?classId=3236</v>
      </c>
      <c r="M516" s="1082">
        <f>IFERROR(__xludf.DUMMYFUNCTION("""COMPUTED_VALUE"""),2.0)</f>
        <v>2</v>
      </c>
      <c r="N516" s="1081" t="str">
        <f>IFERROR(__xludf.DUMMYFUNCTION("""COMPUTED_VALUE"""),"66. PipeLovers 💙 Líderes de Vendas: ""Como calcular o ROI de Sales Enablement"" com Renata Centurion da  (2023-12-19 08:08 GMT-3)")</f>
        <v>66. PipeLovers 💙 Líderes de Vendas: "Como calcular o ROI de Sales Enablement" com Renata Centurion da  (2023-12-19 08:08 GMT-3)</v>
      </c>
      <c r="O516" s="110" t="str">
        <f>IFERROR(__xludf.DUMMYFUNCTION("""COMPUTED_VALUE"""),"")</f>
        <v/>
      </c>
      <c r="P516" s="952">
        <f>IFERROR(__xludf.DUMMYFUNCTION("""COMPUTED_VALUE"""),45370.0)</f>
        <v>45370</v>
      </c>
      <c r="Q516" s="110"/>
    </row>
    <row r="517">
      <c r="A517" s="73"/>
      <c r="B517" s="209" t="str">
        <f>IFERROR(__xludf.DUMMYFUNCTION("""COMPUTED_VALUE"""),"Líderes de Vendas")</f>
        <v>Líderes de Vendas</v>
      </c>
      <c r="C517" s="216" t="str">
        <f>IFERROR(__xludf.DUMMYFUNCTION("""COMPUTED_VALUE"""),"Validação e escala de novos canais de geração de demanda")</f>
        <v>Validação e escala de novos canais de geração de demanda</v>
      </c>
      <c r="D517" s="119" t="str">
        <f>IFERROR(__xludf.DUMMYFUNCTION("""COMPUTED_VALUE"""),"Robinson Friede")</f>
        <v>Robinson Friede</v>
      </c>
      <c r="E517" s="303" t="str">
        <f>IFERROR(__xludf.DUMMYFUNCTION("""COMPUTED_VALUE"""),"Director, Growth Marketing &amp; Demmand Generation")</f>
        <v>Director, Growth Marketing &amp; Demmand Generation</v>
      </c>
      <c r="F517" s="484" t="str">
        <f>IFERROR(__xludf.DUMMYFUNCTION("""COMPUTED_VALUE"""),"RD Station")</f>
        <v>RD Station</v>
      </c>
      <c r="G517" s="878"/>
      <c r="H517" s="484" t="str">
        <f>IFERROR(__xludf.DUMMYFUNCTION("""COMPUTED_VALUE"""),"Conhecimento Técnico")</f>
        <v>Conhecimento Técnico</v>
      </c>
      <c r="I517" s="484" t="str">
        <f>IFERROR(__xludf.DUMMYFUNCTION("""COMPUTED_VALUE"""),"Gestão de Vendas")</f>
        <v>Gestão de Vendas</v>
      </c>
      <c r="J517" s="453" t="str">
        <f>IFERROR(__xludf.DUMMYFUNCTION("""COMPUTED_VALUE"""),"Planejamento Comercial")</f>
        <v>Planejamento Comercial</v>
      </c>
      <c r="K517" s="275" t="str">
        <f>IFERROR(__xludf.DUMMYFUNCTION("""COMPUTED_VALUE"""),"https://universidade.pipelovers.net/m/lessons/validacao-e-escala-de-novos-canais-de-geracao-de-demanda1769552283674?classId=3237")</f>
        <v>https://universidade.pipelovers.net/m/lessons/validacao-e-escala-de-novos-canais-de-geracao-de-demanda1769552283674?classId=3237</v>
      </c>
      <c r="L517" s="535" t="str">
        <f>IFERROR(__xludf.DUMMYFUNCTION("""COMPUTED_VALUE"""),"https://universidade.pipelovers.net/m/lessons/validacao-e-escala-de-novos-canais-de-geracao-de-demanda1769552283674?classId=3237")</f>
        <v>https://universidade.pipelovers.net/m/lessons/validacao-e-escala-de-novos-canais-de-geracao-de-demanda1769552283674?classId=3237</v>
      </c>
      <c r="M517" s="1085">
        <f>IFERROR(__xludf.DUMMYFUNCTION("""COMPUTED_VALUE"""),4.29)</f>
        <v>4.29</v>
      </c>
      <c r="N517" s="1083" t="str">
        <f>IFERROR(__xludf.DUMMYFUNCTION("""COMPUTED_VALUE"""),"67. PipeLovers 💙 Gestão Comercial: "" Validação e escala de novos canais de geração de demanda"" com Rob (2024-01-09 09:04 GMT-3)")</f>
        <v>67. PipeLovers 💙 Gestão Comercial: " Validação e escala de novos canais de geração de demanda" com Rob (2024-01-09 09:04 GMT-3)</v>
      </c>
      <c r="O517" s="110" t="str">
        <f>IFERROR(__xludf.DUMMYFUNCTION("""COMPUTED_VALUE"""),"")</f>
        <v/>
      </c>
      <c r="P517" s="952">
        <f>IFERROR(__xludf.DUMMYFUNCTION("""COMPUTED_VALUE"""),45377.0)</f>
        <v>45377</v>
      </c>
      <c r="Q517" s="110"/>
    </row>
    <row r="518">
      <c r="A518" s="73"/>
      <c r="B518" s="209" t="str">
        <f>IFERROR(__xludf.DUMMYFUNCTION("""COMPUTED_VALUE"""),"Líderes de Vendas")</f>
        <v>Líderes de Vendas</v>
      </c>
      <c r="C518" s="268" t="str">
        <f>IFERROR(__xludf.DUMMYFUNCTION("""COMPUTED_VALUE"""),"Estruturando uma área de Customer Success")</f>
        <v>Estruturando uma área de Customer Success</v>
      </c>
      <c r="D518" s="104" t="str">
        <f>IFERROR(__xludf.DUMMYFUNCTION("""COMPUTED_VALUE"""),"Diego Azevedo")</f>
        <v>Diego Azevedo</v>
      </c>
      <c r="E518" s="228" t="str">
        <f>IFERROR(__xludf.DUMMYFUNCTION("""COMPUTED_VALUE"""),"Fundador e CEO")</f>
        <v>Fundador e CEO</v>
      </c>
      <c r="F518" s="453" t="str">
        <f>IFERROR(__xludf.DUMMYFUNCTION("""COMPUTED_VALUE"""),"CS Academy")</f>
        <v>CS Academy</v>
      </c>
      <c r="G518" s="904"/>
      <c r="H518" s="453" t="str">
        <f>IFERROR(__xludf.DUMMYFUNCTION("""COMPUTED_VALUE"""),"Conhecimento Técnico")</f>
        <v>Conhecimento Técnico</v>
      </c>
      <c r="I518" s="453" t="str">
        <f>IFERROR(__xludf.DUMMYFUNCTION("""COMPUTED_VALUE"""),"Gestão de Vendas")</f>
        <v>Gestão de Vendas</v>
      </c>
      <c r="J518" s="484" t="str">
        <f>IFERROR(__xludf.DUMMYFUNCTION("""COMPUTED_VALUE"""),"Planejamento Comercial")</f>
        <v>Planejamento Comercial</v>
      </c>
      <c r="K518" s="275" t="str">
        <f>IFERROR(__xludf.DUMMYFUNCTION("""COMPUTED_VALUE"""),"https://universidade.pipelovers.net/m/lessons/estruturando-uma-area-de-customer-success1769552283732?classId=3238")</f>
        <v>https://universidade.pipelovers.net/m/lessons/estruturando-uma-area-de-customer-success1769552283732?classId=3238</v>
      </c>
      <c r="L518" s="535" t="str">
        <f>IFERROR(__xludf.DUMMYFUNCTION("""COMPUTED_VALUE"""),"https://universidade.pipelovers.net/m/lessons/estruturando-uma-area-de-customer-success1769552283732?classId=3238")</f>
        <v>https://universidade.pipelovers.net/m/lessons/estruturando-uma-area-de-customer-success1769552283732?classId=3238</v>
      </c>
      <c r="M518" s="1082">
        <f>IFERROR(__xludf.DUMMYFUNCTION("""COMPUTED_VALUE"""),3.71)</f>
        <v>3.71</v>
      </c>
      <c r="N518" s="1081" t="str">
        <f>IFERROR(__xludf.DUMMYFUNCTION("""COMPUTED_VALUE"""),"68. PipeLovers 💙 Gestão Comercial: ""Estruturando uma área de Customer Success"" com Diego Azevedo da CS (2024-01-16 08:06 GMT-3)")</f>
        <v>68. PipeLovers 💙 Gestão Comercial: "Estruturando uma área de Customer Success" com Diego Azevedo da CS (2024-01-16 08:06 GMT-3)</v>
      </c>
      <c r="O518" s="110" t="str">
        <f>IFERROR(__xludf.DUMMYFUNCTION("""COMPUTED_VALUE"""),"")</f>
        <v/>
      </c>
      <c r="P518" s="952">
        <f>IFERROR(__xludf.DUMMYFUNCTION("""COMPUTED_VALUE"""),45384.0)</f>
        <v>45384</v>
      </c>
      <c r="Q518" s="110"/>
    </row>
    <row r="519">
      <c r="A519" s="73"/>
      <c r="B519" s="209" t="str">
        <f>IFERROR(__xludf.DUMMYFUNCTION("""COMPUTED_VALUE"""),"Líderes de Vendas")</f>
        <v>Líderes de Vendas</v>
      </c>
      <c r="C519" s="216" t="str">
        <f>IFERROR(__xludf.DUMMYFUNCTION("""COMPUTED_VALUE"""),"Criação de bases de prospecção com LDRs")</f>
        <v>Criação de bases de prospecção com LDRs</v>
      </c>
      <c r="D519" s="119" t="str">
        <f>IFERROR(__xludf.DUMMYFUNCTION("""COMPUTED_VALUE"""),"Juliano Dias")</f>
        <v>Juliano Dias</v>
      </c>
      <c r="E519" s="303" t="str">
        <f>IFERROR(__xludf.DUMMYFUNCTION("""COMPUTED_VALUE"""),"Co-founder &amp; CEO")</f>
        <v>Co-founder &amp; CEO</v>
      </c>
      <c r="F519" s="484" t="str">
        <f>IFERROR(__xludf.DUMMYFUNCTION("""COMPUTED_VALUE"""),"Meetz")</f>
        <v>Meetz</v>
      </c>
      <c r="G519" s="879" t="str">
        <f>IFERROR(__xludf.DUMMYFUNCTION("""COMPUTED_VALUE"""),"https://www.linkedin.com/in/julianodias/")</f>
        <v>https://www.linkedin.com/in/julianodias/</v>
      </c>
      <c r="H519" s="484" t="str">
        <f>IFERROR(__xludf.DUMMYFUNCTION("""COMPUTED_VALUE"""),"Conhecimento Técnico")</f>
        <v>Conhecimento Técnico</v>
      </c>
      <c r="I519" s="484" t="str">
        <f>IFERROR(__xludf.DUMMYFUNCTION("""COMPUTED_VALUE"""),"Técnicas de Vendas")</f>
        <v>Técnicas de Vendas</v>
      </c>
      <c r="J519" s="453" t="str">
        <f>IFERROR(__xludf.DUMMYFUNCTION("""COMPUTED_VALUE"""),"Abordagem e Prospecção")</f>
        <v>Abordagem e Prospecção</v>
      </c>
      <c r="K519" s="275" t="str">
        <f>IFERROR(__xludf.DUMMYFUNCTION("""COMPUTED_VALUE"""),"https://universidade.pipelovers.net/m/lessons/criacao-de-bases-de-prospeccao-com-ldrs1769552283794?classId=3239")</f>
        <v>https://universidade.pipelovers.net/m/lessons/criacao-de-bases-de-prospeccao-com-ldrs1769552283794?classId=3239</v>
      </c>
      <c r="L519" s="535" t="str">
        <f>IFERROR(__xludf.DUMMYFUNCTION("""COMPUTED_VALUE"""),"https://universidade.pipelovers.net/m/lessons/criacao-de-bases-de-prospeccao-com-ldrs1769552283794?classId=3239")</f>
        <v>https://universidade.pipelovers.net/m/lessons/criacao-de-bases-de-prospeccao-com-ldrs1769552283794?classId=3239</v>
      </c>
      <c r="M519" s="1085">
        <f>IFERROR(__xludf.DUMMYFUNCTION("""COMPUTED_VALUE"""),3.0)</f>
        <v>3</v>
      </c>
      <c r="N519" s="1083" t="str">
        <f>IFERROR(__xludf.DUMMYFUNCTION("""COMPUTED_VALUE"""),"69. PipeLovers 💙 Gestão Comercial: ""Criação de bases de prospecção com LDRs"" com Juliano Dias (2024-01-23 08:06 GMT-3)")</f>
        <v>69. PipeLovers 💙 Gestão Comercial: "Criação de bases de prospecção com LDRs" com Juliano Dias (2024-01-23 08:06 GMT-3)</v>
      </c>
      <c r="O519" s="110" t="str">
        <f>IFERROR(__xludf.DUMMYFUNCTION("""COMPUTED_VALUE"""),"")</f>
        <v/>
      </c>
      <c r="P519" s="952">
        <f>IFERROR(__xludf.DUMMYFUNCTION("""COMPUTED_VALUE"""),45391.0)</f>
        <v>45391</v>
      </c>
      <c r="Q519" s="110"/>
    </row>
    <row r="520">
      <c r="A520" s="73"/>
      <c r="B520" s="209" t="str">
        <f>IFERROR(__xludf.DUMMYFUNCTION("""COMPUTED_VALUE"""),"Líderes de Vendas")</f>
        <v>Líderes de Vendas</v>
      </c>
      <c r="C520" s="216" t="str">
        <f>IFERROR(__xludf.DUMMYFUNCTION("""COMPUTED_VALUE"""),"Community-led Growth como avenida de crescimento em vendas")</f>
        <v>Community-led Growth como avenida de crescimento em vendas</v>
      </c>
      <c r="D520" s="104" t="str">
        <f>IFERROR(__xludf.DUMMYFUNCTION("""COMPUTED_VALUE"""),"Emiliano Agazzoni")</f>
        <v>Emiliano Agazzoni</v>
      </c>
      <c r="E520" s="228" t="str">
        <f>IFERROR(__xludf.DUMMYFUNCTION("""COMPUTED_VALUE"""),"Founder")</f>
        <v>Founder</v>
      </c>
      <c r="F520" s="453" t="str">
        <f>IFERROR(__xludf.DUMMYFUNCTION("""COMPUTED_VALUE"""),"Community Manager School")</f>
        <v>Community Manager School</v>
      </c>
      <c r="G520" s="904"/>
      <c r="H520" s="453" t="str">
        <f>IFERROR(__xludf.DUMMYFUNCTION("""COMPUTED_VALUE"""),"Visão de Negócio")</f>
        <v>Visão de Negócio</v>
      </c>
      <c r="I520" s="453" t="str">
        <f>IFERROR(__xludf.DUMMYFUNCTION("""COMPUTED_VALUE"""),"Tendencias de mercado")</f>
        <v>Tendencias de mercado</v>
      </c>
      <c r="J520" s="484" t="str">
        <f>IFERROR(__xludf.DUMMYFUNCTION("""COMPUTED_VALUE"""),"Tendencias do Setor")</f>
        <v>Tendencias do Setor</v>
      </c>
      <c r="K520" s="275" t="str">
        <f>IFERROR(__xludf.DUMMYFUNCTION("""COMPUTED_VALUE"""),"https://universidade.pipelovers.net/m/lessons/community-led-growth-como-avenida-de-crescimento-em-vendas1769552283857?classId=3240")</f>
        <v>https://universidade.pipelovers.net/m/lessons/community-led-growth-como-avenida-de-crescimento-em-vendas1769552283857?classId=3240</v>
      </c>
      <c r="L520" s="535" t="str">
        <f>IFERROR(__xludf.DUMMYFUNCTION("""COMPUTED_VALUE"""),"https://universidade.pipelovers.net/m/lessons/community-led-growth-como-avenida-de-crescimento-em-vendas1769552283857?classId=3240")</f>
        <v>https://universidade.pipelovers.net/m/lessons/community-led-growth-como-avenida-de-crescimento-em-vendas1769552283857?classId=3240</v>
      </c>
      <c r="M520" s="1085">
        <f>IFERROR(__xludf.DUMMYFUNCTION("""COMPUTED_VALUE"""),3.71)</f>
        <v>3.71</v>
      </c>
      <c r="N520" s="1083" t="str">
        <f>IFERROR(__xludf.DUMMYFUNCTION("""COMPUTED_VALUE"""),"70. PipeLovers 💙 Gestão Comercial: ""Community-led Growth como avenida de crescimento em vendas"" com Em (2024-01-30 08:07 GMT-3)")</f>
        <v>70. PipeLovers 💙 Gestão Comercial: "Community-led Growth como avenida de crescimento em vendas" com Em (2024-01-30 08:07 GMT-3)</v>
      </c>
      <c r="O520" s="208" t="str">
        <f>IFERROR(__xludf.DUMMYFUNCTION("""COMPUTED_VALUE"""),"")</f>
        <v/>
      </c>
      <c r="P520" s="952">
        <f>IFERROR(__xludf.DUMMYFUNCTION("""COMPUTED_VALUE"""),45398.0)</f>
        <v>45398</v>
      </c>
      <c r="Q520" s="208"/>
    </row>
    <row r="521">
      <c r="A521" s="73"/>
      <c r="B521" s="209" t="str">
        <f>IFERROR(__xludf.DUMMYFUNCTION("""COMPUTED_VALUE"""),"Líderes de Vendas")</f>
        <v>Líderes de Vendas</v>
      </c>
      <c r="C521" s="216" t="str">
        <f>IFERROR(__xludf.DUMMYFUNCTION("""COMPUTED_VALUE"""),"Estratégias de Marketing B2B para Grandes Contas")</f>
        <v>Estratégias de Marketing B2B para Grandes Contas</v>
      </c>
      <c r="D521" s="119" t="str">
        <f>IFERROR(__xludf.DUMMYFUNCTION("""COMPUTED_VALUE"""),"Fernanda Pacheco")</f>
        <v>Fernanda Pacheco</v>
      </c>
      <c r="E521" s="303" t="str">
        <f>IFERROR(__xludf.DUMMYFUNCTION("""COMPUTED_VALUE"""),"-")</f>
        <v>-</v>
      </c>
      <c r="F521" s="484" t="str">
        <f>IFERROR(__xludf.DUMMYFUNCTION("""COMPUTED_VALUE"""),"-")</f>
        <v>-</v>
      </c>
      <c r="G521" s="878"/>
      <c r="H521" s="484" t="str">
        <f>IFERROR(__xludf.DUMMYFUNCTION("""COMPUTED_VALUE"""),"Conhecimento Técnico")</f>
        <v>Conhecimento Técnico</v>
      </c>
      <c r="I521" s="484" t="str">
        <f>IFERROR(__xludf.DUMMYFUNCTION("""COMPUTED_VALUE"""),"Técnicas de Vendas")</f>
        <v>Técnicas de Vendas</v>
      </c>
      <c r="J521" s="453" t="str">
        <f>IFERROR(__xludf.DUMMYFUNCTION("""COMPUTED_VALUE"""),"Abordagem e Prospecção")</f>
        <v>Abordagem e Prospecção</v>
      </c>
      <c r="K521" s="282" t="str">
        <f>IFERROR(__xludf.DUMMYFUNCTION("""COMPUTED_VALUE"""),"https://universidade.pipelovers.net/m/lessons/estrategias-de-marketing-b2b-para-grandes-contas1769552283917?classId=3241")</f>
        <v>https://universidade.pipelovers.net/m/lessons/estrategias-de-marketing-b2b-para-grandes-contas1769552283917?classId=3241</v>
      </c>
      <c r="L521" s="500" t="str">
        <f>IFERROR(__xludf.DUMMYFUNCTION("""COMPUTED_VALUE"""),"https://universidade.pipelovers.net/m/lessons/estrategias-de-marketing-b2b-para-grandes-contas1769552283917?classId=3241")</f>
        <v>https://universidade.pipelovers.net/m/lessons/estrategias-de-marketing-b2b-para-grandes-contas1769552283917?classId=3241</v>
      </c>
      <c r="M521" s="1082">
        <f>IFERROR(__xludf.DUMMYFUNCTION("""COMPUTED_VALUE"""),3.57)</f>
        <v>3.57</v>
      </c>
      <c r="N521" s="1081" t="str">
        <f>IFERROR(__xludf.DUMMYFUNCTION("""COMPUTED_VALUE"""),"71. PipeLovers 💙 Gestão Comercial: ""Estratégias de Marketing B2B para Grandes Contas"" com Fernanda Pac (2024-02-06 08:05 GMT-3)")</f>
        <v>71. PipeLovers 💙 Gestão Comercial: "Estratégias de Marketing B2B para Grandes Contas" com Fernanda Pac (2024-02-06 08:05 GMT-3)</v>
      </c>
      <c r="O521" s="208" t="str">
        <f>IFERROR(__xludf.DUMMYFUNCTION("""COMPUTED_VALUE"""),"")</f>
        <v/>
      </c>
      <c r="P521" s="952">
        <f>IFERROR(__xludf.DUMMYFUNCTION("""COMPUTED_VALUE"""),45405.0)</f>
        <v>45405</v>
      </c>
      <c r="Q521" s="208"/>
    </row>
    <row r="522">
      <c r="A522" s="73"/>
      <c r="B522" s="209" t="str">
        <f>IFERROR(__xludf.DUMMYFUNCTION("""COMPUTED_VALUE"""),"Líderes de Vendas")</f>
        <v>Líderes de Vendas</v>
      </c>
      <c r="C522" s="268" t="str">
        <f>IFERROR(__xludf.DUMMYFUNCTION("""COMPUTED_VALUE"""),"Modelos de Remuneração Variável em Vendas B2B")</f>
        <v>Modelos de Remuneração Variável em Vendas B2B</v>
      </c>
      <c r="D522" s="104" t="str">
        <f>IFERROR(__xludf.DUMMYFUNCTION("""COMPUTED_VALUE"""),"Ricardo Okino")</f>
        <v>Ricardo Okino</v>
      </c>
      <c r="E522" s="228" t="str">
        <f>IFERROR(__xludf.DUMMYFUNCTION("""COMPUTED_VALUE"""),"Co-Founder")</f>
        <v>Co-Founder</v>
      </c>
      <c r="F522" s="453" t="str">
        <f>IFERROR(__xludf.DUMMYFUNCTION("""COMPUTED_VALUE"""),"Escola Exchange")</f>
        <v>Escola Exchange</v>
      </c>
      <c r="G522" s="895" t="str">
        <f>IFERROR(__xludf.DUMMYFUNCTION("""COMPUTED_VALUE"""),"https://www.linkedin.com/in/ricardookino/")</f>
        <v>https://www.linkedin.com/in/ricardookino/</v>
      </c>
      <c r="H522" s="453" t="str">
        <f>IFERROR(__xludf.DUMMYFUNCTION("""COMPUTED_VALUE"""),"Conhecimento Técnico")</f>
        <v>Conhecimento Técnico</v>
      </c>
      <c r="I522" s="453" t="str">
        <f>IFERROR(__xludf.DUMMYFUNCTION("""COMPUTED_VALUE"""),"Gestão de Vendas")</f>
        <v>Gestão de Vendas</v>
      </c>
      <c r="J522" s="484" t="str">
        <f>IFERROR(__xludf.DUMMYFUNCTION("""COMPUTED_VALUE"""),"Planejamento Comercial")</f>
        <v>Planejamento Comercial</v>
      </c>
      <c r="K522" s="275" t="str">
        <f>IFERROR(__xludf.DUMMYFUNCTION("""COMPUTED_VALUE"""),"https://universidade.pipelovers.net/m/lessons/modelos-de-remuneracao-variavel-em-vendas-b2b1769552283989?classId=3242")</f>
        <v>https://universidade.pipelovers.net/m/lessons/modelos-de-remuneracao-variavel-em-vendas-b2b1769552283989?classId=3242</v>
      </c>
      <c r="L522" s="535" t="str">
        <f>IFERROR(__xludf.DUMMYFUNCTION("""COMPUTED_VALUE"""),"https://universidade.pipelovers.net/m/lessons/modelos-de-remuneracao-variavel-em-vendas-b2b1769552283989?classId=3242")</f>
        <v>https://universidade.pipelovers.net/m/lessons/modelos-de-remuneracao-variavel-em-vendas-b2b1769552283989?classId=3242</v>
      </c>
      <c r="M522" s="1085">
        <f>IFERROR(__xludf.DUMMYFUNCTION("""COMPUTED_VALUE"""),4.29)</f>
        <v>4.29</v>
      </c>
      <c r="N522" s="1083" t="str">
        <f>IFERROR(__xludf.DUMMYFUNCTION("""COMPUTED_VALUE"""),"72. PipeLovers 💙 Gestão Comercial: ""Modelos de Remuneração Variável em Vendas B2B"" com Ricardo Okino (2024-02-20 17:35 GMT-3)")</f>
        <v>72. PipeLovers 💙 Gestão Comercial: "Modelos de Remuneração Variável em Vendas B2B" com Ricardo Okino (2024-02-20 17:35 GMT-3)</v>
      </c>
      <c r="O522" s="218" t="str">
        <f>IFERROR(__xludf.DUMMYFUNCTION("""COMPUTED_VALUE"""),"")</f>
        <v/>
      </c>
      <c r="P522" s="952">
        <f>IFERROR(__xludf.DUMMYFUNCTION("""COMPUTED_VALUE"""),45412.0)</f>
        <v>45412</v>
      </c>
      <c r="Q522" s="218"/>
    </row>
    <row r="523">
      <c r="A523" s="73"/>
      <c r="B523" s="209" t="str">
        <f>IFERROR(__xludf.DUMMYFUNCTION("""COMPUTED_VALUE"""),"Líderes de Vendas")</f>
        <v>Líderes de Vendas</v>
      </c>
      <c r="C523" s="216" t="str">
        <f>IFERROR(__xludf.DUMMYFUNCTION("""COMPUTED_VALUE"""),"Inteligência Artificial (IA) aplicada à gestão comercial ")</f>
        <v>Inteligência Artificial (IA) aplicada à gestão comercial </v>
      </c>
      <c r="D523" s="119" t="str">
        <f>IFERROR(__xludf.DUMMYFUNCTION("""COMPUTED_VALUE"""),"Yago Martins")</f>
        <v>Yago Martins</v>
      </c>
      <c r="E523" s="303" t="str">
        <f>IFERROR(__xludf.DUMMYFUNCTION("""COMPUTED_VALUE"""),"CEO &amp; Founder")</f>
        <v>CEO &amp; Founder</v>
      </c>
      <c r="F523" s="484" t="str">
        <f>IFERROR(__xludf.DUMMYFUNCTION("""COMPUTED_VALUE"""),"Nalk")</f>
        <v>Nalk</v>
      </c>
      <c r="G523" s="878"/>
      <c r="H523" s="484" t="str">
        <f>IFERROR(__xludf.DUMMYFUNCTION("""COMPUTED_VALUE"""),"Visão de Negócio")</f>
        <v>Visão de Negócio</v>
      </c>
      <c r="I523" s="484" t="str">
        <f>IFERROR(__xludf.DUMMYFUNCTION("""COMPUTED_VALUE"""),"Tendencias de mercado")</f>
        <v>Tendencias de mercado</v>
      </c>
      <c r="J523" s="453" t="str">
        <f>IFERROR(__xludf.DUMMYFUNCTION("""COMPUTED_VALUE"""),"Inovações Tecnológicas")</f>
        <v>Inovações Tecnológicas</v>
      </c>
      <c r="K523" s="275" t="str">
        <f>IFERROR(__xludf.DUMMYFUNCTION("""COMPUTED_VALUE"""),"https://universidade.pipelovers.net/aulas/inteligencia-artificial-ia-aplicada-a-gestao-comercial-1775500447050")</f>
        <v>https://universidade.pipelovers.net/aulas/inteligencia-artificial-ia-aplicada-a-gestao-comercial-1775500447050</v>
      </c>
      <c r="L523" s="535" t="str">
        <f>IFERROR(__xludf.DUMMYFUNCTION("""COMPUTED_VALUE"""),"https://universidade.pipelovers.net/aulas/inteligencia-artificial-ia-aplicada-a-gestao-comercial-1775500447050")</f>
        <v>https://universidade.pipelovers.net/aulas/inteligencia-artificial-ia-aplicada-a-gestao-comercial-1775500447050</v>
      </c>
      <c r="M523" s="1082">
        <f>IFERROR(__xludf.DUMMYFUNCTION("""COMPUTED_VALUE"""),4.43)</f>
        <v>4.43</v>
      </c>
      <c r="N523" s="1081" t="str">
        <f>IFERROR(__xludf.DUMMYFUNCTION("""COMPUTED_VALUE"""),"73. PipeLovers 💙 Gestão Comercial: ""Inteligência Artificial (IA) aplicada a gestão comercial "" com Yag (2024-02-27 08:04 GMT-3)")</f>
        <v>73. PipeLovers 💙 Gestão Comercial: "Inteligência Artificial (IA) aplicada a gestão comercial " com Yag (2024-02-27 08:04 GMT-3)</v>
      </c>
      <c r="O523" s="218" t="str">
        <f>IFERROR(__xludf.DUMMYFUNCTION("""COMPUTED_VALUE"""),"")</f>
        <v/>
      </c>
      <c r="P523" s="952">
        <f>IFERROR(__xludf.DUMMYFUNCTION("""COMPUTED_VALUE"""),45419.0)</f>
        <v>45419</v>
      </c>
      <c r="Q523" s="218"/>
    </row>
    <row r="524">
      <c r="A524" s="73"/>
      <c r="B524" s="209" t="str">
        <f>IFERROR(__xludf.DUMMYFUNCTION("""COMPUTED_VALUE"""),"Líderes de Vendas")</f>
        <v>Líderes de Vendas</v>
      </c>
      <c r="C524" s="382" t="str">
        <f>IFERROR(__xludf.DUMMYFUNCTION("""COMPUTED_VALUE"""),"Administrando a pressão de resultados em vendas")</f>
        <v>Administrando a pressão de resultados em vendas</v>
      </c>
      <c r="D524" s="104" t="str">
        <f>IFERROR(__xludf.DUMMYFUNCTION("""COMPUTED_VALUE"""),"Eduardo Slivskin")</f>
        <v>Eduardo Slivskin</v>
      </c>
      <c r="E524" s="228" t="str">
        <f>IFERROR(__xludf.DUMMYFUNCTION("""COMPUTED_VALUE"""),"VP of Sales")</f>
        <v>VP of Sales</v>
      </c>
      <c r="F524" s="453" t="str">
        <f>IFERROR(__xludf.DUMMYFUNCTION("""COMPUTED_VALUE"""),"Betterfly ")</f>
        <v>Betterfly </v>
      </c>
      <c r="G524" s="904"/>
      <c r="H524" s="453" t="str">
        <f>IFERROR(__xludf.DUMMYFUNCTION("""COMPUTED_VALUE"""),"Autodesenvolvimento")</f>
        <v>Autodesenvolvimento</v>
      </c>
      <c r="I524" s="453" t="str">
        <f>IFERROR(__xludf.DUMMYFUNCTION("""COMPUTED_VALUE"""),"Inteligência Emocional")</f>
        <v>Inteligência Emocional</v>
      </c>
      <c r="J524" s="484" t="str">
        <f>IFERROR(__xludf.DUMMYFUNCTION("""COMPUTED_VALUE"""),"Gatilhos de Stress")</f>
        <v>Gatilhos de Stress</v>
      </c>
      <c r="K524" s="282" t="str">
        <f>IFERROR(__xludf.DUMMYFUNCTION("""COMPUTED_VALUE"""),"https://universidade.pipelovers.net/m/lessons/administrando-a-pressao-de-resultados-em-vendas1769552284126?classId=3244")</f>
        <v>https://universidade.pipelovers.net/m/lessons/administrando-a-pressao-de-resultados-em-vendas1769552284126?classId=3244</v>
      </c>
      <c r="L524" s="500" t="str">
        <f>IFERROR(__xludf.DUMMYFUNCTION("""COMPUTED_VALUE"""),"https://universidade.pipelovers.net/m/lessons/administrando-a-pressao-de-resultados-em-vendas1769552284126?classId=3244")</f>
        <v>https://universidade.pipelovers.net/m/lessons/administrando-a-pressao-de-resultados-em-vendas1769552284126?classId=3244</v>
      </c>
      <c r="M524" s="1085">
        <f>IFERROR(__xludf.DUMMYFUNCTION("""COMPUTED_VALUE"""),3.0)</f>
        <v>3</v>
      </c>
      <c r="N524" s="1083" t="str">
        <f>IFERROR(__xludf.DUMMYFUNCTION("""COMPUTED_VALUE"""),"74.PipeLovers 💙 Gestão Comercial: ""Administrando a pressão de resultados em vendas"" com Eduardo Slivs (2024-03-05 08:03 GMT-3)")</f>
        <v>74.PipeLovers 💙 Gestão Comercial: "Administrando a pressão de resultados em vendas" com Eduardo Slivs (2024-03-05 08:03 GMT-3)</v>
      </c>
      <c r="O524" s="208" t="str">
        <f>IFERROR(__xludf.DUMMYFUNCTION("""COMPUTED_VALUE"""),"")</f>
        <v/>
      </c>
      <c r="P524" s="952">
        <f>IFERROR(__xludf.DUMMYFUNCTION("""COMPUTED_VALUE"""),45426.0)</f>
        <v>45426</v>
      </c>
      <c r="Q524" s="208"/>
    </row>
    <row r="525">
      <c r="A525" s="73"/>
      <c r="B525" s="209" t="str">
        <f>IFERROR(__xludf.DUMMYFUNCTION("""COMPUTED_VALUE"""),"Líderes de Vendas")</f>
        <v>Líderes de Vendas</v>
      </c>
      <c r="C525" s="216" t="str">
        <f>IFERROR(__xludf.DUMMYFUNCTION("""COMPUTED_VALUE"""),"Estratégias para expansão internacional")</f>
        <v>Estratégias para expansão internacional</v>
      </c>
      <c r="D525" s="119" t="str">
        <f>IFERROR(__xludf.DUMMYFUNCTION("""COMPUTED_VALUE"""),"Cristian Ahlert")</f>
        <v>Cristian Ahlert</v>
      </c>
      <c r="E525" s="218" t="str">
        <f>IFERROR(__xludf.DUMMYFUNCTION("""COMPUTED_VALUE"""),"Diretor Comercial de Mercado Internacional")</f>
        <v>Diretor Comercial de Mercado Internacional</v>
      </c>
      <c r="F525" s="667" t="str">
        <f>IFERROR(__xludf.DUMMYFUNCTION("""COMPUTED_VALUE"""),"Docile")</f>
        <v>Docile</v>
      </c>
      <c r="G525" s="872"/>
      <c r="H525" s="667" t="str">
        <f>IFERROR(__xludf.DUMMYFUNCTION("""COMPUTED_VALUE"""),"Visão de Negócio")</f>
        <v>Visão de Negócio</v>
      </c>
      <c r="I525" s="667" t="str">
        <f>IFERROR(__xludf.DUMMYFUNCTION("""COMPUTED_VALUE"""),"Tendencias de mercado")</f>
        <v>Tendencias de mercado</v>
      </c>
      <c r="J525" s="453" t="str">
        <f>IFERROR(__xludf.DUMMYFUNCTION("""COMPUTED_VALUE"""),"Cenário Internacional")</f>
        <v>Cenário Internacional</v>
      </c>
      <c r="K525" s="282" t="str">
        <f>IFERROR(__xludf.DUMMYFUNCTION("""COMPUTED_VALUE"""),"https://universidade.pipelovers.net/m/lessons/estrategias-para-expansao-internacional1769552284198?classId=3245")</f>
        <v>https://universidade.pipelovers.net/m/lessons/estrategias-para-expansao-internacional1769552284198?classId=3245</v>
      </c>
      <c r="L525" s="500" t="str">
        <f>IFERROR(__xludf.DUMMYFUNCTION("""COMPUTED_VALUE"""),"https://universidade.pipelovers.net/m/lessons/estrategias-para-expansao-internacional1769552284198?classId=3245")</f>
        <v>https://universidade.pipelovers.net/m/lessons/estrategias-para-expansao-internacional1769552284198?classId=3245</v>
      </c>
      <c r="M525" s="1082">
        <f>IFERROR(__xludf.DUMMYFUNCTION("""COMPUTED_VALUE"""),1.0)</f>
        <v>1</v>
      </c>
      <c r="N525" s="1081" t="str">
        <f>IFERROR(__xludf.DUMMYFUNCTION("""COMPUTED_VALUE"""),"75. PipeLovers 💙 Gestão Comercial: ""Estratégias para expansão internacional"" com Cristian Ahlert (2024-03-12 13:05 GMT-3)")</f>
        <v>75. PipeLovers 💙 Gestão Comercial: "Estratégias para expansão internacional" com Cristian Ahlert (2024-03-12 13:05 GMT-3)</v>
      </c>
      <c r="O525" s="218" t="str">
        <f>IFERROR(__xludf.DUMMYFUNCTION("""COMPUTED_VALUE"""),"")</f>
        <v/>
      </c>
      <c r="P525" s="952">
        <f>IFERROR(__xludf.DUMMYFUNCTION("""COMPUTED_VALUE"""),45433.0)</f>
        <v>45433</v>
      </c>
      <c r="Q525" s="218"/>
    </row>
    <row r="526">
      <c r="A526" s="73"/>
      <c r="B526" s="209" t="str">
        <f>IFERROR(__xludf.DUMMYFUNCTION("""COMPUTED_VALUE"""),"Líderes de Vendas")</f>
        <v>Líderes de Vendas</v>
      </c>
      <c r="C526" s="268" t="str">
        <f>IFERROR(__xludf.DUMMYFUNCTION("""COMPUTED_VALUE"""),"Como a Inteligência Artificial vai transformar o marketing B2B?")</f>
        <v>Como a Inteligência Artificial vai transformar o marketing B2B?</v>
      </c>
      <c r="D526" s="104" t="str">
        <f>IFERROR(__xludf.DUMMYFUNCTION("""COMPUTED_VALUE"""),"Thiago Gonçalves")</f>
        <v>Thiago Gonçalves</v>
      </c>
      <c r="E526" s="218" t="str">
        <f>IFERROR(__xludf.DUMMYFUNCTION("""COMPUTED_VALUE"""),"Director of Business Unit ")</f>
        <v>Director of Business Unit </v>
      </c>
      <c r="F526" s="667" t="str">
        <f>IFERROR(__xludf.DUMMYFUNCTION("""COMPUTED_VALUE"""),"Blip")</f>
        <v>Blip</v>
      </c>
      <c r="G526" s="872"/>
      <c r="H526" s="667" t="str">
        <f>IFERROR(__xludf.DUMMYFUNCTION("""COMPUTED_VALUE"""),"Visão de Negócio")</f>
        <v>Visão de Negócio</v>
      </c>
      <c r="I526" s="667" t="str">
        <f>IFERROR(__xludf.DUMMYFUNCTION("""COMPUTED_VALUE"""),"Tendencias de mercado")</f>
        <v>Tendencias de mercado</v>
      </c>
      <c r="J526" s="667" t="str">
        <f>IFERROR(__xludf.DUMMYFUNCTION("""COMPUTED_VALUE"""),"Inovações Tecnológicas")</f>
        <v>Inovações Tecnológicas</v>
      </c>
      <c r="K526" s="275" t="str">
        <f>IFERROR(__xludf.DUMMYFUNCTION("""COMPUTED_VALUE"""),"https://universidade.pipelovers.net/aulas/como-inteligencia-artificial-vai-transformar-o-marketing-b2b-1775501548850")</f>
        <v>https://universidade.pipelovers.net/aulas/como-inteligencia-artificial-vai-transformar-o-marketing-b2b-1775501548850</v>
      </c>
      <c r="L526" s="535" t="str">
        <f>IFERROR(__xludf.DUMMYFUNCTION("""COMPUTED_VALUE"""),"https://universidade.pipelovers.net/aulas/como-inteligencia-artificial-vai-transformar-o-marketing-b2b-1775501548850")</f>
        <v>https://universidade.pipelovers.net/aulas/como-inteligencia-artificial-vai-transformar-o-marketing-b2b-1775501548850</v>
      </c>
      <c r="M526" s="1085">
        <f>IFERROR(__xludf.DUMMYFUNCTION("""COMPUTED_VALUE"""),3.57)</f>
        <v>3.57</v>
      </c>
      <c r="N526" s="1083" t="str">
        <f>IFERROR(__xludf.DUMMYFUNCTION("""COMPUTED_VALUE"""),"76. PipeLovers 💙 Gestão Comercial: ""Como Inteligência Artificial vai transformar o marketing B2B?"" com Thiago Gonçalves")</f>
        <v>76. PipeLovers 💙 Gestão Comercial: "Como Inteligência Artificial vai transformar o marketing B2B?" com Thiago Gonçalves</v>
      </c>
      <c r="O526" s="218" t="str">
        <f>IFERROR(__xludf.DUMMYFUNCTION("""COMPUTED_VALUE"""),"")</f>
        <v/>
      </c>
      <c r="P526" s="952">
        <f>IFERROR(__xludf.DUMMYFUNCTION("""COMPUTED_VALUE"""),45440.0)</f>
        <v>45440</v>
      </c>
      <c r="Q526" s="218"/>
    </row>
    <row r="527">
      <c r="A527" s="73"/>
      <c r="B527" s="209" t="str">
        <f>IFERROR(__xludf.DUMMYFUNCTION("""COMPUTED_VALUE"""),"Líderes de Vendas")</f>
        <v>Líderes de Vendas</v>
      </c>
      <c r="C527" s="216" t="str">
        <f>IFERROR(__xludf.DUMMYFUNCTION("""COMPUTED_VALUE"""),"Como mapear a cultura do seu time de vendas?")</f>
        <v>Como mapear a cultura do seu time de vendas?</v>
      </c>
      <c r="D527" s="119" t="str">
        <f>IFERROR(__xludf.DUMMYFUNCTION("""COMPUTED_VALUE"""),"Livia Brandini")</f>
        <v>Livia Brandini</v>
      </c>
      <c r="E527" s="218" t="str">
        <f>IFERROR(__xludf.DUMMYFUNCTION("""COMPUTED_VALUE"""),"Founder &amp; CEO")</f>
        <v>Founder &amp; CEO</v>
      </c>
      <c r="F527" s="667" t="str">
        <f>IFERROR(__xludf.DUMMYFUNCTION("""COMPUTED_VALUE"""),"Kultua")</f>
        <v>Kultua</v>
      </c>
      <c r="G527" s="872"/>
      <c r="H527" s="667" t="str">
        <f>IFERROR(__xludf.DUMMYFUNCTION("""COMPUTED_VALUE"""),"Relacionamento Interpessoal")</f>
        <v>Relacionamento Interpessoal</v>
      </c>
      <c r="I527" s="667" t="str">
        <f>IFERROR(__xludf.DUMMYFUNCTION("""COMPUTED_VALUE"""),"Liderança e Influência")</f>
        <v>Liderança e Influência</v>
      </c>
      <c r="J527" s="667" t="str">
        <f>IFERROR(__xludf.DUMMYFUNCTION("""COMPUTED_VALUE"""),"Reconhecimento e Recompensas")</f>
        <v>Reconhecimento e Recompensas</v>
      </c>
      <c r="K527" s="275" t="str">
        <f>IFERROR(__xludf.DUMMYFUNCTION("""COMPUTED_VALUE"""),"https://universidade.pipelovers.net/aulas/como-mapear-a-cultura-de-seu-time-de-vendas-1775502888465")</f>
        <v>https://universidade.pipelovers.net/aulas/como-mapear-a-cultura-de-seu-time-de-vendas-1775502888465</v>
      </c>
      <c r="L527" s="535" t="str">
        <f>IFERROR(__xludf.DUMMYFUNCTION("""COMPUTED_VALUE"""),"https://universidade.pipelovers.net/aulas/como-mapear-a-cultura-de-seu-time-de-vendas-1775502888465")</f>
        <v>https://universidade.pipelovers.net/aulas/como-mapear-a-cultura-de-seu-time-de-vendas-1775502888465</v>
      </c>
      <c r="M527" s="1082">
        <f>IFERROR(__xludf.DUMMYFUNCTION("""COMPUTED_VALUE"""),3.71)</f>
        <v>3.71</v>
      </c>
      <c r="N527" s="1081" t="str">
        <f>IFERROR(__xludf.DUMMYFUNCTION("""COMPUTED_VALUE"""),"77. PipeLovers 💙 Gestão Comercial: ""Como mapear a cultura do seu time de vendas?"" com Livia Brandini (2024-04-02 08:05 GMT-3)")</f>
        <v>77. PipeLovers 💙 Gestão Comercial: "Como mapear a cultura do seu time de vendas?" com Livia Brandini (2024-04-02 08:05 GMT-3)</v>
      </c>
      <c r="O527" s="218" t="str">
        <f>IFERROR(__xludf.DUMMYFUNCTION("""COMPUTED_VALUE"""),"")</f>
        <v/>
      </c>
      <c r="P527" s="952">
        <f>IFERROR(__xludf.DUMMYFUNCTION("""COMPUTED_VALUE"""),45447.0)</f>
        <v>45447</v>
      </c>
      <c r="Q527" s="218"/>
    </row>
    <row r="528">
      <c r="A528" s="73"/>
      <c r="B528" s="209" t="str">
        <f>IFERROR(__xludf.DUMMYFUNCTION("""COMPUTED_VALUE"""),"Líderes de Vendas")</f>
        <v>Líderes de Vendas</v>
      </c>
      <c r="C528" s="268" t="str">
        <f>IFERROR(__xludf.DUMMYFUNCTION("""COMPUTED_VALUE"""),"Rituais para gestão de gestores: o papel do diretor de vendas")</f>
        <v>Rituais para gestão de gestores: o papel do diretor de vendas</v>
      </c>
      <c r="D528" s="104" t="str">
        <f>IFERROR(__xludf.DUMMYFUNCTION("""COMPUTED_VALUE"""),"Bruno Lotfi")</f>
        <v>Bruno Lotfi</v>
      </c>
      <c r="E528" s="218" t="str">
        <f>IFERROR(__xludf.DUMMYFUNCTION("""COMPUTED_VALUE"""),"VP de Vendas e Marketing")</f>
        <v>VP de Vendas e Marketing</v>
      </c>
      <c r="F528" s="667" t="str">
        <f>IFERROR(__xludf.DUMMYFUNCTION("""COMPUTED_VALUE"""),"Buonny")</f>
        <v>Buonny</v>
      </c>
      <c r="G528" s="872"/>
      <c r="H528" s="667" t="str">
        <f>IFERROR(__xludf.DUMMYFUNCTION("""COMPUTED_VALUE"""),"Conhecimento Técnico")</f>
        <v>Conhecimento Técnico</v>
      </c>
      <c r="I528" s="667" t="str">
        <f>IFERROR(__xludf.DUMMYFUNCTION("""COMPUTED_VALUE"""),"Gestão de Vendas")</f>
        <v>Gestão de Vendas</v>
      </c>
      <c r="J528" s="667" t="str">
        <f>IFERROR(__xludf.DUMMYFUNCTION("""COMPUTED_VALUE"""),"Rotinas e Rituais")</f>
        <v>Rotinas e Rituais</v>
      </c>
      <c r="K528" s="275" t="str">
        <f>IFERROR(__xludf.DUMMYFUNCTION("""COMPUTED_VALUE"""),"https://universidade.pipelovers.net/m/lessons/rituais-para-gestao-de-gestores-o-papel-do-diretor-de-vendas1769552284440?classId=3248")</f>
        <v>https://universidade.pipelovers.net/m/lessons/rituais-para-gestao-de-gestores-o-papel-do-diretor-de-vendas1769552284440?classId=3248</v>
      </c>
      <c r="L528" s="535" t="str">
        <f>IFERROR(__xludf.DUMMYFUNCTION("""COMPUTED_VALUE"""),"https://universidade.pipelovers.net/m/lessons/rituais-para-gestao-de-gestores-o-papel-do-diretor-de-vendas1769552284440?classId=3248")</f>
        <v>https://universidade.pipelovers.net/m/lessons/rituais-para-gestao-de-gestores-o-papel-do-diretor-de-vendas1769552284440?classId=3248</v>
      </c>
      <c r="M528" s="1085">
        <f>IFERROR(__xludf.DUMMYFUNCTION("""COMPUTED_VALUE"""),3.71)</f>
        <v>3.71</v>
      </c>
      <c r="N528" s="1083" t="str">
        <f>IFERROR(__xludf.DUMMYFUNCTION("""COMPUTED_VALUE"""),"78. PipeLovers 💙 Gestão Comercial: ""Rituais para gestão de gestores: o papel do diretor de vendas"" com (2024-04-09 08:06 GMT-3)")</f>
        <v>78. PipeLovers 💙 Gestão Comercial: "Rituais para gestão de gestores: o papel do diretor de vendas" com (2024-04-09 08:06 GMT-3)</v>
      </c>
      <c r="O528" s="218" t="str">
        <f>IFERROR(__xludf.DUMMYFUNCTION("""COMPUTED_VALUE"""),"")</f>
        <v/>
      </c>
      <c r="P528" s="952">
        <f>IFERROR(__xludf.DUMMYFUNCTION("""COMPUTED_VALUE"""),45454.0)</f>
        <v>45454</v>
      </c>
      <c r="Q528" s="218"/>
    </row>
    <row r="529">
      <c r="A529" s="73"/>
      <c r="B529" s="209" t="str">
        <f>IFERROR(__xludf.DUMMYFUNCTION("""COMPUTED_VALUE"""),"Líderes de Vendas")</f>
        <v>Líderes de Vendas</v>
      </c>
      <c r="C529" s="216" t="str">
        <f>IFERROR(__xludf.DUMMYFUNCTION("""COMPUTED_VALUE"""),"Como mapear a jornada de compra do seu cliente")</f>
        <v>Como mapear a jornada de compra do seu cliente</v>
      </c>
      <c r="D529" s="119" t="str">
        <f>IFERROR(__xludf.DUMMYFUNCTION("""COMPUTED_VALUE"""),"Jennifer Meunier")</f>
        <v>Jennifer Meunier</v>
      </c>
      <c r="E529" s="218" t="str">
        <f>IFERROR(__xludf.DUMMYFUNCTION("""COMPUTED_VALUE"""),"Head de CX &amp; Produtos")</f>
        <v>Head de CX &amp; Produtos</v>
      </c>
      <c r="F529" s="667" t="str">
        <f>IFERROR(__xludf.DUMMYFUNCTION("""COMPUTED_VALUE"""),"G4 Educação ")</f>
        <v>G4 Educação </v>
      </c>
      <c r="G529" s="872"/>
      <c r="H529" s="667" t="str">
        <f>IFERROR(__xludf.DUMMYFUNCTION("""COMPUTED_VALUE"""),"Visão de Negócio")</f>
        <v>Visão de Negócio</v>
      </c>
      <c r="I529" s="667" t="str">
        <f>IFERROR(__xludf.DUMMYFUNCTION("""COMPUTED_VALUE"""),"Conhecimento de Produto e Negócio")</f>
        <v>Conhecimento de Produto e Negócio</v>
      </c>
      <c r="J529" s="667" t="str">
        <f>IFERROR(__xludf.DUMMYFUNCTION("""COMPUTED_VALUE"""),"Jornada de Compra do Cliente")</f>
        <v>Jornada de Compra do Cliente</v>
      </c>
      <c r="K529" s="275" t="str">
        <f>IFERROR(__xludf.DUMMYFUNCTION("""COMPUTED_VALUE"""),"https://universidade.pipelovers.net/m/lessons/como-mapear-a-jornada-de-compra-do-seu-cliente1769552284500?classId=3249")</f>
        <v>https://universidade.pipelovers.net/m/lessons/como-mapear-a-jornada-de-compra-do-seu-cliente1769552284500?classId=3249</v>
      </c>
      <c r="L529" s="535" t="str">
        <f>IFERROR(__xludf.DUMMYFUNCTION("""COMPUTED_VALUE"""),"https://universidade.pipelovers.net/m/lessons/como-mapear-a-jornada-de-compra-do-seu-cliente1769552284500?classId=3249")</f>
        <v>https://universidade.pipelovers.net/m/lessons/como-mapear-a-jornada-de-compra-do-seu-cliente1769552284500?classId=3249</v>
      </c>
      <c r="M529" s="1082">
        <f>IFERROR(__xludf.DUMMYFUNCTION("""COMPUTED_VALUE"""),2.0)</f>
        <v>2</v>
      </c>
      <c r="N529" s="1081" t="str">
        <f>IFERROR(__xludf.DUMMYFUNCTION("""COMPUTED_VALUE"""),"79. PipeLovers 💙 Gestão Comercial: ""Como mapear a jornada de compra do seu cliente"" com Jennifer Meuni (2024-04-16 08:04 GMT-3)")</f>
        <v>79. PipeLovers 💙 Gestão Comercial: "Como mapear a jornada de compra do seu cliente" com Jennifer Meuni (2024-04-16 08:04 GMT-3)</v>
      </c>
      <c r="O529" s="218" t="str">
        <f>IFERROR(__xludf.DUMMYFUNCTION("""COMPUTED_VALUE"""),"")</f>
        <v/>
      </c>
      <c r="P529" s="952">
        <f>IFERROR(__xludf.DUMMYFUNCTION("""COMPUTED_VALUE"""),45461.0)</f>
        <v>45461</v>
      </c>
      <c r="Q529" s="218"/>
    </row>
    <row r="530">
      <c r="A530" s="73"/>
      <c r="B530" s="209" t="str">
        <f>IFERROR(__xludf.DUMMYFUNCTION("""COMPUTED_VALUE"""),"Líderes de Vendas")</f>
        <v>Líderes de Vendas</v>
      </c>
      <c r="C530" s="268" t="str">
        <f>IFERROR(__xludf.DUMMYFUNCTION("""COMPUTED_VALUE"""),"Melhores práticas de onboarding de vendedores")</f>
        <v>Melhores práticas de onboarding de vendedores</v>
      </c>
      <c r="D530" s="104" t="str">
        <f>IFERROR(__xludf.DUMMYFUNCTION("""COMPUTED_VALUE"""),"Lucas França")</f>
        <v>Lucas França</v>
      </c>
      <c r="E530" s="218" t="str">
        <f>IFERROR(__xludf.DUMMYFUNCTION("""COMPUTED_VALUE"""),"Co-Founder")</f>
        <v>Co-Founder</v>
      </c>
      <c r="F530" s="667" t="str">
        <f>IFERROR(__xludf.DUMMYFUNCTION("""COMPUTED_VALUE"""),"Eva People")</f>
        <v>Eva People</v>
      </c>
      <c r="G530" s="872"/>
      <c r="H530" s="667" t="str">
        <f>IFERROR(__xludf.DUMMYFUNCTION("""COMPUTED_VALUE"""),"Conhecimento Técnico")</f>
        <v>Conhecimento Técnico</v>
      </c>
      <c r="I530" s="667" t="str">
        <f>IFERROR(__xludf.DUMMYFUNCTION("""COMPUTED_VALUE"""),"Gestão de Vendas")</f>
        <v>Gestão de Vendas</v>
      </c>
      <c r="J530" s="667" t="str">
        <f>IFERROR(__xludf.DUMMYFUNCTION("""COMPUTED_VALUE"""),"Rotinas e Rituais")</f>
        <v>Rotinas e Rituais</v>
      </c>
      <c r="K530" s="275" t="str">
        <f>IFERROR(__xludf.DUMMYFUNCTION("""COMPUTED_VALUE"""),"https://universidade.pipelovers.net/m/lessons/melhores-praticas-de-onboarding-de-vendedores1769552284569?classId=3250")</f>
        <v>https://universidade.pipelovers.net/m/lessons/melhores-praticas-de-onboarding-de-vendedores1769552284569?classId=3250</v>
      </c>
      <c r="L530" s="535" t="str">
        <f>IFERROR(__xludf.DUMMYFUNCTION("""COMPUTED_VALUE"""),"https://universidade.pipelovers.net/m/lessons/melhores-praticas-de-onboarding-de-vendedores1769552284569?classId=3250")</f>
        <v>https://universidade.pipelovers.net/m/lessons/melhores-praticas-de-onboarding-de-vendedores1769552284569?classId=3250</v>
      </c>
      <c r="M530" s="1085">
        <f>IFERROR(__xludf.DUMMYFUNCTION("""COMPUTED_VALUE"""),3.0)</f>
        <v>3</v>
      </c>
      <c r="N530" s="1083" t="str">
        <f>IFERROR(__xludf.DUMMYFUNCTION("""COMPUTED_VALUE"""),"80. PipeLovers 💙 Gestão Comercial: ""Melhores práticas de onboarding de vendedores"" com Lucas França  (2024-04-23 08:05 GMT-3)")</f>
        <v>80. PipeLovers 💙 Gestão Comercial: "Melhores práticas de onboarding de vendedores" com Lucas França  (2024-04-23 08:05 GMT-3)</v>
      </c>
      <c r="O530" s="218" t="str">
        <f>IFERROR(__xludf.DUMMYFUNCTION("""COMPUTED_VALUE"""),"")</f>
        <v/>
      </c>
      <c r="P530" s="952">
        <f>IFERROR(__xludf.DUMMYFUNCTION("""COMPUTED_VALUE"""),45468.0)</f>
        <v>45468</v>
      </c>
      <c r="Q530" s="218"/>
    </row>
    <row r="531">
      <c r="A531" s="73"/>
      <c r="B531" s="209" t="str">
        <f>IFERROR(__xludf.DUMMYFUNCTION("""COMPUTED_VALUE"""),"Líderes de Vendas")</f>
        <v>Líderes de Vendas</v>
      </c>
      <c r="C531" s="216" t="str">
        <f>IFERROR(__xludf.DUMMYFUNCTION("""COMPUTED_VALUE"""),"Automação de WhatsApp para Leads Inbound")</f>
        <v>Automação de WhatsApp para Leads Inbound</v>
      </c>
      <c r="D531" s="119" t="str">
        <f>IFERROR(__xludf.DUMMYFUNCTION("""COMPUTED_VALUE"""),"Eric Luciano")</f>
        <v>Eric Luciano</v>
      </c>
      <c r="E531" s="218" t="str">
        <f>IFERROR(__xludf.DUMMYFUNCTION("""COMPUTED_VALUE"""),"CEO")</f>
        <v>CEO</v>
      </c>
      <c r="F531" s="667" t="str">
        <f>IFERROR(__xludf.DUMMYFUNCTION("""COMPUTED_VALUE"""),"Expert Integrado")</f>
        <v>Expert Integrado</v>
      </c>
      <c r="G531" s="872"/>
      <c r="H531" s="667" t="str">
        <f>IFERROR(__xludf.DUMMYFUNCTION("""COMPUTED_VALUE"""),"Conhecimento Técnico")</f>
        <v>Conhecimento Técnico</v>
      </c>
      <c r="I531" s="667" t="str">
        <f>IFERROR(__xludf.DUMMYFUNCTION("""COMPUTED_VALUE"""),"Técnicas de Vendas")</f>
        <v>Técnicas de Vendas</v>
      </c>
      <c r="J531" s="667" t="str">
        <f>IFERROR(__xludf.DUMMYFUNCTION("""COMPUTED_VALUE"""),"Abordagem e Prospecção")</f>
        <v>Abordagem e Prospecção</v>
      </c>
      <c r="K531" s="275" t="str">
        <f>IFERROR(__xludf.DUMMYFUNCTION("""COMPUTED_VALUE"""),"https://universidade.pipelovers.net/m/lessons/automacao-de-whatsapp-para-leads-inbound1769552284714?classId=3251")</f>
        <v>https://universidade.pipelovers.net/m/lessons/automacao-de-whatsapp-para-leads-inbound1769552284714?classId=3251</v>
      </c>
      <c r="L531" s="535" t="str">
        <f>IFERROR(__xludf.DUMMYFUNCTION("""COMPUTED_VALUE"""),"https://universidade.pipelovers.net/m/lessons/automacao-de-whatsapp-para-leads-inbound1769552284714?classId=3251")</f>
        <v>https://universidade.pipelovers.net/m/lessons/automacao-de-whatsapp-para-leads-inbound1769552284714?classId=3251</v>
      </c>
      <c r="M531" s="1082">
        <f>IFERROR(__xludf.DUMMYFUNCTION("""COMPUTED_VALUE"""),3.71)</f>
        <v>3.71</v>
      </c>
      <c r="N531" s="1081" t="str">
        <f>IFERROR(__xludf.DUMMYFUNCTION("""COMPUTED_VALUE"""),"81. PipeLovers 💙 Gestão Comercial: ""Automação de WhatsApp para Leads Inbound"" com Eric Luciano (2024-04-30 08:05 GMT-3)")</f>
        <v>81. PipeLovers 💙 Gestão Comercial: "Automação de WhatsApp para Leads Inbound" com Eric Luciano (2024-04-30 08:05 GMT-3)</v>
      </c>
      <c r="O531" s="218" t="str">
        <f>IFERROR(__xludf.DUMMYFUNCTION("""COMPUTED_VALUE"""),"")</f>
        <v/>
      </c>
      <c r="P531" s="952">
        <f>IFERROR(__xludf.DUMMYFUNCTION("""COMPUTED_VALUE"""),45475.0)</f>
        <v>45475</v>
      </c>
      <c r="Q531" s="218"/>
    </row>
    <row r="532">
      <c r="A532" s="73"/>
      <c r="B532" s="209" t="str">
        <f>IFERROR(__xludf.DUMMYFUNCTION("""COMPUTED_VALUE"""),"Líderes de Vendas")</f>
        <v>Líderes de Vendas</v>
      </c>
      <c r="C532" s="268" t="str">
        <f>IFERROR(__xludf.DUMMYFUNCTION("""COMPUTED_VALUE"""),"Panorama de Geração de Leads no Brasil (by Leadster)")</f>
        <v>Panorama de Geração de Leads no Brasil (by Leadster)</v>
      </c>
      <c r="D532" s="104" t="str">
        <f>IFERROR(__xludf.DUMMYFUNCTION("""COMPUTED_VALUE"""),"Fabricio Toledo")</f>
        <v>Fabricio Toledo</v>
      </c>
      <c r="E532" s="218" t="str">
        <f>IFERROR(__xludf.DUMMYFUNCTION("""COMPUTED_VALUE"""),"CEO &amp; Founder")</f>
        <v>CEO &amp; Founder</v>
      </c>
      <c r="F532" s="667" t="str">
        <f>IFERROR(__xludf.DUMMYFUNCTION("""COMPUTED_VALUE"""),"Leadster")</f>
        <v>Leadster</v>
      </c>
      <c r="G532" s="872"/>
      <c r="H532" s="667" t="str">
        <f>IFERROR(__xludf.DUMMYFUNCTION("""COMPUTED_VALUE"""),"Visão de Negócio")</f>
        <v>Visão de Negócio</v>
      </c>
      <c r="I532" s="667" t="str">
        <f>IFERROR(__xludf.DUMMYFUNCTION("""COMPUTED_VALUE"""),"Tendencias de mercado")</f>
        <v>Tendencias de mercado</v>
      </c>
      <c r="J532" s="667" t="str">
        <f>IFERROR(__xludf.DUMMYFUNCTION("""COMPUTED_VALUE"""),"Tendencias do Setor")</f>
        <v>Tendencias do Setor</v>
      </c>
      <c r="K532" s="275" t="str">
        <f>IFERROR(__xludf.DUMMYFUNCTION("""COMPUTED_VALUE"""),"https://universidade.pipelovers.net/m/lessons/panorama-de-geracao-de-leads-no-brasil-by-leadster1769552284639?classId=3252")</f>
        <v>https://universidade.pipelovers.net/m/lessons/panorama-de-geracao-de-leads-no-brasil-by-leadster1769552284639?classId=3252</v>
      </c>
      <c r="L532" s="535" t="str">
        <f>IFERROR(__xludf.DUMMYFUNCTION("""COMPUTED_VALUE"""),"https://universidade.pipelovers.net/m/lessons/panorama-de-geracao-de-leads-no-brasil-by-leadster1769552284639?classId=3252")</f>
        <v>https://universidade.pipelovers.net/m/lessons/panorama-de-geracao-de-leads-no-brasil-by-leadster1769552284639?classId=3252</v>
      </c>
      <c r="M532" s="1085">
        <f>IFERROR(__xludf.DUMMYFUNCTION("""COMPUTED_VALUE"""),2.0)</f>
        <v>2</v>
      </c>
      <c r="N532" s="1083" t="str">
        <f>IFERROR(__xludf.DUMMYFUNCTION("""COMPUTED_VALUE"""),"82. PipeLovers 💙 Gestão Comercial: ""Panorama de Geração de Leads no Brasil (by Leadster)"" com Fabricio (2024-05-07 08:05 GMT-3)")</f>
        <v>82. PipeLovers 💙 Gestão Comercial: "Panorama de Geração de Leads no Brasil (by Leadster)" com Fabricio (2024-05-07 08:05 GMT-3)</v>
      </c>
      <c r="O532" s="218" t="str">
        <f>IFERROR(__xludf.DUMMYFUNCTION("""COMPUTED_VALUE"""),"")</f>
        <v/>
      </c>
      <c r="P532" s="952">
        <f>IFERROR(__xludf.DUMMYFUNCTION("""COMPUTED_VALUE"""),45482.0)</f>
        <v>45482</v>
      </c>
      <c r="Q532" s="218"/>
    </row>
    <row r="533">
      <c r="A533" s="73"/>
      <c r="B533" s="209" t="str">
        <f>IFERROR(__xludf.DUMMYFUNCTION("""COMPUTED_VALUE"""),"Líderes de Vendas")</f>
        <v>Líderes de Vendas</v>
      </c>
      <c r="C533" s="216" t="str">
        <f>IFERROR(__xludf.DUMMYFUNCTION("""COMPUTED_VALUE"""),"Melhores práticas na gestão de CRM")</f>
        <v>Melhores práticas na gestão de CRM</v>
      </c>
      <c r="D533" s="119" t="str">
        <f>IFERROR(__xludf.DUMMYFUNCTION("""COMPUTED_VALUE"""),"Camila Baggio")</f>
        <v>Camila Baggio</v>
      </c>
      <c r="E533" s="218" t="str">
        <f>IFERROR(__xludf.DUMMYFUNCTION("""COMPUTED_VALUE"""),"Commercial Manager")</f>
        <v>Commercial Manager</v>
      </c>
      <c r="F533" s="667" t="str">
        <f>IFERROR(__xludf.DUMMYFUNCTION("""COMPUTED_VALUE"""),"Saks")</f>
        <v>Saks</v>
      </c>
      <c r="G533" s="872"/>
      <c r="H533" s="667" t="str">
        <f>IFERROR(__xludf.DUMMYFUNCTION("""COMPUTED_VALUE"""),"Autodesenvolvimento")</f>
        <v>Autodesenvolvimento</v>
      </c>
      <c r="I533" s="667" t="str">
        <f>IFERROR(__xludf.DUMMYFUNCTION("""COMPUTED_VALUE"""),"Gestão de Tempo e da Informação")</f>
        <v>Gestão de Tempo e da Informação</v>
      </c>
      <c r="J533" s="667" t="str">
        <f>IFERROR(__xludf.DUMMYFUNCTION("""COMPUTED_VALUE"""),"Melhores Práticas de CRM")</f>
        <v>Melhores Práticas de CRM</v>
      </c>
      <c r="K533" s="275" t="str">
        <f>IFERROR(__xludf.DUMMYFUNCTION("""COMPUTED_VALUE"""),"https://universidade.pipelovers.net/m/lessons/melhores-praticas-na-gestao-de-crm1769552284784?classId=3253")</f>
        <v>https://universidade.pipelovers.net/m/lessons/melhores-praticas-na-gestao-de-crm1769552284784?classId=3253</v>
      </c>
      <c r="L533" s="535" t="str">
        <f>IFERROR(__xludf.DUMMYFUNCTION("""COMPUTED_VALUE"""),"https://universidade.pipelovers.net/m/lessons/melhores-praticas-na-gestao-de-crm1769552284784?classId=3253")</f>
        <v>https://universidade.pipelovers.net/m/lessons/melhores-praticas-na-gestao-de-crm1769552284784?classId=3253</v>
      </c>
      <c r="M533" s="1082">
        <f>IFERROR(__xludf.DUMMYFUNCTION("""COMPUTED_VALUE"""),3.0)</f>
        <v>3</v>
      </c>
      <c r="N533" s="1081" t="str">
        <f>IFERROR(__xludf.DUMMYFUNCTION("""COMPUTED_VALUE"""),"83. PipeLovers 💙 Gestão Comercial: ""Melhores práticas na gestão de CRM"" com Camila Baggio (2024-05-14 08:04 GMT-3)")</f>
        <v>83. PipeLovers 💙 Gestão Comercial: "Melhores práticas na gestão de CRM" com Camila Baggio (2024-05-14 08:04 GMT-3)</v>
      </c>
      <c r="O533" s="303" t="str">
        <f>IFERROR(__xludf.DUMMYFUNCTION("""COMPUTED_VALUE"""),"")</f>
        <v/>
      </c>
      <c r="P533" s="952">
        <f>IFERROR(__xludf.DUMMYFUNCTION("""COMPUTED_VALUE"""),45489.0)</f>
        <v>45489</v>
      </c>
      <c r="Q533" s="303"/>
    </row>
    <row r="534">
      <c r="A534" s="73"/>
      <c r="B534" s="209" t="str">
        <f>IFERROR(__xludf.DUMMYFUNCTION("""COMPUTED_VALUE"""),"Líderes de Vendas")</f>
        <v>Líderes de Vendas</v>
      </c>
      <c r="C534" s="268" t="str">
        <f>IFERROR(__xludf.DUMMYFUNCTION("""COMPUTED_VALUE"""),"Demonstrações Interativas: a nova forma de vender SaaS")</f>
        <v>Demonstrações Interativas: a nova forma de vender SaaS</v>
      </c>
      <c r="D534" s="104" t="str">
        <f>IFERROR(__xludf.DUMMYFUNCTION("""COMPUTED_VALUE"""),"Matheus Weigand")</f>
        <v>Matheus Weigand</v>
      </c>
      <c r="E534" s="218" t="str">
        <f>IFERROR(__xludf.DUMMYFUNCTION("""COMPUTED_VALUE"""),"CEO &amp; Founder")</f>
        <v>CEO &amp; Founder</v>
      </c>
      <c r="F534" s="667" t="str">
        <f>IFERROR(__xludf.DUMMYFUNCTION("""COMPUTED_VALUE"""),"Getdemo")</f>
        <v>Getdemo</v>
      </c>
      <c r="G534" s="873" t="str">
        <f>IFERROR(__xludf.DUMMYFUNCTION("""COMPUTED_VALUE"""),"https://www.linkedin.com/in/matheus-weigand/")</f>
        <v>https://www.linkedin.com/in/matheus-weigand/</v>
      </c>
      <c r="H534" s="667" t="str">
        <f>IFERROR(__xludf.DUMMYFUNCTION("""COMPUTED_VALUE"""),"Conhecimento Técnico")</f>
        <v>Conhecimento Técnico</v>
      </c>
      <c r="I534" s="667" t="str">
        <f>IFERROR(__xludf.DUMMYFUNCTION("""COMPUTED_VALUE"""),"Técnicas de Vendas")</f>
        <v>Técnicas de Vendas</v>
      </c>
      <c r="J534" s="667" t="str">
        <f>IFERROR(__xludf.DUMMYFUNCTION("""COMPUTED_VALUE"""),"Pitch Comercial")</f>
        <v>Pitch Comercial</v>
      </c>
      <c r="K534" s="275" t="str">
        <f>IFERROR(__xludf.DUMMYFUNCTION("""COMPUTED_VALUE"""),"https://universidade.pipelovers.net/m/lessons/demonstracoes-interativas-a-nova-forma-de-vender-saas1769552284845?classId=3254")</f>
        <v>https://universidade.pipelovers.net/m/lessons/demonstracoes-interativas-a-nova-forma-de-vender-saas1769552284845?classId=3254</v>
      </c>
      <c r="L534" s="535" t="str">
        <f>IFERROR(__xludf.DUMMYFUNCTION("""COMPUTED_VALUE"""),"https://universidade.pipelovers.net/m/lessons/demonstracoes-interativas-a-nova-forma-de-vender-saas1769552284845?classId=3254")</f>
        <v>https://universidade.pipelovers.net/m/lessons/demonstracoes-interativas-a-nova-forma-de-vender-saas1769552284845?classId=3254</v>
      </c>
      <c r="M534" s="1085">
        <f>IFERROR(__xludf.DUMMYFUNCTION("""COMPUTED_VALUE"""),3.0)</f>
        <v>3</v>
      </c>
      <c r="N534" s="1083" t="str">
        <f>IFERROR(__xludf.DUMMYFUNCTION("""COMPUTED_VALUE"""),"84. PipeLovers 💙 Gestão Comercial: ""Demonstrações Interativas: a nova forma de vender SaaS"" com Matheu (2024-05-21 08:04 GMT-3)")</f>
        <v>84. PipeLovers 💙 Gestão Comercial: "Demonstrações Interativas: a nova forma de vender SaaS" com Matheu (2024-05-21 08:04 GMT-3)</v>
      </c>
      <c r="O534" s="303" t="str">
        <f>IFERROR(__xludf.DUMMYFUNCTION("""COMPUTED_VALUE"""),"")</f>
        <v/>
      </c>
      <c r="P534" s="952">
        <f>IFERROR(__xludf.DUMMYFUNCTION("""COMPUTED_VALUE"""),45496.0)</f>
        <v>45496</v>
      </c>
      <c r="Q534" s="303"/>
    </row>
    <row r="535">
      <c r="A535" s="73"/>
      <c r="B535" s="209" t="str">
        <f>IFERROR(__xludf.DUMMYFUNCTION("""COMPUTED_VALUE"""),"Líderes de Vendas")</f>
        <v>Líderes de Vendas</v>
      </c>
      <c r="C535" s="216" t="str">
        <f>IFERROR(__xludf.DUMMYFUNCTION("""COMPUTED_VALUE"""),"O impacto de Social Media na construção de marca")</f>
        <v>O impacto de Social Media na construção de marca</v>
      </c>
      <c r="D535" s="119" t="str">
        <f>IFERROR(__xludf.DUMMYFUNCTION("""COMPUTED_VALUE"""),"Lucas Freitas")</f>
        <v>Lucas Freitas</v>
      </c>
      <c r="E535" s="218" t="str">
        <f>IFERROR(__xludf.DUMMYFUNCTION("""COMPUTED_VALUE"""),"Fundador")</f>
        <v>Fundador</v>
      </c>
      <c r="F535" s="667" t="str">
        <f>IFERROR(__xludf.DUMMYFUNCTION("""COMPUTED_VALUE"""),"Blank School")</f>
        <v>Blank School</v>
      </c>
      <c r="G535" s="872"/>
      <c r="H535" s="1099" t="str">
        <f>IFERROR(__xludf.DUMMYFUNCTION("""COMPUTED_VALUE"""),"Visão de Negócio")</f>
        <v>Visão de Negócio</v>
      </c>
      <c r="I535" s="667" t="str">
        <f>IFERROR(__xludf.DUMMYFUNCTION("""COMPUTED_VALUE"""),"Tendencias de mercado")</f>
        <v>Tendencias de mercado</v>
      </c>
      <c r="J535" s="667" t="str">
        <f>IFERROR(__xludf.DUMMYFUNCTION("""COMPUTED_VALUE"""),"Inovações Tecnológicas")</f>
        <v>Inovações Tecnológicas</v>
      </c>
      <c r="K535" s="275" t="str">
        <f>IFERROR(__xludf.DUMMYFUNCTION("""COMPUTED_VALUE"""),"https://universidade.pipelovers.net/m/lessons/o-impacto-de-social-media-na-construcao-de-marca1769552284985?classId=3255")</f>
        <v>https://universidade.pipelovers.net/m/lessons/o-impacto-de-social-media-na-construcao-de-marca1769552284985?classId=3255</v>
      </c>
      <c r="L535" s="535" t="str">
        <f>IFERROR(__xludf.DUMMYFUNCTION("""COMPUTED_VALUE"""),"https://universidade.pipelovers.net/m/lessons/o-impacto-de-social-media-na-construcao-de-marca1769552284985?classId=3255")</f>
        <v>https://universidade.pipelovers.net/m/lessons/o-impacto-de-social-media-na-construcao-de-marca1769552284985?classId=3255</v>
      </c>
      <c r="M535" s="1082">
        <f>IFERROR(__xludf.DUMMYFUNCTION("""COMPUTED_VALUE"""),2.0)</f>
        <v>2</v>
      </c>
      <c r="N535" s="1081" t="str">
        <f>IFERROR(__xludf.DUMMYFUNCTION("""COMPUTED_VALUE"""),"85. PipeLovers 💙 Gestão Comercial: ""O impacto de Social Media na construção de marca"" com Lucas Freita (2024-05-28 08:04 GMT-3)")</f>
        <v>85. PipeLovers 💙 Gestão Comercial: "O impacto de Social Media na construção de marca" com Lucas Freita (2024-05-28 08:04 GMT-3)</v>
      </c>
      <c r="O535" s="228" t="str">
        <f>IFERROR(__xludf.DUMMYFUNCTION("""COMPUTED_VALUE"""),"")</f>
        <v/>
      </c>
      <c r="P535" s="952">
        <f>IFERROR(__xludf.DUMMYFUNCTION("""COMPUTED_VALUE"""),45503.0)</f>
        <v>45503</v>
      </c>
      <c r="Q535" s="228"/>
    </row>
    <row r="536">
      <c r="A536" s="73"/>
      <c r="B536" s="209" t="str">
        <f>IFERROR(__xludf.DUMMYFUNCTION("""COMPUTED_VALUE"""),"Líderes de Vendas")</f>
        <v>Líderes de Vendas</v>
      </c>
      <c r="C536" s="268" t="str">
        <f>IFERROR(__xludf.DUMMYFUNCTION("""COMPUTED_VALUE"""),"Automações de marketing para apoiar vendas")</f>
        <v>Automações de marketing para apoiar vendas</v>
      </c>
      <c r="D536" s="104" t="str">
        <f>IFERROR(__xludf.DUMMYFUNCTION("""COMPUTED_VALUE"""),"Bruno Nascimento")</f>
        <v>Bruno Nascimento</v>
      </c>
      <c r="E536" s="218" t="str">
        <f>IFERROR(__xludf.DUMMYFUNCTION("""COMPUTED_VALUE"""),"Head of Growth")</f>
        <v>Head of Growth</v>
      </c>
      <c r="F536" s="667" t="str">
        <f>IFERROR(__xludf.DUMMYFUNCTION("""COMPUTED_VALUE"""),"Cvortex")</f>
        <v>Cvortex</v>
      </c>
      <c r="G536" s="872"/>
      <c r="H536" s="667" t="str">
        <f>IFERROR(__xludf.DUMMYFUNCTION("""COMPUTED_VALUE"""),"Conhecimento Técnico")</f>
        <v>Conhecimento Técnico</v>
      </c>
      <c r="I536" s="667" t="str">
        <f>IFERROR(__xludf.DUMMYFUNCTION("""COMPUTED_VALUE"""),"Gestão de Vendas")</f>
        <v>Gestão de Vendas</v>
      </c>
      <c r="J536" s="667" t="str">
        <f>IFERROR(__xludf.DUMMYFUNCTION("""COMPUTED_VALUE"""),"Ferramentas de Vendas")</f>
        <v>Ferramentas de Vendas</v>
      </c>
      <c r="K536" s="275" t="str">
        <f>IFERROR(__xludf.DUMMYFUNCTION("""COMPUTED_VALUE"""),"https://universidade.pipelovers.net/m/lessons/automacoes-de-marketing-para-apoiar-vendas1769552284907?classId=3256")</f>
        <v>https://universidade.pipelovers.net/m/lessons/automacoes-de-marketing-para-apoiar-vendas1769552284907?classId=3256</v>
      </c>
      <c r="L536" s="535" t="str">
        <f>IFERROR(__xludf.DUMMYFUNCTION("""COMPUTED_VALUE"""),"https://universidade.pipelovers.net/m/lessons/automacoes-de-marketing-para-apoiar-vendas1769552284907?classId=3256")</f>
        <v>https://universidade.pipelovers.net/m/lessons/automacoes-de-marketing-para-apoiar-vendas1769552284907?classId=3256</v>
      </c>
      <c r="M536" s="1085">
        <f>IFERROR(__xludf.DUMMYFUNCTION("""COMPUTED_VALUE"""),2.0)</f>
        <v>2</v>
      </c>
      <c r="N536" s="1083" t="str">
        <f>IFERROR(__xludf.DUMMYFUNCTION("""COMPUTED_VALUE"""),"86. PipeLovers 💙 Gestão Comercial: ""Automações de marketing para apoiar vendas"" com Bruno Nascimento (2024-06-04 08:04 GMT-3)")</f>
        <v>86. PipeLovers 💙 Gestão Comercial: "Automações de marketing para apoiar vendas" com Bruno Nascimento (2024-06-04 08:04 GMT-3)</v>
      </c>
      <c r="O536" s="303" t="str">
        <f>IFERROR(__xludf.DUMMYFUNCTION("""COMPUTED_VALUE"""),"")</f>
        <v/>
      </c>
      <c r="P536" s="952">
        <f>IFERROR(__xludf.DUMMYFUNCTION("""COMPUTED_VALUE"""),45510.0)</f>
        <v>45510</v>
      </c>
      <c r="Q536" s="303"/>
    </row>
    <row r="537">
      <c r="A537" s="73"/>
      <c r="B537" s="209" t="str">
        <f>IFERROR(__xludf.DUMMYFUNCTION("""COMPUTED_VALUE"""),"Líderes de Vendas")</f>
        <v>Líderes de Vendas</v>
      </c>
      <c r="C537" s="216" t="str">
        <f>IFERROR(__xludf.DUMMYFUNCTION("""COMPUTED_VALUE"""),"Estruturando uma operação de vendas para o setor público")</f>
        <v>Estruturando uma operação de vendas para o setor público</v>
      </c>
      <c r="D537" s="104" t="str">
        <f>IFERROR(__xludf.DUMMYFUNCTION("""COMPUTED_VALUE"""),"João Eduardo Silva Neto")</f>
        <v>João Eduardo Silva Neto</v>
      </c>
      <c r="E537" s="218" t="str">
        <f>IFERROR(__xludf.DUMMYFUNCTION("""COMPUTED_VALUE"""),"Vice-Presidente Comercial")</f>
        <v>Vice-Presidente Comercial</v>
      </c>
      <c r="F537" s="667" t="str">
        <f>IFERROR(__xludf.DUMMYFUNCTION("""COMPUTED_VALUE"""),"MXM Sistemas")</f>
        <v>MXM Sistemas</v>
      </c>
      <c r="G537" s="872"/>
      <c r="H537" s="667" t="str">
        <f>IFERROR(__xludf.DUMMYFUNCTION("""COMPUTED_VALUE"""),"Visão de Negócio")</f>
        <v>Visão de Negócio</v>
      </c>
      <c r="I537" s="667" t="str">
        <f>IFERROR(__xludf.DUMMYFUNCTION("""COMPUTED_VALUE"""),"Conhecimento de Produto e Negócio")</f>
        <v>Conhecimento de Produto e Negócio</v>
      </c>
      <c r="J537" s="667" t="str">
        <f>IFERROR(__xludf.DUMMYFUNCTION("""COMPUTED_VALUE"""),"Segmentação de Mercado")</f>
        <v>Segmentação de Mercado</v>
      </c>
      <c r="K537" s="275" t="str">
        <f>IFERROR(__xludf.DUMMYFUNCTION("""COMPUTED_VALUE"""),"https://universidade.pipelovers.net/m/lessons/estruturando-uma-operacao-de-vendas-para-o-setor-publico1769552285058?classId=3257")</f>
        <v>https://universidade.pipelovers.net/m/lessons/estruturando-uma-operacao-de-vendas-para-o-setor-publico1769552285058?classId=3257</v>
      </c>
      <c r="L537" s="535" t="str">
        <f>IFERROR(__xludf.DUMMYFUNCTION("""COMPUTED_VALUE"""),"https://universidade.pipelovers.net/m/lessons/estruturando-uma-operacao-de-vendas-para-o-setor-publico1769552285058?classId=3257")</f>
        <v>https://universidade.pipelovers.net/m/lessons/estruturando-uma-operacao-de-vendas-para-o-setor-publico1769552285058?classId=3257</v>
      </c>
      <c r="M537" s="1082">
        <f>IFERROR(__xludf.DUMMYFUNCTION("""COMPUTED_VALUE"""),3.57)</f>
        <v>3.57</v>
      </c>
      <c r="N537" s="1081" t="str">
        <f>IFERROR(__xludf.DUMMYFUNCTION("""COMPUTED_VALUE"""),"87. PipeLovers 💙 Gestão Comercial: ""Estruturando uma operação de vendas para o setor público"" com João (2024-06-11 08:05 GMT-3)")</f>
        <v>87. PipeLovers 💙 Gestão Comercial: "Estruturando uma operação de vendas para o setor público" com João (2024-06-11 08:05 GMT-3)</v>
      </c>
      <c r="O537" s="228" t="str">
        <f>IFERROR(__xludf.DUMMYFUNCTION("""COMPUTED_VALUE"""),"")</f>
        <v/>
      </c>
      <c r="P537" s="952">
        <f>IFERROR(__xludf.DUMMYFUNCTION("""COMPUTED_VALUE"""),45517.0)</f>
        <v>45517</v>
      </c>
      <c r="Q537" s="228"/>
    </row>
    <row r="538">
      <c r="A538" s="73"/>
      <c r="B538" s="209" t="str">
        <f>IFERROR(__xludf.DUMMYFUNCTION("""COMPUTED_VALUE"""),"Líderes de Vendas")</f>
        <v>Líderes de Vendas</v>
      </c>
      <c r="C538" s="268" t="str">
        <f>IFERROR(__xludf.DUMMYFUNCTION("""COMPUTED_VALUE"""),"Aplicando ""Receita Previsível"" na prática")</f>
        <v>Aplicando "Receita Previsível" na prática</v>
      </c>
      <c r="D538" s="119" t="str">
        <f>IFERROR(__xludf.DUMMYFUNCTION("""COMPUTED_VALUE"""),"Thiago Muniz")</f>
        <v>Thiago Muniz</v>
      </c>
      <c r="E538" s="218" t="str">
        <f>IFERROR(__xludf.DUMMYFUNCTION("""COMPUTED_VALUE"""),"CEO")</f>
        <v>CEO</v>
      </c>
      <c r="F538" s="667" t="str">
        <f>IFERROR(__xludf.DUMMYFUNCTION("""COMPUTED_VALUE"""),"Receita Previsível")</f>
        <v>Receita Previsível</v>
      </c>
      <c r="G538" s="872"/>
      <c r="H538" s="667" t="str">
        <f>IFERROR(__xludf.DUMMYFUNCTION("""COMPUTED_VALUE"""),"Conhecimento Técnico")</f>
        <v>Conhecimento Técnico</v>
      </c>
      <c r="I538" s="667" t="str">
        <f>IFERROR(__xludf.DUMMYFUNCTION("""COMPUTED_VALUE"""),"Gestão de Vendas")</f>
        <v>Gestão de Vendas</v>
      </c>
      <c r="J538" s="667" t="str">
        <f>IFERROR(__xludf.DUMMYFUNCTION("""COMPUTED_VALUE"""),"Metodologia de Vendas")</f>
        <v>Metodologia de Vendas</v>
      </c>
      <c r="K538" s="282" t="str">
        <f>IFERROR(__xludf.DUMMYFUNCTION("""COMPUTED_VALUE"""),"https://universidade.pipelovers.net/m/lessons/aplicando-receita-previsivel-na-pratica1769552287788?classId=3258")</f>
        <v>https://universidade.pipelovers.net/m/lessons/aplicando-receita-previsivel-na-pratica1769552287788?classId=3258</v>
      </c>
      <c r="L538" s="500" t="str">
        <f>IFERROR(__xludf.DUMMYFUNCTION("""COMPUTED_VALUE"""),"https://universidade.pipelovers.net/m/lessons/aplicando-receita-previsivel-na-pratica1769552287788?classId=3258")</f>
        <v>https://universidade.pipelovers.net/m/lessons/aplicando-receita-previsivel-na-pratica1769552287788?classId=3258</v>
      </c>
      <c r="M538" s="1085">
        <f>IFERROR(__xludf.DUMMYFUNCTION("""COMPUTED_VALUE"""),3.71)</f>
        <v>3.71</v>
      </c>
      <c r="N538" s="389" t="str">
        <f>IFERROR(__xludf.DUMMYFUNCTION("""COMPUTED_VALUE"""),"88. PipeLovers 💙 Gestão Comercial: ""Aplicando ""Receita Previsível"" na prática"" com Thiago Muniz (2024-06-19 08:04 GMT-3)")</f>
        <v>88. PipeLovers 💙 Gestão Comercial: "Aplicando "Receita Previsível" na prática" com Thiago Muniz (2024-06-19 08:04 GMT-3)</v>
      </c>
      <c r="O538" s="303" t="str">
        <f>IFERROR(__xludf.DUMMYFUNCTION("""COMPUTED_VALUE"""),"")</f>
        <v/>
      </c>
      <c r="P538" s="952">
        <f>IFERROR(__xludf.DUMMYFUNCTION("""COMPUTED_VALUE"""),45524.0)</f>
        <v>45524</v>
      </c>
      <c r="Q538" s="303"/>
    </row>
    <row r="539">
      <c r="A539" s="73"/>
      <c r="B539" s="209" t="str">
        <f>IFERROR(__xludf.DUMMYFUNCTION("""COMPUTED_VALUE"""),"Líderes de Vendas")</f>
        <v>Líderes de Vendas</v>
      </c>
      <c r="C539" s="216" t="str">
        <f>IFERROR(__xludf.DUMMYFUNCTION("""COMPUTED_VALUE"""),"Alinhamento entre vendas e customer success")</f>
        <v>Alinhamento entre vendas e customer success</v>
      </c>
      <c r="D539" s="104" t="str">
        <f>IFERROR(__xludf.DUMMYFUNCTION("""COMPUTED_VALUE"""),"Luiza Aduan")</f>
        <v>Luiza Aduan</v>
      </c>
      <c r="E539" s="218" t="str">
        <f>IFERROR(__xludf.DUMMYFUNCTION("""COMPUTED_VALUE"""),"Co-Founder &amp; Diretora de Customer Success")</f>
        <v>Co-Founder &amp; Diretora de Customer Success</v>
      </c>
      <c r="F539" s="667" t="str">
        <f>IFERROR(__xludf.DUMMYFUNCTION("""COMPUTED_VALUE"""),"ESCALA")</f>
        <v>ESCALA</v>
      </c>
      <c r="G539" s="872"/>
      <c r="H539" s="667" t="str">
        <f>IFERROR(__xludf.DUMMYFUNCTION("""COMPUTED_VALUE"""),"Relacionamento Interpessoal")</f>
        <v>Relacionamento Interpessoal</v>
      </c>
      <c r="I539" s="667" t="str">
        <f>IFERROR(__xludf.DUMMYFUNCTION("""COMPUTED_VALUE"""),"Liderança e Influência")</f>
        <v>Liderança e Influência</v>
      </c>
      <c r="J539" s="667" t="str">
        <f>IFERROR(__xludf.DUMMYFUNCTION("""COMPUTED_VALUE"""),"Gestão de Conflitos e Resolução de Problemas")</f>
        <v>Gestão de Conflitos e Resolução de Problemas</v>
      </c>
      <c r="K539" s="275" t="str">
        <f>IFERROR(__xludf.DUMMYFUNCTION("""COMPUTED_VALUE"""),"https://universidade.pipelovers.net/m/lessons/alinhamento-entre-vendas-e-customer-success1769552287824?classId=3259")</f>
        <v>https://universidade.pipelovers.net/m/lessons/alinhamento-entre-vendas-e-customer-success1769552287824?classId=3259</v>
      </c>
      <c r="L539" s="535" t="str">
        <f>IFERROR(__xludf.DUMMYFUNCTION("""COMPUTED_VALUE"""),"https://universidade.pipelovers.net/m/lessons/alinhamento-entre-vendas-e-customer-success1769552287824?classId=3259")</f>
        <v>https://universidade.pipelovers.net/m/lessons/alinhamento-entre-vendas-e-customer-success1769552287824?classId=3259</v>
      </c>
      <c r="M539" s="1085">
        <f>IFERROR(__xludf.DUMMYFUNCTION("""COMPUTED_VALUE"""),4.29)</f>
        <v>4.29</v>
      </c>
      <c r="N539" s="1083" t="str">
        <f>IFERROR(__xludf.DUMMYFUNCTION("""COMPUTED_VALUE"""),"89. PipeLovers 💙 Gestão Comercial: """"Alinhamento entre vendas e customer success"""" com Luiza Aduan (2024-07-02 08:06 GMT-3)")</f>
        <v>89. PipeLovers 💙 Gestão Comercial: ""Alinhamento entre vendas e customer success"" com Luiza Aduan (2024-07-02 08:06 GMT-3)</v>
      </c>
      <c r="O539" s="228" t="str">
        <f>IFERROR(__xludf.DUMMYFUNCTION("""COMPUTED_VALUE"""),"")</f>
        <v/>
      </c>
      <c r="P539" s="952">
        <f>IFERROR(__xludf.DUMMYFUNCTION("""COMPUTED_VALUE"""),45531.0)</f>
        <v>45531</v>
      </c>
      <c r="Q539" s="228"/>
    </row>
    <row r="540">
      <c r="A540" s="73"/>
      <c r="B540" s="209" t="str">
        <f>IFERROR(__xludf.DUMMYFUNCTION("""COMPUTED_VALUE"""),"Líderes de Vendas")</f>
        <v>Líderes de Vendas</v>
      </c>
      <c r="C540" s="268" t="str">
        <f>IFERROR(__xludf.DUMMYFUNCTION("""COMPUTED_VALUE"""),"Best Sellers - Receita Previsível")</f>
        <v>Best Sellers - Receita Previsível</v>
      </c>
      <c r="D540" s="119" t="str">
        <f>IFERROR(__xludf.DUMMYFUNCTION("""COMPUTED_VALUE"""),"Aaron Ross")</f>
        <v>Aaron Ross</v>
      </c>
      <c r="E540" s="218" t="str">
        <f>IFERROR(__xludf.DUMMYFUNCTION("""COMPUTED_VALUE"""),"Autor do livro “Receita Previsível”")</f>
        <v>Autor do livro “Receita Previsível”</v>
      </c>
      <c r="F540" s="667" t="str">
        <f>IFERROR(__xludf.DUMMYFUNCTION("""COMPUTED_VALUE"""),"-")</f>
        <v>-</v>
      </c>
      <c r="G540" s="873" t="str">
        <f>IFERROR(__xludf.DUMMYFUNCTION("""COMPUTED_VALUE"""),"https://www.linkedin.com/in/aaronross/")</f>
        <v>https://www.linkedin.com/in/aaronross/</v>
      </c>
      <c r="H540" s="667" t="str">
        <f>IFERROR(__xludf.DUMMYFUNCTION("""COMPUTED_VALUE"""),"Autodesenvolvimento")</f>
        <v>Autodesenvolvimento</v>
      </c>
      <c r="I540" s="667" t="str">
        <f>IFERROR(__xludf.DUMMYFUNCTION("""COMPUTED_VALUE"""),"Aprendizado Ativo")</f>
        <v>Aprendizado Ativo</v>
      </c>
      <c r="J540" s="667" t="str">
        <f>IFERROR(__xludf.DUMMYFUNCTION("""COMPUTED_VALUE"""),"Benchmarking")</f>
        <v>Benchmarking</v>
      </c>
      <c r="K540" s="275" t="str">
        <f>IFERROR(__xludf.DUMMYFUNCTION("""COMPUTED_VALUE"""),"https://universidade.pipelovers.net/aulas/bestsellers-1775504294126")</f>
        <v>https://universidade.pipelovers.net/aulas/bestsellers-1775504294126</v>
      </c>
      <c r="L540" s="535" t="str">
        <f>IFERROR(__xludf.DUMMYFUNCTION("""COMPUTED_VALUE"""),"https://universidade.pipelovers.net/aulas/bestsellers-1775504294126")</f>
        <v>https://universidade.pipelovers.net/aulas/bestsellers-1775504294126</v>
      </c>
      <c r="M540" s="1082">
        <f>IFERROR(__xludf.DUMMYFUNCTION("""COMPUTED_VALUE"""),3.0)</f>
        <v>3</v>
      </c>
      <c r="N540" s="1081"/>
      <c r="O540" s="303" t="str">
        <f>IFERROR(__xludf.DUMMYFUNCTION("""COMPUTED_VALUE"""),"")</f>
        <v/>
      </c>
      <c r="P540" s="952">
        <f>IFERROR(__xludf.DUMMYFUNCTION("""COMPUTED_VALUE"""),45538.0)</f>
        <v>45538</v>
      </c>
      <c r="Q540" s="303"/>
    </row>
    <row r="541">
      <c r="A541" s="73"/>
      <c r="B541" s="209" t="str">
        <f>IFERROR(__xludf.DUMMYFUNCTION("""COMPUTED_VALUE"""),"Líderes de Vendas")</f>
        <v>Líderes de Vendas</v>
      </c>
      <c r="C541" s="216" t="str">
        <f>IFERROR(__xludf.DUMMYFUNCTION("""COMPUTED_VALUE"""),"Lidando com uma nova geração de vendedores")</f>
        <v>Lidando com uma nova geração de vendedores</v>
      </c>
      <c r="D541" s="104" t="str">
        <f>IFERROR(__xludf.DUMMYFUNCTION("""COMPUTED_VALUE"""),"Arthur Viana")</f>
        <v>Arthur Viana</v>
      </c>
      <c r="E541" s="218" t="str">
        <f>IFERROR(__xludf.DUMMYFUNCTION("""COMPUTED_VALUE"""),"Business Unit Director")</f>
        <v>Business Unit Director</v>
      </c>
      <c r="F541" s="667" t="str">
        <f>IFERROR(__xludf.DUMMYFUNCTION("""COMPUTED_VALUE"""),"Blip")</f>
        <v>Blip</v>
      </c>
      <c r="G541" s="872"/>
      <c r="H541" s="667" t="str">
        <f>IFERROR(__xludf.DUMMYFUNCTION("""COMPUTED_VALUE"""),"Visão de Negócio")</f>
        <v>Visão de Negócio</v>
      </c>
      <c r="I541" s="667" t="str">
        <f>IFERROR(__xludf.DUMMYFUNCTION("""COMPUTED_VALUE"""),"Tendencias de mercado")</f>
        <v>Tendencias de mercado</v>
      </c>
      <c r="J541" s="667" t="str">
        <f>IFERROR(__xludf.DUMMYFUNCTION("""COMPUTED_VALUE"""),"Perfil do Comprador B2B")</f>
        <v>Perfil do Comprador B2B</v>
      </c>
      <c r="K541" s="275" t="str">
        <f>IFERROR(__xludf.DUMMYFUNCTION("""COMPUTED_VALUE"""),"https://universidade.pipelovers.net/m/lessons/lidando-com-uma-nova-geracao-de-vendedores1769552288051?classId=3261")</f>
        <v>https://universidade.pipelovers.net/m/lessons/lidando-com-uma-nova-geracao-de-vendedores1769552288051?classId=3261</v>
      </c>
      <c r="L541" s="535" t="str">
        <f>IFERROR(__xludf.DUMMYFUNCTION("""COMPUTED_VALUE"""),"https://universidade.pipelovers.net/m/lessons/lidando-com-uma-nova-geracao-de-vendedores1769552288051?classId=3261")</f>
        <v>https://universidade.pipelovers.net/m/lessons/lidando-com-uma-nova-geracao-de-vendedores1769552288051?classId=3261</v>
      </c>
      <c r="M541" s="1085">
        <f>IFERROR(__xludf.DUMMYFUNCTION("""COMPUTED_VALUE"""),2.0)</f>
        <v>2</v>
      </c>
      <c r="N541" s="1083" t="str">
        <f>IFERROR(__xludf.DUMMYFUNCTION("""COMPUTED_VALUE"""),"91. PipeLovers 💙 Gestão Comercial: ""Lidando com uma nova geração de vendedores"" com Arthur Viana (2024-07-16 08:05 GMT-3)")</f>
        <v>91. PipeLovers 💙 Gestão Comercial: "Lidando com uma nova geração de vendedores" com Arthur Viana (2024-07-16 08:05 GMT-3)</v>
      </c>
      <c r="O541" s="228" t="str">
        <f>IFERROR(__xludf.DUMMYFUNCTION("""COMPUTED_VALUE"""),"")</f>
        <v/>
      </c>
      <c r="P541" s="952">
        <f>IFERROR(__xludf.DUMMYFUNCTION("""COMPUTED_VALUE"""),45545.0)</f>
        <v>45545</v>
      </c>
      <c r="Q541" s="228"/>
    </row>
    <row r="542">
      <c r="A542" s="73"/>
      <c r="B542" s="209" t="str">
        <f>IFERROR(__xludf.DUMMYFUNCTION("""COMPUTED_VALUE"""),"Líderes de Vendas")</f>
        <v>Líderes de Vendas</v>
      </c>
      <c r="C542" s="268" t="str">
        <f>IFERROR(__xludf.DUMMYFUNCTION("""COMPUTED_VALUE"""),"Como avaliar uma agência de marketing?")</f>
        <v>Como avaliar uma agência de marketing?</v>
      </c>
      <c r="D542" s="119" t="str">
        <f>IFERROR(__xludf.DUMMYFUNCTION("""COMPUTED_VALUE"""),"João Acioli")</f>
        <v>João Acioli</v>
      </c>
      <c r="E542" s="218" t="str">
        <f>IFERROR(__xludf.DUMMYFUNCTION("""COMPUTED_VALUE"""),"CEO")</f>
        <v>CEO</v>
      </c>
      <c r="F542" s="667" t="str">
        <f>IFERROR(__xludf.DUMMYFUNCTION("""COMPUTED_VALUE"""),"Montre")</f>
        <v>Montre</v>
      </c>
      <c r="G542" s="872"/>
      <c r="H542" s="667" t="str">
        <f>IFERROR(__xludf.DUMMYFUNCTION("""COMPUTED_VALUE"""),"Conhecimento Técnico")</f>
        <v>Conhecimento Técnico</v>
      </c>
      <c r="I542" s="667" t="str">
        <f>IFERROR(__xludf.DUMMYFUNCTION("""COMPUTED_VALUE"""),"Gestão de Vendas")</f>
        <v>Gestão de Vendas</v>
      </c>
      <c r="J542" s="667" t="str">
        <f>IFERROR(__xludf.DUMMYFUNCTION("""COMPUTED_VALUE"""),"Ferramentas de Vendas")</f>
        <v>Ferramentas de Vendas</v>
      </c>
      <c r="K542" s="450" t="str">
        <f>IFERROR(__xludf.DUMMYFUNCTION("""COMPUTED_VALUE"""),"https://universidade.pipelovers.net/m/lessons/como-avaliar-uma-agencia-de-marketing1769552288095?classId=3262")</f>
        <v>https://universidade.pipelovers.net/m/lessons/como-avaliar-uma-agencia-de-marketing1769552288095?classId=3262</v>
      </c>
      <c r="L542" s="562" t="str">
        <f>IFERROR(__xludf.DUMMYFUNCTION("""COMPUTED_VALUE"""),"https://universidade.pipelovers.net/m/lessons/como-avaliar-uma-agencia-de-marketing1769552288095?classId=3262")</f>
        <v>https://universidade.pipelovers.net/m/lessons/como-avaliar-uma-agencia-de-marketing1769552288095?classId=3262</v>
      </c>
      <c r="M542" s="1082">
        <f>IFERROR(__xludf.DUMMYFUNCTION("""COMPUTED_VALUE"""),2.0)</f>
        <v>2</v>
      </c>
      <c r="N542" s="1081" t="str">
        <f>IFERROR(__xludf.DUMMYFUNCTION("""COMPUTED_VALUE"""),"92. PipeLovers 💙 Gestão Comercial: ""Como avaliar uma agência de marketing?"" com João Acioli (2024-07-23 08:05 GMT-3)")</f>
        <v>92. PipeLovers 💙 Gestão Comercial: "Como avaliar uma agência de marketing?" com João Acioli (2024-07-23 08:05 GMT-3)</v>
      </c>
      <c r="O542" s="303" t="str">
        <f>IFERROR(__xludf.DUMMYFUNCTION("""COMPUTED_VALUE"""),"")</f>
        <v/>
      </c>
      <c r="P542" s="952">
        <f>IFERROR(__xludf.DUMMYFUNCTION("""COMPUTED_VALUE"""),45552.0)</f>
        <v>45552</v>
      </c>
      <c r="Q542" s="303"/>
    </row>
    <row r="543">
      <c r="A543" s="73"/>
      <c r="B543" s="209" t="str">
        <f>IFERROR(__xludf.DUMMYFUNCTION("""COMPUTED_VALUE"""),"Líderes de Vendas")</f>
        <v>Líderes de Vendas</v>
      </c>
      <c r="C543" s="216" t="str">
        <f>IFERROR(__xludf.DUMMYFUNCTION("""COMPUTED_VALUE"""),"Diversidade aumenta as vendas. Como?")</f>
        <v>Diversidade aumenta as vendas. Como?</v>
      </c>
      <c r="D543" s="104" t="str">
        <f>IFERROR(__xludf.DUMMYFUNCTION("""COMPUTED_VALUE"""),"Daniela Pio")</f>
        <v>Daniela Pio</v>
      </c>
      <c r="E543" s="218" t="str">
        <f>IFERROR(__xludf.DUMMYFUNCTION("""COMPUTED_VALUE"""),"Diretora")</f>
        <v>Diretora</v>
      </c>
      <c r="F543" s="667" t="str">
        <f>IFERROR(__xludf.DUMMYFUNCTION("""COMPUTED_VALUE"""),"Ayo Inclusão e Equidade")</f>
        <v>Ayo Inclusão e Equidade</v>
      </c>
      <c r="G543" s="872"/>
      <c r="H543" s="667" t="str">
        <f>IFERROR(__xludf.DUMMYFUNCTION("""COMPUTED_VALUE"""),"Relacionamento Interpessoal")</f>
        <v>Relacionamento Interpessoal</v>
      </c>
      <c r="I543" s="667" t="str">
        <f>IFERROR(__xludf.DUMMYFUNCTION("""COMPUTED_VALUE"""),"Liderança e Influência")</f>
        <v>Liderança e Influência</v>
      </c>
      <c r="J543" s="667" t="str">
        <f>IFERROR(__xludf.DUMMYFUNCTION("""COMPUTED_VALUE"""),"Credibilidade e Reputação")</f>
        <v>Credibilidade e Reputação</v>
      </c>
      <c r="K543" s="275" t="str">
        <f>IFERROR(__xludf.DUMMYFUNCTION("""COMPUTED_VALUE"""),"https://universidade.pipelovers.net/m/lessons/diversidade-aumenta-as-vendas-como1769552288126?classId=3263")</f>
        <v>https://universidade.pipelovers.net/m/lessons/diversidade-aumenta-as-vendas-como1769552288126?classId=3263</v>
      </c>
      <c r="L543" s="535" t="str">
        <f>IFERROR(__xludf.DUMMYFUNCTION("""COMPUTED_VALUE"""),"https://universidade.pipelovers.net/m/lessons/diversidade-aumenta-as-vendas-como1769552288126?classId=3263")</f>
        <v>https://universidade.pipelovers.net/m/lessons/diversidade-aumenta-as-vendas-como1769552288126?classId=3263</v>
      </c>
      <c r="M543" s="1085">
        <f>IFERROR(__xludf.DUMMYFUNCTION("""COMPUTED_VALUE"""),3.36)</f>
        <v>3.36</v>
      </c>
      <c r="N543" s="1083" t="str">
        <f>IFERROR(__xludf.DUMMYFUNCTION("""COMPUTED_VALUE"""),"93. PipeLovers 💙 Gestão Comercial: ""Diversidade aumenta as vendas, como?"" com Daniela Pio (2024-07-31 08:05 GMT-3)")</f>
        <v>93. PipeLovers 💙 Gestão Comercial: "Diversidade aumenta as vendas, como?" com Daniela Pio (2024-07-31 08:05 GMT-3)</v>
      </c>
      <c r="O543" s="228" t="str">
        <f>IFERROR(__xludf.DUMMYFUNCTION("""COMPUTED_VALUE"""),"")</f>
        <v/>
      </c>
      <c r="P543" s="952">
        <f>IFERROR(__xludf.DUMMYFUNCTION("""COMPUTED_VALUE"""),45559.0)</f>
        <v>45559</v>
      </c>
      <c r="Q543" s="228"/>
    </row>
    <row r="544">
      <c r="A544" s="73"/>
      <c r="B544" s="209" t="str">
        <f>IFERROR(__xludf.DUMMYFUNCTION("""COMPUTED_VALUE"""),"Líderes de Vendas")</f>
        <v>Líderes de Vendas</v>
      </c>
      <c r="C544" s="268" t="str">
        <f>IFERROR(__xludf.DUMMYFUNCTION("""COMPUTED_VALUE"""),"Impacto de CX no crescimento de receita")</f>
        <v>Impacto de CX no crescimento de receita</v>
      </c>
      <c r="D544" s="119" t="str">
        <f>IFERROR(__xludf.DUMMYFUNCTION("""COMPUTED_VALUE"""),"Rodrigo Ricco")</f>
        <v>Rodrigo Ricco</v>
      </c>
      <c r="E544" s="218" t="str">
        <f>IFERROR(__xludf.DUMMYFUNCTION("""COMPUTED_VALUE"""),"Diretor Geral")</f>
        <v>Diretor Geral</v>
      </c>
      <c r="F544" s="667" t="str">
        <f>IFERROR(__xludf.DUMMYFUNCTION("""COMPUTED_VALUE"""),"Octadesk by Locaweb")</f>
        <v>Octadesk by Locaweb</v>
      </c>
      <c r="G544" s="872"/>
      <c r="H544" s="667" t="str">
        <f>IFERROR(__xludf.DUMMYFUNCTION("""COMPUTED_VALUE"""),"Visão de Negócio")</f>
        <v>Visão de Negócio</v>
      </c>
      <c r="I544" s="667" t="str">
        <f>IFERROR(__xludf.DUMMYFUNCTION("""COMPUTED_VALUE"""),"Conhecimento de Produto e Negócio")</f>
        <v>Conhecimento de Produto e Negócio</v>
      </c>
      <c r="J544" s="667" t="str">
        <f>IFERROR(__xludf.DUMMYFUNCTION("""COMPUTED_VALUE"""),"Jornada de Compra do Cliente")</f>
        <v>Jornada de Compra do Cliente</v>
      </c>
      <c r="K544" s="275" t="str">
        <f>IFERROR(__xludf.DUMMYFUNCTION("""COMPUTED_VALUE"""),"https://universidade.pipelovers.net/m/lessons/impacto-de-cx-no-crescimento-de-receita1769552288154?classId=3264")</f>
        <v>https://universidade.pipelovers.net/m/lessons/impacto-de-cx-no-crescimento-de-receita1769552288154?classId=3264</v>
      </c>
      <c r="L544" s="535" t="str">
        <f>IFERROR(__xludf.DUMMYFUNCTION("""COMPUTED_VALUE"""),"https://universidade.pipelovers.net/m/lessons/impacto-de-cx-no-crescimento-de-receita1769552288154?classId=3264")</f>
        <v>https://universidade.pipelovers.net/m/lessons/impacto-de-cx-no-crescimento-de-receita1769552288154?classId=3264</v>
      </c>
      <c r="M544" s="1082">
        <f>IFERROR(__xludf.DUMMYFUNCTION("""COMPUTED_VALUE"""),4.29)</f>
        <v>4.29</v>
      </c>
      <c r="N544" s="1081" t="str">
        <f>IFERROR(__xludf.DUMMYFUNCTION("""COMPUTED_VALUE"""),"94. PipeLovers 💙 Gestão Comercial: ""Impacto de CX no crescimento de receita"" com Rodrigo Ricco (2024-08-06 08:11 GMT-3)")</f>
        <v>94. PipeLovers 💙 Gestão Comercial: "Impacto de CX no crescimento de receita" com Rodrigo Ricco (2024-08-06 08:11 GMT-3)</v>
      </c>
      <c r="O544" s="303" t="str">
        <f>IFERROR(__xludf.DUMMYFUNCTION("""COMPUTED_VALUE"""),"")</f>
        <v/>
      </c>
      <c r="P544" s="952">
        <f>IFERROR(__xludf.DUMMYFUNCTION("""COMPUTED_VALUE"""),45566.0)</f>
        <v>45566</v>
      </c>
      <c r="Q544" s="303"/>
    </row>
    <row r="545">
      <c r="A545" s="73"/>
      <c r="B545" s="209" t="str">
        <f>IFERROR(__xludf.DUMMYFUNCTION("""COMPUTED_VALUE"""),"Líderes de Vendas")</f>
        <v>Líderes de Vendas</v>
      </c>
      <c r="C545" s="216" t="str">
        <f>IFERROR(__xludf.DUMMYFUNCTION("""COMPUTED_VALUE"""),"Como estruturar um time de Revenue Ops")</f>
        <v>Como estruturar um time de Revenue Ops</v>
      </c>
      <c r="D545" s="104" t="str">
        <f>IFERROR(__xludf.DUMMYFUNCTION("""COMPUTED_VALUE"""),"Nathalia Conde")</f>
        <v>Nathalia Conde</v>
      </c>
      <c r="E545" s="218" t="str">
        <f>IFERROR(__xludf.DUMMYFUNCTION("""COMPUTED_VALUE"""),"Especialista de Revenue Ops")</f>
        <v>Especialista de Revenue Ops</v>
      </c>
      <c r="F545" s="667" t="str">
        <f>IFERROR(__xludf.DUMMYFUNCTION("""COMPUTED_VALUE"""),"-")</f>
        <v>-</v>
      </c>
      <c r="G545" s="872"/>
      <c r="H545" s="667" t="str">
        <f>IFERROR(__xludf.DUMMYFUNCTION("""COMPUTED_VALUE"""),"Conhecimento Técnico")</f>
        <v>Conhecimento Técnico</v>
      </c>
      <c r="I545" s="667" t="str">
        <f>IFERROR(__xludf.DUMMYFUNCTION("""COMPUTED_VALUE"""),"Gestão de Vendas")</f>
        <v>Gestão de Vendas</v>
      </c>
      <c r="J545" s="667" t="str">
        <f>IFERROR(__xludf.DUMMYFUNCTION("""COMPUTED_VALUE"""),"Planejamento Comercial")</f>
        <v>Planejamento Comercial</v>
      </c>
      <c r="K545" s="275" t="str">
        <f>IFERROR(__xludf.DUMMYFUNCTION("""COMPUTED_VALUE"""),"https://universidade.pipelovers.net/m/lessons/como-estruturar-um-time-de-revenue-ops1769552292216?classId=3265")</f>
        <v>https://universidade.pipelovers.net/m/lessons/como-estruturar-um-time-de-revenue-ops1769552292216?classId=3265</v>
      </c>
      <c r="L545" s="535" t="str">
        <f>IFERROR(__xludf.DUMMYFUNCTION("""COMPUTED_VALUE"""),"https://universidade.pipelovers.net/m/lessons/como-estruturar-um-time-de-revenue-ops1769552292216?classId=3265")</f>
        <v>https://universidade.pipelovers.net/m/lessons/como-estruturar-um-time-de-revenue-ops1769552292216?classId=3265</v>
      </c>
      <c r="M545" s="1085">
        <f>IFERROR(__xludf.DUMMYFUNCTION("""COMPUTED_VALUE"""),3.71)</f>
        <v>3.71</v>
      </c>
      <c r="N545" s="1083" t="str">
        <f>IFERROR(__xludf.DUMMYFUNCTION("""COMPUTED_VALUE"""),"95. PipeLovers 💙 Gestão Comercial: ""Como estruturar um time de Revenue Ops"" com Nathalia Conde (2024-08-13 08:05 GMT-3)")</f>
        <v>95. PipeLovers 💙 Gestão Comercial: "Como estruturar um time de Revenue Ops" com Nathalia Conde (2024-08-13 08:05 GMT-3)</v>
      </c>
      <c r="O545" s="228" t="str">
        <f>IFERROR(__xludf.DUMMYFUNCTION("""COMPUTED_VALUE"""),"")</f>
        <v/>
      </c>
      <c r="P545" s="952">
        <f>IFERROR(__xludf.DUMMYFUNCTION("""COMPUTED_VALUE"""),45573.0)</f>
        <v>45573</v>
      </c>
      <c r="Q545" s="228"/>
    </row>
    <row r="546">
      <c r="A546" s="73"/>
      <c r="B546" s="209" t="str">
        <f>IFERROR(__xludf.DUMMYFUNCTION("""COMPUTED_VALUE"""),"Líderes de Vendas")</f>
        <v>Líderes de Vendas</v>
      </c>
      <c r="C546" s="268" t="str">
        <f>IFERROR(__xludf.DUMMYFUNCTION("""COMPUTED_VALUE"""),"Rituais de Avaliação de Performance")</f>
        <v>Rituais de Avaliação de Performance</v>
      </c>
      <c r="D546" s="119" t="str">
        <f>IFERROR(__xludf.DUMMYFUNCTION("""COMPUTED_VALUE"""),"Daniela Bruzzi")</f>
        <v>Daniela Bruzzi</v>
      </c>
      <c r="E546" s="218" t="str">
        <f>IFERROR(__xludf.DUMMYFUNCTION("""COMPUTED_VALUE"""),"Fundadora")</f>
        <v>Fundadora</v>
      </c>
      <c r="F546" s="667" t="str">
        <f>IFERROR(__xludf.DUMMYFUNCTION("""COMPUTED_VALUE"""),"Ellas, People Academy")</f>
        <v>Ellas, People Academy</v>
      </c>
      <c r="G546" s="872"/>
      <c r="H546" s="667" t="str">
        <f>IFERROR(__xludf.DUMMYFUNCTION("""COMPUTED_VALUE"""),"Conhecimento Técnico")</f>
        <v>Conhecimento Técnico</v>
      </c>
      <c r="I546" s="667" t="str">
        <f>IFERROR(__xludf.DUMMYFUNCTION("""COMPUTED_VALUE"""),"Gestão de Vendas")</f>
        <v>Gestão de Vendas</v>
      </c>
      <c r="J546" s="667" t="str">
        <f>IFERROR(__xludf.DUMMYFUNCTION("""COMPUTED_VALUE"""),"Rotinas e Rituais")</f>
        <v>Rotinas e Rituais</v>
      </c>
      <c r="K546" s="275" t="str">
        <f>IFERROR(__xludf.DUMMYFUNCTION("""COMPUTED_VALUE"""),"https://universidade.pipelovers.net/m/lessons/rituais-de-avaliacao-de-performance1769552292282?classId=3266")</f>
        <v>https://universidade.pipelovers.net/m/lessons/rituais-de-avaliacao-de-performance1769552292282?classId=3266</v>
      </c>
      <c r="L546" s="535" t="str">
        <f>IFERROR(__xludf.DUMMYFUNCTION("""COMPUTED_VALUE"""),"https://universidade.pipelovers.net/m/lessons/rituais-de-avaliacao-de-performance1769552292282?classId=3266")</f>
        <v>https://universidade.pipelovers.net/m/lessons/rituais-de-avaliacao-de-performance1769552292282?classId=3266</v>
      </c>
      <c r="M546" s="1082">
        <f>IFERROR(__xludf.DUMMYFUNCTION("""COMPUTED_VALUE"""),3.71)</f>
        <v>3.71</v>
      </c>
      <c r="N546" s="1081" t="str">
        <f>IFERROR(__xludf.DUMMYFUNCTION("""COMPUTED_VALUE"""),"96. PipeLovers 💙 Gestão Comercial: ""Rituais de Avaliação de Performance"" com Daniela Bruzzi (2024-08-20 08:04 GMT-3)")</f>
        <v>96. PipeLovers 💙 Gestão Comercial: "Rituais de Avaliação de Performance" com Daniela Bruzzi (2024-08-20 08:04 GMT-3)</v>
      </c>
      <c r="O546" s="303" t="str">
        <f>IFERROR(__xludf.DUMMYFUNCTION("""COMPUTED_VALUE"""),"")</f>
        <v/>
      </c>
      <c r="P546" s="952">
        <f>IFERROR(__xludf.DUMMYFUNCTION("""COMPUTED_VALUE"""),45580.0)</f>
        <v>45580</v>
      </c>
      <c r="Q546" s="303"/>
    </row>
    <row r="547">
      <c r="A547" s="73"/>
      <c r="B547" s="209" t="str">
        <f>IFERROR(__xludf.DUMMYFUNCTION("""COMPUTED_VALUE"""),"Líderes de Vendas")</f>
        <v>Líderes de Vendas</v>
      </c>
      <c r="C547" s="216" t="str">
        <f>IFERROR(__xludf.DUMMYFUNCTION("""COMPUTED_VALUE"""),"Go to Market: Planejamento para Resultados")</f>
        <v>Go to Market: Planejamento para Resultados</v>
      </c>
      <c r="D547" s="104" t="str">
        <f>IFERROR(__xludf.DUMMYFUNCTION("""COMPUTED_VALUE"""),"Pedro Escarabelin")</f>
        <v>Pedro Escarabelin</v>
      </c>
      <c r="E547" s="218" t="str">
        <f>IFERROR(__xludf.DUMMYFUNCTION("""COMPUTED_VALUE"""),"Offer Lead - Sales Intelligence")</f>
        <v>Offer Lead - Sales Intelligence</v>
      </c>
      <c r="F547" s="667" t="str">
        <f>IFERROR(__xludf.DUMMYFUNCTION("""COMPUTED_VALUE"""),"Cortex")</f>
        <v>Cortex</v>
      </c>
      <c r="G547" s="872"/>
      <c r="H547" s="667" t="str">
        <f>IFERROR(__xludf.DUMMYFUNCTION("""COMPUTED_VALUE"""),"Conhecimento Técnico")</f>
        <v>Conhecimento Técnico</v>
      </c>
      <c r="I547" s="667" t="str">
        <f>IFERROR(__xludf.DUMMYFUNCTION("""COMPUTED_VALUE"""),"Gestão de Vendas")</f>
        <v>Gestão de Vendas</v>
      </c>
      <c r="J547" s="667" t="str">
        <f>IFERROR(__xludf.DUMMYFUNCTION("""COMPUTED_VALUE"""),"Planejamento Comercial")</f>
        <v>Planejamento Comercial</v>
      </c>
      <c r="K547" s="275" t="str">
        <f>IFERROR(__xludf.DUMMYFUNCTION("""COMPUTED_VALUE"""),"https://universidade.pipelovers.net/m/lessons/go-to-market-planejamento-para-resultados1769552292345?classId=3267")</f>
        <v>https://universidade.pipelovers.net/m/lessons/go-to-market-planejamento-para-resultados1769552292345?classId=3267</v>
      </c>
      <c r="L547" s="535" t="str">
        <f>IFERROR(__xludf.DUMMYFUNCTION("""COMPUTED_VALUE"""),"https://universidade.pipelovers.net/m/lessons/go-to-market-planejamento-para-resultados1769552292345?classId=3267")</f>
        <v>https://universidade.pipelovers.net/m/lessons/go-to-market-planejamento-para-resultados1769552292345?classId=3267</v>
      </c>
      <c r="M547" s="1085">
        <f>IFERROR(__xludf.DUMMYFUNCTION("""COMPUTED_VALUE"""),4.29)</f>
        <v>4.29</v>
      </c>
      <c r="N547" s="1083" t="str">
        <f>IFERROR(__xludf.DUMMYFUNCTION("""COMPUTED_VALUE"""),"97. PipeLovers 💙 Gestão Comercial: ""Go to Market: Planejamento para Resultados"" com Pedro Escarabelin – 2024/08/27 12:53 BRT – Recording")</f>
        <v>97. PipeLovers 💙 Gestão Comercial: "Go to Market: Planejamento para Resultados" com Pedro Escarabelin – 2024/08/27 12:53 BRT – Recording</v>
      </c>
      <c r="O547" s="228" t="str">
        <f>IFERROR(__xludf.DUMMYFUNCTION("""COMPUTED_VALUE"""),"")</f>
        <v/>
      </c>
      <c r="P547" s="952">
        <f>IFERROR(__xludf.DUMMYFUNCTION("""COMPUTED_VALUE"""),45587.0)</f>
        <v>45587</v>
      </c>
      <c r="Q547" s="228"/>
    </row>
    <row r="548">
      <c r="A548" s="73"/>
      <c r="B548" s="209" t="str">
        <f>IFERROR(__xludf.DUMMYFUNCTION("""COMPUTED_VALUE"""),"Líderes de Vendas")</f>
        <v>Líderes de Vendas</v>
      </c>
      <c r="C548" s="268" t="str">
        <f>IFERROR(__xludf.DUMMYFUNCTION("""COMPUTED_VALUE"""),"Como melhorar a performance profissional com a gestão do aprendizado")</f>
        <v>Como melhorar a performance profissional com a gestão do aprendizado</v>
      </c>
      <c r="D548" s="119" t="str">
        <f>IFERROR(__xludf.DUMMYFUNCTION("""COMPUTED_VALUE"""),"André Floriano")</f>
        <v>André Floriano</v>
      </c>
      <c r="E548" s="218" t="str">
        <f>IFERROR(__xludf.DUMMYFUNCTION("""COMPUTED_VALUE"""),"Founder")</f>
        <v>Founder</v>
      </c>
      <c r="F548" s="667" t="str">
        <f>IFERROR(__xludf.DUMMYFUNCTION("""COMPUTED_VALUE"""),"Mettle")</f>
        <v>Mettle</v>
      </c>
      <c r="G548" s="872"/>
      <c r="H548" s="667" t="str">
        <f>IFERROR(__xludf.DUMMYFUNCTION("""COMPUTED_VALUE"""),"Autodesenvolvimento")</f>
        <v>Autodesenvolvimento</v>
      </c>
      <c r="I548" s="667" t="str">
        <f>IFERROR(__xludf.DUMMYFUNCTION("""COMPUTED_VALUE"""),"Aprendizado Ativo")</f>
        <v>Aprendizado Ativo</v>
      </c>
      <c r="J548" s="667" t="str">
        <f>IFERROR(__xludf.DUMMYFUNCTION("""COMPUTED_VALUE"""),"Benchmarking")</f>
        <v>Benchmarking</v>
      </c>
      <c r="K548" s="275" t="str">
        <f>IFERROR(__xludf.DUMMYFUNCTION("""COMPUTED_VALUE"""),"https://universidade.pipelovers.net/m/lessons/como-melhorar-a-performance-profissional-com-a-gestao-do-aprendizado1769552292428?classId=3268")</f>
        <v>https://universidade.pipelovers.net/m/lessons/como-melhorar-a-performance-profissional-com-a-gestao-do-aprendizado1769552292428?classId=3268</v>
      </c>
      <c r="L548" s="535" t="str">
        <f>IFERROR(__xludf.DUMMYFUNCTION("""COMPUTED_VALUE"""),"https://universidade.pipelovers.net/m/lessons/como-melhorar-a-performance-profissional-com-a-gestao-do-aprendizado1769552292428?classId=3268")</f>
        <v>https://universidade.pipelovers.net/m/lessons/como-melhorar-a-performance-profissional-com-a-gestao-do-aprendizado1769552292428?classId=3268</v>
      </c>
      <c r="M548" s="1082">
        <f>IFERROR(__xludf.DUMMYFUNCTION("""COMPUTED_VALUE"""),4.14)</f>
        <v>4.14</v>
      </c>
      <c r="N548" s="1081" t="str">
        <f>IFERROR(__xludf.DUMMYFUNCTION("""COMPUTED_VALUE"""),"98. PipeLovers 💙 Gestão Comercial: ""Como melhorar a performance profissional com a gestão do aprendiza – 2024/09/03 07:52 BRT – Recording")</f>
        <v>98. PipeLovers 💙 Gestão Comercial: "Como melhorar a performance profissional com a gestão do aprendiza – 2024/09/03 07:52 BRT – Recording</v>
      </c>
      <c r="O548" s="303" t="str">
        <f>IFERROR(__xludf.DUMMYFUNCTION("""COMPUTED_VALUE"""),"")</f>
        <v/>
      </c>
      <c r="P548" s="952">
        <f>IFERROR(__xludf.DUMMYFUNCTION("""COMPUTED_VALUE"""),45594.0)</f>
        <v>45594</v>
      </c>
      <c r="Q548" s="303"/>
    </row>
    <row r="549">
      <c r="A549" s="73"/>
      <c r="B549" s="209" t="str">
        <f>IFERROR(__xludf.DUMMYFUNCTION("""COMPUTED_VALUE"""),"Líderes de Vendas")</f>
        <v>Líderes de Vendas</v>
      </c>
      <c r="C549" s="216" t="str">
        <f>IFERROR(__xludf.DUMMYFUNCTION("""COMPUTED_VALUE"""),"Construção de metas comerciais")</f>
        <v>Construção de metas comerciais</v>
      </c>
      <c r="D549" s="104" t="str">
        <f>IFERROR(__xludf.DUMMYFUNCTION("""COMPUTED_VALUE"""),"Matheus Quirino")</f>
        <v>Matheus Quirino</v>
      </c>
      <c r="E549" s="218" t="str">
        <f>IFERROR(__xludf.DUMMYFUNCTION("""COMPUTED_VALUE"""),"Chief Revenue Officer (CRO)")</f>
        <v>Chief Revenue Officer (CRO)</v>
      </c>
      <c r="F549" s="667" t="str">
        <f>IFERROR(__xludf.DUMMYFUNCTION("""COMPUTED_VALUE"""),"Processo de Vendas")</f>
        <v>Processo de Vendas</v>
      </c>
      <c r="G549" s="873" t="str">
        <f>IFERROR(__xludf.DUMMYFUNCTION("""COMPUTED_VALUE"""),"https://www.linkedin.com/in/matheusqcosta/")</f>
        <v>https://www.linkedin.com/in/matheusqcosta/</v>
      </c>
      <c r="H549" s="667" t="str">
        <f>IFERROR(__xludf.DUMMYFUNCTION("""COMPUTED_VALUE"""),"Conhecimento Técnico")</f>
        <v>Conhecimento Técnico</v>
      </c>
      <c r="I549" s="667" t="str">
        <f>IFERROR(__xludf.DUMMYFUNCTION("""COMPUTED_VALUE"""),"Gestão de Vendas")</f>
        <v>Gestão de Vendas</v>
      </c>
      <c r="J549" s="667" t="str">
        <f>IFERROR(__xludf.DUMMYFUNCTION("""COMPUTED_VALUE"""),"Planejamento Comercial")</f>
        <v>Planejamento Comercial</v>
      </c>
      <c r="K549" s="275" t="str">
        <f>IFERROR(__xludf.DUMMYFUNCTION("""COMPUTED_VALUE"""),"https://universidade.pipelovers.net/m/lessons/construcao-de-metas-comerciais1769552292479?classId=3269")</f>
        <v>https://universidade.pipelovers.net/m/lessons/construcao-de-metas-comerciais1769552292479?classId=3269</v>
      </c>
      <c r="L549" s="535" t="str">
        <f>IFERROR(__xludf.DUMMYFUNCTION("""COMPUTED_VALUE"""),"https://universidade.pipelovers.net/m/lessons/construcao-de-metas-comerciais1769552292479?classId=3269")</f>
        <v>https://universidade.pipelovers.net/m/lessons/construcao-de-metas-comerciais1769552292479?classId=3269</v>
      </c>
      <c r="M549" s="1085">
        <f>IFERROR(__xludf.DUMMYFUNCTION("""COMPUTED_VALUE"""),4.29)</f>
        <v>4.29</v>
      </c>
      <c r="N549" s="1083" t="str">
        <f>IFERROR(__xludf.DUMMYFUNCTION("""COMPUTED_VALUE"""),"99. PipeLovers 💙 Gestão Comercial: ""Construção de metas comerciais"" com Matheus Quirino – 2024/09/10 07:54 BRT – Recording")</f>
        <v>99. PipeLovers 💙 Gestão Comercial: "Construção de metas comerciais" com Matheus Quirino – 2024/09/10 07:54 BRT – Recording</v>
      </c>
      <c r="O549" s="228" t="str">
        <f>IFERROR(__xludf.DUMMYFUNCTION("""COMPUTED_VALUE"""),"")</f>
        <v/>
      </c>
      <c r="P549" s="952">
        <f>IFERROR(__xludf.DUMMYFUNCTION("""COMPUTED_VALUE"""),45601.0)</f>
        <v>45601</v>
      </c>
      <c r="Q549" s="228"/>
    </row>
    <row r="550">
      <c r="A550" s="73"/>
      <c r="B550" s="209" t="str">
        <f>IFERROR(__xludf.DUMMYFUNCTION("""COMPUTED_VALUE"""),"Líderes de Vendas")</f>
        <v>Líderes de Vendas</v>
      </c>
      <c r="C550" s="268" t="str">
        <f>IFERROR(__xludf.DUMMYFUNCTION("""COMPUTED_VALUE"""),"Como diminuir a rotatividade da sua equipe")</f>
        <v>Como diminuir a rotatividade da sua equipe</v>
      </c>
      <c r="D550" s="119" t="str">
        <f>IFERROR(__xludf.DUMMYFUNCTION("""COMPUTED_VALUE"""),"Rafaela Cechinel ")</f>
        <v>Rafaela Cechinel </v>
      </c>
      <c r="E550" s="218" t="str">
        <f>IFERROR(__xludf.DUMMYFUNCTION("""COMPUTED_VALUE"""),"Chief Sales Officer &amp; Partner")</f>
        <v>Chief Sales Officer &amp; Partner</v>
      </c>
      <c r="F550" s="667" t="str">
        <f>IFERROR(__xludf.DUMMYFUNCTION("""COMPUTED_VALUE"""),"Feedz")</f>
        <v>Feedz</v>
      </c>
      <c r="G550" s="872"/>
      <c r="H550" s="667" t="str">
        <f>IFERROR(__xludf.DUMMYFUNCTION("""COMPUTED_VALUE"""),"Relacionamento Interpessoal")</f>
        <v>Relacionamento Interpessoal</v>
      </c>
      <c r="I550" s="667" t="str">
        <f>IFERROR(__xludf.DUMMYFUNCTION("""COMPUTED_VALUE"""),"Liderança e Influência")</f>
        <v>Liderança e Influência</v>
      </c>
      <c r="J550" s="667" t="str">
        <f>IFERROR(__xludf.DUMMYFUNCTION("""COMPUTED_VALUE"""),"Retenção e Recompensas")</f>
        <v>Retenção e Recompensas</v>
      </c>
      <c r="K550" s="275" t="str">
        <f>IFERROR(__xludf.DUMMYFUNCTION("""COMPUTED_VALUE"""),"https://universidade.pipelovers.net/m/lessons/como-diminuir-a-rotatividade-da-sua-equipe1769552292529?classId=3270")</f>
        <v>https://universidade.pipelovers.net/m/lessons/como-diminuir-a-rotatividade-da-sua-equipe1769552292529?classId=3270</v>
      </c>
      <c r="L550" s="535" t="str">
        <f>IFERROR(__xludf.DUMMYFUNCTION("""COMPUTED_VALUE"""),"https://universidade.pipelovers.net/m/lessons/como-diminuir-a-rotatividade-da-sua-equipe1769552292529?classId=3270")</f>
        <v>https://universidade.pipelovers.net/m/lessons/como-diminuir-a-rotatividade-da-sua-equipe1769552292529?classId=3270</v>
      </c>
      <c r="M550" s="1082">
        <f>IFERROR(__xludf.DUMMYFUNCTION("""COMPUTED_VALUE"""),4.14)</f>
        <v>4.14</v>
      </c>
      <c r="N550" s="1081" t="str">
        <f>IFERROR(__xludf.DUMMYFUNCTION("""COMPUTED_VALUE"""),"100. PipeLovers 💙 Gestão Comercial: ""Como diminuir a rotatividade da sua equipe"" com Rafaela Cechinel  – 2024/09/17 07:51 BRT – Recording")</f>
        <v>100. PipeLovers 💙 Gestão Comercial: "Como diminuir a rotatividade da sua equipe" com Rafaela Cechinel  – 2024/09/17 07:51 BRT – Recording</v>
      </c>
      <c r="O550" s="303" t="str">
        <f>IFERROR(__xludf.DUMMYFUNCTION("""COMPUTED_VALUE"""),"")</f>
        <v/>
      </c>
      <c r="P550" s="952">
        <f>IFERROR(__xludf.DUMMYFUNCTION("""COMPUTED_VALUE"""),45608.0)</f>
        <v>45608</v>
      </c>
      <c r="Q550" s="303"/>
    </row>
    <row r="551">
      <c r="A551" s="73"/>
      <c r="B551" s="209" t="str">
        <f>IFERROR(__xludf.DUMMYFUNCTION("""COMPUTED_VALUE"""),"Líderes de Vendas")</f>
        <v>Líderes de Vendas</v>
      </c>
      <c r="C551" s="216" t="str">
        <f>IFERROR(__xludf.DUMMYFUNCTION("""COMPUTED_VALUE"""),"O que Growth tem a ver com Vendas B2B?")</f>
        <v>O que Growth tem a ver com Vendas B2B?</v>
      </c>
      <c r="D551" s="104" t="str">
        <f>IFERROR(__xludf.DUMMYFUNCTION("""COMPUTED_VALUE"""),"Ronei Vinagre")</f>
        <v>Ronei Vinagre</v>
      </c>
      <c r="E551" s="218" t="str">
        <f>IFERROR(__xludf.DUMMYFUNCTION("""COMPUTED_VALUE"""),"Founder")</f>
        <v>Founder</v>
      </c>
      <c r="F551" s="667" t="str">
        <f>IFERROR(__xludf.DUMMYFUNCTION("""COMPUTED_VALUE"""),"Growth Conference")</f>
        <v>Growth Conference</v>
      </c>
      <c r="G551" s="872"/>
      <c r="H551" s="667" t="str">
        <f>IFERROR(__xludf.DUMMYFUNCTION("""COMPUTED_VALUE"""),"Visão de Negócio")</f>
        <v>Visão de Negócio</v>
      </c>
      <c r="I551" s="667" t="str">
        <f>IFERROR(__xludf.DUMMYFUNCTION("""COMPUTED_VALUE"""),"Tendencias de mercado")</f>
        <v>Tendencias de mercado</v>
      </c>
      <c r="J551" s="667" t="str">
        <f>IFERROR(__xludf.DUMMYFUNCTION("""COMPUTED_VALUE"""),"Tendencias do Setor")</f>
        <v>Tendencias do Setor</v>
      </c>
      <c r="K551" s="275" t="str">
        <f>IFERROR(__xludf.DUMMYFUNCTION("""COMPUTED_VALUE"""),"https://universidade.pipelovers.net/m/lessons/o-que-growth-tem-a-ver-com-vendas-b2b1769552292579?classId=3271")</f>
        <v>https://universidade.pipelovers.net/m/lessons/o-que-growth-tem-a-ver-com-vendas-b2b1769552292579?classId=3271</v>
      </c>
      <c r="L551" s="535" t="str">
        <f>IFERROR(__xludf.DUMMYFUNCTION("""COMPUTED_VALUE"""),"https://universidade.pipelovers.net/m/lessons/o-que-growth-tem-a-ver-com-vendas-b2b1769552292579?classId=3271")</f>
        <v>https://universidade.pipelovers.net/m/lessons/o-que-growth-tem-a-ver-com-vendas-b2b1769552292579?classId=3271</v>
      </c>
      <c r="M551" s="1085">
        <f>IFERROR(__xludf.DUMMYFUNCTION("""COMPUTED_VALUE"""),3.71)</f>
        <v>3.71</v>
      </c>
      <c r="N551" s="1083" t="str">
        <f>IFERROR(__xludf.DUMMYFUNCTION("""COMPUTED_VALUE"""),"101. PipeLovers 💙 Gestão Comercial: ""O que Growth tem a ver com Vendas B2B?"" com Ronei Vinagre – 2024/10/01 07:51 BRT – Recording")</f>
        <v>101. PipeLovers 💙 Gestão Comercial: "O que Growth tem a ver com Vendas B2B?" com Ronei Vinagre – 2024/10/01 07:51 BRT – Recording</v>
      </c>
      <c r="O551" s="228" t="str">
        <f>IFERROR(__xludf.DUMMYFUNCTION("""COMPUTED_VALUE"""),"")</f>
        <v/>
      </c>
      <c r="P551" s="952">
        <f>IFERROR(__xludf.DUMMYFUNCTION("""COMPUTED_VALUE"""),45615.0)</f>
        <v>45615</v>
      </c>
      <c r="Q551" s="228"/>
    </row>
    <row r="552">
      <c r="A552" s="73"/>
      <c r="B552" s="209" t="str">
        <f>IFERROR(__xludf.DUMMYFUNCTION("""COMPUTED_VALUE"""),"Líderes de Vendas")</f>
        <v>Líderes de Vendas</v>
      </c>
      <c r="C552" s="268" t="str">
        <f>IFERROR(__xludf.DUMMYFUNCTION("""COMPUTED_VALUE"""),"Insights práticos do Saastr 2024")</f>
        <v>Insights práticos do Saastr 2024</v>
      </c>
      <c r="D552" s="119" t="str">
        <f>IFERROR(__xludf.DUMMYFUNCTION("""COMPUTED_VALUE"""),"Felipe Coelho")</f>
        <v>Felipe Coelho</v>
      </c>
      <c r="E552" s="218" t="str">
        <f>IFERROR(__xludf.DUMMYFUNCTION("""COMPUTED_VALUE"""),"Partner")</f>
        <v>Partner</v>
      </c>
      <c r="F552" s="667" t="str">
        <f>IFERROR(__xludf.DUMMYFUNCTION("""COMPUTED_VALUE"""),"ABSeed Venture")</f>
        <v>ABSeed Venture</v>
      </c>
      <c r="G552" s="873" t="str">
        <f>IFERROR(__xludf.DUMMYFUNCTION("""COMPUTED_VALUE"""),"https://www.linkedin.com/in/coelhofarc/")</f>
        <v>https://www.linkedin.com/in/coelhofarc/</v>
      </c>
      <c r="H552" s="667" t="str">
        <f>IFERROR(__xludf.DUMMYFUNCTION("""COMPUTED_VALUE"""),"Visão de Negócio")</f>
        <v>Visão de Negócio</v>
      </c>
      <c r="I552" s="667" t="str">
        <f>IFERROR(__xludf.DUMMYFUNCTION("""COMPUTED_VALUE"""),"Tendencias de mercado")</f>
        <v>Tendencias de mercado</v>
      </c>
      <c r="J552" s="667" t="str">
        <f>IFERROR(__xludf.DUMMYFUNCTION("""COMPUTED_VALUE"""),"Inovações Tecnológicas")</f>
        <v>Inovações Tecnológicas</v>
      </c>
      <c r="K552" s="275" t="str">
        <f>IFERROR(__xludf.DUMMYFUNCTION("""COMPUTED_VALUE"""),"https://universidade.pipelovers.net/m/lessons/insights-praticos-do-saastr-20241769552292632?classId=3272")</f>
        <v>https://universidade.pipelovers.net/m/lessons/insights-praticos-do-saastr-20241769552292632?classId=3272</v>
      </c>
      <c r="L552" s="535" t="str">
        <f>IFERROR(__xludf.DUMMYFUNCTION("""COMPUTED_VALUE"""),"https://universidade.pipelovers.net/m/lessons/insights-praticos-do-saastr-20241769552292632?classId=3272")</f>
        <v>https://universidade.pipelovers.net/m/lessons/insights-praticos-do-saastr-20241769552292632?classId=3272</v>
      </c>
      <c r="M552" s="1082">
        <f>IFERROR(__xludf.DUMMYFUNCTION("""COMPUTED_VALUE"""),4.29)</f>
        <v>4.29</v>
      </c>
      <c r="N552" s="1081" t="str">
        <f>IFERROR(__xludf.DUMMYFUNCTION("""COMPUTED_VALUE"""),"102. PipeLovers 💙 Gestão Comercial: ""Insights práticos do Sastr 2024"" com Felipe Coelho – 2024/10/08 07:55 BRT – Recording")</f>
        <v>102. PipeLovers 💙 Gestão Comercial: "Insights práticos do Sastr 2024" com Felipe Coelho – 2024/10/08 07:55 BRT – Recording</v>
      </c>
      <c r="O552" s="303" t="str">
        <f>IFERROR(__xludf.DUMMYFUNCTION("""COMPUTED_VALUE"""),"")</f>
        <v/>
      </c>
      <c r="P552" s="952">
        <f>IFERROR(__xludf.DUMMYFUNCTION("""COMPUTED_VALUE"""),45622.0)</f>
        <v>45622</v>
      </c>
      <c r="Q552" s="303"/>
    </row>
    <row r="553">
      <c r="A553" s="73"/>
      <c r="B553" s="209" t="str">
        <f>IFERROR(__xludf.DUMMYFUNCTION("""COMPUTED_VALUE"""),"Líderes de Vendas")</f>
        <v>Líderes de Vendas</v>
      </c>
      <c r="C553" s="216" t="str">
        <f>IFERROR(__xludf.DUMMYFUNCTION("""COMPUTED_VALUE"""),"Como Employer Branding ajuda a recrutar um time de vendas?")</f>
        <v>Como Employer Branding ajuda a recrutar um time de vendas?</v>
      </c>
      <c r="D553" s="104" t="str">
        <f>IFERROR(__xludf.DUMMYFUNCTION("""COMPUTED_VALUE"""),"Suzie Clavery")</f>
        <v>Suzie Clavery</v>
      </c>
      <c r="E553" s="218" t="str">
        <f>IFERROR(__xludf.DUMMYFUNCTION("""COMPUTED_VALUE"""),"CHRO Latam")</f>
        <v>CHRO Latam</v>
      </c>
      <c r="F553" s="667" t="str">
        <f>IFERROR(__xludf.DUMMYFUNCTION("""COMPUTED_VALUE"""),"TotalPass")</f>
        <v>TotalPass</v>
      </c>
      <c r="G553" s="872"/>
      <c r="H553" s="667" t="str">
        <f>IFERROR(__xludf.DUMMYFUNCTION("""COMPUTED_VALUE"""),"Relacionamento Interpessoal")</f>
        <v>Relacionamento Interpessoal</v>
      </c>
      <c r="I553" s="667" t="str">
        <f>IFERROR(__xludf.DUMMYFUNCTION("""COMPUTED_VALUE"""),"Liderança e Influência")</f>
        <v>Liderança e Influência</v>
      </c>
      <c r="J553" s="667" t="str">
        <f>IFERROR(__xludf.DUMMYFUNCTION("""COMPUTED_VALUE"""),"Credibilidade e Reputação")</f>
        <v>Credibilidade e Reputação</v>
      </c>
      <c r="K553" s="275" t="str">
        <f>IFERROR(__xludf.DUMMYFUNCTION("""COMPUTED_VALUE"""),"https://universidade.pipelovers.net/m/lessons/como-employer-branding-ajuda-a-recrutar-um-time-de-vendas1769552292714?classId=3273")</f>
        <v>https://universidade.pipelovers.net/m/lessons/como-employer-branding-ajuda-a-recrutar-um-time-de-vendas1769552292714?classId=3273</v>
      </c>
      <c r="L553" s="535" t="str">
        <f>IFERROR(__xludf.DUMMYFUNCTION("""COMPUTED_VALUE"""),"https://universidade.pipelovers.net/m/lessons/como-employer-branding-ajuda-a-recrutar-um-time-de-vendas1769552292714?classId=3273")</f>
        <v>https://universidade.pipelovers.net/m/lessons/como-employer-branding-ajuda-a-recrutar-um-time-de-vendas1769552292714?classId=3273</v>
      </c>
      <c r="M553" s="1085">
        <f>IFERROR(__xludf.DUMMYFUNCTION("""COMPUTED_VALUE"""),1.0)</f>
        <v>1</v>
      </c>
      <c r="N553" s="1083" t="str">
        <f>IFERROR(__xludf.DUMMYFUNCTION("""COMPUTED_VALUE"""),"103. PipeLovers 💙 Gestão Comercial: ""Como Employer Branding ajuda a recrutar um time de vendas?"" com Su – 2024/10/15 07:47 BRT – Recording")</f>
        <v>103. PipeLovers 💙 Gestão Comercial: "Como Employer Branding ajuda a recrutar um time de vendas?" com Su – 2024/10/15 07:47 BRT – Recording</v>
      </c>
      <c r="O553" s="228" t="str">
        <f>IFERROR(__xludf.DUMMYFUNCTION("""COMPUTED_VALUE"""),"")</f>
        <v/>
      </c>
      <c r="P553" s="952">
        <f>IFERROR(__xludf.DUMMYFUNCTION("""COMPUTED_VALUE"""),45629.0)</f>
        <v>45629</v>
      </c>
      <c r="Q553" s="228"/>
    </row>
    <row r="554">
      <c r="A554" s="73"/>
      <c r="B554" s="209" t="str">
        <f>IFERROR(__xludf.DUMMYFUNCTION("""COMPUTED_VALUE"""),"Líderes de Vendas")</f>
        <v>Líderes de Vendas</v>
      </c>
      <c r="C554" s="268" t="str">
        <f>IFERROR(__xludf.DUMMYFUNCTION("""COMPUTED_VALUE"""),"Riscos na integração de sistemas de vendas")</f>
        <v>Riscos na integração de sistemas de vendas</v>
      </c>
      <c r="D554" s="119" t="str">
        <f>IFERROR(__xludf.DUMMYFUNCTION("""COMPUTED_VALUE"""),"Romualdo da Silva")</f>
        <v>Romualdo da Silva</v>
      </c>
      <c r="E554" s="218" t="str">
        <f>IFERROR(__xludf.DUMMYFUNCTION("""COMPUTED_VALUE"""),"Diretor")</f>
        <v>Diretor</v>
      </c>
      <c r="F554" s="667" t="str">
        <f>IFERROR(__xludf.DUMMYFUNCTION("""COMPUTED_VALUE"""),"Connect Think")</f>
        <v>Connect Think</v>
      </c>
      <c r="G554" s="873" t="str">
        <f>IFERROR(__xludf.DUMMYFUNCTION("""COMPUTED_VALUE"""),"https://www.linkedin.com/in/romucasp/")</f>
        <v>https://www.linkedin.com/in/romucasp/</v>
      </c>
      <c r="H554" s="667" t="str">
        <f>IFERROR(__xludf.DUMMYFUNCTION("""COMPUTED_VALUE"""),"Conhecimento Técnico")</f>
        <v>Conhecimento Técnico</v>
      </c>
      <c r="I554" s="667" t="str">
        <f>IFERROR(__xludf.DUMMYFUNCTION("""COMPUTED_VALUE"""),"Gestão de Vendas")</f>
        <v>Gestão de Vendas</v>
      </c>
      <c r="J554" s="667" t="str">
        <f>IFERROR(__xludf.DUMMYFUNCTION("""COMPUTED_VALUE"""),"Ferramentas de Vendas")</f>
        <v>Ferramentas de Vendas</v>
      </c>
      <c r="K554" s="275" t="str">
        <f>IFERROR(__xludf.DUMMYFUNCTION("""COMPUTED_VALUE"""),"https://universidade.pipelovers.net/m/lessons/riscos-na-integracao-de-sistemas-de-vendas1769552303799?classId=3274")</f>
        <v>https://universidade.pipelovers.net/m/lessons/riscos-na-integracao-de-sistemas-de-vendas1769552303799?classId=3274</v>
      </c>
      <c r="L554" s="535" t="str">
        <f>IFERROR(__xludf.DUMMYFUNCTION("""COMPUTED_VALUE"""),"https://universidade.pipelovers.net/m/lessons/riscos-na-integracao-de-sistemas-de-vendas1769552303799?classId=3274")</f>
        <v>https://universidade.pipelovers.net/m/lessons/riscos-na-integracao-de-sistemas-de-vendas1769552303799?classId=3274</v>
      </c>
      <c r="M554" s="1082">
        <f>IFERROR(__xludf.DUMMYFUNCTION("""COMPUTED_VALUE"""),3.57)</f>
        <v>3.57</v>
      </c>
      <c r="N554" s="1081" t="str">
        <f>IFERROR(__xludf.DUMMYFUNCTION("""COMPUTED_VALUE"""),"104. PipeLovers 💙 Gestão Comercial: ""Riscos na integração de sistemas de vendas"" com Romualdo da Silva – 2024/10/22 07:55 BRT – Recording")</f>
        <v>104. PipeLovers 💙 Gestão Comercial: "Riscos na integração de sistemas de vendas" com Romualdo da Silva – 2024/10/22 07:55 BRT – Recording</v>
      </c>
      <c r="O554" s="303" t="str">
        <f>IFERROR(__xludf.DUMMYFUNCTION("""COMPUTED_VALUE"""),"")</f>
        <v/>
      </c>
      <c r="P554" s="952">
        <f>IFERROR(__xludf.DUMMYFUNCTION("""COMPUTED_VALUE"""),45636.0)</f>
        <v>45636</v>
      </c>
      <c r="Q554" s="303"/>
    </row>
    <row r="555">
      <c r="A555" s="73"/>
      <c r="B555" s="209" t="str">
        <f>IFERROR(__xludf.DUMMYFUNCTION("""COMPUTED_VALUE"""),"Líderes de Vendas")</f>
        <v>Líderes de Vendas</v>
      </c>
      <c r="C555" s="216" t="str">
        <f>IFERROR(__xludf.DUMMYFUNCTION("""COMPUTED_VALUE"""),"Como refinar o pitch da discovery call e demo usando AI")</f>
        <v>Como refinar o pitch da discovery call e demo usando AI</v>
      </c>
      <c r="D555" s="104" t="str">
        <f>IFERROR(__xludf.DUMMYFUNCTION("""COMPUTED_VALUE"""),"Chris Cornehl")</f>
        <v>Chris Cornehl</v>
      </c>
      <c r="E555" s="218" t="str">
        <f>IFERROR(__xludf.DUMMYFUNCTION("""COMPUTED_VALUE"""),"CEO")</f>
        <v>CEO</v>
      </c>
      <c r="F555" s="667" t="str">
        <f>IFERROR(__xludf.DUMMYFUNCTION("""COMPUTED_VALUE"""),"MeetRox")</f>
        <v>MeetRox</v>
      </c>
      <c r="G555" s="873" t="str">
        <f>IFERROR(__xludf.DUMMYFUNCTION("""COMPUTED_VALUE"""),"https://www.linkedin.com/in/chriscornehl/")</f>
        <v>https://www.linkedin.com/in/chriscornehl/</v>
      </c>
      <c r="H555" s="667" t="str">
        <f>IFERROR(__xludf.DUMMYFUNCTION("""COMPUTED_VALUE"""),"Conhecimento Técnico")</f>
        <v>Conhecimento Técnico</v>
      </c>
      <c r="I555" s="667" t="str">
        <f>IFERROR(__xludf.DUMMYFUNCTION("""COMPUTED_VALUE"""),"Técnicas de Vendas")</f>
        <v>Técnicas de Vendas</v>
      </c>
      <c r="J555" s="667" t="str">
        <f>IFERROR(__xludf.DUMMYFUNCTION("""COMPUTED_VALUE"""),"Pitch Comercial")</f>
        <v>Pitch Comercial</v>
      </c>
      <c r="K555" s="275" t="str">
        <f>IFERROR(__xludf.DUMMYFUNCTION("""COMPUTED_VALUE"""),"https://universidade.pipelovers.net/m/lessons/como-refinar-o-pitch-da-discovery-call-e-demo-usando-ai1769552304010?classId=3275")</f>
        <v>https://universidade.pipelovers.net/m/lessons/como-refinar-o-pitch-da-discovery-call-e-demo-usando-ai1769552304010?classId=3275</v>
      </c>
      <c r="L555" s="535" t="str">
        <f>IFERROR(__xludf.DUMMYFUNCTION("""COMPUTED_VALUE"""),"https://universidade.pipelovers.net/m/lessons/como-refinar-o-pitch-da-discovery-call-e-demo-usando-ai1769552304010?classId=3275")</f>
        <v>https://universidade.pipelovers.net/m/lessons/como-refinar-o-pitch-da-discovery-call-e-demo-usando-ai1769552304010?classId=3275</v>
      </c>
      <c r="M555" s="1085">
        <f>IFERROR(__xludf.DUMMYFUNCTION("""COMPUTED_VALUE"""),3.57)</f>
        <v>3.57</v>
      </c>
      <c r="N555" s="1083" t="str">
        <f>IFERROR(__xludf.DUMMYFUNCTION("""COMPUTED_VALUE"""),"105. PipeLovers 💙 Gestão Comercial: ""Como refinar o pitch da discovery call e demo usando AI"" com Chris – 2024/10/29 07:55 BRT ")</f>
        <v>105. PipeLovers 💙 Gestão Comercial: "Como refinar o pitch da discovery call e demo usando AI" com Chris – 2024/10/29 07:55 BRT </v>
      </c>
      <c r="O555" s="228" t="str">
        <f>IFERROR(__xludf.DUMMYFUNCTION("""COMPUTED_VALUE"""),"")</f>
        <v/>
      </c>
      <c r="P555" s="952">
        <f>IFERROR(__xludf.DUMMYFUNCTION("""COMPUTED_VALUE"""),45643.0)</f>
        <v>45643</v>
      </c>
      <c r="Q555" s="228"/>
    </row>
    <row r="556">
      <c r="A556" s="73"/>
      <c r="B556" s="209" t="str">
        <f>IFERROR(__xludf.DUMMYFUNCTION("""COMPUTED_VALUE"""),"Líderes de Vendas")</f>
        <v>Líderes de Vendas</v>
      </c>
      <c r="C556" s="268" t="str">
        <f>IFERROR(__xludf.DUMMYFUNCTION("""COMPUTED_VALUE"""),"RD Summit 2024 : Níveis de Maturidade em vendas B2B")</f>
        <v>RD Summit 2024 : Níveis de Maturidade em vendas B2B</v>
      </c>
      <c r="D556" s="119" t="str">
        <f>IFERROR(__xludf.DUMMYFUNCTION("""COMPUTED_VALUE"""),"Gustavo Pagotto")</f>
        <v>Gustavo Pagotto</v>
      </c>
      <c r="E556" s="218" t="str">
        <f>IFERROR(__xludf.DUMMYFUNCTION("""COMPUTED_VALUE"""),"Fundador")</f>
        <v>Fundador</v>
      </c>
      <c r="F556" s="667" t="str">
        <f>IFERROR(__xludf.DUMMYFUNCTION("""COMPUTED_VALUE"""),"PipeLovers")</f>
        <v>PipeLovers</v>
      </c>
      <c r="G556" s="873" t="str">
        <f>IFERROR(__xludf.DUMMYFUNCTION("""COMPUTED_VALUE"""),"https://www.linkedin.com/in/gpagotto/")</f>
        <v>https://www.linkedin.com/in/gpagotto/</v>
      </c>
      <c r="H556" s="667" t="str">
        <f>IFERROR(__xludf.DUMMYFUNCTION("""COMPUTED_VALUE"""),"Visão de Negócio")</f>
        <v>Visão de Negócio</v>
      </c>
      <c r="I556" s="667" t="str">
        <f>IFERROR(__xludf.DUMMYFUNCTION("""COMPUTED_VALUE"""),"Tendencias de mercado")</f>
        <v>Tendencias de mercado</v>
      </c>
      <c r="J556" s="667" t="str">
        <f>IFERROR(__xludf.DUMMYFUNCTION("""COMPUTED_VALUE"""),"Tendencias do Setor")</f>
        <v>Tendencias do Setor</v>
      </c>
      <c r="K556" s="275" t="str">
        <f>IFERROR(__xludf.DUMMYFUNCTION("""COMPUTED_VALUE"""),"https://universidade.pipelovers.net/m/lessons/rd-summit-2024-niveis-de-maturidade-em-vendas-b2b1769552060152?classId=3026")</f>
        <v>https://universidade.pipelovers.net/m/lessons/rd-summit-2024-niveis-de-maturidade-em-vendas-b2b1769552060152?classId=3026</v>
      </c>
      <c r="L556" s="535" t="str">
        <f>IFERROR(__xludf.DUMMYFUNCTION("""COMPUTED_VALUE"""),"https://universidade.pipelovers.net/m/lessons/rd-summit-2024-niveis-de-maturidade-em-vendas-b2b1769552060152?classId=3026")</f>
        <v>https://universidade.pipelovers.net/m/lessons/rd-summit-2024-niveis-de-maturidade-em-vendas-b2b1769552060152?classId=3026</v>
      </c>
      <c r="M556" s="1082">
        <f>IFERROR(__xludf.DUMMYFUNCTION("""COMPUTED_VALUE"""),2.0)</f>
        <v>2</v>
      </c>
      <c r="N556" s="1081" t="str">
        <f>IFERROR(__xludf.DUMMYFUNCTION("""COMPUTED_VALUE"""),"106. PipeLovers 🤍: ""Palestra RD Summit 2024 "" com Gustavo Pagotto – 2024/11/05 07:46 BRT – Recording")</f>
        <v>106. PipeLovers 🤍: "Palestra RD Summit 2024 " com Gustavo Pagotto – 2024/11/05 07:46 BRT – Recording</v>
      </c>
      <c r="O556" s="303" t="str">
        <f>IFERROR(__xludf.DUMMYFUNCTION("""COMPUTED_VALUE"""),"")</f>
        <v/>
      </c>
      <c r="P556" s="952">
        <f>IFERROR(__xludf.DUMMYFUNCTION("""COMPUTED_VALUE"""),45650.0)</f>
        <v>45650</v>
      </c>
      <c r="Q556" s="303"/>
    </row>
    <row r="557">
      <c r="A557" s="73"/>
      <c r="B557" s="209" t="str">
        <f>IFERROR(__xludf.DUMMYFUNCTION("""COMPUTED_VALUE"""),"Líderes de Vendas")</f>
        <v>Líderes de Vendas</v>
      </c>
      <c r="C557" s="216" t="str">
        <f>IFERROR(__xludf.DUMMYFUNCTION("""COMPUTED_VALUE"""),"Gestão de equipes de vendas externas")</f>
        <v>Gestão de equipes de vendas externas</v>
      </c>
      <c r="D557" s="104" t="str">
        <f>IFERROR(__xludf.DUMMYFUNCTION("""COMPUTED_VALUE"""),"André Zacarias")</f>
        <v>André Zacarias</v>
      </c>
      <c r="E557" s="218" t="str">
        <f>IFERROR(__xludf.DUMMYFUNCTION("""COMPUTED_VALUE"""),"Director of Sales &amp; CS")</f>
        <v>Director of Sales &amp; CS</v>
      </c>
      <c r="F557" s="667" t="str">
        <f>IFERROR(__xludf.DUMMYFUNCTION("""COMPUTED_VALUE"""),"Checkmob")</f>
        <v>Checkmob</v>
      </c>
      <c r="G557" s="873" t="str">
        <f>IFERROR(__xludf.DUMMYFUNCTION("""COMPUTED_VALUE"""),"https://www.linkedin.com/in/andrezacarias/")</f>
        <v>https://www.linkedin.com/in/andrezacarias/</v>
      </c>
      <c r="H557" s="667" t="str">
        <f>IFERROR(__xludf.DUMMYFUNCTION("""COMPUTED_VALUE"""),"Conhecimento Técnico")</f>
        <v>Conhecimento Técnico</v>
      </c>
      <c r="I557" s="667" t="str">
        <f>IFERROR(__xludf.DUMMYFUNCTION("""COMPUTED_VALUE"""),"Gestão de Vendas")</f>
        <v>Gestão de Vendas</v>
      </c>
      <c r="J557" s="667" t="str">
        <f>IFERROR(__xludf.DUMMYFUNCTION("""COMPUTED_VALUE"""),"Rotinas e Rituais")</f>
        <v>Rotinas e Rituais</v>
      </c>
      <c r="K557" s="275" t="str">
        <f>IFERROR(__xludf.DUMMYFUNCTION("""COMPUTED_VALUE"""),"https://universidade.pipelovers.net/m/lessons/gestao-de-equipes-de-vendas-externas1769552304307?classId=3276")</f>
        <v>https://universidade.pipelovers.net/m/lessons/gestao-de-equipes-de-vendas-externas1769552304307?classId=3276</v>
      </c>
      <c r="L557" s="535" t="str">
        <f>IFERROR(__xludf.DUMMYFUNCTION("""COMPUTED_VALUE"""),"https://universidade.pipelovers.net/m/lessons/gestao-de-equipes-de-vendas-externas1769552304307?classId=3276")</f>
        <v>https://universidade.pipelovers.net/m/lessons/gestao-de-equipes-de-vendas-externas1769552304307?classId=3276</v>
      </c>
      <c r="M557" s="1085">
        <f>IFERROR(__xludf.DUMMYFUNCTION("""COMPUTED_VALUE"""),4.29)</f>
        <v>4.29</v>
      </c>
      <c r="N557" s="1083" t="str">
        <f>IFERROR(__xludf.DUMMYFUNCTION("""COMPUTED_VALUE"""),"107. PipeLovers 💙 Gestão Comercial: ""Gestão de equipes de vendas externas"" com André Zacarias - 2024/11/12 07:40 GMT-03:00 ")</f>
        <v>107. PipeLovers 💙 Gestão Comercial: "Gestão de equipes de vendas externas" com André Zacarias - 2024/11/12 07:40 GMT-03:00 </v>
      </c>
      <c r="O557" s="228" t="str">
        <f>IFERROR(__xludf.DUMMYFUNCTION("""COMPUTED_VALUE"""),"")</f>
        <v/>
      </c>
      <c r="P557" s="952">
        <f>IFERROR(__xludf.DUMMYFUNCTION("""COMPUTED_VALUE"""),45657.0)</f>
        <v>45657</v>
      </c>
      <c r="Q557" s="228"/>
    </row>
    <row r="558">
      <c r="A558" s="73"/>
      <c r="B558" s="209" t="str">
        <f>IFERROR(__xludf.DUMMYFUNCTION("""COMPUTED_VALUE"""),"Líderes de Vendas")</f>
        <v>Líderes de Vendas</v>
      </c>
      <c r="C558" s="268" t="str">
        <f>IFERROR(__xludf.DUMMYFUNCTION("""COMPUTED_VALUE"""),"Geomarketing: Vendas baseadas em localização")</f>
        <v>Geomarketing: Vendas baseadas em localização</v>
      </c>
      <c r="D558" s="119" t="str">
        <f>IFERROR(__xludf.DUMMYFUNCTION("""COMPUTED_VALUE"""),"Valeria Duarte")</f>
        <v>Valeria Duarte</v>
      </c>
      <c r="E558" s="218" t="str">
        <f>IFERROR(__xludf.DUMMYFUNCTION("""COMPUTED_VALUE"""),"Chief Revenue Officer")</f>
        <v>Chief Revenue Officer</v>
      </c>
      <c r="F558" s="667" t="str">
        <f>IFERROR(__xludf.DUMMYFUNCTION("""COMPUTED_VALUE"""),"Geofusion")</f>
        <v>Geofusion</v>
      </c>
      <c r="G558" s="872"/>
      <c r="H558" s="667" t="str">
        <f>IFERROR(__xludf.DUMMYFUNCTION("""COMPUTED_VALUE"""),"Conhecimento Técnico")</f>
        <v>Conhecimento Técnico</v>
      </c>
      <c r="I558" s="667" t="str">
        <f>IFERROR(__xludf.DUMMYFUNCTION("""COMPUTED_VALUE"""),"Técnicas de Vendas")</f>
        <v>Técnicas de Vendas</v>
      </c>
      <c r="J558" s="667" t="str">
        <f>IFERROR(__xludf.DUMMYFUNCTION("""COMPUTED_VALUE"""),"Abordagem e Prospecção")</f>
        <v>Abordagem e Prospecção</v>
      </c>
      <c r="K558" s="275" t="str">
        <f>IFERROR(__xludf.DUMMYFUNCTION("""COMPUTED_VALUE"""),"https://universidade.pipelovers.net/m/lessons/geomarketing-vendas-baseadas-em-localizacao1769552304370?classId=3277")</f>
        <v>https://universidade.pipelovers.net/m/lessons/geomarketing-vendas-baseadas-em-localizacao1769552304370?classId=3277</v>
      </c>
      <c r="L558" s="535" t="str">
        <f>IFERROR(__xludf.DUMMYFUNCTION("""COMPUTED_VALUE"""),"https://universidade.pipelovers.net/m/lessons/geomarketing-vendas-baseadas-em-localizacao1769552304370?classId=3277")</f>
        <v>https://universidade.pipelovers.net/m/lessons/geomarketing-vendas-baseadas-em-localizacao1769552304370?classId=3277</v>
      </c>
      <c r="M558" s="1085">
        <f>IFERROR(__xludf.DUMMYFUNCTION("""COMPUTED_VALUE"""),4.14)</f>
        <v>4.14</v>
      </c>
      <c r="N558" s="1083" t="str">
        <f>IFERROR(__xludf.DUMMYFUNCTION("""COMPUTED_VALUE"""),"108. PipeLovers 💙 Gestão Comercial: ""Geomarketing: Vendas baseadas em localização"" com Valeria Duarte - 2024/11/19 07:55 GMT-03:00 - Recording")</f>
        <v>108. PipeLovers 💙 Gestão Comercial: "Geomarketing: Vendas baseadas em localização" com Valeria Duarte - 2024/11/19 07:55 GMT-03:00 - Recording</v>
      </c>
      <c r="O558" s="303" t="str">
        <f>IFERROR(__xludf.DUMMYFUNCTION("""COMPUTED_VALUE"""),"")</f>
        <v/>
      </c>
      <c r="P558" s="952">
        <f>IFERROR(__xludf.DUMMYFUNCTION("""COMPUTED_VALUE"""),45664.0)</f>
        <v>45664</v>
      </c>
      <c r="Q558" s="303"/>
    </row>
    <row r="559">
      <c r="A559" s="73"/>
      <c r="B559" s="209" t="str">
        <f>IFERROR(__xludf.DUMMYFUNCTION("""COMPUTED_VALUE"""),"Líderes de Vendas")</f>
        <v>Líderes de Vendas</v>
      </c>
      <c r="C559" s="216" t="str">
        <f>IFERROR(__xludf.DUMMYFUNCTION("""COMPUTED_VALUE"""),"Inteligência emocional e motivação de equipes de vendas")</f>
        <v>Inteligência emocional e motivação de equipes de vendas</v>
      </c>
      <c r="D559" s="104" t="str">
        <f>IFERROR(__xludf.DUMMYFUNCTION("""COMPUTED_VALUE"""),"Luís Galdino")</f>
        <v>Luís Galdino</v>
      </c>
      <c r="E559" s="218" t="str">
        <f>IFERROR(__xludf.DUMMYFUNCTION("""COMPUTED_VALUE"""),"Sales Director")</f>
        <v>Sales Director</v>
      </c>
      <c r="F559" s="667" t="str">
        <f>IFERROR(__xludf.DUMMYFUNCTION("""COMPUTED_VALUE"""),"isaac")</f>
        <v>isaac</v>
      </c>
      <c r="G559" s="872"/>
      <c r="H559" s="667" t="str">
        <f>IFERROR(__xludf.DUMMYFUNCTION("""COMPUTED_VALUE"""),"Autodesenvolvimento")</f>
        <v>Autodesenvolvimento</v>
      </c>
      <c r="I559" s="667" t="str">
        <f>IFERROR(__xludf.DUMMYFUNCTION("""COMPUTED_VALUE"""),"Inteligência Emocional")</f>
        <v>Inteligência Emocional</v>
      </c>
      <c r="J559" s="667" t="str">
        <f>IFERROR(__xludf.DUMMYFUNCTION("""COMPUTED_VALUE"""),"Motivação")</f>
        <v>Motivação</v>
      </c>
      <c r="K559" s="275" t="str">
        <f>IFERROR(__xludf.DUMMYFUNCTION("""COMPUTED_VALUE"""),"https://universidade.pipelovers.net/m/lessons/inteligencia-emocional-e-motivacao-de-equipes-de-vendas1769552304432?classId=3278")</f>
        <v>https://universidade.pipelovers.net/m/lessons/inteligencia-emocional-e-motivacao-de-equipes-de-vendas1769552304432?classId=3278</v>
      </c>
      <c r="L559" s="535" t="str">
        <f>IFERROR(__xludf.DUMMYFUNCTION("""COMPUTED_VALUE"""),"https://universidade.pipelovers.net/m/lessons/inteligencia-emocional-e-motivacao-de-equipes-de-vendas1769552304432?classId=3278")</f>
        <v>https://universidade.pipelovers.net/m/lessons/inteligencia-emocional-e-motivacao-de-equipes-de-vendas1769552304432?classId=3278</v>
      </c>
      <c r="M559" s="1082">
        <f>IFERROR(__xludf.DUMMYFUNCTION("""COMPUTED_VALUE"""),4.43)</f>
        <v>4.43</v>
      </c>
      <c r="N559" s="1081" t="str">
        <f>IFERROR(__xludf.DUMMYFUNCTION("""COMPUTED_VALUE"""),"109. PipeLovers 💙 Gestão Comercial: ""Inteligência emocional e motivação de equipes de vendas"" com Luís  - 2024/11/26 07:47 GMT-03:00 - Recording")</f>
        <v>109. PipeLovers 💙 Gestão Comercial: "Inteligência emocional e motivação de equipes de vendas" com Luís  - 2024/11/26 07:47 GMT-03:00 - Recording</v>
      </c>
      <c r="O559" s="228" t="str">
        <f>IFERROR(__xludf.DUMMYFUNCTION("""COMPUTED_VALUE"""),"")</f>
        <v/>
      </c>
      <c r="P559" s="952">
        <f>IFERROR(__xludf.DUMMYFUNCTION("""COMPUTED_VALUE"""),45671.0)</f>
        <v>45671</v>
      </c>
      <c r="Q559" s="228"/>
    </row>
    <row r="560">
      <c r="A560" s="73"/>
      <c r="B560" s="209" t="str">
        <f>IFERROR(__xludf.DUMMYFUNCTION("""COMPUTED_VALUE"""),"Líderes de Vendas")</f>
        <v>Líderes de Vendas</v>
      </c>
      <c r="C560" s="529" t="str">
        <f>IFERROR(__xludf.DUMMYFUNCTION("""COMPUTED_VALUE"""),"Como alinhar equipes de vendas usando OKRs")</f>
        <v>Como alinhar equipes de vendas usando OKRs</v>
      </c>
      <c r="D560" s="119" t="str">
        <f>IFERROR(__xludf.DUMMYFUNCTION("""COMPUTED_VALUE"""),"Luany Cardoso")</f>
        <v>Luany Cardoso</v>
      </c>
      <c r="E560" s="218" t="str">
        <f>IFERROR(__xludf.DUMMYFUNCTION("""COMPUTED_VALUE"""),"Senior Business Manager")</f>
        <v>Senior Business Manager</v>
      </c>
      <c r="F560" s="667" t="str">
        <f>IFERROR(__xludf.DUMMYFUNCTION("""COMPUTED_VALUE"""),"Laqus")</f>
        <v>Laqus</v>
      </c>
      <c r="G560" s="872"/>
      <c r="H560" s="667" t="str">
        <f>IFERROR(__xludf.DUMMYFUNCTION("""COMPUTED_VALUE"""),"Conhecimento Técnico")</f>
        <v>Conhecimento Técnico</v>
      </c>
      <c r="I560" s="667" t="str">
        <f>IFERROR(__xludf.DUMMYFUNCTION("""COMPUTED_VALUE"""),"Gestão de Vendas")</f>
        <v>Gestão de Vendas</v>
      </c>
      <c r="J560" s="667" t="str">
        <f>IFERROR(__xludf.DUMMYFUNCTION("""COMPUTED_VALUE"""),"Planejamento Comercial")</f>
        <v>Planejamento Comercial</v>
      </c>
      <c r="K560" s="275" t="str">
        <f>IFERROR(__xludf.DUMMYFUNCTION("""COMPUTED_VALUE"""),"https://universidade.pipelovers.net/m/lessons/como-alinhar-equipes-de-vendas-usando-okrs1769552304494?classId=3279")</f>
        <v>https://universidade.pipelovers.net/m/lessons/como-alinhar-equipes-de-vendas-usando-okrs1769552304494?classId=3279</v>
      </c>
      <c r="L560" s="535" t="str">
        <f>IFERROR(__xludf.DUMMYFUNCTION("""COMPUTED_VALUE"""),"https://universidade.pipelovers.net/m/lessons/como-alinhar-equipes-de-vendas-usando-okrs1769552304494?classId=3279")</f>
        <v>https://universidade.pipelovers.net/m/lessons/como-alinhar-equipes-de-vendas-usando-okrs1769552304494?classId=3279</v>
      </c>
      <c r="M560" s="1085">
        <f>IFERROR(__xludf.DUMMYFUNCTION("""COMPUTED_VALUE"""),3.14)</f>
        <v>3.14</v>
      </c>
      <c r="N560" s="1083" t="str">
        <f>IFERROR(__xludf.DUMMYFUNCTION("""COMPUTED_VALUE"""),"110. PipeLovers 💙 Gestão Comercial: ""Como alinhar equipes de vendas usando OKRs"" com Luany Cardoso - 2024/12/03 07:50 GMT-03:00 - Recording")</f>
        <v>110. PipeLovers 💙 Gestão Comercial: "Como alinhar equipes de vendas usando OKRs" com Luany Cardoso - 2024/12/03 07:50 GMT-03:00 - Recording</v>
      </c>
      <c r="O560" s="303" t="str">
        <f>IFERROR(__xludf.DUMMYFUNCTION("""COMPUTED_VALUE"""),"")</f>
        <v/>
      </c>
      <c r="P560" s="952">
        <f>IFERROR(__xludf.DUMMYFUNCTION("""COMPUTED_VALUE"""),45678.0)</f>
        <v>45678</v>
      </c>
      <c r="Q560" s="303"/>
    </row>
    <row r="561">
      <c r="A561" s="73"/>
      <c r="B561" s="209" t="str">
        <f>IFERROR(__xludf.DUMMYFUNCTION("""COMPUTED_VALUE"""),"Líderes de Vendas")</f>
        <v>Líderes de Vendas</v>
      </c>
      <c r="C561" s="216" t="str">
        <f>IFERROR(__xludf.DUMMYFUNCTION("""COMPUTED_VALUE"""),"Como projetar metas nas carteiras de clientes")</f>
        <v>Como projetar metas nas carteiras de clientes</v>
      </c>
      <c r="D561" s="104" t="str">
        <f>IFERROR(__xludf.DUMMYFUNCTION("""COMPUTED_VALUE"""),"Rafael Weigand")</f>
        <v>Rafael Weigand</v>
      </c>
      <c r="E561" s="218" t="str">
        <f>IFERROR(__xludf.DUMMYFUNCTION("""COMPUTED_VALUE"""),"Vp of Customer Success")</f>
        <v>Vp of Customer Success</v>
      </c>
      <c r="F561" s="667" t="str">
        <f>IFERROR(__xludf.DUMMYFUNCTION("""COMPUTED_VALUE"""),"Pipefy")</f>
        <v>Pipefy</v>
      </c>
      <c r="G561" s="872"/>
      <c r="H561" s="667" t="str">
        <f>IFERROR(__xludf.DUMMYFUNCTION("""COMPUTED_VALUE"""),"Conhecimento Técnico")</f>
        <v>Conhecimento Técnico</v>
      </c>
      <c r="I561" s="667" t="str">
        <f>IFERROR(__xludf.DUMMYFUNCTION("""COMPUTED_VALUE"""),"Gestão de Vendas")</f>
        <v>Gestão de Vendas</v>
      </c>
      <c r="J561" s="667" t="str">
        <f>IFERROR(__xludf.DUMMYFUNCTION("""COMPUTED_VALUE"""),"Planejamento Comercial")</f>
        <v>Planejamento Comercial</v>
      </c>
      <c r="K561" s="275" t="str">
        <f>IFERROR(__xludf.DUMMYFUNCTION("""COMPUTED_VALUE"""),"https://universidade.pipelovers.net/m/lessons/como-projetar-metas-nas-carteiras-de-clientes1769552304555?classId=3280")</f>
        <v>https://universidade.pipelovers.net/m/lessons/como-projetar-metas-nas-carteiras-de-clientes1769552304555?classId=3280</v>
      </c>
      <c r="L561" s="535" t="str">
        <f>IFERROR(__xludf.DUMMYFUNCTION("""COMPUTED_VALUE"""),"https://universidade.pipelovers.net/m/lessons/como-projetar-metas-nas-carteiras-de-clientes1769552304555?classId=3280")</f>
        <v>https://universidade.pipelovers.net/m/lessons/como-projetar-metas-nas-carteiras-de-clientes1769552304555?classId=3280</v>
      </c>
      <c r="M561" s="1082">
        <f>IFERROR(__xludf.DUMMYFUNCTION("""COMPUTED_VALUE"""),2.0)</f>
        <v>2</v>
      </c>
      <c r="N561" s="1081" t="str">
        <f>IFERROR(__xludf.DUMMYFUNCTION("""COMPUTED_VALUE"""),"111. PipeLovers 💙 Gestão Comercial: ""Como projetar metas nas carteiras de clientes"" com Rafael Weigand  - 2024/12/17 07:48 GMT-03:00 - Recording")</f>
        <v>111. PipeLovers 💙 Gestão Comercial: "Como projetar metas nas carteiras de clientes" com Rafael Weigand  - 2024/12/17 07:48 GMT-03:00 - Recording</v>
      </c>
      <c r="O561" s="228" t="str">
        <f>IFERROR(__xludf.DUMMYFUNCTION("""COMPUTED_VALUE"""),"")</f>
        <v/>
      </c>
      <c r="P561" s="952">
        <f>IFERROR(__xludf.DUMMYFUNCTION("""COMPUTED_VALUE"""),45685.0)</f>
        <v>45685</v>
      </c>
      <c r="Q561" s="228"/>
    </row>
    <row r="562">
      <c r="A562" s="73"/>
      <c r="B562" s="209" t="str">
        <f>IFERROR(__xludf.DUMMYFUNCTION("""COMPUTED_VALUE"""),"Líderes de Vendas")</f>
        <v>Líderes de Vendas</v>
      </c>
      <c r="C562" s="216" t="str">
        <f>IFERROR(__xludf.DUMMYFUNCTION("""COMPUTED_VALUE"""),"Planejamento Anual de Vendas")</f>
        <v>Planejamento Anual de Vendas</v>
      </c>
      <c r="D562" s="119" t="str">
        <f>IFERROR(__xludf.DUMMYFUNCTION("""COMPUTED_VALUE"""),"Gustavo Pagotto")</f>
        <v>Gustavo Pagotto</v>
      </c>
      <c r="E562" s="110" t="str">
        <f>IFERROR(__xludf.DUMMYFUNCTION("""COMPUTED_VALUE"""),"Fundador")</f>
        <v>Fundador</v>
      </c>
      <c r="F562" s="446" t="str">
        <f>IFERROR(__xludf.DUMMYFUNCTION("""COMPUTED_VALUE"""),"PipeLovers")</f>
        <v>PipeLovers</v>
      </c>
      <c r="G562" s="447" t="str">
        <f>IFERROR(__xludf.DUMMYFUNCTION("""COMPUTED_VALUE"""),"https://www.linkedin.com/in/gpagotto/")</f>
        <v>https://www.linkedin.com/in/gpagotto/</v>
      </c>
      <c r="H562" s="446" t="str">
        <f>IFERROR(__xludf.DUMMYFUNCTION("""COMPUTED_VALUE"""),"Conhecimento Técnico")</f>
        <v>Conhecimento Técnico</v>
      </c>
      <c r="I562" s="446" t="str">
        <f>IFERROR(__xludf.DUMMYFUNCTION("""COMPUTED_VALUE"""),"Gestão de Vendas")</f>
        <v>Gestão de Vendas</v>
      </c>
      <c r="J562" s="667" t="str">
        <f>IFERROR(__xludf.DUMMYFUNCTION("""COMPUTED_VALUE"""),"Planejamento Comercial")</f>
        <v>Planejamento Comercial</v>
      </c>
      <c r="K562" s="275" t="str">
        <f>IFERROR(__xludf.DUMMYFUNCTION("""COMPUTED_VALUE"""),"https://universidade.pipelovers.net/m/lessons/planejamento-anual-de-vendas1769552304646?classId=3281")</f>
        <v>https://universidade.pipelovers.net/m/lessons/planejamento-anual-de-vendas1769552304646?classId=3281</v>
      </c>
      <c r="L562" s="535" t="str">
        <f>IFERROR(__xludf.DUMMYFUNCTION("""COMPUTED_VALUE"""),"https://universidade.pipelovers.net/m/lessons/planejamento-anual-de-vendas1769552304646?classId=3281")</f>
        <v>https://universidade.pipelovers.net/m/lessons/planejamento-anual-de-vendas1769552304646?classId=3281</v>
      </c>
      <c r="M562" s="1085">
        <f>IFERROR(__xludf.DUMMYFUNCTION("""COMPUTED_VALUE"""),5.0)</f>
        <v>5</v>
      </c>
      <c r="N562" s="1083" t="str">
        <f>IFERROR(__xludf.DUMMYFUNCTION("""COMPUTED_VALUE"""),"112. PipeLovers 💙 Gestão Comercial: ""Planejamento Anual de Vendas"" com Gustavo Pagotto - 2025/01/07 16:52 GMT-03:00 - Recording")</f>
        <v>112. PipeLovers 💙 Gestão Comercial: "Planejamento Anual de Vendas" com Gustavo Pagotto - 2025/01/07 16:52 GMT-03:00 - Recording</v>
      </c>
      <c r="O562" s="303" t="str">
        <f>IFERROR(__xludf.DUMMYFUNCTION("""COMPUTED_VALUE"""),"")</f>
        <v/>
      </c>
      <c r="P562" s="952">
        <f>IFERROR(__xludf.DUMMYFUNCTION("""COMPUTED_VALUE"""),45692.0)</f>
        <v>45692</v>
      </c>
      <c r="Q562" s="303"/>
    </row>
    <row r="563">
      <c r="A563" s="73"/>
      <c r="B563" s="209" t="str">
        <f>IFERROR(__xludf.DUMMYFUNCTION("""COMPUTED_VALUE"""),"Líderes de Vendas")</f>
        <v>Líderes de Vendas</v>
      </c>
      <c r="C563" s="382" t="str">
        <f>IFERROR(__xludf.DUMMYFUNCTION("""COMPUTED_VALUE"""),"Estratégias de Expansão de Receita: Alinhando Produto, Marketing e Vendas")</f>
        <v>Estratégias de Expansão de Receita: Alinhando Produto, Marketing e Vendas</v>
      </c>
      <c r="D563" s="104" t="str">
        <f>IFERROR(__xludf.DUMMYFUNCTION("""COMPUTED_VALUE"""),"Walner Santos")</f>
        <v>Walner Santos</v>
      </c>
      <c r="E563" s="110" t="str">
        <f>IFERROR(__xludf.DUMMYFUNCTION("""COMPUTED_VALUE"""),"Head of Sales")</f>
        <v>Head of Sales</v>
      </c>
      <c r="F563" s="446" t="str">
        <f>IFERROR(__xludf.DUMMYFUNCTION("""COMPUTED_VALUE"""),"Sólides Tecnologia")</f>
        <v>Sólides Tecnologia</v>
      </c>
      <c r="G563" s="446"/>
      <c r="H563" s="446" t="str">
        <f>IFERROR(__xludf.DUMMYFUNCTION("""COMPUTED_VALUE"""),"Visão de Negócio")</f>
        <v>Visão de Negócio</v>
      </c>
      <c r="I563" s="446" t="str">
        <f>IFERROR(__xludf.DUMMYFUNCTION("""COMPUTED_VALUE"""),"Conhecimento de Produto e Negócio")</f>
        <v>Conhecimento de Produto e Negócio</v>
      </c>
      <c r="J563" s="446" t="str">
        <f>IFERROR(__xludf.DUMMYFUNCTION("""COMPUTED_VALUE"""),"Posicionamento de Produto")</f>
        <v>Posicionamento de Produto</v>
      </c>
      <c r="K563" s="282" t="str">
        <f>IFERROR(__xludf.DUMMYFUNCTION("""COMPUTED_VALUE"""),"https://universidade.pipelovers.net/m/lessons/estrategias-de-expansao-de-receita-alinhando-produto-marketing-e-vendas1769552304724?classId=3282")</f>
        <v>https://universidade.pipelovers.net/m/lessons/estrategias-de-expansao-de-receita-alinhando-produto-marketing-e-vendas1769552304724?classId=3282</v>
      </c>
      <c r="L563" s="500" t="str">
        <f>IFERROR(__xludf.DUMMYFUNCTION("""COMPUTED_VALUE"""),"https://universidade.pipelovers.net/m/lessons/estrategias-de-expansao-de-receita-alinhando-produto-marketing-e-vendas1769552304724?classId=3282")</f>
        <v>https://universidade.pipelovers.net/m/lessons/estrategias-de-expansao-de-receita-alinhando-produto-marketing-e-vendas1769552304724?classId=3282</v>
      </c>
      <c r="M563" s="1082">
        <f>IFERROR(__xludf.DUMMYFUNCTION("""COMPUTED_VALUE"""),3.57)</f>
        <v>3.57</v>
      </c>
      <c r="N563" s="1081" t="str">
        <f>IFERROR(__xludf.DUMMYFUNCTION("""COMPUTED_VALUE"""),"113. PipeLovers 💙 Gestão Comercial: ""Estratégias de Expansão de Receita: Alinhando Produto, Marketing e - 2025/01/14 10:47 GMT-03:00 - Recording")</f>
        <v>113. PipeLovers 💙 Gestão Comercial: "Estratégias de Expansão de Receita: Alinhando Produto, Marketing e - 2025/01/14 10:47 GMT-03:00 - Recording</v>
      </c>
      <c r="O563" s="228" t="str">
        <f>IFERROR(__xludf.DUMMYFUNCTION("""COMPUTED_VALUE"""),"")</f>
        <v/>
      </c>
      <c r="P563" s="952">
        <f>IFERROR(__xludf.DUMMYFUNCTION("""COMPUTED_VALUE"""),45699.0)</f>
        <v>45699</v>
      </c>
      <c r="Q563" s="228"/>
    </row>
    <row r="564">
      <c r="A564" s="73"/>
      <c r="B564" s="209" t="str">
        <f>IFERROR(__xludf.DUMMYFUNCTION("""COMPUTED_VALUE"""),"Líderes de Vendas")</f>
        <v>Líderes de Vendas</v>
      </c>
      <c r="C564" s="216" t="str">
        <f>IFERROR(__xludf.DUMMYFUNCTION("""COMPUTED_VALUE"""),"Comunicação Persuasiva para Líderes Comerciais")</f>
        <v>Comunicação Persuasiva para Líderes Comerciais</v>
      </c>
      <c r="D564" s="119" t="str">
        <f>IFERROR(__xludf.DUMMYFUNCTION("""COMPUTED_VALUE"""),"Ricardo Voz")</f>
        <v>Ricardo Voz</v>
      </c>
      <c r="E564" s="105" t="str">
        <f>IFERROR(__xludf.DUMMYFUNCTION("""COMPUTED_VALUE"""),"CEO")</f>
        <v>CEO</v>
      </c>
      <c r="F564" s="448" t="str">
        <f>IFERROR(__xludf.DUMMYFUNCTION("""COMPUTED_VALUE"""),"Houdini Group")</f>
        <v>Houdini Group</v>
      </c>
      <c r="G564" s="446"/>
      <c r="H564" s="446" t="str">
        <f>IFERROR(__xludf.DUMMYFUNCTION("""COMPUTED_VALUE"""),"Relacionamento Interpessoal")</f>
        <v>Relacionamento Interpessoal</v>
      </c>
      <c r="I564" s="446" t="str">
        <f>IFERROR(__xludf.DUMMYFUNCTION("""COMPUTED_VALUE"""),"Comunicação e Relacionamento")</f>
        <v>Comunicação e Relacionamento</v>
      </c>
      <c r="J564" s="446" t="str">
        <f>IFERROR(__xludf.DUMMYFUNCTION("""COMPUTED_VALUE"""),"Comunicação Não-Agressiva")</f>
        <v>Comunicação Não-Agressiva</v>
      </c>
      <c r="K564" s="275" t="str">
        <f>IFERROR(__xludf.DUMMYFUNCTION("""COMPUTED_VALUE"""),"https://universidade.pipelovers.net/m/lessons/comunicacao-persuasiva-para-lideres-comerciais1769552304784?classId=3283")</f>
        <v>https://universidade.pipelovers.net/m/lessons/comunicacao-persuasiva-para-lideres-comerciais1769552304784?classId=3283</v>
      </c>
      <c r="L564" s="535" t="str">
        <f>IFERROR(__xludf.DUMMYFUNCTION("""COMPUTED_VALUE"""),"https://universidade.pipelovers.net/m/lessons/comunicacao-persuasiva-para-lideres-comerciais1769552304784?classId=3283")</f>
        <v>https://universidade.pipelovers.net/m/lessons/comunicacao-persuasiva-para-lideres-comerciais1769552304784?classId=3283</v>
      </c>
      <c r="M564" s="1085">
        <f>IFERROR(__xludf.DUMMYFUNCTION("""COMPUTED_VALUE"""),2.0)</f>
        <v>2</v>
      </c>
      <c r="N564" s="1083" t="str">
        <f>IFERROR(__xludf.DUMMYFUNCTION("""COMPUTED_VALUE"""),"114. PipeLovers 💙 Gestão Comercial: ""Comunicação Persuasiva para Líderes Comerciais"" com Ricardo Voz - 2025/01/21 16:52 GMT-03:00 - Recording")</f>
        <v>114. PipeLovers 💙 Gestão Comercial: "Comunicação Persuasiva para Líderes Comerciais" com Ricardo Voz - 2025/01/21 16:52 GMT-03:00 - Recording</v>
      </c>
      <c r="O564" s="303" t="str">
        <f>IFERROR(__xludf.DUMMYFUNCTION("""COMPUTED_VALUE"""),"")</f>
        <v/>
      </c>
      <c r="P564" s="952">
        <f>IFERROR(__xludf.DUMMYFUNCTION("""COMPUTED_VALUE"""),45706.0)</f>
        <v>45706</v>
      </c>
      <c r="Q564" s="303"/>
    </row>
    <row r="565">
      <c r="A565" s="73"/>
      <c r="B565" s="209" t="str">
        <f>IFERROR(__xludf.DUMMYFUNCTION("""COMPUTED_VALUE"""),"Líderes de Vendas")</f>
        <v>Líderes de Vendas</v>
      </c>
      <c r="C565" s="268" t="str">
        <f>IFERROR(__xludf.DUMMYFUNCTION("""COMPUTED_VALUE"""),"Como Motivar uma Equipe de Vendas Desmotivada")</f>
        <v>Como Motivar uma Equipe de Vendas Desmotivada</v>
      </c>
      <c r="D565" s="104" t="str">
        <f>IFERROR(__xludf.DUMMYFUNCTION("""COMPUTED_VALUE"""),"Raul Candeloro")</f>
        <v>Raul Candeloro</v>
      </c>
      <c r="E565" s="105" t="str">
        <f>IFERROR(__xludf.DUMMYFUNCTION("""COMPUTED_VALUE"""),"CEO")</f>
        <v>CEO</v>
      </c>
      <c r="F565" s="448" t="str">
        <f>IFERROR(__xludf.DUMMYFUNCTION("""COMPUTED_VALUE"""),"VendaMais")</f>
        <v>VendaMais</v>
      </c>
      <c r="G565" s="446"/>
      <c r="H565" s="446" t="str">
        <f>IFERROR(__xludf.DUMMYFUNCTION("""COMPUTED_VALUE"""),"Autodesenvolvimento")</f>
        <v>Autodesenvolvimento</v>
      </c>
      <c r="I565" s="446" t="str">
        <f>IFERROR(__xludf.DUMMYFUNCTION("""COMPUTED_VALUE"""),"Inteligência Emocional")</f>
        <v>Inteligência Emocional</v>
      </c>
      <c r="J565" s="446" t="str">
        <f>IFERROR(__xludf.DUMMYFUNCTION("""COMPUTED_VALUE"""),"Motivação")</f>
        <v>Motivação</v>
      </c>
      <c r="K565" s="275" t="str">
        <f>IFERROR(__xludf.DUMMYFUNCTION("""COMPUTED_VALUE"""),"https://universidade.pipelovers.net/aulas/como-motivar-uma-equpe-de-vendas-desmotivada-1775503692564")</f>
        <v>https://universidade.pipelovers.net/aulas/como-motivar-uma-equpe-de-vendas-desmotivada-1775503692564</v>
      </c>
      <c r="L565" s="535" t="str">
        <f>IFERROR(__xludf.DUMMYFUNCTION("""COMPUTED_VALUE"""),"https://universidade.pipelovers.net/aulas/como-motivar-uma-equpe-de-vendas-desmotivada-1775503692564")</f>
        <v>https://universidade.pipelovers.net/aulas/como-motivar-uma-equpe-de-vendas-desmotivada-1775503692564</v>
      </c>
      <c r="M565" s="1082">
        <f>IFERROR(__xludf.DUMMYFUNCTION("""COMPUTED_VALUE"""),4.43)</f>
        <v>4.43</v>
      </c>
      <c r="N565" s="1081" t="str">
        <f>IFERROR(__xludf.DUMMYFUNCTION("""COMPUTED_VALUE"""),"115. PipeLovers 💙 Gestão Comercial: ""Como motivar uma equipe de vendas desmotivada"" com Raul Candeloro - 2025/01/28 10:52 GMT-03:00 - Recording")</f>
        <v>115. PipeLovers 💙 Gestão Comercial: "Como motivar uma equipe de vendas desmotivada" com Raul Candeloro - 2025/01/28 10:52 GMT-03:00 - Recording</v>
      </c>
      <c r="O565" s="228" t="str">
        <f>IFERROR(__xludf.DUMMYFUNCTION("""COMPUTED_VALUE"""),"")</f>
        <v/>
      </c>
      <c r="P565" s="952">
        <f>IFERROR(__xludf.DUMMYFUNCTION("""COMPUTED_VALUE"""),45713.0)</f>
        <v>45713</v>
      </c>
      <c r="Q565" s="228"/>
    </row>
    <row r="566">
      <c r="A566" s="73"/>
      <c r="B566" s="209" t="str">
        <f>IFERROR(__xludf.DUMMYFUNCTION("""COMPUTED_VALUE"""),"Líderes de Vendas")</f>
        <v>Líderes de Vendas</v>
      </c>
      <c r="C566" s="216" t="str">
        <f>IFERROR(__xludf.DUMMYFUNCTION("""COMPUTED_VALUE"""),"Erros comuns na definição do ICP e como corrigi-los")</f>
        <v>Erros comuns na definição do ICP e como corrigi-los</v>
      </c>
      <c r="D566" s="119" t="str">
        <f>IFERROR(__xludf.DUMMYFUNCTION("""COMPUTED_VALUE"""),"Patrick Francisco")</f>
        <v>Patrick Francisco</v>
      </c>
      <c r="E566" s="105" t="str">
        <f>IFERROR(__xludf.DUMMYFUNCTION("""COMPUTED_VALUE"""),"CEO")</f>
        <v>CEO</v>
      </c>
      <c r="F566" s="448" t="str">
        <f>IFERROR(__xludf.DUMMYFUNCTION("""COMPUTED_VALUE"""),"Driva")</f>
        <v>Driva</v>
      </c>
      <c r="G566" s="446"/>
      <c r="H566" s="446" t="str">
        <f>IFERROR(__xludf.DUMMYFUNCTION("""COMPUTED_VALUE"""),"Visão de Negócio")</f>
        <v>Visão de Negócio</v>
      </c>
      <c r="I566" s="446" t="str">
        <f>IFERROR(__xludf.DUMMYFUNCTION("""COMPUTED_VALUE"""),"Conhecimento de Produto e Negócio")</f>
        <v>Conhecimento de Produto e Negócio</v>
      </c>
      <c r="J566" s="446" t="str">
        <f>IFERROR(__xludf.DUMMYFUNCTION("""COMPUTED_VALUE"""),"ICP (Perfil de Cliente Ideal)")</f>
        <v>ICP (Perfil de Cliente Ideal)</v>
      </c>
      <c r="K566" s="275" t="str">
        <f>IFERROR(__xludf.DUMMYFUNCTION("""COMPUTED_VALUE"""),"https://universidade.pipelovers.net/m/lessons/erros-comuns-na-definicao-do-icp-e-como-corrigi-los1769552304916?classId=3285")</f>
        <v>https://universidade.pipelovers.net/m/lessons/erros-comuns-na-definicao-do-icp-e-como-corrigi-los1769552304916?classId=3285</v>
      </c>
      <c r="L566" s="535" t="str">
        <f>IFERROR(__xludf.DUMMYFUNCTION("""COMPUTED_VALUE"""),"https://universidade.pipelovers.net/m/lessons/erros-comuns-na-definicao-do-icp-e-como-corrigi-los1769552304916?classId=3285")</f>
        <v>https://universidade.pipelovers.net/m/lessons/erros-comuns-na-definicao-do-icp-e-como-corrigi-los1769552304916?classId=3285</v>
      </c>
      <c r="M566" s="1085">
        <f>IFERROR(__xludf.DUMMYFUNCTION("""COMPUTED_VALUE"""),3.71)</f>
        <v>3.71</v>
      </c>
      <c r="N566" s="1083" t="str">
        <f>IFERROR(__xludf.DUMMYFUNCTION("""COMPUTED_VALUE"""),"116. PipeLovers 💙 Gestão Comercial: ""Erros comuns na definição do ICP e como corrigi-los"" com Patrick F - 2025/02/04 10:42 GMT-03:00 - Recording")</f>
        <v>116. PipeLovers 💙 Gestão Comercial: "Erros comuns na definição do ICP e como corrigi-los" com Patrick F - 2025/02/04 10:42 GMT-03:00 - Recording</v>
      </c>
      <c r="O566" s="303" t="str">
        <f>IFERROR(__xludf.DUMMYFUNCTION("""COMPUTED_VALUE"""),"")</f>
        <v/>
      </c>
      <c r="P566" s="952">
        <f>IFERROR(__xludf.DUMMYFUNCTION("""COMPUTED_VALUE"""),45720.0)</f>
        <v>45720</v>
      </c>
      <c r="Q566" s="303"/>
    </row>
    <row r="567">
      <c r="A567" s="73"/>
      <c r="B567" s="209" t="str">
        <f>IFERROR(__xludf.DUMMYFUNCTION("""COMPUTED_VALUE"""),"Líderes de Vendas")</f>
        <v>Líderes de Vendas</v>
      </c>
      <c r="C567" s="268" t="str">
        <f>IFERROR(__xludf.DUMMYFUNCTION("""COMPUTED_VALUE"""),"Estratégias para garantir margens saudáveis em negociações")</f>
        <v>Estratégias para garantir margens saudáveis em negociações</v>
      </c>
      <c r="D567" s="104" t="str">
        <f>IFERROR(__xludf.DUMMYFUNCTION("""COMPUTED_VALUE"""),"Bruno Lima")</f>
        <v>Bruno Lima</v>
      </c>
      <c r="E567" s="105" t="str">
        <f>IFERROR(__xludf.DUMMYFUNCTION("""COMPUTED_VALUE"""),"Regional Director, Enterprise Sales")</f>
        <v>Regional Director, Enterprise Sales</v>
      </c>
      <c r="F567" s="448" t="str">
        <f>IFERROR(__xludf.DUMMYFUNCTION("""COMPUTED_VALUE"""),"MongoDB")</f>
        <v>MongoDB</v>
      </c>
      <c r="G567" s="446"/>
      <c r="H567" s="446" t="str">
        <f>IFERROR(__xludf.DUMMYFUNCTION("""COMPUTED_VALUE"""),"Conhecimento Técnico")</f>
        <v>Conhecimento Técnico</v>
      </c>
      <c r="I567" s="446" t="str">
        <f>IFERROR(__xludf.DUMMYFUNCTION("""COMPUTED_VALUE"""),"Técnicas de Vendas")</f>
        <v>Técnicas de Vendas</v>
      </c>
      <c r="J567" s="446" t="str">
        <f>IFERROR(__xludf.DUMMYFUNCTION("""COMPUTED_VALUE"""),"Negociação e Fechamento de Vendas")</f>
        <v>Negociação e Fechamento de Vendas</v>
      </c>
      <c r="K567" s="275" t="str">
        <f>IFERROR(__xludf.DUMMYFUNCTION("""COMPUTED_VALUE"""),"https://universidade.pipelovers.net/m/lessons/estrategias-para-garantir-margens-saudaveis-em-negociacoes1769552305007?classId=3286")</f>
        <v>https://universidade.pipelovers.net/m/lessons/estrategias-para-garantir-margens-saudaveis-em-negociacoes1769552305007?classId=3286</v>
      </c>
      <c r="L567" s="535" t="str">
        <f>IFERROR(__xludf.DUMMYFUNCTION("""COMPUTED_VALUE"""),"https://universidade.pipelovers.net/m/lessons/estrategias-para-garantir-margens-saudaveis-em-negociacoes1769552305007?classId=3286")</f>
        <v>https://universidade.pipelovers.net/m/lessons/estrategias-para-garantir-margens-saudaveis-em-negociacoes1769552305007?classId=3286</v>
      </c>
      <c r="M567" s="1082">
        <f>IFERROR(__xludf.DUMMYFUNCTION("""COMPUTED_VALUE"""),2.0)</f>
        <v>2</v>
      </c>
      <c r="N567" s="1081" t="str">
        <f>IFERROR(__xludf.DUMMYFUNCTION("""COMPUTED_VALUE"""),"117. PipeLovers 💙 Gestão Comercial: ""Estratégias para garantir margens saudáveis em negociações "" com B - 2025/02/11 16:53 GMT-03:00 - Recording")</f>
        <v>117. PipeLovers 💙 Gestão Comercial: "Estratégias para garantir margens saudáveis em negociações " com B - 2025/02/11 16:53 GMT-03:00 - Recording</v>
      </c>
      <c r="O567" s="228" t="str">
        <f>IFERROR(__xludf.DUMMYFUNCTION("""COMPUTED_VALUE"""),"")</f>
        <v/>
      </c>
      <c r="P567" s="952">
        <f>IFERROR(__xludf.DUMMYFUNCTION("""COMPUTED_VALUE"""),45727.0)</f>
        <v>45727</v>
      </c>
      <c r="Q567" s="228"/>
    </row>
    <row r="568">
      <c r="A568" s="73"/>
      <c r="B568" s="209" t="str">
        <f>IFERROR(__xludf.DUMMYFUNCTION("""COMPUTED_VALUE"""),"Líderes de Vendas")</f>
        <v>Líderes de Vendas</v>
      </c>
      <c r="C568" s="216" t="str">
        <f>IFERROR(__xludf.DUMMYFUNCTION("""COMPUTED_VALUE"""),"Qual o papel de um gestor comercial numa estrutura de Revops")</f>
        <v>Qual o papel de um gestor comercial numa estrutura de Revops</v>
      </c>
      <c r="D568" s="119" t="str">
        <f>IFERROR(__xludf.DUMMYFUNCTION("""COMPUTED_VALUE"""),"Fabio Duran")</f>
        <v>Fabio Duran</v>
      </c>
      <c r="E568" s="105" t="str">
        <f>IFERROR(__xludf.DUMMYFUNCTION("""COMPUTED_VALUE"""),"Co-founder e CEO")</f>
        <v>Co-founder e CEO</v>
      </c>
      <c r="F568" s="448" t="str">
        <f>IFERROR(__xludf.DUMMYFUNCTION("""COMPUTED_VALUE"""),"8D Hubify")</f>
        <v>8D Hubify</v>
      </c>
      <c r="G568" s="447" t="str">
        <f>IFERROR(__xludf.DUMMYFUNCTION("""COMPUTED_VALUE"""),"https://www.linkedin.com/in/fabiomeloduran")</f>
        <v>https://www.linkedin.com/in/fabiomeloduran</v>
      </c>
      <c r="H568" s="446" t="str">
        <f>IFERROR(__xludf.DUMMYFUNCTION("""COMPUTED_VALUE"""),"Conhecimento Técnico")</f>
        <v>Conhecimento Técnico</v>
      </c>
      <c r="I568" s="446" t="str">
        <f>IFERROR(__xludf.DUMMYFUNCTION("""COMPUTED_VALUE"""),"Gestão de Vendas")</f>
        <v>Gestão de Vendas</v>
      </c>
      <c r="J568" s="446" t="str">
        <f>IFERROR(__xludf.DUMMYFUNCTION("""COMPUTED_VALUE"""),"Planejamento Comercial")</f>
        <v>Planejamento Comercial</v>
      </c>
      <c r="K568" s="275" t="str">
        <f>IFERROR(__xludf.DUMMYFUNCTION("""COMPUTED_VALUE"""),"https://universidade.pipelovers.net/m/lessons/qual-o-papel-de-um-gestor-comercial-numa-estrutura-de-revops1769552305071?classId=3287")</f>
        <v>https://universidade.pipelovers.net/m/lessons/qual-o-papel-de-um-gestor-comercial-numa-estrutura-de-revops1769552305071?classId=3287</v>
      </c>
      <c r="L568" s="535" t="str">
        <f>IFERROR(__xludf.DUMMYFUNCTION("""COMPUTED_VALUE"""),"https://universidade.pipelovers.net/m/lessons/qual-o-papel-de-um-gestor-comercial-numa-estrutura-de-revops1769552305071?classId=3287")</f>
        <v>https://universidade.pipelovers.net/m/lessons/qual-o-papel-de-um-gestor-comercial-numa-estrutura-de-revops1769552305071?classId=3287</v>
      </c>
      <c r="M568" s="1085">
        <f>IFERROR(__xludf.DUMMYFUNCTION("""COMPUTED_VALUE"""),3.36)</f>
        <v>3.36</v>
      </c>
      <c r="N568" s="1083" t="str">
        <f>IFERROR(__xludf.DUMMYFUNCTION("""COMPUTED_VALUE"""),"118. PipeLovers 💙 Gestão Comercial: ""Qual o papel de um gestor comercial numa estrutura de Revops"" com  - 2025/02/18 10:57 GMT-03:00 - Recording")</f>
        <v>118. PipeLovers 💙 Gestão Comercial: "Qual o papel de um gestor comercial numa estrutura de Revops" com  - 2025/02/18 10:57 GMT-03:00 - Recording</v>
      </c>
      <c r="O568" s="303" t="str">
        <f>IFERROR(__xludf.DUMMYFUNCTION("""COMPUTED_VALUE"""),"")</f>
        <v/>
      </c>
      <c r="P568" s="952">
        <f>IFERROR(__xludf.DUMMYFUNCTION("""COMPUTED_VALUE"""),45734.0)</f>
        <v>45734</v>
      </c>
      <c r="Q568" s="303"/>
    </row>
    <row r="569">
      <c r="A569" s="73"/>
      <c r="B569" s="209" t="str">
        <f>IFERROR(__xludf.DUMMYFUNCTION("""COMPUTED_VALUE"""),"Líderes de Vendas")</f>
        <v>Líderes de Vendas</v>
      </c>
      <c r="C569" s="268" t="str">
        <f>IFERROR(__xludf.DUMMYFUNCTION("""COMPUTED_VALUE"""),"Rituais de gestão de tempo para líderes de vendas")</f>
        <v>Rituais de gestão de tempo para líderes de vendas</v>
      </c>
      <c r="D569" s="104" t="str">
        <f>IFERROR(__xludf.DUMMYFUNCTION("""COMPUTED_VALUE"""),"Caio Vidal")</f>
        <v>Caio Vidal</v>
      </c>
      <c r="E569" s="105" t="str">
        <f>IFERROR(__xludf.DUMMYFUNCTION("""COMPUTED_VALUE"""),"Head of Sales")</f>
        <v>Head of Sales</v>
      </c>
      <c r="F569" s="448" t="str">
        <f>IFERROR(__xludf.DUMMYFUNCTION("""COMPUTED_VALUE"""),"RD Station")</f>
        <v>RD Station</v>
      </c>
      <c r="G569" s="447" t="str">
        <f>IFERROR(__xludf.DUMMYFUNCTION("""COMPUTED_VALUE"""),"https://www.linkedin.com/in/caiovidalsoares/")</f>
        <v>https://www.linkedin.com/in/caiovidalsoares/</v>
      </c>
      <c r="H569" s="446" t="str">
        <f>IFERROR(__xludf.DUMMYFUNCTION("""COMPUTED_VALUE"""),"Autodesenvolvimento")</f>
        <v>Autodesenvolvimento</v>
      </c>
      <c r="I569" s="446" t="str">
        <f>IFERROR(__xludf.DUMMYFUNCTION("""COMPUTED_VALUE"""),"Gestão de Vendas")</f>
        <v>Gestão de Vendas</v>
      </c>
      <c r="J569" s="446" t="str">
        <f>IFERROR(__xludf.DUMMYFUNCTION("""COMPUTED_VALUE"""),"Priorização de Atividades")</f>
        <v>Priorização de Atividades</v>
      </c>
      <c r="K569" s="275" t="str">
        <f>IFERROR(__xludf.DUMMYFUNCTION("""COMPUTED_VALUE"""),"https://universidade.pipelovers.net/m/lessons/rituais-de-gestao-de-tempo-para-lideres-de-vendas1769552305130?classId=3288")</f>
        <v>https://universidade.pipelovers.net/m/lessons/rituais-de-gestao-de-tempo-para-lideres-de-vendas1769552305130?classId=3288</v>
      </c>
      <c r="L569" s="535" t="str">
        <f>IFERROR(__xludf.DUMMYFUNCTION("""COMPUTED_VALUE"""),"https://universidade.pipelovers.net/m/lessons/rituais-de-gestao-de-tempo-para-lideres-de-vendas1769552305130?classId=3288")</f>
        <v>https://universidade.pipelovers.net/m/lessons/rituais-de-gestao-de-tempo-para-lideres-de-vendas1769552305130?classId=3288</v>
      </c>
      <c r="M569" s="1082">
        <f>IFERROR(__xludf.DUMMYFUNCTION("""COMPUTED_VALUE"""),3.71)</f>
        <v>3.71</v>
      </c>
      <c r="N569" s="1081" t="str">
        <f>IFERROR(__xludf.DUMMYFUNCTION("""COMPUTED_VALUE"""),"119. PipeLovers 💙 Gestão Comercial: ""Rituais de gestão de tempo para líderes de vendas"" com Caio Vidal  - 2025/02/25 10:52 GMT-03:00 - Recording")</f>
        <v>119. PipeLovers 💙 Gestão Comercial: "Rituais de gestão de tempo para líderes de vendas" com Caio Vidal  - 2025/02/25 10:52 GMT-03:00 - Recording</v>
      </c>
      <c r="O569" s="228" t="str">
        <f>IFERROR(__xludf.DUMMYFUNCTION("""COMPUTED_VALUE"""),"")</f>
        <v/>
      </c>
      <c r="P569" s="952">
        <f>IFERROR(__xludf.DUMMYFUNCTION("""COMPUTED_VALUE"""),45741.0)</f>
        <v>45741</v>
      </c>
      <c r="Q569" s="228"/>
    </row>
    <row r="570">
      <c r="A570" s="73"/>
      <c r="B570" s="209" t="str">
        <f>IFERROR(__xludf.DUMMYFUNCTION("""COMPUTED_VALUE"""),"Líderes de Vendas")</f>
        <v>Líderes de Vendas</v>
      </c>
      <c r="C570" s="216" t="str">
        <f>IFERROR(__xludf.DUMMYFUNCTION("""COMPUTED_VALUE"""),"Geração Z no B2B: Preparando sua equipe para lidar com novos decisores")</f>
        <v>Geração Z no B2B: Preparando sua equipe para lidar com novos decisores</v>
      </c>
      <c r="D570" s="119" t="str">
        <f>IFERROR(__xludf.DUMMYFUNCTION("""COMPUTED_VALUE"""),"Thiago Cherem")</f>
        <v>Thiago Cherem</v>
      </c>
      <c r="E570" s="857" t="str">
        <f>IFERROR(__xludf.DUMMYFUNCTION("""COMPUTED_VALUE"""),"Fundador")</f>
        <v>Fundador</v>
      </c>
      <c r="F570" s="858" t="str">
        <f>IFERROR(__xludf.DUMMYFUNCTION("""COMPUTED_VALUE"""),"Linqo")</f>
        <v>Linqo</v>
      </c>
      <c r="G570" s="447" t="str">
        <f>IFERROR(__xludf.DUMMYFUNCTION("""COMPUTED_VALUE"""),"https://www.linkedin.com/in/thiagocherem/")</f>
        <v>https://www.linkedin.com/in/thiagocherem/</v>
      </c>
      <c r="H570" s="446" t="str">
        <f>IFERROR(__xludf.DUMMYFUNCTION("""COMPUTED_VALUE"""),"Visão de Negócio")</f>
        <v>Visão de Negócio</v>
      </c>
      <c r="I570" s="446" t="str">
        <f>IFERROR(__xludf.DUMMYFUNCTION("""COMPUTED_VALUE"""),"Tendencias de mercado")</f>
        <v>Tendencias de mercado</v>
      </c>
      <c r="J570" s="446" t="str">
        <f>IFERROR(__xludf.DUMMYFUNCTION("""COMPUTED_VALUE"""),"Perfil do Comprador B2B")</f>
        <v>Perfil do Comprador B2B</v>
      </c>
      <c r="K570" s="275" t="str">
        <f>IFERROR(__xludf.DUMMYFUNCTION("""COMPUTED_VALUE"""),"https://universidade.pipelovers.net/m/lessons/geracao-z-no-b2b-preparando-sua-equipe-para-lidar-com-novos-decisores1769552305189?classId=3027")</f>
        <v>https://universidade.pipelovers.net/m/lessons/geracao-z-no-b2b-preparando-sua-equipe-para-lidar-com-novos-decisores1769552305189?classId=3027</v>
      </c>
      <c r="L570" s="535" t="str">
        <f>IFERROR(__xludf.DUMMYFUNCTION("""COMPUTED_VALUE"""),"https://universidade.pipelovers.net/m/lessons/geracao-z-no-b2b-preparando-sua-equipe-para-lidar-com-novos-decisores1769552305189?classId=3027")</f>
        <v>https://universidade.pipelovers.net/m/lessons/geracao-z-no-b2b-preparando-sua-equipe-para-lidar-com-novos-decisores1769552305189?classId=3027</v>
      </c>
      <c r="M570" s="1085">
        <f>IFERROR(__xludf.DUMMYFUNCTION("""COMPUTED_VALUE"""),3.0)</f>
        <v>3</v>
      </c>
      <c r="N570" s="1083" t="str">
        <f>IFERROR(__xludf.DUMMYFUNCTION("""COMPUTED_VALUE"""),"120. PipeLovers 💙 Gestão Comercial: ""Geração Z no B2B: Preparando sua equipe para lidar com novos decis - 2025/03/11 10:55 GMT-03:00 - Recording")</f>
        <v>120. PipeLovers 💙 Gestão Comercial: "Geração Z no B2B: Preparando sua equipe para lidar com novos decis - 2025/03/11 10:55 GMT-03:00 - Recording</v>
      </c>
      <c r="O570" s="303" t="str">
        <f>IFERROR(__xludf.DUMMYFUNCTION("""COMPUTED_VALUE"""),"")</f>
        <v/>
      </c>
      <c r="P570" s="952">
        <f>IFERROR(__xludf.DUMMYFUNCTION("""COMPUTED_VALUE"""),45748.0)</f>
        <v>45748</v>
      </c>
      <c r="Q570" s="303"/>
    </row>
    <row r="571">
      <c r="A571" s="73"/>
      <c r="B571" s="209" t="str">
        <f>IFERROR(__xludf.DUMMYFUNCTION("""COMPUTED_VALUE"""),"Líderes de Vendas")</f>
        <v>Líderes de Vendas</v>
      </c>
      <c r="C571" s="268" t="str">
        <f>IFERROR(__xludf.DUMMYFUNCTION("""COMPUTED_VALUE"""),"Expansão comercial: Estratégias para prospecção internacional")</f>
        <v>Expansão comercial: Estratégias para prospecção internacional</v>
      </c>
      <c r="D571" s="104" t="str">
        <f>IFERROR(__xludf.DUMMYFUNCTION("""COMPUTED_VALUE"""),"Nayara D'Alama")</f>
        <v>Nayara D'Alama</v>
      </c>
      <c r="E571" s="1125" t="str">
        <f>IFERROR(__xludf.DUMMYFUNCTION("""COMPUTED_VALUE"""),"Sales Director (Direct &amp; Channel Sales)")</f>
        <v>Sales Director (Direct &amp; Channel Sales)</v>
      </c>
      <c r="F571" s="1126" t="str">
        <f>IFERROR(__xludf.DUMMYFUNCTION("""COMPUTED_VALUE"""),"Involves")</f>
        <v>Involves</v>
      </c>
      <c r="G571" s="446"/>
      <c r="H571" s="446" t="str">
        <f>IFERROR(__xludf.DUMMYFUNCTION("""COMPUTED_VALUE"""),"Visão de Negócio")</f>
        <v>Visão de Negócio</v>
      </c>
      <c r="I571" s="446" t="str">
        <f>IFERROR(__xludf.DUMMYFUNCTION("""COMPUTED_VALUE"""),"Tendencias de mercado")</f>
        <v>Tendencias de mercado</v>
      </c>
      <c r="J571" s="446" t="str">
        <f>IFERROR(__xludf.DUMMYFUNCTION("""COMPUTED_VALUE"""),"Cenário Internacional")</f>
        <v>Cenário Internacional</v>
      </c>
      <c r="K571" s="275" t="str">
        <f>IFERROR(__xludf.DUMMYFUNCTION("""COMPUTED_VALUE"""),"https://universidade.pipelovers.net/m/lessons/expansao-comercial-estrategias-para-prospeccao-internacional1769552305275?classId=3289")</f>
        <v>https://universidade.pipelovers.net/m/lessons/expansao-comercial-estrategias-para-prospeccao-internacional1769552305275?classId=3289</v>
      </c>
      <c r="L571" s="535" t="str">
        <f>IFERROR(__xludf.DUMMYFUNCTION("""COMPUTED_VALUE"""),"https://universidade.pipelovers.net/m/lessons/expansao-comercial-estrategias-para-prospeccao-internacional1769552305275?classId=3289")</f>
        <v>https://universidade.pipelovers.net/m/lessons/expansao-comercial-estrategias-para-prospeccao-internacional1769552305275?classId=3289</v>
      </c>
      <c r="M571" s="1082">
        <f>IFERROR(__xludf.DUMMYFUNCTION("""COMPUTED_VALUE"""),2.0)</f>
        <v>2</v>
      </c>
      <c r="N571" s="1081" t="str">
        <f>IFERROR(__xludf.DUMMYFUNCTION("""COMPUTED_VALUE"""),"121. PipeLovers 💙 Gestão Comercial: ""Expansão comercial Enterprise: Estratégias para prospecção interna - 2025/03/18 10:50 GMT-03:00 - Recording")</f>
        <v>121. PipeLovers 💙 Gestão Comercial: "Expansão comercial Enterprise: Estratégias para prospecção interna - 2025/03/18 10:50 GMT-03:00 - Recording</v>
      </c>
      <c r="O571" s="228" t="str">
        <f>IFERROR(__xludf.DUMMYFUNCTION("""COMPUTED_VALUE"""),"")</f>
        <v/>
      </c>
      <c r="P571" s="952">
        <f>IFERROR(__xludf.DUMMYFUNCTION("""COMPUTED_VALUE"""),45755.0)</f>
        <v>45755</v>
      </c>
      <c r="Q571" s="228"/>
    </row>
    <row r="572">
      <c r="A572" s="73"/>
      <c r="B572" s="209" t="str">
        <f>IFERROR(__xludf.DUMMYFUNCTION("""COMPUTED_VALUE"""),"Líderes de Vendas")</f>
        <v>Líderes de Vendas</v>
      </c>
      <c r="C572" s="216" t="str">
        <f>IFERROR(__xludf.DUMMYFUNCTION("""COMPUTED_VALUE"""),"Dar e receber feedback com clareza")</f>
        <v>Dar e receber feedback com clareza</v>
      </c>
      <c r="D572" s="119" t="str">
        <f>IFERROR(__xludf.DUMMYFUNCTION("""COMPUTED_VALUE"""),"Carol Deberaldini")</f>
        <v>Carol Deberaldini</v>
      </c>
      <c r="E572" s="1125" t="str">
        <f>IFERROR(__xludf.DUMMYFUNCTION("""COMPUTED_VALUE"""),"Head de Produtos")</f>
        <v>Head de Produtos</v>
      </c>
      <c r="F572" s="1126" t="str">
        <f>IFERROR(__xludf.DUMMYFUNCTION("""COMPUTED_VALUE"""),"PipeLovers")</f>
        <v>PipeLovers</v>
      </c>
      <c r="G572" s="447" t="str">
        <f>IFERROR(__xludf.DUMMYFUNCTION("""COMPUTED_VALUE"""),"https://www.linkedin.com/in/carol-deberaldini-21793442/")</f>
        <v>https://www.linkedin.com/in/carol-deberaldini-21793442/</v>
      </c>
      <c r="H572" s="446" t="str">
        <f>IFERROR(__xludf.DUMMYFUNCTION("""COMPUTED_VALUE"""),"Relacionamento Interpessoal")</f>
        <v>Relacionamento Interpessoal</v>
      </c>
      <c r="I572" s="446" t="str">
        <f>IFERROR(__xludf.DUMMYFUNCTION("""COMPUTED_VALUE"""),"Comunicação e Relacionamento")</f>
        <v>Comunicação e Relacionamento</v>
      </c>
      <c r="J572" s="446" t="str">
        <f>IFERROR(__xludf.DUMMYFUNCTION("""COMPUTED_VALUE"""),"Dar e Receber Feedbacks")</f>
        <v>Dar e Receber Feedbacks</v>
      </c>
      <c r="K572" s="275" t="str">
        <f>IFERROR(__xludf.DUMMYFUNCTION("""COMPUTED_VALUE"""),"https://universidade.pipelovers.net/m/lessons/dar-e-receber-feedback-com-clareza1769552060864?classId=3028")</f>
        <v>https://universidade.pipelovers.net/m/lessons/dar-e-receber-feedback-com-clareza1769552060864?classId=3028</v>
      </c>
      <c r="L572" s="535" t="str">
        <f>IFERROR(__xludf.DUMMYFUNCTION("""COMPUTED_VALUE"""),"https://universidade.pipelovers.net/m/lessons/dar-e-receber-feedback-com-clareza1769552060864?classId=3028")</f>
        <v>https://universidade.pipelovers.net/m/lessons/dar-e-receber-feedback-com-clareza1769552060864?classId=3028</v>
      </c>
      <c r="M572" s="1085">
        <f>IFERROR(__xludf.DUMMYFUNCTION("""COMPUTED_VALUE"""),5.0)</f>
        <v>5</v>
      </c>
      <c r="N572" s="1083" t="str">
        <f>IFERROR(__xludf.DUMMYFUNCTION("""COMPUTED_VALUE"""),"122. PipeLovers 🖤: ""Dar e receber feedback com clareza"" com Carol Deberaldini - 2025/03/26 12:50 GMT-03:00 - Recording")</f>
        <v>122. PipeLovers 🖤: "Dar e receber feedback com clareza" com Carol Deberaldini - 2025/03/26 12:50 GMT-03:00 - Recording</v>
      </c>
      <c r="O572" s="303" t="str">
        <f>IFERROR(__xludf.DUMMYFUNCTION("""COMPUTED_VALUE"""),"")</f>
        <v/>
      </c>
      <c r="P572" s="952">
        <f>IFERROR(__xludf.DUMMYFUNCTION("""COMPUTED_VALUE"""),45762.0)</f>
        <v>45762</v>
      </c>
      <c r="Q572" s="303"/>
    </row>
    <row r="573">
      <c r="A573" s="73"/>
      <c r="B573" s="209" t="str">
        <f>IFERROR(__xludf.DUMMYFUNCTION("""COMPUTED_VALUE"""),"Líderes de Vendas")</f>
        <v>Líderes de Vendas</v>
      </c>
      <c r="C573" s="336" t="str">
        <f>IFERROR(__xludf.DUMMYFUNCTION("""COMPUTED_VALUE"""),"Geração de funil orgânico no Linkedin")</f>
        <v>Geração de funil orgânico no Linkedin</v>
      </c>
      <c r="D573" s="175" t="str">
        <f>IFERROR(__xludf.DUMMYFUNCTION("""COMPUTED_VALUE"""),"Matheus Weigand")</f>
        <v>Matheus Weigand</v>
      </c>
      <c r="E573" s="1127" t="str">
        <f>IFERROR(__xludf.DUMMYFUNCTION("""COMPUTED_VALUE"""),"CEO &amp; Founder")</f>
        <v>CEO &amp; Founder</v>
      </c>
      <c r="F573" s="1128" t="str">
        <f>IFERROR(__xludf.DUMMYFUNCTION("""COMPUTED_VALUE"""),"Getdemo")</f>
        <v>Getdemo</v>
      </c>
      <c r="G573" s="447" t="str">
        <f>IFERROR(__xludf.DUMMYFUNCTION("""COMPUTED_VALUE"""),"https://www.linkedin.com/in/matheus-weigand/")</f>
        <v>https://www.linkedin.com/in/matheus-weigand/</v>
      </c>
      <c r="H573" s="446" t="str">
        <f>IFERROR(__xludf.DUMMYFUNCTION("""COMPUTED_VALUE"""),"Conhecimento Técnico")</f>
        <v>Conhecimento Técnico</v>
      </c>
      <c r="I573" s="446" t="str">
        <f>IFERROR(__xludf.DUMMYFUNCTION("""COMPUTED_VALUE"""),"Técnicas de Vendas")</f>
        <v>Técnicas de Vendas</v>
      </c>
      <c r="J573" s="446" t="str">
        <f>IFERROR(__xludf.DUMMYFUNCTION("""COMPUTED_VALUE"""),"Abordagem e Prospecção")</f>
        <v>Abordagem e Prospecção</v>
      </c>
      <c r="K573" s="275" t="str">
        <f>IFERROR(__xludf.DUMMYFUNCTION("""COMPUTED_VALUE"""),"https://universidade.pipelovers.net/m/lessons/geracao-de-funil-organico-no-linkedin1769552305340?classId=3029")</f>
        <v>https://universidade.pipelovers.net/m/lessons/geracao-de-funil-organico-no-linkedin1769552305340?classId=3029</v>
      </c>
      <c r="L573" s="535" t="str">
        <f>IFERROR(__xludf.DUMMYFUNCTION("""COMPUTED_VALUE"""),"https://universidade.pipelovers.net/m/lessons/geracao-de-funil-organico-no-linkedin1769552305340?classId=3029")</f>
        <v>https://universidade.pipelovers.net/m/lessons/geracao-de-funil-organico-no-linkedin1769552305340?classId=3029</v>
      </c>
      <c r="M573" s="1082">
        <f>IFERROR(__xludf.DUMMYFUNCTION("""COMPUTED_VALUE"""),4.29)</f>
        <v>4.29</v>
      </c>
      <c r="N573" s="1081" t="str">
        <f>IFERROR(__xludf.DUMMYFUNCTION("""COMPUTED_VALUE"""),"123. PipeLovers 💙 Gestão Comercial: ""Geração de funil orgânico no Linkedin"" com Matheus Weigand - 2025/04/01 10:52 GMT-03:00 - Recording")</f>
        <v>123. PipeLovers 💙 Gestão Comercial: "Geração de funil orgânico no Linkedin" com Matheus Weigand - 2025/04/01 10:52 GMT-03:00 - Recording</v>
      </c>
      <c r="O573" s="228" t="str">
        <f>IFERROR(__xludf.DUMMYFUNCTION("""COMPUTED_VALUE"""),"")</f>
        <v/>
      </c>
      <c r="P573" s="952">
        <f>IFERROR(__xludf.DUMMYFUNCTION("""COMPUTED_VALUE"""),45769.0)</f>
        <v>45769</v>
      </c>
      <c r="Q573" s="228"/>
    </row>
    <row r="574">
      <c r="A574" s="73"/>
      <c r="B574" s="1129" t="str">
        <f>IFERROR(__xludf.DUMMYFUNCTION("""COMPUTED_VALUE"""),"Líderes de Vendas")</f>
        <v>Líderes de Vendas</v>
      </c>
      <c r="C574" s="216" t="str">
        <f>IFERROR(__xludf.DUMMYFUNCTION("""COMPUTED_VALUE"""),"Pipeline de Liderança: a primeira grande transição para liderar pessoas")</f>
        <v>Pipeline de Liderança: a primeira grande transição para liderar pessoas</v>
      </c>
      <c r="D574" s="529" t="str">
        <f>IFERROR(__xludf.DUMMYFUNCTION("""COMPUTED_VALUE"""),"Guilherme Bonaroti")</f>
        <v>Guilherme Bonaroti</v>
      </c>
      <c r="E574" s="1125" t="str">
        <f>IFERROR(__xludf.DUMMYFUNCTION("""COMPUTED_VALUE"""),"Diretor de operações de tecnologia")</f>
        <v>Diretor de operações de tecnologia</v>
      </c>
      <c r="F574" s="1126" t="str">
        <f>IFERROR(__xludf.DUMMYFUNCTION("""COMPUTED_VALUE"""),"Better Now")</f>
        <v>Better Now</v>
      </c>
      <c r="G574" s="447" t="str">
        <f>IFERROR(__xludf.DUMMYFUNCTION("""COMPUTED_VALUE"""),"https://www.linkedin.com/in/bonaroti/")</f>
        <v>https://www.linkedin.com/in/bonaroti/</v>
      </c>
      <c r="H574" s="446" t="str">
        <f>IFERROR(__xludf.DUMMYFUNCTION("""COMPUTED_VALUE"""),"Relacionamento Interpessoal")</f>
        <v>Relacionamento Interpessoal</v>
      </c>
      <c r="I574" s="446" t="str">
        <f>IFERROR(__xludf.DUMMYFUNCTION("""COMPUTED_VALUE"""),"Liderança e Influência")</f>
        <v>Liderança e Influência</v>
      </c>
      <c r="J574" s="446" t="str">
        <f>IFERROR(__xludf.DUMMYFUNCTION("""COMPUTED_VALUE"""),"Mentoria e Desenvolvimento de Talentos")</f>
        <v>Mentoria e Desenvolvimento de Talentos</v>
      </c>
      <c r="K574" s="275" t="str">
        <f>IFERROR(__xludf.DUMMYFUNCTION("""COMPUTED_VALUE"""),"https://universidade.pipelovers.net/m/lessons/pipeline-de-lideranca-a-primeira-grande-transicao-para-liderar-pessoas1769552305446?classId=3290")</f>
        <v>https://universidade.pipelovers.net/m/lessons/pipeline-de-lideranca-a-primeira-grande-transicao-para-liderar-pessoas1769552305446?classId=3290</v>
      </c>
      <c r="L574" s="535" t="str">
        <f>IFERROR(__xludf.DUMMYFUNCTION("""COMPUTED_VALUE"""),"https://universidade.pipelovers.net/m/lessons/pipeline-de-lideranca-a-primeira-grande-transicao-para-liderar-pessoas1769552305446?classId=3290")</f>
        <v>https://universidade.pipelovers.net/m/lessons/pipeline-de-lideranca-a-primeira-grande-transicao-para-liderar-pessoas1769552305446?classId=3290</v>
      </c>
      <c r="M574" s="1085">
        <f>IFERROR(__xludf.DUMMYFUNCTION("""COMPUTED_VALUE"""),3.14)</f>
        <v>3.14</v>
      </c>
      <c r="N574" s="1083" t="str">
        <f>IFERROR(__xludf.DUMMYFUNCTION("""COMPUTED_VALUE"""),"124. PipeLovers 💙 Gestão Comercial: ""Pipeline de Liderança: a primeira grande transição para liderar pe - 2025/04/08 10:47 GMT-03:00 - Recording")</f>
        <v>124. PipeLovers 💙 Gestão Comercial: "Pipeline de Liderança: a primeira grande transição para liderar pe - 2025/04/08 10:47 GMT-03:00 - Recording</v>
      </c>
      <c r="O574" s="218" t="str">
        <f>IFERROR(__xludf.DUMMYFUNCTION("""COMPUTED_VALUE"""),"")</f>
        <v/>
      </c>
      <c r="P574" s="952">
        <f>IFERROR(__xludf.DUMMYFUNCTION("""COMPUTED_VALUE"""),45776.0)</f>
        <v>45776</v>
      </c>
      <c r="Q574" s="218"/>
    </row>
    <row r="575">
      <c r="A575" s="73"/>
      <c r="B575" s="1129" t="str">
        <f>IFERROR(__xludf.DUMMYFUNCTION("""COMPUTED_VALUE"""),"Líderes de Vendas")</f>
        <v>Líderes de Vendas</v>
      </c>
      <c r="C575" s="268" t="str">
        <f>IFERROR(__xludf.DUMMYFUNCTION("""COMPUTED_VALUE"""),"Funil de vendas eficiente: passo a passo para estruturação")</f>
        <v>Funil de vendas eficiente: passo a passo para estruturação</v>
      </c>
      <c r="D575" s="529" t="str">
        <f>IFERROR(__xludf.DUMMYFUNCTION("""COMPUTED_VALUE"""),"Cassio Lopes")</f>
        <v>Cassio Lopes</v>
      </c>
      <c r="E575" s="1125" t="str">
        <f>IFERROR(__xludf.DUMMYFUNCTION("""COMPUTED_VALUE"""),"Sales Manager")</f>
        <v>Sales Manager</v>
      </c>
      <c r="F575" s="1126" t="str">
        <f>IFERROR(__xludf.DUMMYFUNCTION("""COMPUTED_VALUE"""),"Zoho CRM")</f>
        <v>Zoho CRM</v>
      </c>
      <c r="G575" s="447" t="str">
        <f>IFERROR(__xludf.DUMMYFUNCTION("""COMPUTED_VALUE"""),"https://www.linkedin.com/in/leandrohirose")</f>
        <v>https://www.linkedin.com/in/leandrohirose</v>
      </c>
      <c r="H575" s="446" t="str">
        <f>IFERROR(__xludf.DUMMYFUNCTION("""COMPUTED_VALUE"""),"Conhecimento Técnico")</f>
        <v>Conhecimento Técnico</v>
      </c>
      <c r="I575" s="446" t="str">
        <f>IFERROR(__xludf.DUMMYFUNCTION("""COMPUTED_VALUE"""),"Pensamento Crítico")</f>
        <v>Pensamento Crítico</v>
      </c>
      <c r="J575" s="446" t="str">
        <f>IFERROR(__xludf.DUMMYFUNCTION("""COMPUTED_VALUE"""),"Métricas de Funil")</f>
        <v>Métricas de Funil</v>
      </c>
      <c r="K575" s="275" t="str">
        <f>IFERROR(__xludf.DUMMYFUNCTION("""COMPUTED_VALUE"""),"https://universidade.pipelovers.net/m/lessons/funil-de-vendas-eficiente-passo-a-passo-para-estruturacao1769552305506?classId=3291")</f>
        <v>https://universidade.pipelovers.net/m/lessons/funil-de-vendas-eficiente-passo-a-passo-para-estruturacao1769552305506?classId=3291</v>
      </c>
      <c r="L575" s="535" t="str">
        <f>IFERROR(__xludf.DUMMYFUNCTION("""COMPUTED_VALUE"""),"https://universidade.pipelovers.net/m/lessons/funil-de-vendas-eficiente-passo-a-passo-para-estruturacao1769552305506?classId=3291")</f>
        <v>https://universidade.pipelovers.net/m/lessons/funil-de-vendas-eficiente-passo-a-passo-para-estruturacao1769552305506?classId=3291</v>
      </c>
      <c r="M575" s="1082">
        <f>IFERROR(__xludf.DUMMYFUNCTION("""COMPUTED_VALUE"""),2.0)</f>
        <v>2</v>
      </c>
      <c r="N575" s="1081" t="str">
        <f>IFERROR(__xludf.DUMMYFUNCTION("""COMPUTED_VALUE"""),"125. PipeLovers 💙 Gestão Comercial: ""Funil de vendas eficiente: passo a passo para estruturação"" com Ca - 2025/04/15 10:47 GMT-03:00 - Recording")</f>
        <v>125. PipeLovers 💙 Gestão Comercial: "Funil de vendas eficiente: passo a passo para estruturação" com Ca - 2025/04/15 10:47 GMT-03:00 - Recording</v>
      </c>
      <c r="O575" s="218" t="str">
        <f>IFERROR(__xludf.DUMMYFUNCTION("""COMPUTED_VALUE"""),"")</f>
        <v/>
      </c>
      <c r="P575" s="952">
        <f>IFERROR(__xludf.DUMMYFUNCTION("""COMPUTED_VALUE"""),45783.0)</f>
        <v>45783</v>
      </c>
      <c r="Q575" s="218"/>
    </row>
    <row r="576">
      <c r="A576" s="73"/>
      <c r="B576" s="1129" t="str">
        <f>IFERROR(__xludf.DUMMYFUNCTION("""COMPUTED_VALUE"""),"Líderes de Vendas")</f>
        <v>Líderes de Vendas</v>
      </c>
      <c r="C576" s="302" t="str">
        <f>IFERROR(__xludf.DUMMYFUNCTION("""COMPUTED_VALUE"""),"Como fazer 1:1: Reuniões individuais de acompanhamento com seu time")</f>
        <v>Como fazer 1:1: Reuniões individuais de acompanhamento com seu time</v>
      </c>
      <c r="D576" s="529" t="str">
        <f>IFERROR(__xludf.DUMMYFUNCTION("""COMPUTED_VALUE"""),"Carol Deberaldini")</f>
        <v>Carol Deberaldini</v>
      </c>
      <c r="E576" s="1125" t="str">
        <f>IFERROR(__xludf.DUMMYFUNCTION("""COMPUTED_VALUE"""),"Head de Produtos")</f>
        <v>Head de Produtos</v>
      </c>
      <c r="F576" s="1126" t="str">
        <f>IFERROR(__xludf.DUMMYFUNCTION("""COMPUTED_VALUE"""),"PipeLovers")</f>
        <v>PipeLovers</v>
      </c>
      <c r="G576" s="447" t="str">
        <f>IFERROR(__xludf.DUMMYFUNCTION("""COMPUTED_VALUE"""),"https://www.linkedin.com/in/carol-deberaldini-21793442/")</f>
        <v>https://www.linkedin.com/in/carol-deberaldini-21793442/</v>
      </c>
      <c r="H576" s="446" t="str">
        <f>IFERROR(__xludf.DUMMYFUNCTION("""COMPUTED_VALUE"""),"Conhecimento Técnico")</f>
        <v>Conhecimento Técnico</v>
      </c>
      <c r="I576" s="446" t="str">
        <f>IFERROR(__xludf.DUMMYFUNCTION("""COMPUTED_VALUE"""),"Gestão de Vendas")</f>
        <v>Gestão de Vendas</v>
      </c>
      <c r="J576" s="446" t="str">
        <f>IFERROR(__xludf.DUMMYFUNCTION("""COMPUTED_VALUE"""),"Rotinas e Rituais")</f>
        <v>Rotinas e Rituais</v>
      </c>
      <c r="K576" s="275" t="str">
        <f>IFERROR(__xludf.DUMMYFUNCTION("""COMPUTED_VALUE"""),"https://universidade.pipelovers.net/m/lessons/como-fazer-11-reunioes-individuais-de-acompanhamento-com-seu-time1769552305573?classId=3292")</f>
        <v>https://universidade.pipelovers.net/m/lessons/como-fazer-11-reunioes-individuais-de-acompanhamento-com-seu-time1769552305573?classId=3292</v>
      </c>
      <c r="L576" s="535" t="str">
        <f>IFERROR(__xludf.DUMMYFUNCTION("""COMPUTED_VALUE"""),"https://universidade.pipelovers.net/m/lessons/como-fazer-11-reunioes-individuais-de-acompanhamento-com-seu-time1769552305573?classId=3292")</f>
        <v>https://universidade.pipelovers.net/m/lessons/como-fazer-11-reunioes-individuais-de-acompanhamento-com-seu-time1769552305573?classId=3292</v>
      </c>
      <c r="M576" s="1085">
        <f>IFERROR(__xludf.DUMMYFUNCTION("""COMPUTED_VALUE"""),5.0)</f>
        <v>5</v>
      </c>
      <c r="N576" s="1083" t="str">
        <f>IFERROR(__xludf.DUMMYFUNCTION("""COMPUTED_VALUE"""),"126. PipeLovers 💙 Gestão Comercial: ""Como fazer 1:1: Reuniões individuais de acompanhamento com seu tim - 2025/04/22 10:53 GMT-03:00 - Recording")</f>
        <v>126. PipeLovers 💙 Gestão Comercial: "Como fazer 1:1: Reuniões individuais de acompanhamento com seu tim - 2025/04/22 10:53 GMT-03:00 - Recording</v>
      </c>
      <c r="O576" s="218" t="str">
        <f>IFERROR(__xludf.DUMMYFUNCTION("""COMPUTED_VALUE"""),"")</f>
        <v/>
      </c>
      <c r="P576" s="952">
        <f>IFERROR(__xludf.DUMMYFUNCTION("""COMPUTED_VALUE"""),45790.0)</f>
        <v>45790</v>
      </c>
      <c r="Q576" s="218"/>
    </row>
    <row r="577">
      <c r="A577" s="73"/>
      <c r="B577" s="1129" t="str">
        <f>IFERROR(__xludf.DUMMYFUNCTION("""COMPUTED_VALUE"""),"Líderes de Vendas")</f>
        <v>Líderes de Vendas</v>
      </c>
      <c r="C577" s="268" t="str">
        <f>IFERROR(__xludf.DUMMYFUNCTION("""COMPUTED_VALUE"""),"Como a IA pode facilitar a vida de um gerente de vendas?")</f>
        <v>Como a IA pode facilitar a vida de um gerente de vendas?</v>
      </c>
      <c r="D577" s="529" t="str">
        <f>IFERROR(__xludf.DUMMYFUNCTION("""COMPUTED_VALUE"""),"Fausto Mello")</f>
        <v>Fausto Mello</v>
      </c>
      <c r="E577" s="1125" t="str">
        <f>IFERROR(__xludf.DUMMYFUNCTION("""COMPUTED_VALUE"""),"CEO")</f>
        <v>CEO</v>
      </c>
      <c r="F577" s="1126" t="str">
        <f>IFERROR(__xludf.DUMMYFUNCTION("""COMPUTED_VALUE"""),"Predi")</f>
        <v>Predi</v>
      </c>
      <c r="G577" s="446"/>
      <c r="H577" s="446" t="str">
        <f>IFERROR(__xludf.DUMMYFUNCTION("""COMPUTED_VALUE"""),"Visão de Negócio")</f>
        <v>Visão de Negócio</v>
      </c>
      <c r="I577" s="446" t="str">
        <f>IFERROR(__xludf.DUMMYFUNCTION("""COMPUTED_VALUE"""),"Tendencias de mercado")</f>
        <v>Tendencias de mercado</v>
      </c>
      <c r="J577" s="446" t="str">
        <f>IFERROR(__xludf.DUMMYFUNCTION("""COMPUTED_VALUE"""),"Inovações Tecnológicas")</f>
        <v>Inovações Tecnológicas</v>
      </c>
      <c r="K577" s="275" t="str">
        <f>IFERROR(__xludf.DUMMYFUNCTION("""COMPUTED_VALUE"""),"https://universidade.pipelovers.net/m/lessons/como-a-ia-pode-facilitar-a-vida-de-um-gerente-de-vendas1769552305633?classId=3293")</f>
        <v>https://universidade.pipelovers.net/m/lessons/como-a-ia-pode-facilitar-a-vida-de-um-gerente-de-vendas1769552305633?classId=3293</v>
      </c>
      <c r="L577" s="535" t="str">
        <f>IFERROR(__xludf.DUMMYFUNCTION("""COMPUTED_VALUE"""),"https://universidade.pipelovers.net/m/lessons/como-a-ia-pode-facilitar-a-vida-de-um-gerente-de-vendas1769552305633?classId=3293")</f>
        <v>https://universidade.pipelovers.net/m/lessons/como-a-ia-pode-facilitar-a-vida-de-um-gerente-de-vendas1769552305633?classId=3293</v>
      </c>
      <c r="M577" s="1085">
        <f>IFERROR(__xludf.DUMMYFUNCTION("""COMPUTED_VALUE"""),4.57)</f>
        <v>4.57</v>
      </c>
      <c r="N577" s="1083" t="str">
        <f>IFERROR(__xludf.DUMMYFUNCTION("""COMPUTED_VALUE"""),"127. PipeLovers 💙 Gestão Comercial: ""Como a IA pode facilitar a vida de um gerente de vendas?"" com Faus - 2025/04/30 10:45 GMT-03:00 - Recording")</f>
        <v>127. PipeLovers 💙 Gestão Comercial: "Como a IA pode facilitar a vida de um gerente de vendas?" com Faus - 2025/04/30 10:45 GMT-03:00 - Recording</v>
      </c>
      <c r="O577" s="218" t="str">
        <f>IFERROR(__xludf.DUMMYFUNCTION("""COMPUTED_VALUE"""),"")</f>
        <v/>
      </c>
      <c r="P577" s="952">
        <f>IFERROR(__xludf.DUMMYFUNCTION("""COMPUTED_VALUE"""),45797.0)</f>
        <v>45797</v>
      </c>
      <c r="Q577" s="218"/>
    </row>
    <row r="578">
      <c r="A578" s="73"/>
      <c r="B578" s="1129" t="str">
        <f>IFERROR(__xludf.DUMMYFUNCTION("""COMPUTED_VALUE"""),"Líderes de Vendas")</f>
        <v>Líderes de Vendas</v>
      </c>
      <c r="C578" s="216" t="str">
        <f>IFERROR(__xludf.DUMMYFUNCTION("""COMPUTED_VALUE"""),"Outbound que funciona: o que fazer e o que evitar")</f>
        <v>Outbound que funciona: o que fazer e o que evitar</v>
      </c>
      <c r="D578" s="529" t="str">
        <f>IFERROR(__xludf.DUMMYFUNCTION("""COMPUTED_VALUE"""),"Rafael Alexandre")</f>
        <v>Rafael Alexandre</v>
      </c>
      <c r="E578" s="1125" t="str">
        <f>IFERROR(__xludf.DUMMYFUNCTION("""COMPUTED_VALUE"""),"CRO")</f>
        <v>CRO</v>
      </c>
      <c r="F578" s="1126" t="str">
        <f>IFERROR(__xludf.DUMMYFUNCTION("""COMPUTED_VALUE"""),"Inside")</f>
        <v>Inside</v>
      </c>
      <c r="G578" s="447" t="str">
        <f>IFERROR(__xludf.DUMMYFUNCTION("""COMPUTED_VALUE"""),"https://www.linkedin.com/in/rafaelalexandre/")</f>
        <v>https://www.linkedin.com/in/rafaelalexandre/</v>
      </c>
      <c r="H578" s="446" t="str">
        <f>IFERROR(__xludf.DUMMYFUNCTION("""COMPUTED_VALUE"""),"Conhecimento Técnico")</f>
        <v>Conhecimento Técnico</v>
      </c>
      <c r="I578" s="446" t="str">
        <f>IFERROR(__xludf.DUMMYFUNCTION("""COMPUTED_VALUE"""),"Técnicas de Vendas")</f>
        <v>Técnicas de Vendas</v>
      </c>
      <c r="J578" s="446" t="str">
        <f>IFERROR(__xludf.DUMMYFUNCTION("""COMPUTED_VALUE"""),"Abordagem e Prospecção")</f>
        <v>Abordagem e Prospecção</v>
      </c>
      <c r="K578" s="275" t="str">
        <f>IFERROR(__xludf.DUMMYFUNCTION("""COMPUTED_VALUE"""),"https://universidade.pipelovers.net/m/lessons/outbound-que-funciona-o-que-fazer-e-o-que-evitar1769552307972?classId=3294")</f>
        <v>https://universidade.pipelovers.net/m/lessons/outbound-que-funciona-o-que-fazer-e-o-que-evitar1769552307972?classId=3294</v>
      </c>
      <c r="L578" s="535" t="str">
        <f>IFERROR(__xludf.DUMMYFUNCTION("""COMPUTED_VALUE"""),"https://universidade.pipelovers.net/m/lessons/outbound-que-funciona-o-que-fazer-e-o-que-evitar1769552307972?classId=3294")</f>
        <v>https://universidade.pipelovers.net/m/lessons/outbound-que-funciona-o-que-fazer-e-o-que-evitar1769552307972?classId=3294</v>
      </c>
      <c r="M578" s="1082">
        <f>IFERROR(__xludf.DUMMYFUNCTION("""COMPUTED_VALUE"""),2.0)</f>
        <v>2</v>
      </c>
      <c r="N578" s="1081" t="str">
        <f>IFERROR(__xludf.DUMMYFUNCTION("""COMPUTED_VALUE"""),"128. PipeLovers 💙 Gestão Comercial: ""Outbound que funciona: o que fazer e o que evitar"" com Rafael Alex - 2025/05/06 10:43 GMT-03:00 - Recording")</f>
        <v>128. PipeLovers 💙 Gestão Comercial: "Outbound que funciona: o que fazer e o que evitar" com Rafael Alex - 2025/05/06 10:43 GMT-03:00 - Recording</v>
      </c>
      <c r="O578" s="218" t="str">
        <f>IFERROR(__xludf.DUMMYFUNCTION("""COMPUTED_VALUE"""),"")</f>
        <v/>
      </c>
      <c r="P578" s="952">
        <f>IFERROR(__xludf.DUMMYFUNCTION("""COMPUTED_VALUE"""),45804.0)</f>
        <v>45804</v>
      </c>
      <c r="Q578" s="218"/>
    </row>
    <row r="579">
      <c r="A579" s="73"/>
      <c r="B579" s="1129" t="str">
        <f>IFERROR(__xludf.DUMMYFUNCTION("""COMPUTED_VALUE"""),"Líderes de Vendas")</f>
        <v>Líderes de Vendas</v>
      </c>
      <c r="C579" s="268" t="str">
        <f>IFERROR(__xludf.DUMMYFUNCTION("""COMPUTED_VALUE"""),"Enablement Benchmark Brasil 2025")</f>
        <v>Enablement Benchmark Brasil 2025</v>
      </c>
      <c r="D579" s="529" t="str">
        <f>IFERROR(__xludf.DUMMYFUNCTION("""COMPUTED_VALUE"""),"Reinaldo Heck ")</f>
        <v>Reinaldo Heck </v>
      </c>
      <c r="E579" s="1125" t="str">
        <f>IFERROR(__xludf.DUMMYFUNCTION("""COMPUTED_VALUE"""),"Coordenador de Revenue Enablement")</f>
        <v>Coordenador de Revenue Enablement</v>
      </c>
      <c r="F579" s="1126" t="str">
        <f>IFERROR(__xludf.DUMMYFUNCTION("""COMPUTED_VALUE"""),"Paraná Banco ")</f>
        <v>Paraná Banco </v>
      </c>
      <c r="G579" s="446"/>
      <c r="H579" s="446" t="str">
        <f>IFERROR(__xludf.DUMMYFUNCTION("""COMPUTED_VALUE"""),"Visão de Negócio")</f>
        <v>Visão de Negócio</v>
      </c>
      <c r="I579" s="446" t="str">
        <f>IFERROR(__xludf.DUMMYFUNCTION("""COMPUTED_VALUE"""),"Tendencias de mercado")</f>
        <v>Tendencias de mercado</v>
      </c>
      <c r="J579" s="446" t="str">
        <f>IFERROR(__xludf.DUMMYFUNCTION("""COMPUTED_VALUE"""),"Tendencias do Setor")</f>
        <v>Tendencias do Setor</v>
      </c>
      <c r="K579" s="275" t="str">
        <f>IFERROR(__xludf.DUMMYFUNCTION("""COMPUTED_VALUE"""),"https://universidade.pipelovers.net/m/lessons/enablement-benchmark-brasil-20251769552308005?classId=3295")</f>
        <v>https://universidade.pipelovers.net/m/lessons/enablement-benchmark-brasil-20251769552308005?classId=3295</v>
      </c>
      <c r="L579" s="535" t="str">
        <f>IFERROR(__xludf.DUMMYFUNCTION("""COMPUTED_VALUE"""),"https://universidade.pipelovers.net/m/lessons/enablement-benchmark-brasil-20251769552308005?classId=3295")</f>
        <v>https://universidade.pipelovers.net/m/lessons/enablement-benchmark-brasil-20251769552308005?classId=3295</v>
      </c>
      <c r="M579" s="1085">
        <f>IFERROR(__xludf.DUMMYFUNCTION("""COMPUTED_VALUE"""),3.71)</f>
        <v>3.71</v>
      </c>
      <c r="N579" s="1083" t="str">
        <f>IFERROR(__xludf.DUMMYFUNCTION("""COMPUTED_VALUE"""),"129. PipeLovers 💙 Gestão Comercial: ""Enablement Benchmark Brasil 2025"" com Reinaldo Heck   - 2025/05/13 10:51 GMT-03:00 - Recording")</f>
        <v>129. PipeLovers 💙 Gestão Comercial: "Enablement Benchmark Brasil 2025" com Reinaldo Heck   - 2025/05/13 10:51 GMT-03:00 - Recording</v>
      </c>
      <c r="O579" s="218" t="str">
        <f>IFERROR(__xludf.DUMMYFUNCTION("""COMPUTED_VALUE"""),"")</f>
        <v/>
      </c>
      <c r="P579" s="952">
        <f>IFERROR(__xludf.DUMMYFUNCTION("""COMPUTED_VALUE"""),45811.0)</f>
        <v>45811</v>
      </c>
      <c r="Q579" s="218"/>
    </row>
    <row r="580">
      <c r="A580" s="73"/>
      <c r="B580" s="1129" t="str">
        <f>IFERROR(__xludf.DUMMYFUNCTION("""COMPUTED_VALUE"""),"Líderes de Vendas")</f>
        <v>Líderes de Vendas</v>
      </c>
      <c r="C580" s="216" t="str">
        <f>IFERROR(__xludf.DUMMYFUNCTION("""COMPUTED_VALUE"""),"Indicadores das empresas que ajudam os gestores comerciais")</f>
        <v>Indicadores das empresas que ajudam os gestores comerciais</v>
      </c>
      <c r="D580" s="529" t="str">
        <f>IFERROR(__xludf.DUMMYFUNCTION("""COMPUTED_VALUE"""),"Fausto Reichert")</f>
        <v>Fausto Reichert</v>
      </c>
      <c r="E580" s="1125" t="str">
        <f>IFERROR(__xludf.DUMMYFUNCTION("""COMPUTED_VALUE"""),"Chief Revenue Officer (CRO)")</f>
        <v>Chief Revenue Officer (CRO)</v>
      </c>
      <c r="F580" s="1126" t="str">
        <f>IFERROR(__xludf.DUMMYFUNCTION("""COMPUTED_VALUE"""),"PipeRun ")</f>
        <v>PipeRun </v>
      </c>
      <c r="G580" s="446"/>
      <c r="H580" s="446" t="str">
        <f>IFERROR(__xludf.DUMMYFUNCTION("""COMPUTED_VALUE"""),"Conhecimento Técnico")</f>
        <v>Conhecimento Técnico</v>
      </c>
      <c r="I580" s="446" t="str">
        <f>IFERROR(__xludf.DUMMYFUNCTION("""COMPUTED_VALUE"""),"Pensamento Crítico")</f>
        <v>Pensamento Crítico</v>
      </c>
      <c r="J580" s="446" t="str">
        <f>IFERROR(__xludf.DUMMYFUNCTION("""COMPUTED_VALUE"""),"Métricas de Funil")</f>
        <v>Métricas de Funil</v>
      </c>
      <c r="K580" s="275" t="str">
        <f>IFERROR(__xludf.DUMMYFUNCTION("""COMPUTED_VALUE"""),"https://universidade.pipelovers.net/m/lessons/indicadores-das-empresas-que-ajudam-os-gestores-comerciais1769552308033?classId=3296")</f>
        <v>https://universidade.pipelovers.net/m/lessons/indicadores-das-empresas-que-ajudam-os-gestores-comerciais1769552308033?classId=3296</v>
      </c>
      <c r="L580" s="535" t="str">
        <f>IFERROR(__xludf.DUMMYFUNCTION("""COMPUTED_VALUE"""),"https://universidade.pipelovers.net/m/lessons/indicadores-das-empresas-que-ajudam-os-gestores-comerciais1769552308033?classId=3296")</f>
        <v>https://universidade.pipelovers.net/m/lessons/indicadores-das-empresas-que-ajudam-os-gestores-comerciais1769552308033?classId=3296</v>
      </c>
      <c r="M580" s="1082">
        <f>IFERROR(__xludf.DUMMYFUNCTION("""COMPUTED_VALUE"""),2.0)</f>
        <v>2</v>
      </c>
      <c r="N580" s="1081" t="str">
        <f>IFERROR(__xludf.DUMMYFUNCTION("""COMPUTED_VALUE"""),"130. PipeLovers 💙 Gestão Comercial: ""Indicadores das empresas que ajudem os gestores comerciais"" com Fa - 2025/05/20 10:46 GMT-03:00 - Recording")</f>
        <v>130. PipeLovers 💙 Gestão Comercial: "Indicadores das empresas que ajudem os gestores comerciais" com Fa - 2025/05/20 10:46 GMT-03:00 - Recording</v>
      </c>
      <c r="O580" s="218" t="str">
        <f>IFERROR(__xludf.DUMMYFUNCTION("""COMPUTED_VALUE"""),"")</f>
        <v/>
      </c>
      <c r="P580" s="952">
        <f>IFERROR(__xludf.DUMMYFUNCTION("""COMPUTED_VALUE"""),45818.0)</f>
        <v>45818</v>
      </c>
      <c r="Q580" s="218"/>
    </row>
    <row r="581">
      <c r="A581" s="73"/>
      <c r="B581" s="1129" t="str">
        <f>IFERROR(__xludf.DUMMYFUNCTION("""COMPUTED_VALUE"""),"Líderes de Vendas")</f>
        <v>Líderes de Vendas</v>
      </c>
      <c r="C581" s="268" t="str">
        <f>IFERROR(__xludf.DUMMYFUNCTION("""COMPUTED_VALUE"""),"Como CS influencia a geração de demanda do comercial")</f>
        <v>Como CS influencia a geração de demanda do comercial</v>
      </c>
      <c r="D581" s="529" t="str">
        <f>IFERROR(__xludf.DUMMYFUNCTION("""COMPUTED_VALUE"""),"Thiago Henrique Fagundes")</f>
        <v>Thiago Henrique Fagundes</v>
      </c>
      <c r="E581" s="1125" t="str">
        <f>IFERROR(__xludf.DUMMYFUNCTION("""COMPUTED_VALUE"""),"Gerente de Operações")</f>
        <v>Gerente de Operações</v>
      </c>
      <c r="F581" s="1126" t="str">
        <f>IFERROR(__xludf.DUMMYFUNCTION("""COMPUTED_VALUE"""),"Superlógica Tecnologias")</f>
        <v>Superlógica Tecnologias</v>
      </c>
      <c r="G581" s="446"/>
      <c r="H581" s="446" t="str">
        <f>IFERROR(__xludf.DUMMYFUNCTION("""COMPUTED_VALUE"""),"Conhecimento Técnico")</f>
        <v>Conhecimento Técnico</v>
      </c>
      <c r="I581" s="446" t="str">
        <f>IFERROR(__xludf.DUMMYFUNCTION("""COMPUTED_VALUE"""),"Gestão de vendas")</f>
        <v>Gestão de vendas</v>
      </c>
      <c r="J581" s="446" t="str">
        <f>IFERROR(__xludf.DUMMYFUNCTION("""COMPUTED_VALUE"""),"Planejamento Comercial")</f>
        <v>Planejamento Comercial</v>
      </c>
      <c r="K581" s="275" t="str">
        <f>IFERROR(__xludf.DUMMYFUNCTION("""COMPUTED_VALUE"""),"https://universidade.pipelovers.net/m/lessons/como-cs-influencia-a-geracao-de-demanda-do-comercial1769552308098?classId=3297")</f>
        <v>https://universidade.pipelovers.net/m/lessons/como-cs-influencia-a-geracao-de-demanda-do-comercial1769552308098?classId=3297</v>
      </c>
      <c r="L581" s="535" t="str">
        <f>IFERROR(__xludf.DUMMYFUNCTION("""COMPUTED_VALUE"""),"https://universidade.pipelovers.net/m/lessons/como-cs-influencia-a-geracao-de-demanda-do-comercial1769552308098?classId=3297")</f>
        <v>https://universidade.pipelovers.net/m/lessons/como-cs-influencia-a-geracao-de-demanda-do-comercial1769552308098?classId=3297</v>
      </c>
      <c r="M581" s="1085">
        <f>IFERROR(__xludf.DUMMYFUNCTION("""COMPUTED_VALUE"""),2.0)</f>
        <v>2</v>
      </c>
      <c r="N581" s="1083" t="str">
        <f>IFERROR(__xludf.DUMMYFUNCTION("""COMPUTED_VALUE"""),"131. PipeLovers 💙 Gestão Comercial: ""Como CS influencia a geração de demanda do comercial"" com Thiago H - 2025/05/27 10:51 GMT-03:00 - Recording")</f>
        <v>131. PipeLovers 💙 Gestão Comercial: "Como CS influencia a geração de demanda do comercial" com Thiago H - 2025/05/27 10:51 GMT-03:00 - Recording</v>
      </c>
      <c r="O581" s="218" t="str">
        <f>IFERROR(__xludf.DUMMYFUNCTION("""COMPUTED_VALUE"""),"")</f>
        <v/>
      </c>
      <c r="P581" s="952">
        <f>IFERROR(__xludf.DUMMYFUNCTION("""COMPUTED_VALUE"""),45825.0)</f>
        <v>45825</v>
      </c>
      <c r="Q581" s="218"/>
    </row>
    <row r="582">
      <c r="A582" s="73"/>
      <c r="B582" s="1129" t="str">
        <f>IFERROR(__xludf.DUMMYFUNCTION("""COMPUTED_VALUE"""),"Líderes de Vendas")</f>
        <v>Líderes de Vendas</v>
      </c>
      <c r="C582" s="216" t="str">
        <f>IFERROR(__xludf.DUMMYFUNCTION("""COMPUTED_VALUE"""),"10 dicas que eu aprendi entrevistando 200 empresários")</f>
        <v>10 dicas que eu aprendi entrevistando 200 empresários</v>
      </c>
      <c r="D582" s="119" t="str">
        <f>IFERROR(__xludf.DUMMYFUNCTION("""COMPUTED_VALUE"""),"Danilo Magri")</f>
        <v>Danilo Magri</v>
      </c>
      <c r="E582" s="1125" t="str">
        <f>IFERROR(__xludf.DUMMYFUNCTION("""COMPUTED_VALUE"""),"CEO")</f>
        <v>CEO</v>
      </c>
      <c r="F582" s="1126" t="str">
        <f>IFERROR(__xludf.DUMMYFUNCTION("""COMPUTED_VALUE"""),"Logmed Soluções Logísticas")</f>
        <v>Logmed Soluções Logísticas</v>
      </c>
      <c r="G582" s="446"/>
      <c r="H582" s="446" t="str">
        <f>IFERROR(__xludf.DUMMYFUNCTION("""COMPUTED_VALUE"""),"Visão de Negócio")</f>
        <v>Visão de Negócio</v>
      </c>
      <c r="I582" s="446" t="str">
        <f>IFERROR(__xludf.DUMMYFUNCTION("""COMPUTED_VALUE"""),"Tendencias de mercado")</f>
        <v>Tendencias de mercado</v>
      </c>
      <c r="J582" s="446" t="str">
        <f>IFERROR(__xludf.DUMMYFUNCTION("""COMPUTED_VALUE"""),"Tendencias do Setor")</f>
        <v>Tendencias do Setor</v>
      </c>
      <c r="K582" s="275" t="str">
        <f>IFERROR(__xludf.DUMMYFUNCTION("""COMPUTED_VALUE"""),"https://universidade.pipelovers.net/m/lessons/10-dicas-que-eu-aprendi-entrevistando-200-empresarios1769552308149?classId=3298")</f>
        <v>https://universidade.pipelovers.net/m/lessons/10-dicas-que-eu-aprendi-entrevistando-200-empresarios1769552308149?classId=3298</v>
      </c>
      <c r="L582" s="535" t="str">
        <f>IFERROR(__xludf.DUMMYFUNCTION("""COMPUTED_VALUE"""),"https://universidade.pipelovers.net/m/lessons/10-dicas-que-eu-aprendi-entrevistando-200-empresarios1769552308149?classId=3298")</f>
        <v>https://universidade.pipelovers.net/m/lessons/10-dicas-que-eu-aprendi-entrevistando-200-empresarios1769552308149?classId=3298</v>
      </c>
      <c r="M582" s="1082">
        <f>IFERROR(__xludf.DUMMYFUNCTION("""COMPUTED_VALUE"""),3.79)</f>
        <v>3.79</v>
      </c>
      <c r="N582" s="1081" t="str">
        <f>IFERROR(__xludf.DUMMYFUNCTION("""COMPUTED_VALUE"""),"132. PipeLovers 💙 Gestão Comercial: ""10 dicas que eu aprendi entrevistando 200 empresários"" com Danilo  - 2025/06/03 10:41 GMT-03:00 - Recording")</f>
        <v>132. PipeLovers 💙 Gestão Comercial: "10 dicas que eu aprendi entrevistando 200 empresários" com Danilo  - 2025/06/03 10:41 GMT-03:00 - Recording</v>
      </c>
      <c r="O582" s="218" t="str">
        <f>IFERROR(__xludf.DUMMYFUNCTION("""COMPUTED_VALUE"""),"")</f>
        <v/>
      </c>
      <c r="P582" s="952">
        <f>IFERROR(__xludf.DUMMYFUNCTION("""COMPUTED_VALUE"""),45832.0)</f>
        <v>45832</v>
      </c>
      <c r="Q582" s="218"/>
    </row>
    <row r="583">
      <c r="A583" s="73"/>
      <c r="B583" s="1129" t="str">
        <f>IFERROR(__xludf.DUMMYFUNCTION("""COMPUTED_VALUE"""),"Líderes de Vendas")</f>
        <v>Líderes de Vendas</v>
      </c>
      <c r="C583" s="268" t="str">
        <f>IFERROR(__xludf.DUMMYFUNCTION("""COMPUTED_VALUE"""),"Manual antichefe na prática: o que fazer (e o que evitar) pra construir um time saudável")</f>
        <v>Manual antichefe na prática: o que fazer (e o que evitar) pra construir um time saudável</v>
      </c>
      <c r="D583" s="104" t="str">
        <f>IFERROR(__xludf.DUMMYFUNCTION("""COMPUTED_VALUE"""),"Eberson Terra ")</f>
        <v>Eberson Terra </v>
      </c>
      <c r="E583" s="1130" t="str">
        <f>IFERROR(__xludf.DUMMYFUNCTION("""COMPUTED_VALUE"""),"CIO")</f>
        <v>CIO</v>
      </c>
      <c r="F583" s="1131" t="str">
        <f>IFERROR(__xludf.DUMMYFUNCTION("""COMPUTED_VALUE"""),"Abrapa")</f>
        <v>Abrapa</v>
      </c>
      <c r="G583" s="449" t="str">
        <f>IFERROR(__xludf.DUMMYFUNCTION("""COMPUTED_VALUE"""),"https://www.linkedin.com/in/ebersonterra/")</f>
        <v>https://www.linkedin.com/in/ebersonterra/</v>
      </c>
      <c r="H583" s="446" t="str">
        <f>IFERROR(__xludf.DUMMYFUNCTION("""COMPUTED_VALUE"""),"Relacionamento Interpessoal")</f>
        <v>Relacionamento Interpessoal</v>
      </c>
      <c r="I583" s="446" t="str">
        <f>IFERROR(__xludf.DUMMYFUNCTION("""COMPUTED_VALUE"""),"Liderança e Influência")</f>
        <v>Liderança e Influência</v>
      </c>
      <c r="J583" s="446" t="str">
        <f>IFERROR(__xludf.DUMMYFUNCTION("""COMPUTED_VALUE"""),"Gestão de Conflitos e Resolução de Problemas")</f>
        <v>Gestão de Conflitos e Resolução de Problemas</v>
      </c>
      <c r="K583" s="275" t="str">
        <f>IFERROR(__xludf.DUMMYFUNCTION("""COMPUTED_VALUE"""),"https://universidade.pipelovers.net/m/lessons/manual-antichefe-na-pratica-o-que-fazer-e-o-que-evitar-pra-construir-um-time-saudavel1769552308197?classId=3299")</f>
        <v>https://universidade.pipelovers.net/m/lessons/manual-antichefe-na-pratica-o-que-fazer-e-o-que-evitar-pra-construir-um-time-saudavel1769552308197?classId=3299</v>
      </c>
      <c r="L583" s="535" t="str">
        <f>IFERROR(__xludf.DUMMYFUNCTION("""COMPUTED_VALUE"""),"https://universidade.pipelovers.net/m/lessons/manual-antichefe-na-pratica-o-que-fazer-e-o-que-evitar-pra-construir-um-time-saudavel1769552308197?classId=3299")</f>
        <v>https://universidade.pipelovers.net/m/lessons/manual-antichefe-na-pratica-o-que-fazer-e-o-que-evitar-pra-construir-um-time-saudavel1769552308197?classId=3299</v>
      </c>
      <c r="M583" s="1085">
        <f>IFERROR(__xludf.DUMMYFUNCTION("""COMPUTED_VALUE"""),4.57)</f>
        <v>4.57</v>
      </c>
      <c r="N583" s="1083" t="str">
        <f>IFERROR(__xludf.DUMMYFUNCTION("""COMPUTED_VALUE"""),"133. PipeLovers 💙 Gestão Comercial: ""Manual antichefe na prática: o que fazer (e o que evitar) pra cons - 2025/06/10 10:50 GMT-03:00 - Recording")</f>
        <v>133. PipeLovers 💙 Gestão Comercial: "Manual antichefe na prática: o que fazer (e o que evitar) pra cons - 2025/06/10 10:50 GMT-03:00 - Recording</v>
      </c>
      <c r="O583" s="218" t="str">
        <f>IFERROR(__xludf.DUMMYFUNCTION("""COMPUTED_VALUE"""),"")</f>
        <v/>
      </c>
      <c r="P583" s="952">
        <f>IFERROR(__xludf.DUMMYFUNCTION("""COMPUTED_VALUE"""),45839.0)</f>
        <v>45839</v>
      </c>
      <c r="Q583" s="218"/>
    </row>
    <row r="584">
      <c r="A584" s="73"/>
      <c r="B584" s="1129" t="str">
        <f>IFERROR(__xludf.DUMMYFUNCTION("""COMPUTED_VALUE"""),"Líderes de Vendas")</f>
        <v>Líderes de Vendas</v>
      </c>
      <c r="C584" s="216" t="str">
        <f>IFERROR(__xludf.DUMMYFUNCTION("""COMPUTED_VALUE"""),"Remuneração de longo prazo para retenção de vendedores")</f>
        <v>Remuneração de longo prazo para retenção de vendedores</v>
      </c>
      <c r="D584" s="119" t="str">
        <f>IFERROR(__xludf.DUMMYFUNCTION("""COMPUTED_VALUE"""),"Pedro Iglesias")</f>
        <v>Pedro Iglesias</v>
      </c>
      <c r="E584" s="1125" t="str">
        <f>IFERROR(__xludf.DUMMYFUNCTION("""COMPUTED_VALUE"""),"Co-Founder")</f>
        <v>Co-Founder</v>
      </c>
      <c r="F584" s="1126" t="str">
        <f>IFERROR(__xludf.DUMMYFUNCTION("""COMPUTED_VALUE"""),"Stay")</f>
        <v>Stay</v>
      </c>
      <c r="G584" s="447" t="str">
        <f>IFERROR(__xludf.DUMMYFUNCTION("""COMPUTED_VALUE"""),"https://www.linkedin.com/in/pedro-paulo-iglesias/")</f>
        <v>https://www.linkedin.com/in/pedro-paulo-iglesias/</v>
      </c>
      <c r="H584" s="446" t="str">
        <f>IFERROR(__xludf.DUMMYFUNCTION("""COMPUTED_VALUE"""),"Conhecimento Técnico")</f>
        <v>Conhecimento Técnico</v>
      </c>
      <c r="I584" s="446" t="str">
        <f>IFERROR(__xludf.DUMMYFUNCTION("""COMPUTED_VALUE"""),"Gestão de vendas")</f>
        <v>Gestão de vendas</v>
      </c>
      <c r="J584" s="446" t="str">
        <f>IFERROR(__xludf.DUMMYFUNCTION("""COMPUTED_VALUE"""),"Planejamento Comercial")</f>
        <v>Planejamento Comercial</v>
      </c>
      <c r="K584" s="275" t="str">
        <f>IFERROR(__xludf.DUMMYFUNCTION("""COMPUTED_VALUE"""),"https://universidade.pipelovers.net/m/lessons/remuneracao-de-longo-prazo-para-retencao-de-vendedores1769552308228?classId=3300")</f>
        <v>https://universidade.pipelovers.net/m/lessons/remuneracao-de-longo-prazo-para-retencao-de-vendedores1769552308228?classId=3300</v>
      </c>
      <c r="L584" s="535" t="str">
        <f>IFERROR(__xludf.DUMMYFUNCTION("""COMPUTED_VALUE"""),"https://universidade.pipelovers.net/m/lessons/remuneracao-de-longo-prazo-para-retencao-de-vendedores1769552308228?classId=3300")</f>
        <v>https://universidade.pipelovers.net/m/lessons/remuneracao-de-longo-prazo-para-retencao-de-vendedores1769552308228?classId=3300</v>
      </c>
      <c r="M584" s="1082">
        <f>IFERROR(__xludf.DUMMYFUNCTION("""COMPUTED_VALUE"""),2.0)</f>
        <v>2</v>
      </c>
      <c r="N584" s="1081" t="str">
        <f>IFERROR(__xludf.DUMMYFUNCTION("""COMPUTED_VALUE"""),"134. PipeLovers 💙 Gestão Comercial: ""Remuneração de longo prazo para retenção de vendedores"" com Pedro  - 2025/06/17 10:51 GMT-03:00 - Recording")</f>
        <v>134. PipeLovers 💙 Gestão Comercial: "Remuneração de longo prazo para retenção de vendedores" com Pedro  - 2025/06/17 10:51 GMT-03:00 - Recording</v>
      </c>
      <c r="O584" s="218" t="str">
        <f>IFERROR(__xludf.DUMMYFUNCTION("""COMPUTED_VALUE"""),"")</f>
        <v/>
      </c>
      <c r="P584" s="952">
        <f>IFERROR(__xludf.DUMMYFUNCTION("""COMPUTED_VALUE"""),45846.0)</f>
        <v>45846</v>
      </c>
      <c r="Q584" s="218"/>
    </row>
    <row r="585">
      <c r="A585" s="73"/>
      <c r="B585" s="1129" t="str">
        <f>IFERROR(__xludf.DUMMYFUNCTION("""COMPUTED_VALUE"""),"Líderes de Vendas")</f>
        <v>Líderes de Vendas</v>
      </c>
      <c r="C585" s="268" t="str">
        <f>IFERROR(__xludf.DUMMYFUNCTION("""COMPUTED_VALUE"""),"Gestão de produtividade: o impacto da desorganização na performance comercial")</f>
        <v>Gestão de produtividade: o impacto da desorganização na performance comercial</v>
      </c>
      <c r="D585" s="104" t="str">
        <f>IFERROR(__xludf.DUMMYFUNCTION("""COMPUTED_VALUE"""),"Marcos Welter")</f>
        <v>Marcos Welter</v>
      </c>
      <c r="E585" s="1132" t="str">
        <f>IFERROR(__xludf.DUMMYFUNCTION("""COMPUTED_VALUE"""),"Sales Advisor ")</f>
        <v>Sales Advisor </v>
      </c>
      <c r="F585" s="268" t="str">
        <f>IFERROR(__xludf.DUMMYFUNCTION("""COMPUTED_VALUE"""),"WZ Soluções")</f>
        <v>WZ Soluções</v>
      </c>
      <c r="G585" s="446"/>
      <c r="H585" s="446" t="str">
        <f>IFERROR(__xludf.DUMMYFUNCTION("""COMPUTED_VALUE"""),"Autodesenvolvimento")</f>
        <v>Autodesenvolvimento</v>
      </c>
      <c r="I585" s="446" t="str">
        <f>IFERROR(__xludf.DUMMYFUNCTION("""COMPUTED_VALUE"""),"Gestão de Tempo e da Informação")</f>
        <v>Gestão de Tempo e da Informação</v>
      </c>
      <c r="J585" s="446" t="str">
        <f>IFERROR(__xludf.DUMMYFUNCTION("""COMPUTED_VALUE"""),"Técnicas de Organização e Rotina")</f>
        <v>Técnicas de Organização e Rotina</v>
      </c>
      <c r="K585" s="275" t="str">
        <f>IFERROR(__xludf.DUMMYFUNCTION("""COMPUTED_VALUE"""),"https://universidade.pipelovers.net/m/lessons/gestao-de-produtividade-o-impacto-da-desorganizacao-na-performance-comercial1769552312473?classId=3303")</f>
        <v>https://universidade.pipelovers.net/m/lessons/gestao-de-produtividade-o-impacto-da-desorganizacao-na-performance-comercial1769552312473?classId=3303</v>
      </c>
      <c r="L585" s="535" t="str">
        <f>IFERROR(__xludf.DUMMYFUNCTION("""COMPUTED_VALUE"""),"https://universidade.pipelovers.net/m/lessons/gestao-de-produtividade-o-impacto-da-desorganizacao-na-performance-comercial1769552312473?classId=3303")</f>
        <v>https://universidade.pipelovers.net/m/lessons/gestao-de-produtividade-o-impacto-da-desorganizacao-na-performance-comercial1769552312473?classId=3303</v>
      </c>
      <c r="M585" s="1085">
        <f>IFERROR(__xludf.DUMMYFUNCTION("""COMPUTED_VALUE"""),2.0)</f>
        <v>2</v>
      </c>
      <c r="N585" s="1083" t="str">
        <f>IFERROR(__xludf.DUMMYFUNCTION("""COMPUTED_VALUE"""),"135. PipeLovers 💙 Gestão Comercial: ""Gestão de produtividade: o impacto da desorganização na performanc - 2025/06/24 10:52 GMT-03:00 - Recording")</f>
        <v>135. PipeLovers 💙 Gestão Comercial: "Gestão de produtividade: o impacto da desorganização na performanc - 2025/06/24 10:52 GMT-03:00 - Recording</v>
      </c>
      <c r="O585" s="218" t="str">
        <f>IFERROR(__xludf.DUMMYFUNCTION("""COMPUTED_VALUE"""),"")</f>
        <v/>
      </c>
      <c r="P585" s="952">
        <f>IFERROR(__xludf.DUMMYFUNCTION("""COMPUTED_VALUE"""),45853.0)</f>
        <v>45853</v>
      </c>
      <c r="Q585" s="218"/>
    </row>
    <row r="586">
      <c r="A586" s="73"/>
      <c r="B586" s="1129" t="str">
        <f>IFERROR(__xludf.DUMMYFUNCTION("""COMPUTED_VALUE"""),"Líderes de Vendas")</f>
        <v>Líderes de Vendas</v>
      </c>
      <c r="C586" s="216" t="str">
        <f>IFERROR(__xludf.DUMMYFUNCTION("""COMPUTED_VALUE"""),"Forecast: Como estruturar processo e rotina")</f>
        <v>Forecast: Como estruturar processo e rotina</v>
      </c>
      <c r="D586" s="119" t="str">
        <f>IFERROR(__xludf.DUMMYFUNCTION("""COMPUTED_VALUE"""),"Bruno Siedschlag")</f>
        <v>Bruno Siedschlag</v>
      </c>
      <c r="E586" s="110" t="str">
        <f>IFERROR(__xludf.DUMMYFUNCTION("""COMPUTED_VALUE"""),"Mentor")</f>
        <v>Mentor</v>
      </c>
      <c r="F586" s="446" t="str">
        <f>IFERROR(__xludf.DUMMYFUNCTION("""COMPUTED_VALUE"""),"BS Consultoria")</f>
        <v>BS Consultoria</v>
      </c>
      <c r="G586" s="446"/>
      <c r="H586" s="446" t="str">
        <f>IFERROR(__xludf.DUMMYFUNCTION("""COMPUTED_VALUE"""),"Conhecimento Técnico")</f>
        <v>Conhecimento Técnico</v>
      </c>
      <c r="I586" s="446" t="str">
        <f>IFERROR(__xludf.DUMMYFUNCTION("""COMPUTED_VALUE"""),"Gestão de vendas")</f>
        <v>Gestão de vendas</v>
      </c>
      <c r="J586" s="446" t="str">
        <f>IFERROR(__xludf.DUMMYFUNCTION("""COMPUTED_VALUE"""),"Rotinas e Rituais")</f>
        <v>Rotinas e Rituais</v>
      </c>
      <c r="K586" s="275" t="str">
        <f>IFERROR(__xludf.DUMMYFUNCTION("""COMPUTED_VALUE"""),"https://universidade.pipelovers.net/m/lessons/forecast-como-estruturar-processo-e-rotina1769552312542?classId=3305")</f>
        <v>https://universidade.pipelovers.net/m/lessons/forecast-como-estruturar-processo-e-rotina1769552312542?classId=3305</v>
      </c>
      <c r="L586" s="535" t="str">
        <f>IFERROR(__xludf.DUMMYFUNCTION("""COMPUTED_VALUE"""),"https://universidade.pipelovers.net/m/lessons/forecast-como-estruturar-processo-e-rotina1769552312542?classId=3305")</f>
        <v>https://universidade.pipelovers.net/m/lessons/forecast-como-estruturar-processo-e-rotina1769552312542?classId=3305</v>
      </c>
      <c r="M586" s="1082">
        <f>IFERROR(__xludf.DUMMYFUNCTION("""COMPUTED_VALUE"""),2.0)</f>
        <v>2</v>
      </c>
      <c r="N586" s="1081" t="str">
        <f>IFERROR(__xludf.DUMMYFUNCTION("""COMPUTED_VALUE"""),"136. PipeLovers 💙 Gestão Comercial: ""Forecast: Como estruturar processo e rotina"" com Bruno Siedschlag - 2025/07/08 12:37 GMT-03:00 - Recording")</f>
        <v>136. PipeLovers 💙 Gestão Comercial: "Forecast: Como estruturar processo e rotina" com Bruno Siedschlag - 2025/07/08 12:37 GMT-03:00 - Recording</v>
      </c>
      <c r="O586" s="218" t="str">
        <f>IFERROR(__xludf.DUMMYFUNCTION("""COMPUTED_VALUE"""),"")</f>
        <v/>
      </c>
      <c r="P586" s="952">
        <f>IFERROR(__xludf.DUMMYFUNCTION("""COMPUTED_VALUE"""),45860.0)</f>
        <v>45860</v>
      </c>
      <c r="Q586" s="218"/>
    </row>
    <row r="587">
      <c r="A587" s="73"/>
      <c r="B587" s="1129" t="str">
        <f>IFERROR(__xludf.DUMMYFUNCTION("""COMPUTED_VALUE"""),"Líderes de Vendas")</f>
        <v>Líderes de Vendas</v>
      </c>
      <c r="C587" s="268" t="str">
        <f>IFERROR(__xludf.DUMMYFUNCTION("""COMPUTED_VALUE"""),"Como identificar e escalar os padrões dos melhores vendedores")</f>
        <v>Como identificar e escalar os padrões dos melhores vendedores</v>
      </c>
      <c r="D587" s="104" t="str">
        <f>IFERROR(__xludf.DUMMYFUNCTION("""COMPUTED_VALUE"""),"Thais Sterenberg")</f>
        <v>Thais Sterenberg</v>
      </c>
      <c r="E587" s="110" t="str">
        <f>IFERROR(__xludf.DUMMYFUNCTION("""COMPUTED_VALUE"""),"Co-founder &amp; CEO")</f>
        <v>Co-founder &amp; CEO</v>
      </c>
      <c r="F587" s="447" t="str">
        <f>IFERROR(__xludf.DUMMYFUNCTION("""COMPUTED_VALUE"""),"Elephan.ai")</f>
        <v>Elephan.ai</v>
      </c>
      <c r="G587" s="447" t="str">
        <f>IFERROR(__xludf.DUMMYFUNCTION("""COMPUTED_VALUE"""),"https://www.linkedin.com/in/thais-sterenberg-de-oliveira/")</f>
        <v>https://www.linkedin.com/in/thais-sterenberg-de-oliveira/</v>
      </c>
      <c r="H587" s="446" t="str">
        <f>IFERROR(__xludf.DUMMYFUNCTION("""COMPUTED_VALUE"""),"Conhecimento Técnico")</f>
        <v>Conhecimento Técnico</v>
      </c>
      <c r="I587" s="446" t="str">
        <f>IFERROR(__xludf.DUMMYFUNCTION("""COMPUTED_VALUE"""),"Gestão de vendas")</f>
        <v>Gestão de vendas</v>
      </c>
      <c r="J587" s="446" t="str">
        <f>IFERROR(__xludf.DUMMYFUNCTION("""COMPUTED_VALUE"""),"Rotinas e Rituais")</f>
        <v>Rotinas e Rituais</v>
      </c>
      <c r="K587" s="275" t="str">
        <f>IFERROR(__xludf.DUMMYFUNCTION("""COMPUTED_VALUE"""),"https://universidade.pipelovers.net/m/lessons/como-identificar-e-escalar-os-padroes-dos-melhores-vendedores1769552312590?classId=3490")</f>
        <v>https://universidade.pipelovers.net/m/lessons/como-identificar-e-escalar-os-padroes-dos-melhores-vendedores1769552312590?classId=3490</v>
      </c>
      <c r="L587" s="535" t="str">
        <f>IFERROR(__xludf.DUMMYFUNCTION("""COMPUTED_VALUE"""),"https://universidade.pipelovers.net/m/lessons/como-identificar-e-escalar-os-padroes-dos-melhores-vendedores1769552312590?classId=3490")</f>
        <v>https://universidade.pipelovers.net/m/lessons/como-identificar-e-escalar-os-padroes-dos-melhores-vendedores1769552312590?classId=3490</v>
      </c>
      <c r="M587" s="1085">
        <f>IFERROR(__xludf.DUMMYFUNCTION("""COMPUTED_VALUE"""),3.86)</f>
        <v>3.86</v>
      </c>
      <c r="N587" s="1083" t="str">
        <f>IFERROR(__xludf.DUMMYFUNCTION("""COMPUTED_VALUE"""),"137. PipeLovers 💙 Gestão Comercial: ""Como identificar e escalar os padrões dos melhores vendedores"" com - 2025/07/15 12:46 GMT-03:00 - Recording")</f>
        <v>137. PipeLovers 💙 Gestão Comercial: "Como identificar e escalar os padrões dos melhores vendedores" com - 2025/07/15 12:46 GMT-03:00 - Recording</v>
      </c>
      <c r="O587" s="218" t="str">
        <f>IFERROR(__xludf.DUMMYFUNCTION("""COMPUTED_VALUE"""),"")</f>
        <v/>
      </c>
      <c r="P587" s="952">
        <f>IFERROR(__xludf.DUMMYFUNCTION("""COMPUTED_VALUE"""),45867.0)</f>
        <v>45867</v>
      </c>
      <c r="Q587" s="218"/>
    </row>
    <row r="588">
      <c r="A588" s="73"/>
      <c r="B588" s="1129" t="str">
        <f>IFERROR(__xludf.DUMMYFUNCTION("""COMPUTED_VALUE"""),"Líderes de Vendas")</f>
        <v>Líderes de Vendas</v>
      </c>
      <c r="C588" s="216" t="str">
        <f>IFERROR(__xludf.DUMMYFUNCTION("""COMPUTED_VALUE"""),"Rituais, regras e processos: Como criar uma cultura de vendas forte")</f>
        <v>Rituais, regras e processos: Como criar uma cultura de vendas forte</v>
      </c>
      <c r="D588" s="119" t="str">
        <f>IFERROR(__xludf.DUMMYFUNCTION("""COMPUTED_VALUE"""),"Ivan Castro")</f>
        <v>Ivan Castro</v>
      </c>
      <c r="E588" s="105" t="str">
        <f>IFERROR(__xludf.DUMMYFUNCTION("""COMPUTED_VALUE"""),"CEO &amp; Co-Founder")</f>
        <v>CEO &amp; Co-Founder</v>
      </c>
      <c r="F588" s="448" t="str">
        <f>IFERROR(__xludf.DUMMYFUNCTION("""COMPUTED_VALUE"""),"Winning Sales")</f>
        <v>Winning Sales</v>
      </c>
      <c r="G588" s="446"/>
      <c r="H588" s="446" t="str">
        <f>IFERROR(__xludf.DUMMYFUNCTION("""COMPUTED_VALUE"""),"Conhecimento Técnico")</f>
        <v>Conhecimento Técnico</v>
      </c>
      <c r="I588" s="446" t="str">
        <f>IFERROR(__xludf.DUMMYFUNCTION("""COMPUTED_VALUE"""),"Gestão de vendas")</f>
        <v>Gestão de vendas</v>
      </c>
      <c r="J588" s="446" t="str">
        <f>IFERROR(__xludf.DUMMYFUNCTION("""COMPUTED_VALUE"""),"Rotinas e Rituais")</f>
        <v>Rotinas e Rituais</v>
      </c>
      <c r="K588" s="275" t="str">
        <f>IFERROR(__xludf.DUMMYFUNCTION("""COMPUTED_VALUE"""),"https://universidade.pipelovers.net/m/lessons/rituais-regras-e-processos-como-criar-uma-cultura-de-vendas-forte1769552312672?classId=3306")</f>
        <v>https://universidade.pipelovers.net/m/lessons/rituais-regras-e-processos-como-criar-uma-cultura-de-vendas-forte1769552312672?classId=3306</v>
      </c>
      <c r="L588" s="535" t="str">
        <f>IFERROR(__xludf.DUMMYFUNCTION("""COMPUTED_VALUE"""),"https://universidade.pipelovers.net/m/lessons/rituais-regras-e-processos-como-criar-uma-cultura-de-vendas-forte1769552312672?classId=3306")</f>
        <v>https://universidade.pipelovers.net/m/lessons/rituais-regras-e-processos-como-criar-uma-cultura-de-vendas-forte1769552312672?classId=3306</v>
      </c>
      <c r="M588" s="1082">
        <f>IFERROR(__xludf.DUMMYFUNCTION("""COMPUTED_VALUE"""),4.0)</f>
        <v>4</v>
      </c>
      <c r="N588" s="1081" t="str">
        <f>IFERROR(__xludf.DUMMYFUNCTION("""COMPUTED_VALUE"""),"138. PipeLovers 💙 Gestão Comercial: ""Rituais, regras e processos: Como criar uma cultura de vendas fort - 2025/07/22 12:51 GMT-03:00 - Recording")</f>
        <v>138. PipeLovers 💙 Gestão Comercial: "Rituais, regras e processos: Como criar uma cultura de vendas fort - 2025/07/22 12:51 GMT-03:00 - Recording</v>
      </c>
      <c r="O588" s="218" t="str">
        <f>IFERROR(__xludf.DUMMYFUNCTION("""COMPUTED_VALUE"""),"")</f>
        <v/>
      </c>
      <c r="P588" s="952">
        <f>IFERROR(__xludf.DUMMYFUNCTION("""COMPUTED_VALUE"""),45874.0)</f>
        <v>45874</v>
      </c>
      <c r="Q588" s="218"/>
    </row>
    <row r="589">
      <c r="A589" s="73"/>
      <c r="B589" s="1129" t="str">
        <f>IFERROR(__xludf.DUMMYFUNCTION("""COMPUTED_VALUE"""),"Líderes de Vendas")</f>
        <v>Líderes de Vendas</v>
      </c>
      <c r="C589" s="216" t="str">
        <f>IFERROR(__xludf.DUMMYFUNCTION("""COMPUTED_VALUE"""),"Inbound na prática: Estruturando sua máquina de vendas")</f>
        <v>Inbound na prática: Estruturando sua máquina de vendas</v>
      </c>
      <c r="D589" s="104" t="str">
        <f>IFERROR(__xludf.DUMMYFUNCTION("""COMPUTED_VALUE"""),"Alexandre Perotti")</f>
        <v>Alexandre Perotti</v>
      </c>
      <c r="E589" s="105" t="str">
        <f>IFERROR(__xludf.DUMMYFUNCTION("""COMPUTED_VALUE"""),"Founder")</f>
        <v>Founder</v>
      </c>
      <c r="F589" s="448" t="str">
        <f>IFERROR(__xludf.DUMMYFUNCTION("""COMPUTED_VALUE"""),"RevMinds")</f>
        <v>RevMinds</v>
      </c>
      <c r="G589" s="446"/>
      <c r="H589" s="446" t="str">
        <f>IFERROR(__xludf.DUMMYFUNCTION("""COMPUTED_VALUE"""),"Conhecimento Técnico")</f>
        <v>Conhecimento Técnico</v>
      </c>
      <c r="I589" s="446" t="str">
        <f>IFERROR(__xludf.DUMMYFUNCTION("""COMPUTED_VALUE"""),"Técnicas de Vendas")</f>
        <v>Técnicas de Vendas</v>
      </c>
      <c r="J589" s="446" t="str">
        <f>IFERROR(__xludf.DUMMYFUNCTION("""COMPUTED_VALUE"""),"Abordagem e Prospecção")</f>
        <v>Abordagem e Prospecção</v>
      </c>
      <c r="K589" s="275" t="str">
        <f>IFERROR(__xludf.DUMMYFUNCTION("""COMPUTED_VALUE"""),"https://universidade.pipelovers.net/m/lessons/inbound-na-pratica-estruturando-sua-maquina-de-vendas1769552312732?classId=3307")</f>
        <v>https://universidade.pipelovers.net/m/lessons/inbound-na-pratica-estruturando-sua-maquina-de-vendas1769552312732?classId=3307</v>
      </c>
      <c r="L589" s="535" t="str">
        <f>IFERROR(__xludf.DUMMYFUNCTION("""COMPUTED_VALUE"""),"https://universidade.pipelovers.net/m/lessons/inbound-na-pratica-estruturando-sua-maquina-de-vendas1769552312732?classId=3307")</f>
        <v>https://universidade.pipelovers.net/m/lessons/inbound-na-pratica-estruturando-sua-maquina-de-vendas1769552312732?classId=3307</v>
      </c>
      <c r="M589" s="1085">
        <f>IFERROR(__xludf.DUMMYFUNCTION("""COMPUTED_VALUE"""),3.86)</f>
        <v>3.86</v>
      </c>
      <c r="N589" s="1083" t="str">
        <f>IFERROR(__xludf.DUMMYFUNCTION("""COMPUTED_VALUE"""),"139. PipeLovers 💙 Gestão Comercial_ _Inbound na Prática_ Estruturando sua Máquina de Vendas_ com Alexan - 2025_07_29 12_37 GMT-03_00 - Descript.mp4")</f>
        <v>139. PipeLovers 💙 Gestão Comercial_ _Inbound na Prática_ Estruturando sua Máquina de Vendas_ com Alexan - 2025_07_29 12_37 GMT-03_00 - Descript.mp4</v>
      </c>
      <c r="O589" s="218" t="str">
        <f>IFERROR(__xludf.DUMMYFUNCTION("""COMPUTED_VALUE"""),"")</f>
        <v/>
      </c>
      <c r="P589" s="952">
        <f>IFERROR(__xludf.DUMMYFUNCTION("""COMPUTED_VALUE"""),45881.0)</f>
        <v>45881</v>
      </c>
      <c r="Q589" s="218"/>
    </row>
    <row r="590">
      <c r="A590" s="73"/>
      <c r="B590" s="1129" t="str">
        <f>IFERROR(__xludf.DUMMYFUNCTION("""COMPUTED_VALUE"""),"Líderes de Vendas")</f>
        <v>Líderes de Vendas</v>
      </c>
      <c r="C590" s="268" t="str">
        <f>IFERROR(__xludf.DUMMYFUNCTION("""COMPUTED_VALUE"""),"Indicadores financeiros que todo gestor de vendas precisa saber")</f>
        <v>Indicadores financeiros que todo gestor de vendas precisa saber</v>
      </c>
      <c r="D590" s="119" t="str">
        <f>IFERROR(__xludf.DUMMYFUNCTION("""COMPUTED_VALUE"""),"Ingo Stein")</f>
        <v>Ingo Stein</v>
      </c>
      <c r="E590" s="105" t="str">
        <f>IFERROR(__xludf.DUMMYFUNCTION("""COMPUTED_VALUE"""),"CEO")</f>
        <v>CEO</v>
      </c>
      <c r="F590" s="448" t="str">
        <f>IFERROR(__xludf.DUMMYFUNCTION("""COMPUTED_VALUE"""),"Select Data")</f>
        <v>Select Data</v>
      </c>
      <c r="G590" s="446"/>
      <c r="H590" s="446" t="str">
        <f>IFERROR(__xludf.DUMMYFUNCTION("""COMPUTED_VALUE"""),"Conhecimento Técnico")</f>
        <v>Conhecimento Técnico</v>
      </c>
      <c r="I590" s="446" t="str">
        <f>IFERROR(__xludf.DUMMYFUNCTION("""COMPUTED_VALUE"""),"Pensamento Crítico")</f>
        <v>Pensamento Crítico</v>
      </c>
      <c r="J590" s="446" t="str">
        <f>IFERROR(__xludf.DUMMYFUNCTION("""COMPUTED_VALUE"""),"ROI")</f>
        <v>ROI</v>
      </c>
      <c r="K590" s="275" t="str">
        <f>IFERROR(__xludf.DUMMYFUNCTION("""COMPUTED_VALUE"""),"https://universidade.pipelovers.net/m/lessons/indicadores-financeiros-que-todo-gestor-de-vendas-precisa-saber1769552312810?classId=3031")</f>
        <v>https://universidade.pipelovers.net/m/lessons/indicadores-financeiros-que-todo-gestor-de-vendas-precisa-saber1769552312810?classId=3031</v>
      </c>
      <c r="L590" s="535" t="str">
        <f>IFERROR(__xludf.DUMMYFUNCTION("""COMPUTED_VALUE"""),"https://universidade.pipelovers.net/m/lessons/indicadores-financeiros-que-todo-gestor-de-vendas-precisa-saber1769552312810?classId=3031")</f>
        <v>https://universidade.pipelovers.net/m/lessons/indicadores-financeiros-que-todo-gestor-de-vendas-precisa-saber1769552312810?classId=3031</v>
      </c>
      <c r="M590" s="1082">
        <f>IFERROR(__xludf.DUMMYFUNCTION("""COMPUTED_VALUE"""),2.0)</f>
        <v>2</v>
      </c>
      <c r="N590" s="1081" t="str">
        <f>IFERROR(__xludf.DUMMYFUNCTION("""COMPUTED_VALUE"""),"140. PipeLovers 💙 Gestão Comercial_ _Indicadores financeiros que todo gestor de vendas precisa saber_ c - 2025_08_05 12_32 GMT-03_00 - Descript.mp4")</f>
        <v>140. PipeLovers 💙 Gestão Comercial_ _Indicadores financeiros que todo gestor de vendas precisa saber_ c - 2025_08_05 12_32 GMT-03_00 - Descript.mp4</v>
      </c>
      <c r="O590" s="218" t="str">
        <f>IFERROR(__xludf.DUMMYFUNCTION("""COMPUTED_VALUE"""),"")</f>
        <v/>
      </c>
      <c r="P590" s="952">
        <f>IFERROR(__xludf.DUMMYFUNCTION("""COMPUTED_VALUE"""),45888.0)</f>
        <v>45888</v>
      </c>
      <c r="Q590" s="218"/>
    </row>
    <row r="591">
      <c r="A591" s="73"/>
      <c r="B591" s="1129" t="str">
        <f>IFERROR(__xludf.DUMMYFUNCTION("""COMPUTED_VALUE"""),"Líderes de Vendas")</f>
        <v>Líderes de Vendas</v>
      </c>
      <c r="C591" s="216" t="str">
        <f>IFERROR(__xludf.DUMMYFUNCTION("""COMPUTED_VALUE"""),"Email como canal de geração de demanda")</f>
        <v>Email como canal de geração de demanda</v>
      </c>
      <c r="D591" s="104" t="str">
        <f>IFERROR(__xludf.DUMMYFUNCTION("""COMPUTED_VALUE"""),"Alan Bueno")</f>
        <v>Alan Bueno</v>
      </c>
      <c r="E591" s="110" t="str">
        <f>IFERROR(__xludf.DUMMYFUNCTION("""COMPUTED_VALUE"""),"CEO")</f>
        <v>CEO</v>
      </c>
      <c r="F591" s="446" t="str">
        <f>IFERROR(__xludf.DUMMYFUNCTION("""COMPUTED_VALUE"""),"Nerus")</f>
        <v>Nerus</v>
      </c>
      <c r="G591" s="446"/>
      <c r="H591" s="446" t="str">
        <f>IFERROR(__xludf.DUMMYFUNCTION("""COMPUTED_VALUE"""),"Conhecimento Técnico")</f>
        <v>Conhecimento Técnico</v>
      </c>
      <c r="I591" s="446" t="str">
        <f>IFERROR(__xludf.DUMMYFUNCTION("""COMPUTED_VALUE"""),"Técnicas de Vendas")</f>
        <v>Técnicas de Vendas</v>
      </c>
      <c r="J591" s="446" t="str">
        <f>IFERROR(__xludf.DUMMYFUNCTION("""COMPUTED_VALUE"""),"Abordagem e Prospecção")</f>
        <v>Abordagem e Prospecção</v>
      </c>
      <c r="K591" s="275" t="str">
        <f>IFERROR(__xludf.DUMMYFUNCTION("""COMPUTED_VALUE"""),"https://universidade.pipelovers.net/m/lessons/email-como-canal-de-geracao-de-demanda1769552312874?classId=3032")</f>
        <v>https://universidade.pipelovers.net/m/lessons/email-como-canal-de-geracao-de-demanda1769552312874?classId=3032</v>
      </c>
      <c r="L591" s="535" t="str">
        <f>IFERROR(__xludf.DUMMYFUNCTION("""COMPUTED_VALUE"""),"https://universidade.pipelovers.net/m/lessons/email-como-canal-de-geracao-de-demanda1769552312874?classId=3032")</f>
        <v>https://universidade.pipelovers.net/m/lessons/email-como-canal-de-geracao-de-demanda1769552312874?classId=3032</v>
      </c>
      <c r="M591" s="1085">
        <f>IFERROR(__xludf.DUMMYFUNCTION("""COMPUTED_VALUE"""),2.0)</f>
        <v>2</v>
      </c>
      <c r="N591" s="1083" t="str">
        <f>IFERROR(__xludf.DUMMYFUNCTION("""COMPUTED_VALUE"""),"141. PipeLovers 💙 Gestão Comercial_ _Email como canal de geração de demanda_ com Alan Bueno - 2025_08_12 12_36 GMT-03_00 - descript.mp4")</f>
        <v>141. PipeLovers 💙 Gestão Comercial_ _Email como canal de geração de demanda_ com Alan Bueno - 2025_08_12 12_36 GMT-03_00 - descript.mp4</v>
      </c>
      <c r="O591" s="218" t="str">
        <f>IFERROR(__xludf.DUMMYFUNCTION("""COMPUTED_VALUE"""),"")</f>
        <v/>
      </c>
      <c r="P591" s="952">
        <f>IFERROR(__xludf.DUMMYFUNCTION("""COMPUTED_VALUE"""),45895.0)</f>
        <v>45895</v>
      </c>
      <c r="Q591" s="218"/>
    </row>
    <row r="592">
      <c r="A592" s="73"/>
      <c r="B592" s="1129" t="str">
        <f>IFERROR(__xludf.DUMMYFUNCTION("""COMPUTED_VALUE"""),"Líderes de Vendas")</f>
        <v>Líderes de Vendas</v>
      </c>
      <c r="C592" s="268" t="str">
        <f>IFERROR(__xludf.DUMMYFUNCTION("""COMPUTED_VALUE"""),"Escala internacional: estratégia comercial e da marca")</f>
        <v>Escala internacional: estratégia comercial e da marca</v>
      </c>
      <c r="D592" s="119" t="str">
        <f>IFERROR(__xludf.DUMMYFUNCTION("""COMPUTED_VALUE"""),"Samar Ghattas")</f>
        <v>Samar Ghattas</v>
      </c>
      <c r="E592" s="105" t="str">
        <f>IFERROR(__xludf.DUMMYFUNCTION("""COMPUTED_VALUE"""),"Founder")</f>
        <v>Founder</v>
      </c>
      <c r="F592" s="448" t="str">
        <f>IFERROR(__xludf.DUMMYFUNCTION("""COMPUTED_VALUE"""),"Hubee")</f>
        <v>Hubee</v>
      </c>
      <c r="G592" s="446"/>
      <c r="H592" s="446" t="str">
        <f>IFERROR(__xludf.DUMMYFUNCTION("""COMPUTED_VALUE"""),"Visão de Negócios")</f>
        <v>Visão de Negócios</v>
      </c>
      <c r="I592" s="446" t="str">
        <f>IFERROR(__xludf.DUMMYFUNCTION("""COMPUTED_VALUE"""),"Tendências de Mercado")</f>
        <v>Tendências de Mercado</v>
      </c>
      <c r="J592" s="446" t="str">
        <f>IFERROR(__xludf.DUMMYFUNCTION("""COMPUTED_VALUE"""),"Cenário Internacional")</f>
        <v>Cenário Internacional</v>
      </c>
      <c r="K592" s="275" t="str">
        <f>IFERROR(__xludf.DUMMYFUNCTION("""COMPUTED_VALUE"""),"https://universidade.pipelovers.net/m/lessons/escala-internacional-estrategia-comercial-e-da-marca1769552312939?classId=3033")</f>
        <v>https://universidade.pipelovers.net/m/lessons/escala-internacional-estrategia-comercial-e-da-marca1769552312939?classId=3033</v>
      </c>
      <c r="L592" s="535" t="str">
        <f>IFERROR(__xludf.DUMMYFUNCTION("""COMPUTED_VALUE"""),"https://universidade.pipelovers.net/m/lessons/escala-internacional-estrategia-comercial-e-da-marca1769552312939?classId=3033")</f>
        <v>https://universidade.pipelovers.net/m/lessons/escala-internacional-estrategia-comercial-e-da-marca1769552312939?classId=3033</v>
      </c>
      <c r="M592" s="1082">
        <f>IFERROR(__xludf.DUMMYFUNCTION("""COMPUTED_VALUE"""),2.0)</f>
        <v>2</v>
      </c>
      <c r="N592" s="1083" t="str">
        <f>IFERROR(__xludf.DUMMYFUNCTION("""COMPUTED_VALUE"""),"142. PipeLovers 💙 Gestão Comercial_ _Escala internacional_ estratégia comercial e da marca_ com Samar G - 2025_08_19 12_47 GMT-03_00 - descript.mp4")</f>
        <v>142. PipeLovers 💙 Gestão Comercial_ _Escala internacional_ estratégia comercial e da marca_ com Samar G - 2025_08_19 12_47 GMT-03_00 - descript.mp4</v>
      </c>
      <c r="O592" s="218" t="str">
        <f>IFERROR(__xludf.DUMMYFUNCTION("""COMPUTED_VALUE"""),"")</f>
        <v/>
      </c>
      <c r="P592" s="952">
        <f>IFERROR(__xludf.DUMMYFUNCTION("""COMPUTED_VALUE"""),45902.0)</f>
        <v>45902</v>
      </c>
      <c r="Q592" s="218"/>
    </row>
    <row r="593">
      <c r="A593" s="73"/>
      <c r="B593" s="1129" t="str">
        <f>IFERROR(__xludf.DUMMYFUNCTION("""COMPUTED_VALUE"""),"Líderes de Vendas")</f>
        <v>Líderes de Vendas</v>
      </c>
      <c r="C593" s="216" t="str">
        <f>IFERROR(__xludf.DUMMYFUNCTION("""COMPUTED_VALUE"""),"Como construir autoridade e confiança com contas estratégicas")</f>
        <v>Como construir autoridade e confiança com contas estratégicas</v>
      </c>
      <c r="D593" s="104" t="str">
        <f>IFERROR(__xludf.DUMMYFUNCTION("""COMPUTED_VALUE"""),"Bruna Infurna")</f>
        <v>Bruna Infurna</v>
      </c>
      <c r="E593" s="105" t="str">
        <f>IFERROR(__xludf.DUMMYFUNCTION("""COMPUTED_VALUE"""),"Head of Global Strategic Accounts")</f>
        <v>Head of Global Strategic Accounts</v>
      </c>
      <c r="F593" s="448" t="str">
        <f>IFERROR(__xludf.DUMMYFUNCTION("""COMPUTED_VALUE"""),"Linkedin")</f>
        <v>Linkedin</v>
      </c>
      <c r="G593" s="446"/>
      <c r="H593" s="446" t="str">
        <f>IFERROR(__xludf.DUMMYFUNCTION("""COMPUTED_VALUE"""),"Relacionamento Interpessoal")</f>
        <v>Relacionamento Interpessoal</v>
      </c>
      <c r="I593" s="446" t="str">
        <f>IFERROR(__xludf.DUMMYFUNCTION("""COMPUTED_VALUE"""),"Liderança e Influência")</f>
        <v>Liderança e Influência</v>
      </c>
      <c r="J593" s="446" t="str">
        <f>IFERROR(__xludf.DUMMYFUNCTION("""COMPUTED_VALUE"""),"Credibilidade e Reputação")</f>
        <v>Credibilidade e Reputação</v>
      </c>
      <c r="K593" s="275" t="str">
        <f>IFERROR(__xludf.DUMMYFUNCTION("""COMPUTED_VALUE"""),"https://universidade.pipelovers.net/m/lessons/como-construir-autoridade-e-confianca-com-contas-estrategicas1769552313019?classId=3034")</f>
        <v>https://universidade.pipelovers.net/m/lessons/como-construir-autoridade-e-confianca-com-contas-estrategicas1769552313019?classId=3034</v>
      </c>
      <c r="L593" s="535" t="str">
        <f>IFERROR(__xludf.DUMMYFUNCTION("""COMPUTED_VALUE"""),"https://universidade.pipelovers.net/m/lessons/como-construir-autoridade-e-confianca-com-contas-estrategicas1769552313019?classId=3034")</f>
        <v>https://universidade.pipelovers.net/m/lessons/como-construir-autoridade-e-confianca-com-contas-estrategicas1769552313019?classId=3034</v>
      </c>
      <c r="M593" s="1085">
        <f>IFERROR(__xludf.DUMMYFUNCTION("""COMPUTED_VALUE"""),1.0)</f>
        <v>1</v>
      </c>
      <c r="N593" s="1081" t="str">
        <f>IFERROR(__xludf.DUMMYFUNCTION("""COMPUTED_VALUE"""),"143. PipeLovers 💙 Gestão Comercial_ _Como construir autoridade e confiança com contas estratégicas_ com - 2025_08_26 12_48 GMT-03_00 - descript.mp4")</f>
        <v>143. PipeLovers 💙 Gestão Comercial_ _Como construir autoridade e confiança com contas estratégicas_ com - 2025_08_26 12_48 GMT-03_00 - descript.mp4</v>
      </c>
      <c r="O593" s="218" t="str">
        <f>IFERROR(__xludf.DUMMYFUNCTION("""COMPUTED_VALUE"""),"")</f>
        <v/>
      </c>
      <c r="P593" s="952">
        <f>IFERROR(__xludf.DUMMYFUNCTION("""COMPUTED_VALUE"""),45909.0)</f>
        <v>45909</v>
      </c>
      <c r="Q593" s="218"/>
    </row>
    <row r="594">
      <c r="A594" s="73"/>
      <c r="B594" s="1129" t="str">
        <f>IFERROR(__xludf.DUMMYFUNCTION("""COMPUTED_VALUE"""),"Líderes de Vendas")</f>
        <v>Líderes de Vendas</v>
      </c>
      <c r="C594" s="555" t="str">
        <f>IFERROR(__xludf.DUMMYFUNCTION("""COMPUTED_VALUE"""),"Crescimento orientado pela experiência do cliente")</f>
        <v>Crescimento orientado pela experiência do cliente</v>
      </c>
      <c r="D594" s="173" t="str">
        <f>IFERROR(__xludf.DUMMYFUNCTION("""COMPUTED_VALUE"""),"Carolina Nucci")</f>
        <v>Carolina Nucci</v>
      </c>
      <c r="E594" s="174" t="str">
        <f>IFERROR(__xludf.DUMMYFUNCTION("""COMPUTED_VALUE"""),"Cofundadora e CMO")</f>
        <v>Cofundadora e CMO</v>
      </c>
      <c r="F594" s="478" t="str">
        <f>IFERROR(__xludf.DUMMYFUNCTION("""COMPUTED_VALUE"""),"CONECTAS")</f>
        <v>CONECTAS</v>
      </c>
      <c r="G594" s="446"/>
      <c r="H594" s="446" t="str">
        <f>IFERROR(__xludf.DUMMYFUNCTION("""COMPUTED_VALUE"""),"Relacionamento Interpessoal")</f>
        <v>Relacionamento Interpessoal</v>
      </c>
      <c r="I594" s="446" t="str">
        <f>IFERROR(__xludf.DUMMYFUNCTION("""COMPUTED_VALUE"""),"Gestão de Canais")</f>
        <v>Gestão de Canais</v>
      </c>
      <c r="J594" s="446"/>
      <c r="K594" s="275" t="str">
        <f>IFERROR(__xludf.DUMMYFUNCTION("""COMPUTED_VALUE"""),"https://universidade.pipelovers.net/m/lessons/crescimento-orientado-pela-experiencia-do-cliente1769552324183?classId=3030")</f>
        <v>https://universidade.pipelovers.net/m/lessons/crescimento-orientado-pela-experiencia-do-cliente1769552324183?classId=3030</v>
      </c>
      <c r="L594" s="535" t="str">
        <f>IFERROR(__xludf.DUMMYFUNCTION("""COMPUTED_VALUE"""),"https://universidade.pipelovers.net/m/lessons/crescimento-orientado-pela-experiencia-do-cliente1769552324183?classId=3030")</f>
        <v>https://universidade.pipelovers.net/m/lessons/crescimento-orientado-pela-experiencia-do-cliente1769552324183?classId=3030</v>
      </c>
      <c r="M594" s="1082">
        <f>IFERROR(__xludf.DUMMYFUNCTION("""COMPUTED_VALUE"""),1.0)</f>
        <v>1</v>
      </c>
      <c r="N594" s="1083"/>
      <c r="O594" s="218" t="str">
        <f>IFERROR(__xludf.DUMMYFUNCTION("""COMPUTED_VALUE"""),"")</f>
        <v/>
      </c>
      <c r="P594" s="952">
        <f>IFERROR(__xludf.DUMMYFUNCTION("""COMPUTED_VALUE"""),45916.0)</f>
        <v>45916</v>
      </c>
      <c r="Q594" s="218"/>
    </row>
    <row r="595">
      <c r="A595" s="73"/>
      <c r="B595" s="1129" t="str">
        <f>IFERROR(__xludf.DUMMYFUNCTION("""COMPUTED_VALUE"""),"Líderes de Vendas")</f>
        <v>Líderes de Vendas</v>
      </c>
      <c r="C595" s="481" t="str">
        <f>IFERROR(__xludf.DUMMYFUNCTION("""COMPUTED_VALUE"""),"Liderança sob pressão: como manter foco e equilíbrio")</f>
        <v>Liderança sob pressão: como manter foco e equilíbrio</v>
      </c>
      <c r="D595" s="175" t="str">
        <f>IFERROR(__xludf.DUMMYFUNCTION("""COMPUTED_VALUE"""),"Paola Behs")</f>
        <v>Paola Behs</v>
      </c>
      <c r="E595" s="174" t="str">
        <f>IFERROR(__xludf.DUMMYFUNCTION("""COMPUTED_VALUE"""),"CEO")</f>
        <v>CEO</v>
      </c>
      <c r="F595" s="478" t="str">
        <f>IFERROR(__xludf.DUMMYFUNCTION("""COMPUTED_VALUE"""),"PZB Mentoria e Consultoria")</f>
        <v>PZB Mentoria e Consultoria</v>
      </c>
      <c r="G595" s="447" t="str">
        <f>IFERROR(__xludf.DUMMYFUNCTION("""COMPUTED_VALUE"""),"https://www.linkedin.com/in/paola-behs/")</f>
        <v>https://www.linkedin.com/in/paola-behs/</v>
      </c>
      <c r="H595" s="446" t="str">
        <f>IFERROR(__xludf.DUMMYFUNCTION("""COMPUTED_VALUE"""),"Relacionamento Interpessoal")</f>
        <v>Relacionamento Interpessoal</v>
      </c>
      <c r="I595" s="446" t="str">
        <f>IFERROR(__xludf.DUMMYFUNCTION("""COMPUTED_VALUE"""),"Gestão de Canais")</f>
        <v>Gestão de Canais</v>
      </c>
      <c r="J595" s="446"/>
      <c r="K595" s="275" t="str">
        <f>IFERROR(__xludf.DUMMYFUNCTION("""COMPUTED_VALUE"""),"https://universidade.pipelovers.net/m/lessons/lideranca-sob-pressao-como-manter-foco-e-equilibrio1769552324340?classId=3035")</f>
        <v>https://universidade.pipelovers.net/m/lessons/lideranca-sob-pressao-como-manter-foco-e-equilibrio1769552324340?classId=3035</v>
      </c>
      <c r="L595" s="535" t="str">
        <f>IFERROR(__xludf.DUMMYFUNCTION("""COMPUTED_VALUE"""),"https://universidade.pipelovers.net/m/lessons/lideranca-sob-pressao-como-manter-foco-e-equilibrio1769552324340?classId=3035")</f>
        <v>https://universidade.pipelovers.net/m/lessons/lideranca-sob-pressao-como-manter-foco-e-equilibrio1769552324340?classId=3035</v>
      </c>
      <c r="M595" s="1085">
        <f>IFERROR(__xludf.DUMMYFUNCTION("""COMPUTED_VALUE"""),0.0)</f>
        <v>0</v>
      </c>
      <c r="N595" s="1083" t="str">
        <f>IFERROR(__xludf.DUMMYFUNCTION("""COMPUTED_VALUE"""),"146. PipeLovers 💙 Gestão Comercial_ _Gestão de expectativas com pares e liderança_ com Renata Feltrin - 2025_09_16 16_52 GMT-03_00 - descript.mp4")</f>
        <v>146. PipeLovers 💙 Gestão Comercial_ _Gestão de expectativas com pares e liderança_ com Renata Feltrin - 2025_09_16 16_52 GMT-03_00 - descript.mp4</v>
      </c>
      <c r="O595" s="218" t="str">
        <f>IFERROR(__xludf.DUMMYFUNCTION("""COMPUTED_VALUE"""),"")</f>
        <v/>
      </c>
      <c r="P595" s="952">
        <f>IFERROR(__xludf.DUMMYFUNCTION("""COMPUTED_VALUE"""),45923.0)</f>
        <v>45923</v>
      </c>
      <c r="Q595" s="218"/>
    </row>
    <row r="596">
      <c r="A596" s="73"/>
      <c r="B596" s="1129" t="str">
        <f>IFERROR(__xludf.DUMMYFUNCTION("""COMPUTED_VALUE"""),"Líderes de Vendas")</f>
        <v>Líderes de Vendas</v>
      </c>
      <c r="C596" s="555" t="str">
        <f>IFERROR(__xludf.DUMMYFUNCTION("""COMPUTED_VALUE"""),"Gestão de expectativas com pares e liderança")</f>
        <v>Gestão de expectativas com pares e liderança</v>
      </c>
      <c r="D596" s="173" t="str">
        <f>IFERROR(__xludf.DUMMYFUNCTION("""COMPUTED_VALUE"""),"Renata Feltrin")</f>
        <v>Renata Feltrin</v>
      </c>
      <c r="E596" s="174" t="str">
        <f>IFERROR(__xludf.DUMMYFUNCTION("""COMPUTED_VALUE"""),"Co-Founder")</f>
        <v>Co-Founder</v>
      </c>
      <c r="F596" s="1089" t="str">
        <f>IFERROR(__xludf.DUMMYFUNCTION("""COMPUTED_VALUE"""),"FORWD.co")</f>
        <v>FORWD.co</v>
      </c>
      <c r="G596" s="446"/>
      <c r="H596" s="446" t="str">
        <f>IFERROR(__xludf.DUMMYFUNCTION("""COMPUTED_VALUE"""),"Relacionamento Interpessoal")</f>
        <v>Relacionamento Interpessoal</v>
      </c>
      <c r="I596" s="446" t="str">
        <f>IFERROR(__xludf.DUMMYFUNCTION("""COMPUTED_VALUE"""),"Comunicação e Relacionamento")</f>
        <v>Comunicação e Relacionamento</v>
      </c>
      <c r="J596" s="446" t="str">
        <f>IFERROR(__xludf.DUMMYFUNCTION("""COMPUTED_VALUE"""),"Dar e Receber Feedbacks")</f>
        <v>Dar e Receber Feedbacks</v>
      </c>
      <c r="K596" s="275" t="str">
        <f>IFERROR(__xludf.DUMMYFUNCTION("""COMPUTED_VALUE"""),"https://universidade.pipelovers.net/m/lessons/gestao-de-expectativas-com-pares-e-lideranca1769552324424?classId=3036")</f>
        <v>https://universidade.pipelovers.net/m/lessons/gestao-de-expectativas-com-pares-e-lideranca1769552324424?classId=3036</v>
      </c>
      <c r="L596" s="535" t="str">
        <f>IFERROR(__xludf.DUMMYFUNCTION("""COMPUTED_VALUE"""),"https://universidade.pipelovers.net/m/lessons/gestao-de-expectativas-com-pares-e-lideranca1769552324424?classId=3036")</f>
        <v>https://universidade.pipelovers.net/m/lessons/gestao-de-expectativas-com-pares-e-lideranca1769552324424?classId=3036</v>
      </c>
      <c r="M596" s="1085">
        <f>IFERROR(__xludf.DUMMYFUNCTION("""COMPUTED_VALUE"""),2.0)</f>
        <v>2</v>
      </c>
      <c r="N596" s="1081" t="str">
        <f>IFERROR(__xludf.DUMMYFUNCTION("""COMPUTED_VALUE"""),"147. PipeLovers 💙 Gestão Comercial Ritual de Pipeline Review individual estrutura e implantação com Rafael Rosa- descript.mp4")</f>
        <v>147. PipeLovers 💙 Gestão Comercial Ritual de Pipeline Review individual estrutura e implantação com Rafael Rosa- descript.mp4</v>
      </c>
      <c r="O596" s="218" t="str">
        <f>IFERROR(__xludf.DUMMYFUNCTION("""COMPUTED_VALUE"""),"")</f>
        <v/>
      </c>
      <c r="P596" s="952">
        <f>IFERROR(__xludf.DUMMYFUNCTION("""COMPUTED_VALUE"""),45930.0)</f>
        <v>45930</v>
      </c>
      <c r="Q596" s="218"/>
    </row>
    <row r="597">
      <c r="A597" s="73"/>
      <c r="B597" s="1129" t="str">
        <f>IFERROR(__xludf.DUMMYFUNCTION("""COMPUTED_VALUE"""),"Líderes de Vendas")</f>
        <v>Líderes de Vendas</v>
      </c>
      <c r="C597" s="481" t="str">
        <f>IFERROR(__xludf.DUMMYFUNCTION("""COMPUTED_VALUE"""),"Ritual de Pipeline Review individual: estrutura e implantação")</f>
        <v>Ritual de Pipeline Review individual: estrutura e implantação</v>
      </c>
      <c r="D597" s="175" t="str">
        <f>IFERROR(__xludf.DUMMYFUNCTION("""COMPUTED_VALUE"""),"Rafael Rosa")</f>
        <v>Rafael Rosa</v>
      </c>
      <c r="E597" s="174" t="str">
        <f>IFERROR(__xludf.DUMMYFUNCTION("""COMPUTED_VALUE"""),"Líder Comercial")</f>
        <v>Líder Comercial</v>
      </c>
      <c r="F597" s="478" t="str">
        <f>IFERROR(__xludf.DUMMYFUNCTION("""COMPUTED_VALUE"""),"Econodata")</f>
        <v>Econodata</v>
      </c>
      <c r="G597" s="446"/>
      <c r="H597" s="446" t="str">
        <f>IFERROR(__xludf.DUMMYFUNCTION("""COMPUTED_VALUE"""),"Conhecimento Técnico")</f>
        <v>Conhecimento Técnico</v>
      </c>
      <c r="I597" s="446" t="str">
        <f>IFERROR(__xludf.DUMMYFUNCTION("""COMPUTED_VALUE"""),"Gestão de Vendas")</f>
        <v>Gestão de Vendas</v>
      </c>
      <c r="J597" s="446" t="str">
        <f>IFERROR(__xludf.DUMMYFUNCTION("""COMPUTED_VALUE"""),"Rotinas e Rituais")</f>
        <v>Rotinas e Rituais</v>
      </c>
      <c r="K597" s="275" t="str">
        <f>IFERROR(__xludf.DUMMYFUNCTION("""COMPUTED_VALUE"""),"https://universidade.pipelovers.net/m/lessons/ritual-de-pipeline-review-individual-estrutura-e-implantacao1769552324452?classId=3308")</f>
        <v>https://universidade.pipelovers.net/m/lessons/ritual-de-pipeline-review-individual-estrutura-e-implantacao1769552324452?classId=3308</v>
      </c>
      <c r="L597" s="535" t="str">
        <f>IFERROR(__xludf.DUMMYFUNCTION("""COMPUTED_VALUE"""),"https://universidade.pipelovers.net/m/lessons/ritual-de-pipeline-review-individual-estrutura-e-implantacao1769552324452?classId=3308")</f>
        <v>https://universidade.pipelovers.net/m/lessons/ritual-de-pipeline-review-individual-estrutura-e-implantacao1769552324452?classId=3308</v>
      </c>
      <c r="M597" s="1082">
        <f>IFERROR(__xludf.DUMMYFUNCTION("""COMPUTED_VALUE"""),2.0)</f>
        <v>2</v>
      </c>
      <c r="N597" s="472" t="str">
        <f>IFERROR(__xludf.DUMMYFUNCTION("""COMPUTED_VALUE"""),"148. PipeLovers 💙 Gestão Comercial O papel do gestor comercial na geração de demanda com Gustavo Gadotti-DESCRIPT.mp4")</f>
        <v>148. PipeLovers 💙 Gestão Comercial O papel do gestor comercial na geração de demanda com Gustavo Gadotti-DESCRIPT.mp4</v>
      </c>
      <c r="O597" s="218" t="str">
        <f>IFERROR(__xludf.DUMMYFUNCTION("""COMPUTED_VALUE"""),"")</f>
        <v/>
      </c>
      <c r="P597" s="952">
        <f>IFERROR(__xludf.DUMMYFUNCTION("""COMPUTED_VALUE"""),45937.0)</f>
        <v>45937</v>
      </c>
      <c r="Q597" s="218"/>
    </row>
    <row r="598">
      <c r="A598" s="73"/>
      <c r="B598" s="1129" t="str">
        <f>IFERROR(__xludf.DUMMYFUNCTION("""COMPUTED_VALUE"""),"Líderes de Vendas")</f>
        <v>Líderes de Vendas</v>
      </c>
      <c r="C598" s="555" t="str">
        <f>IFERROR(__xludf.DUMMYFUNCTION("""COMPUTED_VALUE"""),"O papel do gestor comercial na geração de demanda")</f>
        <v>O papel do gestor comercial na geração de demanda</v>
      </c>
      <c r="D598" s="173" t="str">
        <f>IFERROR(__xludf.DUMMYFUNCTION("""COMPUTED_VALUE"""),"Gustavo Gadotti")</f>
        <v>Gustavo Gadotti</v>
      </c>
      <c r="E598" s="174" t="str">
        <f>IFERROR(__xludf.DUMMYFUNCTION("""COMPUTED_VALUE"""),"Sócio e Diretor")</f>
        <v>Sócio e Diretor</v>
      </c>
      <c r="F598" s="478" t="str">
        <f>IFERROR(__xludf.DUMMYFUNCTION("""COMPUTED_VALUE"""),"CRMBonus")</f>
        <v>CRMBonus</v>
      </c>
      <c r="G598" s="447" t="str">
        <f>IFERROR(__xludf.DUMMYFUNCTION("""COMPUTED_VALUE"""),"https://www.linkedin.com/in/gustavogadotti/")</f>
        <v>https://www.linkedin.com/in/gustavogadotti/</v>
      </c>
      <c r="H598" s="446" t="str">
        <f>IFERROR(__xludf.DUMMYFUNCTION("""COMPUTED_VALUE"""),"Conhecimento Técnico")</f>
        <v>Conhecimento Técnico</v>
      </c>
      <c r="I598" s="446" t="str">
        <f>IFERROR(__xludf.DUMMYFUNCTION("""COMPUTED_VALUE"""),"Gestão de vendas")</f>
        <v>Gestão de vendas</v>
      </c>
      <c r="J598" s="446" t="str">
        <f>IFERROR(__xludf.DUMMYFUNCTION("""COMPUTED_VALUE"""),"Planejamento Comercial")</f>
        <v>Planejamento Comercial</v>
      </c>
      <c r="K598" s="275" t="str">
        <f>IFERROR(__xludf.DUMMYFUNCTION("""COMPUTED_VALUE"""),"https://universidade.pipelovers.net/m/lessons/o-papel-do-gestor-comercial-na-geracao-de-demanda1769552324479?classId=3309")</f>
        <v>https://universidade.pipelovers.net/m/lessons/o-papel-do-gestor-comercial-na-geracao-de-demanda1769552324479?classId=3309</v>
      </c>
      <c r="L598" s="535" t="str">
        <f>IFERROR(__xludf.DUMMYFUNCTION("""COMPUTED_VALUE"""),"https://universidade.pipelovers.net/m/lessons/o-papel-do-gestor-comercial-na-geracao-de-demanda1769552324479?classId=3309")</f>
        <v>https://universidade.pipelovers.net/m/lessons/o-papel-do-gestor-comercial-na-geracao-de-demanda1769552324479?classId=3309</v>
      </c>
      <c r="M598" s="117">
        <f>IFERROR(__xludf.DUMMYFUNCTION("""COMPUTED_VALUE"""),4.71)</f>
        <v>4.71</v>
      </c>
      <c r="N598" s="472" t="str">
        <f>IFERROR(__xludf.DUMMYFUNCTION("""COMPUTED_VALUE"""),"149. PipeLovers 💙 Gestão Comercial Teoria da evolução da natureza aplicada à vendas com Guilherme Gennari-descript.mp4")</f>
        <v>149. PipeLovers 💙 Gestão Comercial Teoria da evolução da natureza aplicada à vendas com Guilherme Gennari-descript.mp4</v>
      </c>
      <c r="O598" s="218" t="str">
        <f>IFERROR(__xludf.DUMMYFUNCTION("""COMPUTED_VALUE"""),"")</f>
        <v/>
      </c>
      <c r="P598" s="952">
        <f>IFERROR(__xludf.DUMMYFUNCTION("""COMPUTED_VALUE"""),45944.0)</f>
        <v>45944</v>
      </c>
      <c r="Q598" s="218"/>
    </row>
    <row r="599">
      <c r="A599" s="73"/>
      <c r="B599" s="1129" t="str">
        <f>IFERROR(__xludf.DUMMYFUNCTION("""COMPUTED_VALUE"""),"Líderes de Vendas")</f>
        <v>Líderes de Vendas</v>
      </c>
      <c r="C599" s="481" t="str">
        <f>IFERROR(__xludf.DUMMYFUNCTION("""COMPUTED_VALUE"""),"Teoria da evolução da natureza aplicada à vendas")</f>
        <v>Teoria da evolução da natureza aplicada à vendas</v>
      </c>
      <c r="D599" s="175" t="str">
        <f>IFERROR(__xludf.DUMMYFUNCTION("""COMPUTED_VALUE"""),"Guilherme Gennari")</f>
        <v>Guilherme Gennari</v>
      </c>
      <c r="E599" s="174" t="str">
        <f>IFERROR(__xludf.DUMMYFUNCTION("""COMPUTED_VALUE"""),"Fundador")</f>
        <v>Fundador</v>
      </c>
      <c r="F599" s="478" t="str">
        <f>IFERROR(__xludf.DUMMYFUNCTION("""COMPUTED_VALUE"""),"Iandé")</f>
        <v>Iandé</v>
      </c>
      <c r="G599" s="446"/>
      <c r="H599" s="446" t="str">
        <f>IFERROR(__xludf.DUMMYFUNCTION("""COMPUTED_VALUE"""),"Visão de Negócios")</f>
        <v>Visão de Negócios</v>
      </c>
      <c r="I599" s="446" t="str">
        <f>IFERROR(__xludf.DUMMYFUNCTION("""COMPUTED_VALUE"""),"Tendencias de mercado")</f>
        <v>Tendencias de mercado</v>
      </c>
      <c r="J599" s="446" t="str">
        <f>IFERROR(__xludf.DUMMYFUNCTION("""COMPUTED_VALUE"""),"Tendencias do Setor")</f>
        <v>Tendencias do Setor</v>
      </c>
      <c r="K599" s="275" t="str">
        <f>IFERROR(__xludf.DUMMYFUNCTION("""COMPUTED_VALUE"""),"https://universidade.pipelovers.net/m/lessons/teoria-da-evolucao-da-natureza-aplicada-a-vendas1769552324507?classId=3310")</f>
        <v>https://universidade.pipelovers.net/m/lessons/teoria-da-evolucao-da-natureza-aplicada-a-vendas1769552324507?classId=3310</v>
      </c>
      <c r="L599" s="535" t="str">
        <f>IFERROR(__xludf.DUMMYFUNCTION("""COMPUTED_VALUE"""),"https://universidade.pipelovers.net/m/lessons/teoria-da-evolucao-da-natureza-aplicada-a-vendas1769552324507?classId=3310")</f>
        <v>https://universidade.pipelovers.net/m/lessons/teoria-da-evolucao-da-natureza-aplicada-a-vendas1769552324507?classId=3310</v>
      </c>
      <c r="M599" s="117">
        <f>IFERROR(__xludf.DUMMYFUNCTION("""COMPUTED_VALUE"""),4.36)</f>
        <v>4.36</v>
      </c>
      <c r="N599" s="472" t="str">
        <f>IFERROR(__xludf.DUMMYFUNCTION("""COMPUTED_VALUE"""),"150. PipeLovers 💙 Gestão Comercial Otimização de processos manuais com IA com Tainah Escocard-descript.mp4")</f>
        <v>150. PipeLovers 💙 Gestão Comercial Otimização de processos manuais com IA com Tainah Escocard-descript.mp4</v>
      </c>
      <c r="O599" s="218" t="str">
        <f>IFERROR(__xludf.DUMMYFUNCTION("""COMPUTED_VALUE"""),"")</f>
        <v/>
      </c>
      <c r="P599" s="952">
        <f>IFERROR(__xludf.DUMMYFUNCTION("""COMPUTED_VALUE"""),45951.0)</f>
        <v>45951</v>
      </c>
      <c r="Q599" s="218"/>
    </row>
    <row r="600">
      <c r="A600" s="73"/>
      <c r="B600" s="1129" t="str">
        <f>IFERROR(__xludf.DUMMYFUNCTION("""COMPUTED_VALUE"""),"Líderes de Vendas")</f>
        <v>Líderes de Vendas</v>
      </c>
      <c r="C600" s="555" t="str">
        <f>IFERROR(__xludf.DUMMYFUNCTION("""COMPUTED_VALUE"""),"Otimização de processos manuais com IA")</f>
        <v>Otimização de processos manuais com IA</v>
      </c>
      <c r="D600" s="173" t="str">
        <f>IFERROR(__xludf.DUMMYFUNCTION("""COMPUTED_VALUE"""),"Tainah Escocard")</f>
        <v>Tainah Escocard</v>
      </c>
      <c r="E600" s="110" t="str">
        <f>IFERROR(__xludf.DUMMYFUNCTION("""COMPUTED_VALUE"""),"CBDO")</f>
        <v>CBDO</v>
      </c>
      <c r="F600" s="478" t="str">
        <f>IFERROR(__xludf.DUMMYFUNCTION("""COMPUTED_VALUE"""),"8D Hubify")</f>
        <v>8D Hubify</v>
      </c>
      <c r="G600" s="1133"/>
      <c r="H600" s="446" t="str">
        <f>IFERROR(__xludf.DUMMYFUNCTION("""COMPUTED_VALUE"""),"Visão de Negócios")</f>
        <v>Visão de Negócios</v>
      </c>
      <c r="I600" s="446" t="str">
        <f>IFERROR(__xludf.DUMMYFUNCTION("""COMPUTED_VALUE"""),"Tendências de Mercado")</f>
        <v>Tendências de Mercado</v>
      </c>
      <c r="J600" s="446" t="str">
        <f>IFERROR(__xludf.DUMMYFUNCTION("""COMPUTED_VALUE"""),"Inovações Tecnológicas")</f>
        <v>Inovações Tecnológicas</v>
      </c>
      <c r="K600" s="275" t="str">
        <f>IFERROR(__xludf.DUMMYFUNCTION("""COMPUTED_VALUE"""),"https://universidade.pipelovers.net/m/lessons/otimizacao-de-processos-manuais-com-ia1769552324535?classId=3312")</f>
        <v>https://universidade.pipelovers.net/m/lessons/otimizacao-de-processos-manuais-com-ia1769552324535?classId=3312</v>
      </c>
      <c r="L600" s="535" t="str">
        <f>IFERROR(__xludf.DUMMYFUNCTION("""COMPUTED_VALUE"""),"https://universidade.pipelovers.net/m/lessons/otimizacao-de-processos-manuais-com-ia1769552324535?classId=3312")</f>
        <v>https://universidade.pipelovers.net/m/lessons/otimizacao-de-processos-manuais-com-ia1769552324535?classId=3312</v>
      </c>
      <c r="M600" s="117">
        <f>IFERROR(__xludf.DUMMYFUNCTION("""COMPUTED_VALUE"""),2.0)</f>
        <v>2</v>
      </c>
      <c r="N600" s="472" t="str">
        <f>IFERROR(__xludf.DUMMYFUNCTION("""COMPUTED_VALUE"""),"151. PipeLovers 💙 Gestão Comercial Desaprender para vender como aplicar a metodologia Sandler no dia a dia com Carlo Hauschild-descript.mp4")</f>
        <v>151. PipeLovers 💙 Gestão Comercial Desaprender para vender como aplicar a metodologia Sandler no dia a dia com Carlo Hauschild-descript.mp4</v>
      </c>
      <c r="O600" s="218" t="str">
        <f>IFERROR(__xludf.DUMMYFUNCTION("""COMPUTED_VALUE"""),"")</f>
        <v/>
      </c>
      <c r="P600" s="952">
        <f>IFERROR(__xludf.DUMMYFUNCTION("""COMPUTED_VALUE"""),45958.0)</f>
        <v>45958</v>
      </c>
      <c r="Q600" s="218"/>
    </row>
    <row r="601">
      <c r="A601" s="73"/>
      <c r="B601" s="1129" t="str">
        <f>IFERROR(__xludf.DUMMYFUNCTION("""COMPUTED_VALUE"""),"Líderes de Vendas")</f>
        <v>Líderes de Vendas</v>
      </c>
      <c r="C601" s="481" t="str">
        <f>IFERROR(__xludf.DUMMYFUNCTION("""COMPUTED_VALUE"""),"Desaprender para vender: como aplicar a metodologia Sandler no dia a dia")</f>
        <v>Desaprender para vender: como aplicar a metodologia Sandler no dia a dia</v>
      </c>
      <c r="D601" s="175" t="str">
        <f>IFERROR(__xludf.DUMMYFUNCTION("""COMPUTED_VALUE"""),"Carlo Hauschild")</f>
        <v>Carlo Hauschild</v>
      </c>
      <c r="E601" s="110" t="str">
        <f>IFERROR(__xludf.DUMMYFUNCTION("""COMPUTED_VALUE"""),"CEO")</f>
        <v>CEO</v>
      </c>
      <c r="F601" s="478" t="str">
        <f>IFERROR(__xludf.DUMMYFUNCTION("""COMPUTED_VALUE"""),"Sandler Brasil")</f>
        <v>Sandler Brasil</v>
      </c>
      <c r="G601" s="446"/>
      <c r="H601" s="446" t="str">
        <f>IFERROR(__xludf.DUMMYFUNCTION("""COMPUTED_VALUE"""),"Conhecimento Técnico")</f>
        <v>Conhecimento Técnico</v>
      </c>
      <c r="I601" s="446" t="str">
        <f>IFERROR(__xludf.DUMMYFUNCTION("""COMPUTED_VALUE"""),"Gestão de Vendas")</f>
        <v>Gestão de Vendas</v>
      </c>
      <c r="J601" s="446" t="str">
        <f>IFERROR(__xludf.DUMMYFUNCTION("""COMPUTED_VALUE"""),"Metodologias de Vendas")</f>
        <v>Metodologias de Vendas</v>
      </c>
      <c r="K601" s="275" t="str">
        <f>IFERROR(__xludf.DUMMYFUNCTION("""COMPUTED_VALUE"""),"https://universidade.pipelovers.net/m/lessons/desaprender-para-vender-como-aplicar-a-metodologia-sandler-no-dia-a-dia1769552324562?classId=3313")</f>
        <v>https://universidade.pipelovers.net/m/lessons/desaprender-para-vender-como-aplicar-a-metodologia-sandler-no-dia-a-dia1769552324562?classId=3313</v>
      </c>
      <c r="L601" s="535" t="str">
        <f>IFERROR(__xludf.DUMMYFUNCTION("""COMPUTED_VALUE"""),"https://universidade.pipelovers.net/m/lessons/desaprender-para-vender-como-aplicar-a-metodologia-sandler-no-dia-a-dia1769552324562?classId=3313")</f>
        <v>https://universidade.pipelovers.net/m/lessons/desaprender-para-vender-como-aplicar-a-metodologia-sandler-no-dia-a-dia1769552324562?classId=3313</v>
      </c>
      <c r="M601" s="117">
        <f>IFERROR(__xludf.DUMMYFUNCTION("""COMPUTED_VALUE"""),1.0)</f>
        <v>1</v>
      </c>
      <c r="N601" s="472" t="str">
        <f>IFERROR(__xludf.DUMMYFUNCTION("""COMPUTED_VALUE"""),"152. PipeLovers 💙 Gestão Comercial Como a experiência do cliente é potencializada pela tecnologia com Denise Freire e Newton Medeiros-descript.mp4")</f>
        <v>152. PipeLovers 💙 Gestão Comercial Como a experiência do cliente é potencializada pela tecnologia com Denise Freire e Newton Medeiros-descript.mp4</v>
      </c>
      <c r="O601" s="218" t="str">
        <f>IFERROR(__xludf.DUMMYFUNCTION("""COMPUTED_VALUE"""),"")</f>
        <v/>
      </c>
      <c r="P601" s="952">
        <f>IFERROR(__xludf.DUMMYFUNCTION("""COMPUTED_VALUE"""),45965.0)</f>
        <v>45965</v>
      </c>
      <c r="Q601" s="218"/>
    </row>
    <row r="602">
      <c r="A602" s="73"/>
      <c r="B602" s="1129" t="str">
        <f>IFERROR(__xludf.DUMMYFUNCTION("""COMPUTED_VALUE"""),"Líderes de Vendas")</f>
        <v>Líderes de Vendas</v>
      </c>
      <c r="C602" s="555" t="str">
        <f>IFERROR(__xludf.DUMMYFUNCTION("""COMPUTED_VALUE"""),"Como a experiência do cliente é potencializada pela tecnologia")</f>
        <v>Como a experiência do cliente é potencializada pela tecnologia</v>
      </c>
      <c r="D602" s="173" t="str">
        <f>IFERROR(__xludf.DUMMYFUNCTION("""COMPUTED_VALUE"""),"Denise Freire e Newton Medeiros")</f>
        <v>Denise Freire e Newton Medeiros</v>
      </c>
      <c r="E602" s="110" t="str">
        <f>IFERROR(__xludf.DUMMYFUNCTION("""COMPUTED_VALUE"""),"Sr. Regional Partner Manager")</f>
        <v>Sr. Regional Partner Manager</v>
      </c>
      <c r="F602" s="478" t="str">
        <f>IFERROR(__xludf.DUMMYFUNCTION("""COMPUTED_VALUE"""),"GoTo")</f>
        <v>GoTo</v>
      </c>
      <c r="G602" s="446"/>
      <c r="H602" s="446" t="str">
        <f>IFERROR(__xludf.DUMMYFUNCTION("""COMPUTED_VALUE"""),"Visão de Negócios")</f>
        <v>Visão de Negócios</v>
      </c>
      <c r="I602" s="446" t="str">
        <f>IFERROR(__xludf.DUMMYFUNCTION("""COMPUTED_VALUE"""),"Tendências de Mercado")</f>
        <v>Tendências de Mercado</v>
      </c>
      <c r="J602" s="446" t="str">
        <f>IFERROR(__xludf.DUMMYFUNCTION("""COMPUTED_VALUE"""),"Inovações Tecnológicas")</f>
        <v>Inovações Tecnológicas</v>
      </c>
      <c r="K602" s="275" t="str">
        <f>IFERROR(__xludf.DUMMYFUNCTION("""COMPUTED_VALUE"""),"https://universidade.pipelovers.net/m/lessons/como-a-experiencia-do-cliente-e-potencializada-pela-tecnologia1769552324589?classId=3315")</f>
        <v>https://universidade.pipelovers.net/m/lessons/como-a-experiencia-do-cliente-e-potencializada-pela-tecnologia1769552324589?classId=3315</v>
      </c>
      <c r="L602" s="535" t="str">
        <f>IFERROR(__xludf.DUMMYFUNCTION("""COMPUTED_VALUE"""),"https://universidade.pipelovers.net/m/lessons/como-a-experiencia-do-cliente-e-potencializada-pela-tecnologia1769552324589?classId=3315")</f>
        <v>https://universidade.pipelovers.net/m/lessons/como-a-experiencia-do-cliente-e-potencializada-pela-tecnologia1769552324589?classId=3315</v>
      </c>
      <c r="M602" s="117">
        <f>IFERROR(__xludf.DUMMYFUNCTION("""COMPUTED_VALUE"""),3.57)</f>
        <v>3.57</v>
      </c>
      <c r="N602" s="472" t="str">
        <f>IFERROR(__xludf.DUMMYFUNCTION("""COMPUTED_VALUE"""),"153. PipeLovers 💙 Gestão Comercial Prova de Conceito (POC) quando usar, como alinhar e gerar conversão com Rafael Gontijo-descript.mp4")</f>
        <v>153. PipeLovers 💙 Gestão Comercial Prova de Conceito (POC) quando usar, como alinhar e gerar conversão com Rafael Gontijo-descript.mp4</v>
      </c>
      <c r="O602" s="218" t="str">
        <f>IFERROR(__xludf.DUMMYFUNCTION("""COMPUTED_VALUE"""),"")</f>
        <v/>
      </c>
      <c r="P602" s="952">
        <f>IFERROR(__xludf.DUMMYFUNCTION("""COMPUTED_VALUE"""),45972.0)</f>
        <v>45972</v>
      </c>
      <c r="Q602" s="218"/>
    </row>
    <row r="603">
      <c r="A603" s="73"/>
      <c r="B603" s="1129" t="str">
        <f>IFERROR(__xludf.DUMMYFUNCTION("""COMPUTED_VALUE"""),"Líderes de Vendas")</f>
        <v>Líderes de Vendas</v>
      </c>
      <c r="C603" s="216" t="str">
        <f>IFERROR(__xludf.DUMMYFUNCTION("""COMPUTED_VALUE"""),"Prova de Conceito (POC): quando usar, como alinhar e gerar conversão")</f>
        <v>Prova de Conceito (POC): quando usar, como alinhar e gerar conversão</v>
      </c>
      <c r="D603" s="104" t="str">
        <f>IFERROR(__xludf.DUMMYFUNCTION("""COMPUTED_VALUE"""),"Rafael Gontijo")</f>
        <v>Rafael Gontijo</v>
      </c>
      <c r="E603" s="110" t="str">
        <f>IFERROR(__xludf.DUMMYFUNCTION("""COMPUTED_VALUE"""),"General Sales Manager")</f>
        <v>General Sales Manager</v>
      </c>
      <c r="F603" s="446" t="str">
        <f>IFERROR(__xludf.DUMMYFUNCTION("""COMPUTED_VALUE"""),"Involves")</f>
        <v>Involves</v>
      </c>
      <c r="G603" s="447" t="str">
        <f>IFERROR(__xludf.DUMMYFUNCTION("""COMPUTED_VALUE"""),"https://www.linkedin.com/in/rafaelgonttijo/")</f>
        <v>https://www.linkedin.com/in/rafaelgonttijo/</v>
      </c>
      <c r="H603" s="446" t="str">
        <f>IFERROR(__xludf.DUMMYFUNCTION("""COMPUTED_VALUE"""),"Conhecimento Técnico")</f>
        <v>Conhecimento Técnico</v>
      </c>
      <c r="I603" s="446" t="str">
        <f>IFERROR(__xludf.DUMMYFUNCTION("""COMPUTED_VALUE"""),"Técnicas de Vendas")</f>
        <v>Técnicas de Vendas</v>
      </c>
      <c r="J603" s="446" t="str">
        <f>IFERROR(__xludf.DUMMYFUNCTION("""COMPUTED_VALUE"""),"Contorno de Objeções")</f>
        <v>Contorno de Objeções</v>
      </c>
      <c r="K603" s="275" t="str">
        <f>IFERROR(__xludf.DUMMYFUNCTION("""COMPUTED_VALUE"""),"https://universidade.pipelovers.net/m/lessons/prova-de-conceito-poc-quando-usar-como-alinhar-e-gerar-conversao1769552324626?classId=3316")</f>
        <v>https://universidade.pipelovers.net/m/lessons/prova-de-conceito-poc-quando-usar-como-alinhar-e-gerar-conversao1769552324626?classId=3316</v>
      </c>
      <c r="L603" s="535" t="str">
        <f>IFERROR(__xludf.DUMMYFUNCTION("""COMPUTED_VALUE"""),"https://universidade.pipelovers.net/m/lessons/prova-de-conceito-poc-quando-usar-como-alinhar-e-gerar-conversao1769552324626?classId=3316")</f>
        <v>https://universidade.pipelovers.net/m/lessons/prova-de-conceito-poc-quando-usar-como-alinhar-e-gerar-conversao1769552324626?classId=3316</v>
      </c>
      <c r="M603" s="117">
        <f>IFERROR(__xludf.DUMMYFUNCTION("""COMPUTED_VALUE"""),1.0)</f>
        <v>1</v>
      </c>
      <c r="N603" s="472" t="str">
        <f>IFERROR(__xludf.DUMMYFUNCTION("""COMPUTED_VALUE"""),"154.  PipeLovers 💙 Gestão Comercial O impacto da geração Z no ecossistema de Vendas B2B com Gustavo Pagotto -descript.mp4")</f>
        <v>154.  PipeLovers 💙 Gestão Comercial O impacto da geração Z no ecossistema de Vendas B2B com Gustavo Pagotto -descript.mp4</v>
      </c>
      <c r="O603" s="218" t="str">
        <f>IFERROR(__xludf.DUMMYFUNCTION("""COMPUTED_VALUE"""),"")</f>
        <v/>
      </c>
      <c r="P603" s="952">
        <f>IFERROR(__xludf.DUMMYFUNCTION("""COMPUTED_VALUE"""),45979.0)</f>
        <v>45979</v>
      </c>
      <c r="Q603" s="218"/>
    </row>
    <row r="604">
      <c r="A604" s="73"/>
      <c r="B604" s="1129" t="str">
        <f>IFERROR(__xludf.DUMMYFUNCTION("""COMPUTED_VALUE"""),"Líderes de Vendas")</f>
        <v>Líderes de Vendas</v>
      </c>
      <c r="C604" s="268" t="str">
        <f>IFERROR(__xludf.DUMMYFUNCTION("""COMPUTED_VALUE"""),"O impacto da geração Z no ecossistema de Vendas B2B")</f>
        <v>O impacto da geração Z no ecossistema de Vendas B2B</v>
      </c>
      <c r="D604" s="173" t="str">
        <f>IFERROR(__xludf.DUMMYFUNCTION("""COMPUTED_VALUE"""),"Gustavo Pagotto")</f>
        <v>Gustavo Pagotto</v>
      </c>
      <c r="E604" s="110" t="str">
        <f>IFERROR(__xludf.DUMMYFUNCTION("""COMPUTED_VALUE"""),"Fundador")</f>
        <v>Fundador</v>
      </c>
      <c r="F604" s="446" t="str">
        <f>IFERROR(__xludf.DUMMYFUNCTION("""COMPUTED_VALUE"""),"PipeLovers")</f>
        <v>PipeLovers</v>
      </c>
      <c r="G604" s="447" t="str">
        <f>IFERROR(__xludf.DUMMYFUNCTION("""COMPUTED_VALUE"""),"https://www.linkedin.com/in/gpagotto/")</f>
        <v>https://www.linkedin.com/in/gpagotto/</v>
      </c>
      <c r="H604" s="446" t="str">
        <f>IFERROR(__xludf.DUMMYFUNCTION("""COMPUTED_VALUE"""),"Visão de Negócios")</f>
        <v>Visão de Negócios</v>
      </c>
      <c r="I604" s="446" t="str">
        <f>IFERROR(__xludf.DUMMYFUNCTION("""COMPUTED_VALUE"""),"Tendências de Mercado")</f>
        <v>Tendências de Mercado</v>
      </c>
      <c r="J604" s="446" t="str">
        <f>IFERROR(__xludf.DUMMYFUNCTION("""COMPUTED_VALUE"""),"Perfil do Comprador B2B")</f>
        <v>Perfil do Comprador B2B</v>
      </c>
      <c r="K604" s="275" t="str">
        <f>IFERROR(__xludf.DUMMYFUNCTION("""COMPUTED_VALUE"""),"https://universidade.pipelovers.net/m/lessons/o-impacto-da-geracao-z-no-ecossistema-de-vendas-b2b1769552324656?classId=3317")</f>
        <v>https://universidade.pipelovers.net/m/lessons/o-impacto-da-geracao-z-no-ecossistema-de-vendas-b2b1769552324656?classId=3317</v>
      </c>
      <c r="L604" s="535" t="str">
        <f>IFERROR(__xludf.DUMMYFUNCTION("""COMPUTED_VALUE"""),"https://universidade.pipelovers.net/m/lessons/o-impacto-da-geracao-z-no-ecossistema-de-vendas-b2b1769552324656?classId=3317")</f>
        <v>https://universidade.pipelovers.net/m/lessons/o-impacto-da-geracao-z-no-ecossistema-de-vendas-b2b1769552324656?classId=3317</v>
      </c>
      <c r="M604" s="117">
        <f>IFERROR(__xludf.DUMMYFUNCTION("""COMPUTED_VALUE"""),5.0)</f>
        <v>5</v>
      </c>
      <c r="N604" s="472" t="str">
        <f>IFERROR(__xludf.DUMMYFUNCTION("""COMPUTED_VALUE"""),"155. PipeLovers 💙 Gestão Comercial Thought Leadership Ads estratégia de mídia paga com conteúdo executivo com Danilo Almeida-descript.mp4")</f>
        <v>155. PipeLovers 💙 Gestão Comercial Thought Leadership Ads estratégia de mídia paga com conteúdo executivo com Danilo Almeida-descript.mp4</v>
      </c>
      <c r="O604" s="218" t="str">
        <f>IFERROR(__xludf.DUMMYFUNCTION("""COMPUTED_VALUE"""),"")</f>
        <v/>
      </c>
      <c r="P604" s="952">
        <f>IFERROR(__xludf.DUMMYFUNCTION("""COMPUTED_VALUE"""),45986.0)</f>
        <v>45986</v>
      </c>
      <c r="Q604" s="218"/>
    </row>
    <row r="605">
      <c r="A605" s="73"/>
      <c r="B605" s="1129" t="str">
        <f>IFERROR(__xludf.DUMMYFUNCTION("""COMPUTED_VALUE"""),"Líderes de Vendas")</f>
        <v>Líderes de Vendas</v>
      </c>
      <c r="C605" s="555" t="str">
        <f>IFERROR(__xludf.DUMMYFUNCTION("""COMPUTED_VALUE"""),"Thought Leadership Ads: estratégia de mídia paga com conteúdo executivo")</f>
        <v>Thought Leadership Ads: estratégia de mídia paga com conteúdo executivo</v>
      </c>
      <c r="D605" s="555" t="str">
        <f>IFERROR(__xludf.DUMMYFUNCTION("""COMPUTED_VALUE"""),"Danilo Almeida")</f>
        <v>Danilo Almeida</v>
      </c>
      <c r="E605" s="1134" t="str">
        <f>IFERROR(__xludf.DUMMYFUNCTION("""COMPUTED_VALUE"""),"Director of Growth Marketing, LATAM")</f>
        <v>Director of Growth Marketing, LATAM</v>
      </c>
      <c r="F605" s="478" t="str">
        <f>IFERROR(__xludf.DUMMYFUNCTION("""COMPUTED_VALUE"""),"Salesforce")</f>
        <v>Salesforce</v>
      </c>
      <c r="G605" s="446"/>
      <c r="H605" s="446" t="str">
        <f>IFERROR(__xludf.DUMMYFUNCTION("""COMPUTED_VALUE"""),"Relacionamento Interpessoal")</f>
        <v>Relacionamento Interpessoal</v>
      </c>
      <c r="I605" s="446" t="str">
        <f>IFERROR(__xludf.DUMMYFUNCTION("""COMPUTED_VALUE"""),"Liderança e Influência")</f>
        <v>Liderança e Influência</v>
      </c>
      <c r="J605" s="446" t="str">
        <f>IFERROR(__xludf.DUMMYFUNCTION("""COMPUTED_VALUE"""),"Credibilidade e Reputação")</f>
        <v>Credibilidade e Reputação</v>
      </c>
      <c r="K605" s="275" t="str">
        <f>IFERROR(__xludf.DUMMYFUNCTION("""COMPUTED_VALUE"""),"https://universidade.pipelovers.net/m/lessons/thought-leadership-ads-estrategia-de-midia-paga-com-conteudo-executivo1769552324683?classId=3318")</f>
        <v>https://universidade.pipelovers.net/m/lessons/thought-leadership-ads-estrategia-de-midia-paga-com-conteudo-executivo1769552324683?classId=3318</v>
      </c>
      <c r="L605" s="535" t="str">
        <f>IFERROR(__xludf.DUMMYFUNCTION("""COMPUTED_VALUE"""),"https://universidade.pipelovers.net/m/lessons/thought-leadership-ads-estrategia-de-midia-paga-com-conteudo-executivo1769552324683?classId=3318")</f>
        <v>https://universidade.pipelovers.net/m/lessons/thought-leadership-ads-estrategia-de-midia-paga-com-conteudo-executivo1769552324683?classId=3318</v>
      </c>
      <c r="M605" s="117">
        <f>IFERROR(__xludf.DUMMYFUNCTION("""COMPUTED_VALUE"""),4.57)</f>
        <v>4.57</v>
      </c>
      <c r="N605" s="472" t="str">
        <f>IFERROR(__xludf.DUMMYFUNCTION("""COMPUTED_VALUE"""),"156. PipeLovers 💙 Gestão Comercial Aprendizados do livro 'Antes de vender, desenhe' como usar o visual para vender melhor com Eduardo Correia-descript.mp4")</f>
        <v>156. PipeLovers 💙 Gestão Comercial Aprendizados do livro 'Antes de vender, desenhe' como usar o visual para vender melhor com Eduardo Correia-descript.mp4</v>
      </c>
      <c r="O605" s="294" t="str">
        <f>IFERROR(__xludf.DUMMYFUNCTION("""COMPUTED_VALUE"""),"")</f>
        <v/>
      </c>
      <c r="P605" s="952">
        <f>IFERROR(__xludf.DUMMYFUNCTION("""COMPUTED_VALUE"""),45993.0)</f>
        <v>45993</v>
      </c>
      <c r="Q605" s="294"/>
    </row>
    <row r="606">
      <c r="A606" s="73"/>
      <c r="B606" s="1092" t="str">
        <f>IFERROR(__xludf.DUMMYFUNCTION("""COMPUTED_VALUE"""),"Líderes de Vendas")</f>
        <v>Líderes de Vendas</v>
      </c>
      <c r="C606" s="555" t="str">
        <f>IFERROR(__xludf.DUMMYFUNCTION("""COMPUTED_VALUE"""),"Aprendizados do livro 'Antes de vender, desenhe': como usar o visual para vender melhor")</f>
        <v>Aprendizados do livro 'Antes de vender, desenhe': como usar o visual para vender melhor</v>
      </c>
      <c r="D606" s="173" t="str">
        <f>IFERROR(__xludf.DUMMYFUNCTION("""COMPUTED_VALUE"""),"Eduardo Correia")</f>
        <v>Eduardo Correia</v>
      </c>
      <c r="E606" s="173" t="str">
        <f>IFERROR(__xludf.DUMMYFUNCTION("""COMPUTED_VALUE"""),"Autor do livro Antes de Vender, Desenhe!")</f>
        <v>Autor do livro Antes de Vender, Desenhe!</v>
      </c>
      <c r="F606" s="173"/>
      <c r="G606" s="389"/>
      <c r="H606" s="648" t="str">
        <f>IFERROR(__xludf.DUMMYFUNCTION("""COMPUTED_VALUE"""),"Conhecimento Técnico")</f>
        <v>Conhecimento Técnico</v>
      </c>
      <c r="I606" s="648" t="str">
        <f>IFERROR(__xludf.DUMMYFUNCTION("""COMPUTED_VALUE"""),"Técnicas de Vendas")</f>
        <v>Técnicas de Vendas</v>
      </c>
      <c r="J606" s="446" t="str">
        <f>IFERROR(__xludf.DUMMYFUNCTION("""COMPUTED_VALUE"""),"Pitch Comercial")</f>
        <v>Pitch Comercial</v>
      </c>
      <c r="K606" s="275" t="str">
        <f>IFERROR(__xludf.DUMMYFUNCTION("""COMPUTED_VALUE"""),"https://universidade.pipelovers.net/m/lessons/aprendizados-do-livro-antes-de-vender-desenhe-como-usar-o-visual-para-vender-melhor1769552324708?classId=3319")</f>
        <v>https://universidade.pipelovers.net/m/lessons/aprendizados-do-livro-antes-de-vender-desenhe-como-usar-o-visual-para-vender-melhor1769552324708?classId=3319</v>
      </c>
      <c r="L606" s="535" t="str">
        <f>IFERROR(__xludf.DUMMYFUNCTION("""COMPUTED_VALUE"""),"https://universidade.pipelovers.net/m/lessons/aprendizados-do-livro-antes-de-vender-desenhe-como-usar-o-visual-para-vender-melhor1769552324708?classId=3319")</f>
        <v>https://universidade.pipelovers.net/m/lessons/aprendizados-do-livro-antes-de-vender-desenhe-como-usar-o-visual-para-vender-melhor1769552324708?classId=3319</v>
      </c>
      <c r="M606" s="117">
        <f>IFERROR(__xludf.DUMMYFUNCTION("""COMPUTED_VALUE"""),2.0)</f>
        <v>2</v>
      </c>
      <c r="N606" s="110" t="str">
        <f>IFERROR(__xludf.DUMMYFUNCTION("""COMPUTED_VALUE"""),"157. PipeLovers 💙 Gestão Comercial Como construir autoridade na sua empresa como gestor comercial com Eduardo Lara - descript.mp4")</f>
        <v>157. PipeLovers 💙 Gestão Comercial Como construir autoridade na sua empresa como gestor comercial com Eduardo Lara - descript.mp4</v>
      </c>
      <c r="O606" s="218" t="str">
        <f>IFERROR(__xludf.DUMMYFUNCTION("""COMPUTED_VALUE"""),"")</f>
        <v/>
      </c>
      <c r="P606" s="952">
        <f>IFERROR(__xludf.DUMMYFUNCTION("""COMPUTED_VALUE"""),46000.0)</f>
        <v>46000</v>
      </c>
      <c r="Q606" s="218"/>
    </row>
    <row r="607">
      <c r="A607" s="73"/>
      <c r="B607" s="1092" t="str">
        <f>IFERROR(__xludf.DUMMYFUNCTION("""COMPUTED_VALUE"""),"Líderes de Vendas")</f>
        <v>Líderes de Vendas</v>
      </c>
      <c r="C607" s="481" t="str">
        <f>IFERROR(__xludf.DUMMYFUNCTION("""COMPUTED_VALUE"""),"Como construir autoridade na sua empresa como gestor comercial")</f>
        <v>Como construir autoridade na sua empresa como gestor comercial</v>
      </c>
      <c r="D607" s="175" t="str">
        <f>IFERROR(__xludf.DUMMYFUNCTION("""COMPUTED_VALUE"""),"Eduardo Lara")</f>
        <v>Eduardo Lara</v>
      </c>
      <c r="E607" s="175" t="str">
        <f>IFERROR(__xludf.DUMMYFUNCTION("""COMPUTED_VALUE"""),"Head of Sales")</f>
        <v>Head of Sales</v>
      </c>
      <c r="F607" s="175" t="str">
        <f>IFERROR(__xludf.DUMMYFUNCTION("""COMPUTED_VALUE"""),"Forma")</f>
        <v>Forma</v>
      </c>
      <c r="G607" s="447" t="str">
        <f>IFERROR(__xludf.DUMMYFUNCTION("""COMPUTED_VALUE"""),"https://www.linkedin.com/in/eduardo-lara-weigert-789a3a143/")</f>
        <v>https://www.linkedin.com/in/eduardo-lara-weigert-789a3a143/</v>
      </c>
      <c r="H607" s="446" t="str">
        <f>IFERROR(__xludf.DUMMYFUNCTION("""COMPUTED_VALUE"""),"Relacionamento Interpessoal")</f>
        <v>Relacionamento Interpessoal</v>
      </c>
      <c r="I607" s="446" t="str">
        <f>IFERROR(__xludf.DUMMYFUNCTION("""COMPUTED_VALUE"""),"Liderança e Influência")</f>
        <v>Liderança e Influência</v>
      </c>
      <c r="J607" s="446" t="str">
        <f>IFERROR(__xludf.DUMMYFUNCTION("""COMPUTED_VALUE"""),"Credibilidade e Reputação")</f>
        <v>Credibilidade e Reputação</v>
      </c>
      <c r="K607" s="275" t="str">
        <f>IFERROR(__xludf.DUMMYFUNCTION("""COMPUTED_VALUE"""),"https://universidade.pipelovers.net/m/lessons/como-construir-autoridade-na-sua-empresa-como-gestor-comercial1769552324761?classId=3320")</f>
        <v>https://universidade.pipelovers.net/m/lessons/como-construir-autoridade-na-sua-empresa-como-gestor-comercial1769552324761?classId=3320</v>
      </c>
      <c r="L607" s="535" t="str">
        <f>IFERROR(__xludf.DUMMYFUNCTION("""COMPUTED_VALUE"""),"https://universidade.pipelovers.net/m/lessons/como-construir-autoridade-na-sua-empresa-como-gestor-comercial1769552324761?classId=3320")</f>
        <v>https://universidade.pipelovers.net/m/lessons/como-construir-autoridade-na-sua-empresa-como-gestor-comercial1769552324761?classId=3320</v>
      </c>
      <c r="M607" s="117">
        <f>IFERROR(__xludf.DUMMYFUNCTION("""COMPUTED_VALUE"""),2.0)</f>
        <v>2</v>
      </c>
      <c r="N607" s="110" t="str">
        <f>IFERROR(__xludf.DUMMYFUNCTION("""COMPUTED_VALUE"""),"158.  PipeLovers 💙 Gestão Comercial Como estruturar um time de pré-vendas com Caio Alves- descript.mp4")</f>
        <v>158.  PipeLovers 💙 Gestão Comercial Como estruturar um time de pré-vendas com Caio Alves- descript.mp4</v>
      </c>
      <c r="O607" s="218" t="str">
        <f>IFERROR(__xludf.DUMMYFUNCTION("""COMPUTED_VALUE"""),"")</f>
        <v/>
      </c>
      <c r="P607" s="952">
        <f>IFERROR(__xludf.DUMMYFUNCTION("""COMPUTED_VALUE"""),46007.0)</f>
        <v>46007</v>
      </c>
      <c r="Q607" s="218"/>
    </row>
    <row r="608">
      <c r="A608" s="528"/>
      <c r="B608" s="1092" t="str">
        <f>IFERROR(__xludf.DUMMYFUNCTION("""COMPUTED_VALUE"""),"Líderes de Vendas")</f>
        <v>Líderes de Vendas</v>
      </c>
      <c r="C608" s="507" t="str">
        <f>IFERROR(__xludf.DUMMYFUNCTION("""COMPUTED_VALUE"""),"Como estruturar um time de pré-vendas")</f>
        <v>Como estruturar um time de pré-vendas</v>
      </c>
      <c r="D608" s="173" t="str">
        <f>IFERROR(__xludf.DUMMYFUNCTION("""COMPUTED_VALUE"""),"Caio Alves")</f>
        <v>Caio Alves</v>
      </c>
      <c r="E608" s="173" t="str">
        <f>IFERROR(__xludf.DUMMYFUNCTION("""COMPUTED_VALUE"""),"SDR Coordinator")</f>
        <v>SDR Coordinator</v>
      </c>
      <c r="F608" s="173" t="str">
        <f>IFERROR(__xludf.DUMMYFUNCTION("""COMPUTED_VALUE"""),"Zoho CRM")</f>
        <v>Zoho CRM</v>
      </c>
      <c r="G608" s="655"/>
      <c r="H608" s="655" t="str">
        <f>IFERROR(__xludf.DUMMYFUNCTION("""COMPUTED_VALUE"""),"Conhecimento Técnico")</f>
        <v>Conhecimento Técnico</v>
      </c>
      <c r="I608" s="501" t="str">
        <f>IFERROR(__xludf.DUMMYFUNCTION("""COMPUTED_VALUE"""),"Gestão de Vendas")</f>
        <v>Gestão de Vendas</v>
      </c>
      <c r="J608" s="655" t="str">
        <f>IFERROR(__xludf.DUMMYFUNCTION("""COMPUTED_VALUE"""),"Planejamento Comercial")</f>
        <v>Planejamento Comercial</v>
      </c>
      <c r="K608" s="275" t="str">
        <f>IFERROR(__xludf.DUMMYFUNCTION("""COMPUTED_VALUE"""),"https://universidade.pipelovers.net/m/lessons/como-estruturar-um-time-de-pre-vendas1769552324811?classId=3321")</f>
        <v>https://universidade.pipelovers.net/m/lessons/como-estruturar-um-time-de-pre-vendas1769552324811?classId=3321</v>
      </c>
      <c r="L608" s="535" t="str">
        <f>IFERROR(__xludf.DUMMYFUNCTION("""COMPUTED_VALUE"""),"https://universidade.pipelovers.net/m/lessons/como-estruturar-um-time-de-pre-vendas1769552324811?classId=3321")</f>
        <v>https://universidade.pipelovers.net/m/lessons/como-estruturar-um-time-de-pre-vendas1769552324811?classId=3321</v>
      </c>
      <c r="M608" s="117">
        <f>IFERROR(__xludf.DUMMYFUNCTION("""COMPUTED_VALUE"""),2.0)</f>
        <v>2</v>
      </c>
      <c r="N608" s="110" t="str">
        <f>IFERROR(__xludf.DUMMYFUNCTION("""COMPUTED_VALUE"""),"159.  PipeLovers 💙 Gestão Comercial A nova mentalidade do comprador como lideranças comerciais devem se adaptar com Letícia D’Angelo - descript.mp4")</f>
        <v>159.  PipeLovers 💙 Gestão Comercial A nova mentalidade do comprador como lideranças comerciais devem se adaptar com Letícia D’Angelo - descript.mp4</v>
      </c>
      <c r="O608" s="218" t="str">
        <f>IFERROR(__xludf.DUMMYFUNCTION("""COMPUTED_VALUE"""),"")</f>
        <v/>
      </c>
      <c r="P608" s="952">
        <f>IFERROR(__xludf.DUMMYFUNCTION("""COMPUTED_VALUE"""),46014.0)</f>
        <v>46014</v>
      </c>
      <c r="Q608" s="218"/>
    </row>
    <row r="609">
      <c r="A609" s="528"/>
      <c r="B609" s="1092" t="str">
        <f>IFERROR(__xludf.DUMMYFUNCTION("""COMPUTED_VALUE"""),"Líderes de Vendas")</f>
        <v>Líderes de Vendas</v>
      </c>
      <c r="C609" s="481" t="str">
        <f>IFERROR(__xludf.DUMMYFUNCTION("""COMPUTED_VALUE"""),"A nova mentalidade do comprador: como lideranças comerciais devem se adaptar")</f>
        <v>A nova mentalidade do comprador: como lideranças comerciais devem se adaptar</v>
      </c>
      <c r="D609" s="175" t="str">
        <f>IFERROR(__xludf.DUMMYFUNCTION("""COMPUTED_VALUE"""),"Letícia D’Angelo")</f>
        <v>Letícia D’Angelo</v>
      </c>
      <c r="E609" s="175" t="str">
        <f>IFERROR(__xludf.DUMMYFUNCTION("""COMPUTED_VALUE"""),"Diretora de Enterprise")</f>
        <v>Diretora de Enterprise</v>
      </c>
      <c r="F609" s="175" t="str">
        <f>IFERROR(__xludf.DUMMYFUNCTION("""COMPUTED_VALUE"""),"ZENVIA")</f>
        <v>ZENVIA</v>
      </c>
      <c r="G609" s="655"/>
      <c r="H609" s="655" t="str">
        <f>IFERROR(__xludf.DUMMYFUNCTION("""COMPUTED_VALUE"""),"Visão de Negócios")</f>
        <v>Visão de Negócios</v>
      </c>
      <c r="I609" s="501" t="str">
        <f>IFERROR(__xludf.DUMMYFUNCTION("""COMPUTED_VALUE"""),"Tendências de Mercado")</f>
        <v>Tendências de Mercado</v>
      </c>
      <c r="J609" s="655" t="str">
        <f>IFERROR(__xludf.DUMMYFUNCTION("""COMPUTED_VALUE"""),"Perfil do Comprador B2B")</f>
        <v>Perfil do Comprador B2B</v>
      </c>
      <c r="K609" s="275" t="str">
        <f>IFERROR(__xludf.DUMMYFUNCTION("""COMPUTED_VALUE"""),"https://universidade.pipelovers.net/m/lessons/a-nova-mentalidade-do-comprador-como-liderancas-comerciais-devem-se-adaptar1769552324840?classId=3069")</f>
        <v>https://universidade.pipelovers.net/m/lessons/a-nova-mentalidade-do-comprador-como-liderancas-comerciais-devem-se-adaptar1769552324840?classId=3069</v>
      </c>
      <c r="L609" s="535" t="str">
        <f>IFERROR(__xludf.DUMMYFUNCTION("""COMPUTED_VALUE"""),"https://universidade.pipelovers.net/m/lessons/a-nova-mentalidade-do-comprador-como-liderancas-comerciais-devem-se-adaptar1769552324840?classId=3069")</f>
        <v>https://universidade.pipelovers.net/m/lessons/a-nova-mentalidade-do-comprador-como-liderancas-comerciais-devem-se-adaptar1769552324840?classId=3069</v>
      </c>
      <c r="M609" s="117">
        <f>IFERROR(__xludf.DUMMYFUNCTION("""COMPUTED_VALUE"""),2.0)</f>
        <v>2</v>
      </c>
      <c r="N609" s="110" t="str">
        <f>IFERROR(__xludf.DUMMYFUNCTION("""COMPUTED_VALUE"""),"160. PipeLovers 💙 Gestão Comercial Planejamento Anual de Vendas com Gustavo Pagotto - descript.mp4")</f>
        <v>160. PipeLovers 💙 Gestão Comercial Planejamento Anual de Vendas com Gustavo Pagotto - descript.mp4</v>
      </c>
      <c r="O609" s="218" t="str">
        <f>IFERROR(__xludf.DUMMYFUNCTION("""COMPUTED_VALUE"""),"")</f>
        <v/>
      </c>
      <c r="P609" s="952">
        <f>IFERROR(__xludf.DUMMYFUNCTION("""COMPUTED_VALUE"""),46021.0)</f>
        <v>46021</v>
      </c>
      <c r="Q609" s="218"/>
    </row>
    <row r="610">
      <c r="A610" s="528"/>
      <c r="B610" s="1092" t="str">
        <f>IFERROR(__xludf.DUMMYFUNCTION("""COMPUTED_VALUE"""),"Líderes de Vendas")</f>
        <v>Líderes de Vendas</v>
      </c>
      <c r="C610" s="555" t="str">
        <f>IFERROR(__xludf.DUMMYFUNCTION("""COMPUTED_VALUE"""),"Planejamento Anual de Vendas")</f>
        <v>Planejamento Anual de Vendas</v>
      </c>
      <c r="D610" s="173" t="str">
        <f>IFERROR(__xludf.DUMMYFUNCTION("""COMPUTED_VALUE"""),"Gustavo Pagotto")</f>
        <v>Gustavo Pagotto</v>
      </c>
      <c r="E610" s="173" t="str">
        <f>IFERROR(__xludf.DUMMYFUNCTION("""COMPUTED_VALUE"""),"CEO")</f>
        <v>CEO</v>
      </c>
      <c r="F610" s="173" t="str">
        <f>IFERROR(__xludf.DUMMYFUNCTION("""COMPUTED_VALUE"""),"PipeLovers")</f>
        <v>PipeLovers</v>
      </c>
      <c r="G610" s="656" t="str">
        <f>IFERROR(__xludf.DUMMYFUNCTION("""COMPUTED_VALUE"""),"https://www.linkedin.com/in/gpagotto/")</f>
        <v>https://www.linkedin.com/in/gpagotto/</v>
      </c>
      <c r="H610" s="655" t="str">
        <f>IFERROR(__xludf.DUMMYFUNCTION("""COMPUTED_VALUE"""),"Conhecimento Técnico")</f>
        <v>Conhecimento Técnico</v>
      </c>
      <c r="I610" s="501" t="str">
        <f>IFERROR(__xludf.DUMMYFUNCTION("""COMPUTED_VALUE"""),"Gestão de Vendas")</f>
        <v>Gestão de Vendas</v>
      </c>
      <c r="J610" s="655" t="str">
        <f>IFERROR(__xludf.DUMMYFUNCTION("""COMPUTED_VALUE"""),"Planejamento Comercial")</f>
        <v>Planejamento Comercial</v>
      </c>
      <c r="K610" s="275" t="str">
        <f>IFERROR(__xludf.DUMMYFUNCTION("""COMPUTED_VALUE"""),"https://universidade.pipelovers.net/m/lessons/planejamento-anual-de-vendas1769552304646?classId=3281")</f>
        <v>https://universidade.pipelovers.net/m/lessons/planejamento-anual-de-vendas1769552304646?classId=3281</v>
      </c>
      <c r="L610" s="535" t="str">
        <f>IFERROR(__xludf.DUMMYFUNCTION("""COMPUTED_VALUE"""),"https://universidade.pipelovers.net/m/lessons/planejamento-anual-de-vendas1769552304646?classId=3281")</f>
        <v>https://universidade.pipelovers.net/m/lessons/planejamento-anual-de-vendas1769552304646?classId=3281</v>
      </c>
      <c r="M610" s="117">
        <f>IFERROR(__xludf.DUMMYFUNCTION("""COMPUTED_VALUE"""),5.0)</f>
        <v>5</v>
      </c>
      <c r="N610" s="110" t="str">
        <f>IFERROR(__xludf.DUMMYFUNCTION("""COMPUTED_VALUE"""),"161.  PipeLovers 💙 Gestão Comercial Conteúdo como geração de demanda com Bruno Okamoto - descript.mp4")</f>
        <v>161.  PipeLovers 💙 Gestão Comercial Conteúdo como geração de demanda com Bruno Okamoto - descript.mp4</v>
      </c>
      <c r="O610" s="218" t="str">
        <f>IFERROR(__xludf.DUMMYFUNCTION("""COMPUTED_VALUE"""),"")</f>
        <v/>
      </c>
      <c r="P610" s="952">
        <f>IFERROR(__xludf.DUMMYFUNCTION("""COMPUTED_VALUE"""),46028.0)</f>
        <v>46028</v>
      </c>
      <c r="Q610" s="218"/>
    </row>
    <row r="611">
      <c r="A611" s="528"/>
      <c r="B611" s="1092" t="str">
        <f>IFERROR(__xludf.DUMMYFUNCTION("""COMPUTED_VALUE"""),"Líderes de Vendas")</f>
        <v>Líderes de Vendas</v>
      </c>
      <c r="C611" s="481" t="str">
        <f>IFERROR(__xludf.DUMMYFUNCTION("""COMPUTED_VALUE"""),"Conteúdo como geração de demanda")</f>
        <v>Conteúdo como geração de demanda</v>
      </c>
      <c r="D611" s="175" t="str">
        <f>IFERROR(__xludf.DUMMYFUNCTION("""COMPUTED_VALUE"""),"Bruno Okamoto")</f>
        <v>Bruno Okamoto</v>
      </c>
      <c r="E611" s="175" t="str">
        <f>IFERROR(__xludf.DUMMYFUNCTION("""COMPUTED_VALUE"""),"Founder")</f>
        <v>Founder</v>
      </c>
      <c r="F611" s="175" t="str">
        <f>IFERROR(__xludf.DUMMYFUNCTION("""COMPUTED_VALUE"""),"Micro-SaaS")</f>
        <v>Micro-SaaS</v>
      </c>
      <c r="G611" s="656" t="str">
        <f>IFERROR(__xludf.DUMMYFUNCTION("""COMPUTED_VALUE"""),"https://www.linkedin.com/in/brunomicrosaas/")</f>
        <v>https://www.linkedin.com/in/brunomicrosaas/</v>
      </c>
      <c r="H611" s="655" t="str">
        <f>IFERROR(__xludf.DUMMYFUNCTION("""COMPUTED_VALUE"""),"Visão de Negócios")</f>
        <v>Visão de Negócios</v>
      </c>
      <c r="I611" s="501" t="str">
        <f>IFERROR(__xludf.DUMMYFUNCTION("""COMPUTED_VALUE"""),"Tendências de Mercado")</f>
        <v>Tendências de Mercado</v>
      </c>
      <c r="J611" s="655" t="str">
        <f>IFERROR(__xludf.DUMMYFUNCTION("""COMPUTED_VALUE"""),"Perfil do Comprador B2B")</f>
        <v>Perfil do Comprador B2B</v>
      </c>
      <c r="K611" s="275" t="str">
        <f>IFERROR(__xludf.DUMMYFUNCTION("""COMPUTED_VALUE"""),"https://universidade.pipelovers.net/m/lessons/conteudo-como-geracao-de-demanda1772542642394?classId=3755")</f>
        <v>https://universidade.pipelovers.net/m/lessons/conteudo-como-geracao-de-demanda1772542642394?classId=3755</v>
      </c>
      <c r="L611" s="535" t="str">
        <f>IFERROR(__xludf.DUMMYFUNCTION("""COMPUTED_VALUE"""),"https://universidade.pipelovers.net/m/lessons/conteudo-como-geracao-de-demanda1772542642394?classId=3755")</f>
        <v>https://universidade.pipelovers.net/m/lessons/conteudo-como-geracao-de-demanda1772542642394?classId=3755</v>
      </c>
      <c r="M611" s="117">
        <f>IFERROR(__xludf.DUMMYFUNCTION("""COMPUTED_VALUE"""),4.71)</f>
        <v>4.71</v>
      </c>
      <c r="N611" s="110" t="str">
        <f>IFERROR(__xludf.DUMMYFUNCTION("""COMPUTED_VALUE"""),"162.  PipeLovers 💙 Gestão Comercial Rituais para engajar, acompanhar e desenvolver talentos com Jéssica Bosco - descript.mp4")</f>
        <v>162.  PipeLovers 💙 Gestão Comercial Rituais para engajar, acompanhar e desenvolver talentos com Jéssica Bosco - descript.mp4</v>
      </c>
      <c r="O611" s="218" t="str">
        <f>IFERROR(__xludf.DUMMYFUNCTION("""COMPUTED_VALUE"""),"")</f>
        <v/>
      </c>
      <c r="P611" s="952">
        <f>IFERROR(__xludf.DUMMYFUNCTION("""COMPUTED_VALUE"""),46035.0)</f>
        <v>46035</v>
      </c>
      <c r="Q611" s="218"/>
    </row>
    <row r="612">
      <c r="A612" s="528"/>
      <c r="B612" s="1092" t="str">
        <f>IFERROR(__xludf.DUMMYFUNCTION("""COMPUTED_VALUE"""),"Líderes de Vendas")</f>
        <v>Líderes de Vendas</v>
      </c>
      <c r="C612" s="555" t="str">
        <f>IFERROR(__xludf.DUMMYFUNCTION("""COMPUTED_VALUE"""),"Rituais para engajar, acompanhar e desenvolver talentos")</f>
        <v>Rituais para engajar, acompanhar e desenvolver talentos</v>
      </c>
      <c r="D612" s="173" t="str">
        <f>IFERROR(__xludf.DUMMYFUNCTION("""COMPUTED_VALUE"""),"Jéssica Bosco")</f>
        <v>Jéssica Bosco</v>
      </c>
      <c r="E612" s="173" t="str">
        <f>IFERROR(__xludf.DUMMYFUNCTION("""COMPUTED_VALUE"""),"Head de produto")</f>
        <v>Head de produto</v>
      </c>
      <c r="F612" s="173" t="str">
        <f>IFERROR(__xludf.DUMMYFUNCTION("""COMPUTED_VALUE"""),"PipeLovers")</f>
        <v>PipeLovers</v>
      </c>
      <c r="G612" s="656" t="str">
        <f>IFERROR(__xludf.DUMMYFUNCTION("""COMPUTED_VALUE"""),"https://www.linkedin.com/in/jessicabosco/")</f>
        <v>https://www.linkedin.com/in/jessicabosco/</v>
      </c>
      <c r="H612" s="655" t="str">
        <f>IFERROR(__xludf.DUMMYFUNCTION("""COMPUTED_VALUE"""),"Relacionamento Interpessoal")</f>
        <v>Relacionamento Interpessoal</v>
      </c>
      <c r="I612" s="501" t="str">
        <f>IFERROR(__xludf.DUMMYFUNCTION("""COMPUTED_VALUE"""),"Liderança e influência")</f>
        <v>Liderança e influência</v>
      </c>
      <c r="J612" s="655" t="str">
        <f>IFERROR(__xludf.DUMMYFUNCTION("""COMPUTED_VALUE"""),"Mentoria e Desenvolvimento de Talentos")</f>
        <v>Mentoria e Desenvolvimento de Talentos</v>
      </c>
      <c r="K612" s="275" t="str">
        <f>IFERROR(__xludf.DUMMYFUNCTION("""COMPUTED_VALUE"""),"https://universidade.pipelovers.net/m/lessons/rituais-para-engajar-acompanhar-e-desenvolver-talentos1772542661869?classId=3768")</f>
        <v>https://universidade.pipelovers.net/m/lessons/rituais-para-engajar-acompanhar-e-desenvolver-talentos1772542661869?classId=3768</v>
      </c>
      <c r="L612" s="535" t="str">
        <f>IFERROR(__xludf.DUMMYFUNCTION("""COMPUTED_VALUE"""),"https://universidade.pipelovers.net/m/lessons/rituais-para-engajar-acompanhar-e-desenvolver-talentos1772542661869?classId=3768")</f>
        <v>https://universidade.pipelovers.net/m/lessons/rituais-para-engajar-acompanhar-e-desenvolver-talentos1772542661869?classId=3768</v>
      </c>
      <c r="M612" s="117">
        <f>IFERROR(__xludf.DUMMYFUNCTION("""COMPUTED_VALUE"""),4.71)</f>
        <v>4.71</v>
      </c>
      <c r="N612" s="110" t="str">
        <f>IFERROR(__xludf.DUMMYFUNCTION("""COMPUTED_VALUE"""),"163. PipeLovers 💙 Gestão Comercial Melhores práticas de dashboards de gestão de vendas com Ricardo Corrêa - descript.mp4")</f>
        <v>163. PipeLovers 💙 Gestão Comercial Melhores práticas de dashboards de gestão de vendas com Ricardo Corrêa - descript.mp4</v>
      </c>
      <c r="O612" s="218" t="str">
        <f>IFERROR(__xludf.DUMMYFUNCTION("""COMPUTED_VALUE"""),"")</f>
        <v/>
      </c>
      <c r="P612" s="952">
        <f>IFERROR(__xludf.DUMMYFUNCTION("""COMPUTED_VALUE"""),46042.0)</f>
        <v>46042</v>
      </c>
      <c r="Q612" s="218"/>
    </row>
    <row r="613">
      <c r="A613" s="528"/>
      <c r="B613" s="1092" t="str">
        <f>IFERROR(__xludf.DUMMYFUNCTION("""COMPUTED_VALUE"""),"Líderes de Vendas")</f>
        <v>Líderes de Vendas</v>
      </c>
      <c r="C613" s="481" t="str">
        <f>IFERROR(__xludf.DUMMYFUNCTION("""COMPUTED_VALUE"""),"Melhores práticas de dashboards de gestão de vendas")</f>
        <v>Melhores práticas de dashboards de gestão de vendas</v>
      </c>
      <c r="D613" s="175" t="str">
        <f>IFERROR(__xludf.DUMMYFUNCTION("""COMPUTED_VALUE"""),"Ricardo Corrêa")</f>
        <v>Ricardo Corrêa</v>
      </c>
      <c r="E613" s="175" t="str">
        <f>IFERROR(__xludf.DUMMYFUNCTION("""COMPUTED_VALUE"""),"CEO")</f>
        <v>CEO</v>
      </c>
      <c r="F613" s="175" t="str">
        <f>IFERROR(__xludf.DUMMYFUNCTION("""COMPUTED_VALUE"""),"Ramper")</f>
        <v>Ramper</v>
      </c>
      <c r="G613" s="656" t="str">
        <f>IFERROR(__xludf.DUMMYFUNCTION("""COMPUTED_VALUE"""),"https://www.linkedin.com/in/rlcorrea/")</f>
        <v>https://www.linkedin.com/in/rlcorrea/</v>
      </c>
      <c r="H613" s="655" t="str">
        <f>IFERROR(__xludf.DUMMYFUNCTION("""COMPUTED_VALUE"""),"Conhecimento Técnico")</f>
        <v>Conhecimento Técnico</v>
      </c>
      <c r="I613" s="501" t="str">
        <f>IFERROR(__xludf.DUMMYFUNCTION("""COMPUTED_VALUE"""),"Gestão de Vendas")</f>
        <v>Gestão de Vendas</v>
      </c>
      <c r="J613" s="655" t="str">
        <f>IFERROR(__xludf.DUMMYFUNCTION("""COMPUTED_VALUE"""),"Ferramentas de Vendas")</f>
        <v>Ferramentas de Vendas</v>
      </c>
      <c r="K613" s="275" t="str">
        <f>IFERROR(__xludf.DUMMYFUNCTION("""COMPUTED_VALUE"""),"https://universidade.pipelovers.net/m/lessons/melhores-praticas-de-dashboards-de-gestao-de-vendas1772542642663?classId=3761")</f>
        <v>https://universidade.pipelovers.net/m/lessons/melhores-praticas-de-dashboards-de-gestao-de-vendas1772542642663?classId=3761</v>
      </c>
      <c r="L613" s="535" t="str">
        <f>IFERROR(__xludf.DUMMYFUNCTION("""COMPUTED_VALUE"""),"https://universidade.pipelovers.net/m/lessons/melhores-praticas-de-dashboards-de-gestao-de-vendas1772542642663?classId=3761")</f>
        <v>https://universidade.pipelovers.net/m/lessons/melhores-praticas-de-dashboards-de-gestao-de-vendas1772542642663?classId=3761</v>
      </c>
      <c r="M613" s="117">
        <f>IFERROR(__xludf.DUMMYFUNCTION("""COMPUTED_VALUE"""),3.0)</f>
        <v>3</v>
      </c>
      <c r="N613" s="1135" t="str">
        <f>IFERROR(__xludf.DUMMYFUNCTION("""COMPUTED_VALUE"""),"164. PipeLovers 💙 Gestão Comercial Como manter consistência do time em meio a metas agressivas e alta pressão com Liana Chiaradia - descript.mp4")</f>
        <v>164. PipeLovers 💙 Gestão Comercial Como manter consistência do time em meio a metas agressivas e alta pressão com Liana Chiaradia - descript.mp4</v>
      </c>
      <c r="O613" s="218" t="str">
        <f>IFERROR(__xludf.DUMMYFUNCTION("""COMPUTED_VALUE"""),"")</f>
        <v/>
      </c>
      <c r="P613" s="952">
        <f>IFERROR(__xludf.DUMMYFUNCTION("""COMPUTED_VALUE"""),46049.0)</f>
        <v>46049</v>
      </c>
      <c r="Q613" s="218"/>
    </row>
    <row r="614">
      <c r="A614" s="528"/>
      <c r="B614" s="1129" t="str">
        <f>IFERROR(__xludf.DUMMYFUNCTION("""COMPUTED_VALUE"""),"Líderes de Vendas")</f>
        <v>Líderes de Vendas</v>
      </c>
      <c r="C614" s="555" t="str">
        <f>IFERROR(__xludf.DUMMYFUNCTION("""COMPUTED_VALUE"""),"Como manter consistência do time em meio a metas agressivas e alta pressão")</f>
        <v>Como manter consistência do time em meio a metas agressivas e alta pressão</v>
      </c>
      <c r="D614" s="173" t="str">
        <f>IFERROR(__xludf.DUMMYFUNCTION("""COMPUTED_VALUE"""),"Liana Chiaradia")</f>
        <v>Liana Chiaradia</v>
      </c>
      <c r="E614" s="173" t="str">
        <f>IFERROR(__xludf.DUMMYFUNCTION("""COMPUTED_VALUE"""),"Founder e CSO")</f>
        <v>Founder e CSO</v>
      </c>
      <c r="F614" s="173" t="str">
        <f>IFERROR(__xludf.DUMMYFUNCTION("""COMPUTED_VALUE"""),"Guia da Alma")</f>
        <v>Guia da Alma</v>
      </c>
      <c r="G614" s="1136" t="str">
        <f>IFERROR(__xludf.DUMMYFUNCTION("""COMPUTED_VALUE"""),"https://www.linkedin.com/in/liana-chiaradia/")</f>
        <v>https://www.linkedin.com/in/liana-chiaradia/</v>
      </c>
      <c r="H614" s="1137" t="str">
        <f>IFERROR(__xludf.DUMMYFUNCTION("""COMPUTED_VALUE"""),"Autodesenvolvimento")</f>
        <v>Autodesenvolvimento</v>
      </c>
      <c r="I614" s="1137" t="str">
        <f>IFERROR(__xludf.DUMMYFUNCTION("""COMPUTED_VALUE"""),"Inteligência Emocional")</f>
        <v>Inteligência Emocional</v>
      </c>
      <c r="J614" s="550" t="str">
        <f>IFERROR(__xludf.DUMMYFUNCTION("""COMPUTED_VALUE"""),"Resiliência")</f>
        <v>Resiliência</v>
      </c>
      <c r="K614" s="275" t="str">
        <f>IFERROR(__xludf.DUMMYFUNCTION("""COMPUTED_VALUE"""),"https://universidade.pipelovers.net/m/lessons/como-manter-consistencia-do-time-em-meio-a-metas-agressivas-e-alta-pressao1772542642221?classId=3751")</f>
        <v>https://universidade.pipelovers.net/m/lessons/como-manter-consistencia-do-time-em-meio-a-metas-agressivas-e-alta-pressao1772542642221?classId=3751</v>
      </c>
      <c r="L614" s="535" t="str">
        <f>IFERROR(__xludf.DUMMYFUNCTION("""COMPUTED_VALUE"""),"https://universidade.pipelovers.net/m/lessons/como-manter-consistencia-do-time-em-meio-a-metas-agressivas-e-alta-pressao1772542642221?classId=3751")</f>
        <v>https://universidade.pipelovers.net/m/lessons/como-manter-consistencia-do-time-em-meio-a-metas-agressivas-e-alta-pressao1772542642221?classId=3751</v>
      </c>
      <c r="M614" s="117">
        <f>IFERROR(__xludf.DUMMYFUNCTION("""COMPUTED_VALUE"""),1.0)</f>
        <v>1</v>
      </c>
      <c r="N614" s="1135" t="str">
        <f>IFERROR(__xludf.DUMMYFUNCTION("""COMPUTED_VALUE"""),"165.  PipeLovers 💙 Gestão Comercial Decisões de gestão orientadas por dados do funil às metas com Fabio El Beck.mp4")</f>
        <v>165.  PipeLovers 💙 Gestão Comercial Decisões de gestão orientadas por dados do funil às metas com Fabio El Beck.mp4</v>
      </c>
      <c r="O614" s="218" t="str">
        <f>IFERROR(__xludf.DUMMYFUNCTION("""COMPUTED_VALUE"""),"")</f>
        <v/>
      </c>
      <c r="P614" s="1138">
        <f>IFERROR(__xludf.DUMMYFUNCTION("""COMPUTED_VALUE"""),46056.0)</f>
        <v>46056</v>
      </c>
      <c r="Q614" s="218"/>
    </row>
    <row r="615">
      <c r="A615" s="528"/>
      <c r="B615" s="1129" t="str">
        <f>IFERROR(__xludf.DUMMYFUNCTION("""COMPUTED_VALUE"""),"Líderes de Vendas")</f>
        <v>Líderes de Vendas</v>
      </c>
      <c r="C615" s="481" t="str">
        <f>IFERROR(__xludf.DUMMYFUNCTION("""COMPUTED_VALUE"""),"Decisões de gestão orientadas por dados: do funil às metas")</f>
        <v>Decisões de gestão orientadas por dados: do funil às metas</v>
      </c>
      <c r="D615" s="175" t="str">
        <f>IFERROR(__xludf.DUMMYFUNCTION("""COMPUTED_VALUE"""),"Fabio El Beck")</f>
        <v>Fabio El Beck</v>
      </c>
      <c r="E615" s="175" t="str">
        <f>IFERROR(__xludf.DUMMYFUNCTION("""COMPUTED_VALUE"""),"CEO &amp; Founder")</f>
        <v>CEO &amp; Founder</v>
      </c>
      <c r="F615" s="175" t="str">
        <f>IFERROR(__xludf.DUMMYFUNCTION("""COMPUTED_VALUE"""),"Performancy")</f>
        <v>Performancy</v>
      </c>
      <c r="G615" s="1136" t="str">
        <f>IFERROR(__xludf.DUMMYFUNCTION("""COMPUTED_VALUE"""),"https://www.linkedin.com/in/fabioelbeck/")</f>
        <v>https://www.linkedin.com/in/fabioelbeck/</v>
      </c>
      <c r="H615" s="1137" t="str">
        <f>IFERROR(__xludf.DUMMYFUNCTION("""COMPUTED_VALUE"""),"Conhecimento Técnico")</f>
        <v>Conhecimento Técnico</v>
      </c>
      <c r="I615" s="1137" t="str">
        <f>IFERROR(__xludf.DUMMYFUNCTION("""COMPUTED_VALUE"""),"Gestão de Vendas")</f>
        <v>Gestão de Vendas</v>
      </c>
      <c r="J615" s="550" t="str">
        <f>IFERROR(__xludf.DUMMYFUNCTION("""COMPUTED_VALUE"""),"Planejamento Comercial")</f>
        <v>Planejamento Comercial</v>
      </c>
      <c r="K615" s="275" t="str">
        <f>IFERROR(__xludf.DUMMYFUNCTION("""COMPUTED_VALUE"""),"https://universidade.pipelovers.net/m/lessons/decisoes-de-gestao-orientadas-por-dados-do-funil-as-metas1772542642479?classId=3757")</f>
        <v>https://universidade.pipelovers.net/m/lessons/decisoes-de-gestao-orientadas-por-dados-do-funil-as-metas1772542642479?classId=3757</v>
      </c>
      <c r="L615" s="535" t="str">
        <f>IFERROR(__xludf.DUMMYFUNCTION("""COMPUTED_VALUE"""),"https://universidade.pipelovers.net/m/lessons/decisoes-de-gestao-orientadas-por-dados-do-funil-as-metas1772542642479?classId=3757")</f>
        <v>https://universidade.pipelovers.net/m/lessons/decisoes-de-gestao-orientadas-por-dados-do-funil-as-metas1772542642479?classId=3757</v>
      </c>
      <c r="M615" s="117">
        <f>IFERROR(__xludf.DUMMYFUNCTION("""COMPUTED_VALUE"""),2.0)</f>
        <v>2</v>
      </c>
      <c r="N615" s="1135" t="str">
        <f>IFERROR(__xludf.DUMMYFUNCTION("""COMPUTED_VALUE"""),"166.  PipeLovers 💙 Gestão Comercial Como identificar gargalos no funil e corrigir rápido com Nathan Mota - descript.mp4")</f>
        <v>166.  PipeLovers 💙 Gestão Comercial Como identificar gargalos no funil e corrigir rápido com Nathan Mota - descript.mp4</v>
      </c>
      <c r="O615" s="218" t="str">
        <f>IFERROR(__xludf.DUMMYFUNCTION("""COMPUTED_VALUE"""),"")</f>
        <v/>
      </c>
      <c r="P615" s="1138">
        <f>IFERROR(__xludf.DUMMYFUNCTION("""COMPUTED_VALUE"""),46063.0)</f>
        <v>46063</v>
      </c>
      <c r="Q615" s="218"/>
    </row>
    <row r="616">
      <c r="A616" s="528"/>
      <c r="B616" s="1129" t="str">
        <f>IFERROR(__xludf.DUMMYFUNCTION("""COMPUTED_VALUE"""),"Líderes de Vendas")</f>
        <v>Líderes de Vendas</v>
      </c>
      <c r="C616" s="555" t="str">
        <f>IFERROR(__xludf.DUMMYFUNCTION("""COMPUTED_VALUE"""),"Como identificar gargalos no funil e corrigir rápido")</f>
        <v>Como identificar gargalos no funil e corrigir rápido</v>
      </c>
      <c r="D616" s="173" t="str">
        <f>IFERROR(__xludf.DUMMYFUNCTION("""COMPUTED_VALUE"""),"Nathan Mota")</f>
        <v>Nathan Mota</v>
      </c>
      <c r="E616" s="173" t="str">
        <f>IFERROR(__xludf.DUMMYFUNCTION("""COMPUTED_VALUE"""),"Head de vendas")</f>
        <v>Head de vendas</v>
      </c>
      <c r="F616" s="173" t="str">
        <f>IFERROR(__xludf.DUMMYFUNCTION("""COMPUTED_VALUE"""),"Byecar")</f>
        <v>Byecar</v>
      </c>
      <c r="G616" s="1136" t="str">
        <f>IFERROR(__xludf.DUMMYFUNCTION("""COMPUTED_VALUE"""),"https://www.linkedin.com/in/nathan-mota-moraes-1a20071ab/")</f>
        <v>https://www.linkedin.com/in/nathan-mota-moraes-1a20071ab/</v>
      </c>
      <c r="H616" s="1137" t="str">
        <f>IFERROR(__xludf.DUMMYFUNCTION("""COMPUTED_VALUE"""),"Conhecimento Técnico")</f>
        <v>Conhecimento Técnico</v>
      </c>
      <c r="I616" s="1137" t="str">
        <f>IFERROR(__xludf.DUMMYFUNCTION("""COMPUTED_VALUE"""),"Gestão de Vendas")</f>
        <v>Gestão de Vendas</v>
      </c>
      <c r="J616" s="550" t="str">
        <f>IFERROR(__xludf.DUMMYFUNCTION("""COMPUTED_VALUE"""),"Métricas de Funil")</f>
        <v>Métricas de Funil</v>
      </c>
      <c r="K616" s="275" t="str">
        <f>IFERROR(__xludf.DUMMYFUNCTION("""COMPUTED_VALUE"""),"https://universidade.pipelovers.net/m/lessons/como-identificar-gargalos-no-funil-e-corrigir-rapido-1773686250749?classId=3807")</f>
        <v>https://universidade.pipelovers.net/m/lessons/como-identificar-gargalos-no-funil-e-corrigir-rapido-1773686250749?classId=3807</v>
      </c>
      <c r="L616" s="535" t="str">
        <f>IFERROR(__xludf.DUMMYFUNCTION("""COMPUTED_VALUE"""),"https://universidade.pipelovers.net/m/lessons/como-identificar-gargalos-no-funil-e-corrigir-rapido-1773686250749?classId=3807")</f>
        <v>https://universidade.pipelovers.net/m/lessons/como-identificar-gargalos-no-funil-e-corrigir-rapido-1773686250749?classId=3807</v>
      </c>
      <c r="M616" s="379" t="str">
        <f>IFERROR(__xludf.DUMMYFUNCTION("""COMPUTED_VALUE"""),"4")</f>
        <v>4</v>
      </c>
      <c r="N616" s="1135" t="str">
        <f>IFERROR(__xludf.DUMMYFUNCTION("""COMPUTED_VALUE"""),"167. PipeLovers 💙 Gestão Comercial Modelos de remuneração para equipes de vendas B2B com Gustavo Mota - descript.mp4")</f>
        <v>167. PipeLovers 💙 Gestão Comercial Modelos de remuneração para equipes de vendas B2B com Gustavo Mota - descript.mp4</v>
      </c>
      <c r="O616" s="218" t="str">
        <f>IFERROR(__xludf.DUMMYFUNCTION("""COMPUTED_VALUE"""),"")</f>
        <v/>
      </c>
      <c r="P616" s="1138"/>
      <c r="Q616" s="218"/>
    </row>
    <row r="617">
      <c r="A617" s="528"/>
      <c r="B617" s="1129" t="str">
        <f>IFERROR(__xludf.DUMMYFUNCTION("""COMPUTED_VALUE"""),"Líderes de Vendas")</f>
        <v>Líderes de Vendas</v>
      </c>
      <c r="C617" s="481" t="str">
        <f>IFERROR(__xludf.DUMMYFUNCTION("""COMPUTED_VALUE"""),"Modelos de remuneração para equipes de vendas B2B")</f>
        <v>Modelos de remuneração para equipes de vendas B2B</v>
      </c>
      <c r="D617" s="175" t="str">
        <f>IFERROR(__xludf.DUMMYFUNCTION("""COMPUTED_VALUE"""),"Gustavo Mota")</f>
        <v>Gustavo Mota</v>
      </c>
      <c r="E617" s="175" t="str">
        <f>IFERROR(__xludf.DUMMYFUNCTION("""COMPUTED_VALUE"""),"CEO")</f>
        <v>CEO</v>
      </c>
      <c r="F617" s="175" t="str">
        <f>IFERROR(__xludf.DUMMYFUNCTION("""COMPUTED_VALUE"""),"Jornal LANCE!")</f>
        <v>Jornal LANCE!</v>
      </c>
      <c r="G617" s="1136" t="str">
        <f>IFERROR(__xludf.DUMMYFUNCTION("""COMPUTED_VALUE"""),"https://www.linkedin.com/in/gustavodemesquitamota/")</f>
        <v>https://www.linkedin.com/in/gustavodemesquitamota/</v>
      </c>
      <c r="H617" s="1137" t="str">
        <f>IFERROR(__xludf.DUMMYFUNCTION("""COMPUTED_VALUE"""),"Conhecimento Técnico")</f>
        <v>Conhecimento Técnico</v>
      </c>
      <c r="I617" s="1137" t="str">
        <f>IFERROR(__xludf.DUMMYFUNCTION("""COMPUTED_VALUE"""),"Gestão de Vendas")</f>
        <v>Gestão de Vendas</v>
      </c>
      <c r="J617" s="550" t="str">
        <f>IFERROR(__xludf.DUMMYFUNCTION("""COMPUTED_VALUE"""),"Planejamento Comercial")</f>
        <v>Planejamento Comercial</v>
      </c>
      <c r="K617" s="275" t="str">
        <f>IFERROR(__xludf.DUMMYFUNCTION("""COMPUTED_VALUE"""),"https://universidade.pipelovers.net/m/lessons/modelos-de-remuneracao-para-equipes-de-vendas-b2b-1771879806544?classId=3811")</f>
        <v>https://universidade.pipelovers.net/m/lessons/modelos-de-remuneracao-para-equipes-de-vendas-b2b-1771879806544?classId=3811</v>
      </c>
      <c r="L617" s="535" t="str">
        <f>IFERROR(__xludf.DUMMYFUNCTION("""COMPUTED_VALUE"""),"https://universidade.pipelovers.net/m/lessons/modelos-de-remuneracao-para-equipes-de-vendas-b2b-1771879806544?classId=3811")</f>
        <v>https://universidade.pipelovers.net/m/lessons/modelos-de-remuneracao-para-equipes-de-vendas-b2b-1771879806544?classId=3811</v>
      </c>
      <c r="M617" s="379" t="str">
        <f>IFERROR(__xludf.DUMMYFUNCTION("""COMPUTED_VALUE"""),"4,71")</f>
        <v>4,71</v>
      </c>
      <c r="N617" s="1135" t="str">
        <f>IFERROR(__xludf.DUMMYFUNCTION("""COMPUTED_VALUE"""),"168. PipeLovers 💙 Gestão Comercial Decisões comerciais baseadas no ciclo de vida do produto com Rodrigo Santos - descript.mp4")</f>
        <v>168. PipeLovers 💙 Gestão Comercial Decisões comerciais baseadas no ciclo de vida do produto com Rodrigo Santos - descript.mp4</v>
      </c>
      <c r="O617" s="218" t="str">
        <f>IFERROR(__xludf.DUMMYFUNCTION("""COMPUTED_VALUE"""),"")</f>
        <v/>
      </c>
      <c r="P617" s="1138"/>
      <c r="Q617" s="218"/>
    </row>
    <row r="618">
      <c r="A618" s="528"/>
      <c r="B618" s="1129" t="str">
        <f>IFERROR(__xludf.DUMMYFUNCTION("""COMPUTED_VALUE"""),"Líderes de Vendas")</f>
        <v>Líderes de Vendas</v>
      </c>
      <c r="C618" s="555" t="str">
        <f>IFERROR(__xludf.DUMMYFUNCTION("""COMPUTED_VALUE"""),"Decisões comerciais baseadas no ciclo de vida do produto")</f>
        <v>Decisões comerciais baseadas no ciclo de vida do produto</v>
      </c>
      <c r="D618" s="173" t="str">
        <f>IFERROR(__xludf.DUMMYFUNCTION("""COMPUTED_VALUE"""),"Rodrigo Santos")</f>
        <v>Rodrigo Santos</v>
      </c>
      <c r="E618" s="173" t="str">
        <f>IFERROR(__xludf.DUMMYFUNCTION("""COMPUTED_VALUE"""),"Founder")</f>
        <v>Founder</v>
      </c>
      <c r="F618" s="1139" t="str">
        <f>IFERROR(__xludf.DUMMYFUNCTION("""COMPUTED_VALUE"""),"Vencefy")</f>
        <v>Vencefy</v>
      </c>
      <c r="G618" s="1136" t="str">
        <f>IFERROR(__xludf.DUMMYFUNCTION("""COMPUTED_VALUE"""),"https://www.linkedin.com/in/rodrigovencefy/")</f>
        <v>https://www.linkedin.com/in/rodrigovencefy/</v>
      </c>
      <c r="H618" s="1137" t="str">
        <f>IFERROR(__xludf.DUMMYFUNCTION("""COMPUTED_VALUE"""),"Visão de Negócios")</f>
        <v>Visão de Negócios</v>
      </c>
      <c r="I618" s="1137" t="str">
        <f>IFERROR(__xludf.DUMMYFUNCTION("""COMPUTED_VALUE"""),"Conhecimento do negócio e produto")</f>
        <v>Conhecimento do negócio e produto</v>
      </c>
      <c r="J618" s="550" t="str">
        <f>IFERROR(__xludf.DUMMYFUNCTION("""COMPUTED_VALUE"""),"Ciclo de Vida de Produto")</f>
        <v>Ciclo de Vida de Produto</v>
      </c>
      <c r="K618" s="275" t="str">
        <f>IFERROR(__xludf.DUMMYFUNCTION("""COMPUTED_VALUE"""),"https://universidade.pipelovers.net/m/lessons/decisoes-comerciais-baseadas-no-ciclo-de-vida-do-produto-1771879842617?classId=3814")</f>
        <v>https://universidade.pipelovers.net/m/lessons/decisoes-comerciais-baseadas-no-ciclo-de-vida-do-produto-1771879842617?classId=3814</v>
      </c>
      <c r="L618" s="535" t="str">
        <f>IFERROR(__xludf.DUMMYFUNCTION("""COMPUTED_VALUE"""),"https://universidade.pipelovers.net/m/lessons/decisoes-comerciais-baseadas-no-ciclo-de-vida-do-produto-1771879842617?classId=3814")</f>
        <v>https://universidade.pipelovers.net/m/lessons/decisoes-comerciais-baseadas-no-ciclo-de-vida-do-produto-1771879842617?classId=3814</v>
      </c>
      <c r="M618" s="379" t="str">
        <f>IFERROR(__xludf.DUMMYFUNCTION("""COMPUTED_VALUE"""),"4,57")</f>
        <v>4,57</v>
      </c>
      <c r="N618" s="1135" t="str">
        <f>IFERROR(__xludf.DUMMYFUNCTION("""COMPUTED_VALUE"""),"169. PipeLovers 💙 Gestão Comercial Liderança do futuro menos controle, mais autonomia (e resultado) com Bruno Gonçalves.mp4")</f>
        <v>169. PipeLovers 💙 Gestão Comercial Liderança do futuro menos controle, mais autonomia (e resultado) com Bruno Gonçalves.mp4</v>
      </c>
      <c r="O618" s="218" t="str">
        <f>IFERROR(__xludf.DUMMYFUNCTION("""COMPUTED_VALUE"""),"")</f>
        <v/>
      </c>
      <c r="P618" s="1138"/>
      <c r="Q618" s="218"/>
    </row>
    <row r="619">
      <c r="A619" s="73"/>
      <c r="B619" s="496" t="str">
        <f>IFERROR(__xludf.DUMMYFUNCTION("""COMPUTED_VALUE"""),"Líderes de Vendas")</f>
        <v>Líderes de Vendas</v>
      </c>
      <c r="C619" s="288" t="str">
        <f>IFERROR(__xludf.DUMMYFUNCTION("""COMPUTED_VALUE"""),"Liderança do futuro: menos controle, mais autonomia (e resultado)")</f>
        <v>Liderança do futuro: menos controle, mais autonomia (e resultado)</v>
      </c>
      <c r="D619" s="157" t="str">
        <f>IFERROR(__xludf.DUMMYFUNCTION("""COMPUTED_VALUE"""),"Bruno Gonçalves")</f>
        <v>Bruno Gonçalves</v>
      </c>
      <c r="E619" s="110" t="str">
        <f>IFERROR(__xludf.DUMMYFUNCTION("""COMPUTED_VALUE"""),"Cofundador e Palestrante")</f>
        <v>Cofundador e Palestrante</v>
      </c>
      <c r="F619" s="478" t="str">
        <f>IFERROR(__xludf.DUMMYFUNCTION("""COMPUTED_VALUE"""),"Uau! Business Institute")</f>
        <v>Uau! Business Institute</v>
      </c>
      <c r="G619" s="447" t="str">
        <f>IFERROR(__xludf.DUMMYFUNCTION("""COMPUTED_VALUE"""),"https://www.linkedin.com/in/brgoncalves/")</f>
        <v>https://www.linkedin.com/in/brgoncalves/</v>
      </c>
      <c r="H619" s="446" t="str">
        <f>IFERROR(__xludf.DUMMYFUNCTION("""COMPUTED_VALUE"""),"Relacionamento Interpessoal")</f>
        <v>Relacionamento Interpessoal</v>
      </c>
      <c r="I619" s="446" t="str">
        <f>IFERROR(__xludf.DUMMYFUNCTION("""COMPUTED_VALUE"""),"Liderança e influência")</f>
        <v>Liderança e influência</v>
      </c>
      <c r="J619" s="446" t="str">
        <f>IFERROR(__xludf.DUMMYFUNCTION("""COMPUTED_VALUE"""),"Mentoria e Desenvolvimento de Talentos")</f>
        <v>Mentoria e Desenvolvimento de Talentos</v>
      </c>
      <c r="K619" s="473" t="str">
        <f>IFERROR(__xludf.DUMMYFUNCTION("""COMPUTED_VALUE"""),"https://universidade.pipelovers.net/m/lessons/lideranca-do-futuro-menos-controle-mais-autonomia-e-resultado-1773685130767?classId=3805")</f>
        <v>https://universidade.pipelovers.net/m/lessons/lideranca-do-futuro-menos-controle-mais-autonomia-e-resultado-1773685130767?classId=3805</v>
      </c>
      <c r="L619" s="474" t="str">
        <f>IFERROR(__xludf.DUMMYFUNCTION("""COMPUTED_VALUE"""),"https://universidade.pipelovers.net/m/lessons/lideranca-do-futuro-menos-controle-mais-autonomia-e-resultado-1773685130767?classId=3805")</f>
        <v>https://universidade.pipelovers.net/m/lessons/lideranca-do-futuro-menos-controle-mais-autonomia-e-resultado-1773685130767?classId=3805</v>
      </c>
      <c r="M619" s="379" t="str">
        <f>IFERROR(__xludf.DUMMYFUNCTION("""COMPUTED_VALUE"""),"4")</f>
        <v>4</v>
      </c>
      <c r="N619" s="1135" t="str">
        <f>IFERROR(__xludf.DUMMYFUNCTION("""COMPUTED_VALUE"""),"170. PipeLovers 💙 Gestão Comercial Usando IA para não ser gargalo na operação comercial com Rodrigo Pinto - descript.mp4")</f>
        <v>170. PipeLovers 💙 Gestão Comercial Usando IA para não ser gargalo na operação comercial com Rodrigo Pinto - descript.mp4</v>
      </c>
      <c r="O619" s="218" t="str">
        <f>IFERROR(__xludf.DUMMYFUNCTION("""COMPUTED_VALUE"""),"")</f>
        <v/>
      </c>
      <c r="P619" s="1138"/>
      <c r="Q619" s="218"/>
    </row>
    <row r="620">
      <c r="A620" s="370"/>
      <c r="B620" s="480" t="str">
        <f>IFERROR(__xludf.DUMMYFUNCTION("""COMPUTED_VALUE"""),"Líderes de Vendas")</f>
        <v>Líderes de Vendas</v>
      </c>
      <c r="C620" s="539" t="str">
        <f>IFERROR(__xludf.DUMMYFUNCTION("""COMPUTED_VALUE"""),"Usando IA para não ser gargalo na operação comercial")</f>
        <v>Usando IA para não ser gargalo na operação comercial</v>
      </c>
      <c r="D620" s="210" t="str">
        <f>IFERROR(__xludf.DUMMYFUNCTION("""COMPUTED_VALUE"""),"Rodrigo Pinto")</f>
        <v>Rodrigo Pinto</v>
      </c>
      <c r="E620" s="406" t="str">
        <f>IFERROR(__xludf.DUMMYFUNCTION("""COMPUTED_VALUE"""),"Founder")</f>
        <v>Founder</v>
      </c>
      <c r="F620" s="1140" t="str">
        <f>IFERROR(__xludf.DUMMYFUNCTION("""COMPUTED_VALUE"""),"SocialPrompts.ai")</f>
        <v>SocialPrompts.ai</v>
      </c>
      <c r="G620" s="876" t="str">
        <f>IFERROR(__xludf.DUMMYFUNCTION("""COMPUTED_VALUE"""),"https://www.linkedin.com/in/rodrigopinto100/")</f>
        <v>https://www.linkedin.com/in/rodrigopinto100/</v>
      </c>
      <c r="H620" s="290" t="str">
        <f>IFERROR(__xludf.DUMMYFUNCTION("""COMPUTED_VALUE"""),"Visão de Negócios")</f>
        <v>Visão de Negócios</v>
      </c>
      <c r="I620" s="290" t="str">
        <f>IFERROR(__xludf.DUMMYFUNCTION("""COMPUTED_VALUE"""),"Tendências de Mercado")</f>
        <v>Tendências de Mercado</v>
      </c>
      <c r="J620" s="589" t="str">
        <f>IFERROR(__xludf.DUMMYFUNCTION("""COMPUTED_VALUE"""),"Inovações Tecnológicas")</f>
        <v>Inovações Tecnológicas</v>
      </c>
      <c r="K620" s="1141" t="str">
        <f>IFERROR(__xludf.DUMMYFUNCTION("""COMPUTED_VALUE"""),"https://universidade.pipelovers.net/m/lessons/usando-ia-para-nao-ser-gargalo-na-operacao-comercial-1773338964304?classId=3799")</f>
        <v>https://universidade.pipelovers.net/m/lessons/usando-ia-para-nao-ser-gargalo-na-operacao-comercial-1773338964304?classId=3799</v>
      </c>
      <c r="L620" s="1142" t="str">
        <f>IFERROR(__xludf.DUMMYFUNCTION("""COMPUTED_VALUE"""),"https://universidade.pipelovers.net/m/lessons/usando-ia-para-nao-ser-gargalo-na-operacao-comercial-1773338964304?classId=3799")</f>
        <v>https://universidade.pipelovers.net/m/lessons/usando-ia-para-nao-ser-gargalo-na-operacao-comercial-1773338964304?classId=3799</v>
      </c>
      <c r="M620" s="379" t="str">
        <f>IFERROR(__xludf.DUMMYFUNCTION("""COMPUTED_VALUE"""),"4")</f>
        <v>4</v>
      </c>
      <c r="N620" s="615" t="str">
        <f>IFERROR(__xludf.DUMMYFUNCTION("""COMPUTED_VALUE"""),"171. PipeLovers 💙 Gestão Comercial Como usar autoconhecimento para ajustar seu estilo de gestão com Milena Brentan - descript.mp4")</f>
        <v>171. PipeLovers 💙 Gestão Comercial Como usar autoconhecimento para ajustar seu estilo de gestão com Milena Brentan - descript.mp4</v>
      </c>
      <c r="O620" s="218" t="str">
        <f>IFERROR(__xludf.DUMMYFUNCTION("""COMPUTED_VALUE"""),"")</f>
        <v/>
      </c>
      <c r="P620" s="1138"/>
      <c r="Q620" s="218"/>
    </row>
    <row r="621">
      <c r="A621" s="73"/>
      <c r="B621" s="496" t="str">
        <f>IFERROR(__xludf.DUMMYFUNCTION("""COMPUTED_VALUE"""),"Líderes de Vendas")</f>
        <v>Líderes de Vendas</v>
      </c>
      <c r="C621" s="212" t="str">
        <f>IFERROR(__xludf.DUMMYFUNCTION("""COMPUTED_VALUE"""),"Como usar autoconhecimento para ajustar seu estilo de gestão")</f>
        <v>Como usar autoconhecimento para ajustar seu estilo de gestão</v>
      </c>
      <c r="D621" s="212" t="str">
        <f>IFERROR(__xludf.DUMMYFUNCTION("""COMPUTED_VALUE"""),"Milena Brentan")</f>
        <v>Milena Brentan</v>
      </c>
      <c r="E621" s="212" t="str">
        <f>IFERROR(__xludf.DUMMYFUNCTION("""COMPUTED_VALUE"""),"Autora do livro : “Guia para Novos Lideres (e quem quer ir além).")</f>
        <v>Autora do livro : “Guia para Novos Lideres (e quem quer ir além).</v>
      </c>
      <c r="F621" s="212"/>
      <c r="G621" s="876" t="str">
        <f>IFERROR(__xludf.DUMMYFUNCTION("""COMPUTED_VALUE"""),"https://www.linkedin.com/in/milena-brentan/")</f>
        <v>https://www.linkedin.com/in/milena-brentan/</v>
      </c>
      <c r="H621" s="290" t="str">
        <f>IFERROR(__xludf.DUMMYFUNCTION("""COMPUTED_VALUE"""),"Autodesenvolvimento")</f>
        <v>Autodesenvolvimento</v>
      </c>
      <c r="I621" s="1143" t="str">
        <f>IFERROR(__xludf.DUMMYFUNCTION("""COMPUTED_VALUE"""),"Inteligência Emocional")</f>
        <v>Inteligência Emocional</v>
      </c>
      <c r="J621" s="642" t="str">
        <f>IFERROR(__xludf.DUMMYFUNCTION("""COMPUTED_VALUE"""),"Resiliência")</f>
        <v>Resiliência</v>
      </c>
      <c r="K621" s="473" t="str">
        <f>IFERROR(__xludf.DUMMYFUNCTION("""COMPUTED_VALUE"""),"https://universidade.pipelovers.net/m/lessons/como-usar-autoconhecimento-para-ajustar-seu-estilo-de-gestao-1773686456054?classId=3808")</f>
        <v>https://universidade.pipelovers.net/m/lessons/como-usar-autoconhecimento-para-ajustar-seu-estilo-de-gestao-1773686456054?classId=3808</v>
      </c>
      <c r="L621" s="115" t="str">
        <f>IFERROR(__xludf.DUMMYFUNCTION("""COMPUTED_VALUE"""),"https://universidade.pipelovers.net/m/lessons/como-usar-autoconhecimento-para-ajustar-seu-estilo-de-gestao-1773686456054?classId=3808")</f>
        <v>https://universidade.pipelovers.net/m/lessons/como-usar-autoconhecimento-para-ajustar-seu-estilo-de-gestao-1773686456054?classId=3808</v>
      </c>
      <c r="M621" s="379" t="str">
        <f>IFERROR(__xludf.DUMMYFUNCTION("""COMPUTED_VALUE"""),"4,57")</f>
        <v>4,57</v>
      </c>
      <c r="N621" s="1135" t="str">
        <f>IFERROR(__xludf.DUMMYFUNCTION("""COMPUTED_VALUE"""),"172. PipeLovers 💙 Gestão Comercial Vendas enterprise e ABM como identificar contas estratégicas e escalar receita com Kelmer Teixeira - descript.mp4")</f>
        <v>172. PipeLovers 💙 Gestão Comercial Vendas enterprise e ABM como identificar contas estratégicas e escalar receita com Kelmer Teixeira - descript.mp4</v>
      </c>
      <c r="O621" s="218" t="str">
        <f>IFERROR(__xludf.DUMMYFUNCTION("""COMPUTED_VALUE"""),"")</f>
        <v/>
      </c>
      <c r="P621" s="1138"/>
      <c r="Q621" s="218"/>
    </row>
    <row r="622">
      <c r="A622" s="73"/>
      <c r="B622" s="496" t="str">
        <f>IFERROR(__xludf.DUMMYFUNCTION("""COMPUTED_VALUE"""),"Líderes de Vendas")</f>
        <v>Líderes de Vendas</v>
      </c>
      <c r="C622" s="210" t="str">
        <f>IFERROR(__xludf.DUMMYFUNCTION("""COMPUTED_VALUE"""),"Vendas Enterprise e ABM: como identificar contas estratégicas e escalar receita")</f>
        <v>Vendas Enterprise e ABM: como identificar contas estratégicas e escalar receita</v>
      </c>
      <c r="D622" s="210" t="str">
        <f>IFERROR(__xludf.DUMMYFUNCTION("""COMPUTED_VALUE"""),"Kelmer Teixeira")</f>
        <v>Kelmer Teixeira</v>
      </c>
      <c r="E622" s="210" t="str">
        <f>IFERROR(__xludf.DUMMYFUNCTION("""COMPUTED_VALUE"""),"Founder")</f>
        <v>Founder</v>
      </c>
      <c r="F622" s="210" t="str">
        <f>IFERROR(__xludf.DUMMYFUNCTION("""COMPUTED_VALUE"""),"Bowe &amp; Harpoon")</f>
        <v>Bowe &amp; Harpoon</v>
      </c>
      <c r="G622" s="876" t="str">
        <f>IFERROR(__xludf.DUMMYFUNCTION("""COMPUTED_VALUE"""),"https://www.linkedin.com/in/kelmerteixeira/")</f>
        <v>https://www.linkedin.com/in/kelmerteixeira/</v>
      </c>
      <c r="H622" s="290" t="str">
        <f>IFERROR(__xludf.DUMMYFUNCTION("""COMPUTED_VALUE"""),"Visão de Negócios")</f>
        <v>Visão de Negócios</v>
      </c>
      <c r="I622" s="290" t="str">
        <f>IFERROR(__xludf.DUMMYFUNCTION("""COMPUTED_VALUE"""),"Conhecimento de Produto e Negócio")</f>
        <v>Conhecimento de Produto e Negócio</v>
      </c>
      <c r="J622" s="446" t="str">
        <f>IFERROR(__xludf.DUMMYFUNCTION("""COMPUTED_VALUE"""),"ICP (Perfil de Cliente Ideal)")</f>
        <v>ICP (Perfil de Cliente Ideal)</v>
      </c>
      <c r="K622" s="473" t="str">
        <f>IFERROR(__xludf.DUMMYFUNCTION("""COMPUTED_VALUE"""),"https://universidade.pipelovers.net/m/lessons/vendas-enterprise-e-abm-como-identificar-contas-estrategicas-e-escalar-receita-1773687243812?classId=3809")</f>
        <v>https://universidade.pipelovers.net/m/lessons/vendas-enterprise-e-abm-como-identificar-contas-estrategicas-e-escalar-receita-1773687243812?classId=3809</v>
      </c>
      <c r="L622" s="1144" t="str">
        <f>IFERROR(__xludf.DUMMYFUNCTION("""COMPUTED_VALUE"""),"https://universidade.pipelovers.net/m/lessons/vendas-enterprise-e-abm-como-identificar-contas-estrategicas-e-escalar-receita-1773687243812?classId=3809")</f>
        <v>https://universidade.pipelovers.net/m/lessons/vendas-enterprise-e-abm-como-identificar-contas-estrategicas-e-escalar-receita-1773687243812?classId=3809</v>
      </c>
      <c r="M622" s="117">
        <f>IFERROR(__xludf.DUMMYFUNCTION("""COMPUTED_VALUE"""),4.14)</f>
        <v>4.14</v>
      </c>
      <c r="N622" s="1135" t="str">
        <f>IFERROR(__xludf.DUMMYFUNCTION("""COMPUTED_VALUE"""),"172. PipeLovers 💙 Gestão Comercial Vendas enterprise e ABM como identificar contas estratégicas e escalar receita com Kelmer Teixeira - descript.mp4")</f>
        <v>172. PipeLovers 💙 Gestão Comercial Vendas enterprise e ABM como identificar contas estratégicas e escalar receita com Kelmer Teixeira - descript.mp4</v>
      </c>
      <c r="O622" s="218" t="str">
        <f>IFERROR(__xludf.DUMMYFUNCTION("""COMPUTED_VALUE"""),"")</f>
        <v/>
      </c>
      <c r="P622" s="1138"/>
      <c r="Q622" s="218"/>
    </row>
    <row r="623">
      <c r="A623" s="73"/>
      <c r="B623" s="496" t="str">
        <f>IFERROR(__xludf.DUMMYFUNCTION("""COMPUTED_VALUE"""),"Líderes de Vendas")</f>
        <v>Líderes de Vendas</v>
      </c>
      <c r="C623" s="300" t="str">
        <f>IFERROR(__xludf.DUMMYFUNCTION("""COMPUTED_VALUE"""),"A importância de conectar vendas externas com Revops")</f>
        <v>A importância de conectar vendas externas com Revops</v>
      </c>
      <c r="D623" s="157" t="str">
        <f>IFERROR(__xludf.DUMMYFUNCTION("""COMPUTED_VALUE"""),"André Zacarias")</f>
        <v>André Zacarias</v>
      </c>
      <c r="E623" s="110" t="str">
        <f>IFERROR(__xludf.DUMMYFUNCTION("""COMPUTED_VALUE"""),"Diretor de Vendas e CS")</f>
        <v>Diretor de Vendas e CS</v>
      </c>
      <c r="F623" s="446" t="str">
        <f>IFERROR(__xludf.DUMMYFUNCTION("""COMPUTED_VALUE"""),"Checkmob")</f>
        <v>Checkmob</v>
      </c>
      <c r="G623" s="447" t="str">
        <f>IFERROR(__xludf.DUMMYFUNCTION("""COMPUTED_VALUE"""),"https://www.linkedin.com/in/andrezacarias/")</f>
        <v>https://www.linkedin.com/in/andrezacarias/</v>
      </c>
      <c r="H623" s="446" t="str">
        <f>IFERROR(__xludf.DUMMYFUNCTION("""COMPUTED_VALUE"""),"Conhecimento Técnico")</f>
        <v>Conhecimento Técnico</v>
      </c>
      <c r="I623" s="446" t="str">
        <f>IFERROR(__xludf.DUMMYFUNCTION("""COMPUTED_VALUE"""),"Gestão de Vendas")</f>
        <v>Gestão de Vendas</v>
      </c>
      <c r="J623" s="446" t="str">
        <f>IFERROR(__xludf.DUMMYFUNCTION("""COMPUTED_VALUE"""),"Planejamento Comercial")</f>
        <v>Planejamento Comercial</v>
      </c>
      <c r="K623" s="473" t="str">
        <f>IFERROR(__xludf.DUMMYFUNCTION("""COMPUTED_VALUE"""),"https://universidade.pipelovers.net/m/lessons/a-importancia-de-conectar-vendas-externas-com-revops-1774988845409?classId=3877")</f>
        <v>https://universidade.pipelovers.net/m/lessons/a-importancia-de-conectar-vendas-externas-com-revops-1774988845409?classId=3877</v>
      </c>
      <c r="L623" s="1144" t="str">
        <f>IFERROR(__xludf.DUMMYFUNCTION("""COMPUTED_VALUE"""),"https://universidade.pipelovers.net/m/lessons/a-importancia-de-conectar-vendas-externas-com-revops-1774988845409?classId=3877")</f>
        <v>https://universidade.pipelovers.net/m/lessons/a-importancia-de-conectar-vendas-externas-com-revops-1774988845409?classId=3877</v>
      </c>
      <c r="M623" s="117">
        <f>IFERROR(__xludf.DUMMYFUNCTION("""COMPUTED_VALUE"""),4.0)</f>
        <v>4</v>
      </c>
      <c r="N623" s="1135" t="str">
        <f>IFERROR(__xludf.DUMMYFUNCTION("""COMPUTED_VALUE"""),"173. PipeLovers 💙 Gestão Comercial A importância de conectar vendas externas com revops com André Zacarias.mp4")</f>
        <v>173. PipeLovers 💙 Gestão Comercial A importância de conectar vendas externas com revops com André Zacarias.mp4</v>
      </c>
      <c r="O623" s="218" t="str">
        <f>IFERROR(__xludf.DUMMYFUNCTION("""COMPUTED_VALUE"""),"")</f>
        <v/>
      </c>
      <c r="P623" s="1138"/>
      <c r="Q623" s="218"/>
    </row>
    <row r="624">
      <c r="A624" s="73"/>
      <c r="B624" s="496" t="str">
        <f>IFERROR(__xludf.DUMMYFUNCTION("""COMPUTED_VALUE"""),"Líderes de Vendas")</f>
        <v>Líderes de Vendas</v>
      </c>
      <c r="C624" s="300" t="str">
        <f>IFERROR(__xludf.DUMMYFUNCTION("""COMPUTED_VALUE"""),"Como revisar e melhorar seu processo comercial")</f>
        <v>Como revisar e melhorar seu processo comercial</v>
      </c>
      <c r="D624" s="157" t="str">
        <f>IFERROR(__xludf.DUMMYFUNCTION("""COMPUTED_VALUE"""),"Thiago Pirinelli")</f>
        <v>Thiago Pirinelli</v>
      </c>
      <c r="E624" s="110" t="str">
        <f>IFERROR(__xludf.DUMMYFUNCTION("""COMPUTED_VALUE"""),"CEO")</f>
        <v>CEO</v>
      </c>
      <c r="F624" s="446" t="str">
        <f>IFERROR(__xludf.DUMMYFUNCTION("""COMPUTED_VALUE"""),"Funil de Vendas™")</f>
        <v>Funil de Vendas™</v>
      </c>
      <c r="G624" s="447" t="str">
        <f>IFERROR(__xludf.DUMMYFUNCTION("""COMPUTED_VALUE"""),"https://www.linkedin.com/in/pirinelli/")</f>
        <v>https://www.linkedin.com/in/pirinelli/</v>
      </c>
      <c r="H624" s="446" t="str">
        <f>IFERROR(__xludf.DUMMYFUNCTION("""COMPUTED_VALUE"""),"Conhecimento Técnico")</f>
        <v>Conhecimento Técnico</v>
      </c>
      <c r="I624" s="446" t="str">
        <f>IFERROR(__xludf.DUMMYFUNCTION("""COMPUTED_VALUE"""),"Gestão de Vendas")</f>
        <v>Gestão de Vendas</v>
      </c>
      <c r="J624" s="446" t="str">
        <f>IFERROR(__xludf.DUMMYFUNCTION("""COMPUTED_VALUE"""),"Rotinas e Rituais")</f>
        <v>Rotinas e Rituais</v>
      </c>
      <c r="K624" s="473" t="str">
        <f>IFERROR(__xludf.DUMMYFUNCTION("""COMPUTED_VALUE"""),"https://universidade.pipelovers.net/m/lessons/como-revisar-e-melhorar-seu-processo-comercial-1773687658454?classId=3810")</f>
        <v>https://universidade.pipelovers.net/m/lessons/como-revisar-e-melhorar-seu-processo-comercial-1773687658454?classId=3810</v>
      </c>
      <c r="L624" s="1144" t="str">
        <f>IFERROR(__xludf.DUMMYFUNCTION("""COMPUTED_VALUE"""),"https://universidade.pipelovers.net/m/lessons/como-revisar-e-melhorar-seu-processo-comercial-1773687658454?classId=3810")</f>
        <v>https://universidade.pipelovers.net/m/lessons/como-revisar-e-melhorar-seu-processo-comercial-1773687658454?classId=3810</v>
      </c>
      <c r="M624" s="117">
        <f>IFERROR(__xludf.DUMMYFUNCTION("""COMPUTED_VALUE"""),4.14)</f>
        <v>4.14</v>
      </c>
      <c r="N624" s="1135" t="str">
        <f>IFERROR(__xludf.DUMMYFUNCTION("""COMPUTED_VALUE"""),"174.  PipeLovers 💙 Gestão Comercial Como revisar e melhorar seu processo comercial com Thiago Pirinelli - descript.mp4")</f>
        <v>174.  PipeLovers 💙 Gestão Comercial Como revisar e melhorar seu processo comercial com Thiago Pirinelli - descript.mp4</v>
      </c>
      <c r="O624" s="218" t="str">
        <f>IFERROR(__xludf.DUMMYFUNCTION("""COMPUTED_VALUE"""),"")</f>
        <v/>
      </c>
      <c r="P624" s="1138"/>
      <c r="Q624" s="218"/>
    </row>
    <row r="625">
      <c r="A625" s="73"/>
      <c r="B625" s="496" t="str">
        <f>IFERROR(__xludf.DUMMYFUNCTION("""COMPUTED_VALUE"""),"Líderes de Vendas")</f>
        <v>Líderes de Vendas</v>
      </c>
      <c r="C625" s="210" t="str">
        <f>IFERROR(__xludf.DUMMYFUNCTION("""COMPUTED_VALUE"""),"Estrutura de uma operação de gestão de carteira (CS)")</f>
        <v>Estrutura de uma operação de gestão de carteira (CS)</v>
      </c>
      <c r="D625" s="210" t="str">
        <f>IFERROR(__xludf.DUMMYFUNCTION("""COMPUTED_VALUE"""),"Cesar Augusto")</f>
        <v>Cesar Augusto</v>
      </c>
      <c r="E625" s="406" t="str">
        <f>IFERROR(__xludf.DUMMYFUNCTION("""COMPUTED_VALUE"""),"Co-Founder &amp; COO")</f>
        <v>Co-Founder &amp; COO</v>
      </c>
      <c r="F625" s="406" t="str">
        <f>IFERROR(__xludf.DUMMYFUNCTION("""COMPUTED_VALUE"""),"Dose")</f>
        <v>Dose</v>
      </c>
      <c r="G625" s="290"/>
      <c r="H625" s="290"/>
      <c r="I625" s="290"/>
      <c r="J625" s="1145"/>
      <c r="K625" s="1146" t="str">
        <f>IFERROR(__xludf.DUMMYFUNCTION("""COMPUTED_VALUE"""),"https://universidade.pipelovers.net/m/lessons/estrutura-de-uma-operacao-de-gestao-de-carteira-cs-1773688863277?moduleId=1237&amp;classId=3812")</f>
        <v>https://universidade.pipelovers.net/m/lessons/estrutura-de-uma-operacao-de-gestao-de-carteira-cs-1773688863277?moduleId=1237&amp;classId=3812</v>
      </c>
      <c r="L625" s="1144" t="str">
        <f>IFERROR(__xludf.DUMMYFUNCTION("""COMPUTED_VALUE"""),"https://universidade.pipelovers.net/m/lessons/estrutura-de-uma-operacao-de-gestao-de-carteira-cs-1773688863277?moduleId=1237&amp;classId=3812")</f>
        <v>https://universidade.pipelovers.net/m/lessons/estrutura-de-uma-operacao-de-gestao-de-carteira-cs-1773688863277?moduleId=1237&amp;classId=3812</v>
      </c>
      <c r="M625" s="117">
        <f>IFERROR(__xludf.DUMMYFUNCTION("""COMPUTED_VALUE"""),3.14)</f>
        <v>3.14</v>
      </c>
      <c r="N625" s="1135"/>
      <c r="O625" s="218" t="str">
        <f>IFERROR(__xludf.DUMMYFUNCTION("""COMPUTED_VALUE"""),"")</f>
        <v/>
      </c>
      <c r="P625" s="1138"/>
      <c r="Q625" s="218"/>
    </row>
    <row r="626">
      <c r="A626" s="73"/>
      <c r="B626" s="496" t="str">
        <f>IFERROR(__xludf.DUMMYFUNCTION("""COMPUTED_VALUE"""),"Líderes de Vendas")</f>
        <v>Líderes de Vendas</v>
      </c>
      <c r="C626" s="487" t="str">
        <f>IFERROR(__xludf.DUMMYFUNCTION("""COMPUTED_VALUE"""),"Gestão de canais: como estruturar, ativar e acompanhar parceiros")</f>
        <v>Gestão de canais: como estruturar, ativar e acompanhar parceiros</v>
      </c>
      <c r="D626" s="488" t="str">
        <f>IFERROR(__xludf.DUMMYFUNCTION("""COMPUTED_VALUE"""),"Nathália Koga")</f>
        <v>Nathália Koga</v>
      </c>
      <c r="E626" s="489" t="str">
        <f>IFERROR(__xludf.DUMMYFUNCTION("""COMPUTED_VALUE"""),"Founder e CEO")</f>
        <v>Founder e CEO</v>
      </c>
      <c r="F626" s="490" t="str">
        <f>IFERROR(__xludf.DUMMYFUNCTION("""COMPUTED_VALUE"""),"Partner Pro Brasil")</f>
        <v>Partner Pro Brasil</v>
      </c>
      <c r="G626" s="605" t="str">
        <f>IFERROR(__xludf.DUMMYFUNCTION("""COMPUTED_VALUE"""),"https://www.linkedin.com/in/nathalia-koga-0072261b9/")</f>
        <v>https://www.linkedin.com/in/nathalia-koga-0072261b9/</v>
      </c>
      <c r="H626" s="490" t="str">
        <f>IFERROR(__xludf.DUMMYFUNCTION("""COMPUTED_VALUE"""),"Conhecimento Técnico")</f>
        <v>Conhecimento Técnico</v>
      </c>
      <c r="I626" s="490" t="str">
        <f>IFERROR(__xludf.DUMMYFUNCTION("""COMPUTED_VALUE"""),"Gestão de Vendas")</f>
        <v>Gestão de Vendas</v>
      </c>
      <c r="J626" s="490" t="str">
        <f>IFERROR(__xludf.DUMMYFUNCTION("""COMPUTED_VALUE"""),"Planejamento Comercial")</f>
        <v>Planejamento Comercial</v>
      </c>
      <c r="K626" s="493" t="str">
        <f>IFERROR(__xludf.DUMMYFUNCTION("""COMPUTED_VALUE"""),"https://universidade.pipelovers.net/m/lessons/gestao-de-canais-como-estruturar-ativar-e-acompanhar-parceiros-1775675970943?classId=3916")</f>
        <v>https://universidade.pipelovers.net/m/lessons/gestao-de-canais-como-estruturar-ativar-e-acompanhar-parceiros-1775675970943?classId=3916</v>
      </c>
      <c r="L626" s="1144" t="str">
        <f>IFERROR(__xludf.DUMMYFUNCTION("""COMPUTED_VALUE"""),"https://universidade.pipelovers.net/m/lessons/gestao-de-canais-como-estruturar-ativar-e-acompanhar-parceiros-1775675970943?classId=3916")</f>
        <v>https://universidade.pipelovers.net/m/lessons/gestao-de-canais-como-estruturar-ativar-e-acompanhar-parceiros-1775675970943?classId=3916</v>
      </c>
      <c r="M626" s="379">
        <f>IFERROR(__xludf.DUMMYFUNCTION("""COMPUTED_VALUE"""),4.36)</f>
        <v>4.36</v>
      </c>
      <c r="N626" s="1135" t="str">
        <f>IFERROR(__xludf.DUMMYFUNCTION("""COMPUTED_VALUE"""),"175.  PipeLovers 💙 Gestão Comercial Estrutura de uma operação de gestão de carteira (CS) com Cesar Augusto- descript.mp4")</f>
        <v>175.  PipeLovers 💙 Gestão Comercial Estrutura de uma operação de gestão de carteira (CS) com Cesar Augusto- descript.mp4</v>
      </c>
      <c r="O626" s="218" t="str">
        <f>IFERROR(__xludf.DUMMYFUNCTION("""COMPUTED_VALUE"""),"")</f>
        <v/>
      </c>
      <c r="P626" s="1138"/>
      <c r="Q626" s="218"/>
    </row>
    <row r="627">
      <c r="A627" s="73"/>
      <c r="B627" s="496" t="str">
        <f>IFERROR(__xludf.DUMMYFUNCTION("""COMPUTED_VALUE"""),"Líderes de Vendas")</f>
        <v>Líderes de Vendas</v>
      </c>
      <c r="C627" s="487" t="str">
        <f>IFERROR(__xludf.DUMMYFUNCTION("""COMPUTED_VALUE"""),"Como tomar decisões difíceis na liderança comercial")</f>
        <v>Como tomar decisões difíceis na liderança comercial</v>
      </c>
      <c r="D627" s="488" t="str">
        <f>IFERROR(__xludf.DUMMYFUNCTION("""COMPUTED_VALUE"""),"Cadu Merlin")</f>
        <v>Cadu Merlin</v>
      </c>
      <c r="E627" s="489" t="str">
        <f>IFERROR(__xludf.DUMMYFUNCTION("""COMPUTED_VALUE"""),"Chief Revenue Officer (CRO)")</f>
        <v>Chief Revenue Officer (CRO)</v>
      </c>
      <c r="F627" s="490" t="str">
        <f>IFERROR(__xludf.DUMMYFUNCTION("""COMPUTED_VALUE"""),"Certta")</f>
        <v>Certta</v>
      </c>
      <c r="G627" s="605" t="str">
        <f>IFERROR(__xludf.DUMMYFUNCTION("""COMPUTED_VALUE"""),"https://www.linkedin.com/in/carloseduardomerlin/")</f>
        <v>https://www.linkedin.com/in/carloseduardomerlin/</v>
      </c>
      <c r="H627" s="490" t="str">
        <f>IFERROR(__xludf.DUMMYFUNCTION("""COMPUTED_VALUE"""),"Relacionamento Interpessoal")</f>
        <v>Relacionamento Interpessoal</v>
      </c>
      <c r="I627" s="490" t="str">
        <f>IFERROR(__xludf.DUMMYFUNCTION("""COMPUTED_VALUE"""),"Liderança e Influência")</f>
        <v>Liderança e Influência</v>
      </c>
      <c r="J627" s="490" t="str">
        <f>IFERROR(__xludf.DUMMYFUNCTION("""COMPUTED_VALUE"""),"Gestão de Conflitos e Resolução de Problemas")</f>
        <v>Gestão de Conflitos e Resolução de Problemas</v>
      </c>
      <c r="K627" s="1009" t="str">
        <f>IFERROR(__xludf.DUMMYFUNCTION("""COMPUTED_VALUE"""),"https://universidade.pipelovers.net/m/lessons/como-tomar-decisoes-dificeis-na-lideranca-comercial-1775044173022?classId=3879")</f>
        <v>https://universidade.pipelovers.net/m/lessons/como-tomar-decisoes-dificeis-na-lideranca-comercial-1775044173022?classId=3879</v>
      </c>
      <c r="L627" s="1009" t="str">
        <f>IFERROR(__xludf.DUMMYFUNCTION("""COMPUTED_VALUE"""),"https://universidade.pipelovers.net/m/lessons/como-tomar-decisoes-dificeis-na-lideranca-comercial-1775044173022?classId=3879")</f>
        <v>https://universidade.pipelovers.net/m/lessons/como-tomar-decisoes-dificeis-na-lideranca-comercial-1775044173022?classId=3879</v>
      </c>
      <c r="M627" s="379">
        <f>IFERROR(__xludf.DUMMYFUNCTION("""COMPUTED_VALUE"""),4.0)</f>
        <v>4</v>
      </c>
      <c r="N627" s="1135"/>
      <c r="O627" s="218" t="str">
        <f>IFERROR(__xludf.DUMMYFUNCTION("""COMPUTED_VALUE"""),"")</f>
        <v/>
      </c>
      <c r="P627" s="1138"/>
      <c r="Q627" s="218"/>
    </row>
    <row r="628">
      <c r="A628" s="73"/>
      <c r="B628" s="496" t="str">
        <f>IFERROR(__xludf.DUMMYFUNCTION("""COMPUTED_VALUE"""),"Líderes de Vendas")</f>
        <v>Líderes de Vendas</v>
      </c>
      <c r="C628" s="487" t="str">
        <f>IFERROR(__xludf.DUMMYFUNCTION("""COMPUTED_VALUE"""),"Atuação com segmentos específicos: como personalizar abordagens e estrutura")</f>
        <v>Atuação com segmentos específicos: como personalizar abordagens e estrutura</v>
      </c>
      <c r="D628" s="488" t="str">
        <f>IFERROR(__xludf.DUMMYFUNCTION("""COMPUTED_VALUE"""),"Rodrigo Lóssio e Diego Morsoletto")</f>
        <v>Rodrigo Lóssio e Diego Morsoletto</v>
      </c>
      <c r="E628" s="489" t="str">
        <f>IFERROR(__xludf.DUMMYFUNCTION("""COMPUTED_VALUE"""),"Fundador e Gestor de Negócios e Marketing")</f>
        <v>Fundador e Gestor de Negócios e Marketing</v>
      </c>
      <c r="F628" s="490" t="str">
        <f>IFERROR(__xludf.DUMMYFUNCTION("""COMPUTED_VALUE"""),"Dialetto")</f>
        <v>Dialetto</v>
      </c>
      <c r="G628" s="490" t="str">
        <f>IFERROR(__xludf.DUMMYFUNCTION("""COMPUTED_VALUE"""),"https://www.linkedin.com/in/lossio/ | https://www.linkedin.com/in/diego-morsoletto-cardoso/?skipRedirect=true")</f>
        <v>https://www.linkedin.com/in/lossio/ | https://www.linkedin.com/in/diego-morsoletto-cardoso/?skipRedirect=true</v>
      </c>
      <c r="H628" s="490" t="str">
        <f>IFERROR(__xludf.DUMMYFUNCTION("""COMPUTED_VALUE"""),"Conhecimento Técnico")</f>
        <v>Conhecimento Técnico</v>
      </c>
      <c r="I628" s="490" t="str">
        <f>IFERROR(__xludf.DUMMYFUNCTION("""COMPUTED_VALUE"""),"Técnicas de Vendas")</f>
        <v>Técnicas de Vendas</v>
      </c>
      <c r="J628" s="490" t="str">
        <f>IFERROR(__xludf.DUMMYFUNCTION("""COMPUTED_VALUE"""),"Perfil do Comprador B2B")</f>
        <v>Perfil do Comprador B2B</v>
      </c>
      <c r="K628" s="1147" t="str">
        <f>IFERROR(__xludf.DUMMYFUNCTION("""COMPUTED_VALUE"""),"https://universidade.pipelovers.net/m/lessons/atuacao-com-segmentos-especificos-como-personalizar-abordagens-e-estrutura-1778682804297?classId=4001")</f>
        <v>https://universidade.pipelovers.net/m/lessons/atuacao-com-segmentos-especificos-como-personalizar-abordagens-e-estrutura-1778682804297?classId=4001</v>
      </c>
      <c r="L628" s="1148" t="str">
        <f>IFERROR(__xludf.DUMMYFUNCTION("""COMPUTED_VALUE"""),"https://universidade.pipelovers.net/m/lessons/atuacao-com-segmentos-especificos-como-personalizar-abordagens-e-estrutura-1778682804297?classId=4001")</f>
        <v>https://universidade.pipelovers.net/m/lessons/atuacao-com-segmentos-especificos-como-personalizar-abordagens-e-estrutura-1778682804297?classId=4001</v>
      </c>
      <c r="M628" s="379">
        <f>IFERROR(__xludf.DUMMYFUNCTION("""COMPUTED_VALUE"""),3.5)</f>
        <v>3.5</v>
      </c>
      <c r="N628" s="1135"/>
      <c r="O628" s="218" t="str">
        <f>IFERROR(__xludf.DUMMYFUNCTION("""COMPUTED_VALUE"""),"")</f>
        <v/>
      </c>
      <c r="P628" s="1138"/>
      <c r="Q628" s="218"/>
    </row>
    <row r="629">
      <c r="A629" s="73"/>
      <c r="B629" s="496" t="str">
        <f>IFERROR(__xludf.DUMMYFUNCTION("""COMPUTED_VALUE"""),"Líderes de Vendas")</f>
        <v>Líderes de Vendas</v>
      </c>
      <c r="C629" s="487" t="str">
        <f>IFERROR(__xludf.DUMMYFUNCTION("""COMPUTED_VALUE"""),"Estrutura de uma operação de aquisição de novos clientes")</f>
        <v>Estrutura de uma operação de aquisição de novos clientes</v>
      </c>
      <c r="D629" s="488" t="str">
        <f>IFERROR(__xludf.DUMMYFUNCTION("""COMPUTED_VALUE"""),"Cassio Lopes")</f>
        <v>Cassio Lopes</v>
      </c>
      <c r="E629" s="489" t="str">
        <f>IFERROR(__xludf.DUMMYFUNCTION("""COMPUTED_VALUE"""),"Head of Sales")</f>
        <v>Head of Sales</v>
      </c>
      <c r="F629" s="490" t="str">
        <f>IFERROR(__xludf.DUMMYFUNCTION("""COMPUTED_VALUE"""),"Zoho")</f>
        <v>Zoho</v>
      </c>
      <c r="G629" s="605" t="str">
        <f>IFERROR(__xludf.DUMMYFUNCTION("""COMPUTED_VALUE"""),"https://www.linkedin.com/in/leandrohirose")</f>
        <v>https://www.linkedin.com/in/leandrohirose</v>
      </c>
      <c r="H629" s="490" t="str">
        <f>IFERROR(__xludf.DUMMYFUNCTION("""COMPUTED_VALUE"""),"Conhecimento Técnico")</f>
        <v>Conhecimento Técnico</v>
      </c>
      <c r="I629" s="490" t="str">
        <f>IFERROR(__xludf.DUMMYFUNCTION("""COMPUTED_VALUE"""),"Gestão de Vendas")</f>
        <v>Gestão de Vendas</v>
      </c>
      <c r="J629" s="490" t="str">
        <f>IFERROR(__xludf.DUMMYFUNCTION("""COMPUTED_VALUE"""),"Rotinas e Rituais")</f>
        <v>Rotinas e Rituais</v>
      </c>
      <c r="K629" s="1009" t="str">
        <f>IFERROR(__xludf.DUMMYFUNCTION("""COMPUTED_VALUE"""),"https://universidade.pipelovers.net/m/lessons/estrutura-de-uma-operacao-de-aquisicao-de-novos-clientes-1779132718608?moduleId=1420&amp;classId=4006")</f>
        <v>https://universidade.pipelovers.net/m/lessons/estrutura-de-uma-operacao-de-aquisicao-de-novos-clientes-1779132718608?moduleId=1420&amp;classId=4006</v>
      </c>
      <c r="L629" s="1009" t="str">
        <f>IFERROR(__xludf.DUMMYFUNCTION("""COMPUTED_VALUE"""),"https://universidade.pipelovers.net/m/lessons/estrutura-de-uma-operacao-de-aquisicao-de-novos-clientes-1779132718608?moduleId=1420&amp;classId=4006")</f>
        <v>https://universidade.pipelovers.net/m/lessons/estrutura-de-uma-operacao-de-aquisicao-de-novos-clientes-1779132718608?moduleId=1420&amp;classId=4006</v>
      </c>
      <c r="M629" s="379">
        <f>IFERROR(__xludf.DUMMYFUNCTION("""COMPUTED_VALUE"""),4.07)</f>
        <v>4.07</v>
      </c>
      <c r="N629" s="1135"/>
      <c r="O629" s="218" t="str">
        <f>IFERROR(__xludf.DUMMYFUNCTION("""COMPUTED_VALUE"""),"")</f>
        <v/>
      </c>
      <c r="P629" s="1138"/>
      <c r="Q629" s="218"/>
    </row>
    <row r="630">
      <c r="A630" s="73"/>
      <c r="B630" s="496" t="str">
        <f>IFERROR(__xludf.DUMMYFUNCTION("""COMPUTED_VALUE"""),"Líderes de Vendas")</f>
        <v>Líderes de Vendas</v>
      </c>
      <c r="C630" s="212" t="str">
        <f>IFERROR(__xludf.DUMMYFUNCTION("""COMPUTED_VALUE"""),"5 praticas para alavancar vendas externas")</f>
        <v>5 praticas para alavancar vendas externas</v>
      </c>
      <c r="D630" s="212" t="str">
        <f>IFERROR(__xludf.DUMMYFUNCTION("""COMPUTED_VALUE"""),"André Zacarias")</f>
        <v>André Zacarias</v>
      </c>
      <c r="E630" s="432" t="str">
        <f>IFERROR(__xludf.DUMMYFUNCTION("""COMPUTED_VALUE"""),"Diretor de Vendas e CS")</f>
        <v>Diretor de Vendas e CS</v>
      </c>
      <c r="F630" s="432" t="str">
        <f>IFERROR(__xludf.DUMMYFUNCTION("""COMPUTED_VALUE"""),"Checkmob")</f>
        <v>Checkmob</v>
      </c>
      <c r="G630" s="876" t="str">
        <f>IFERROR(__xludf.DUMMYFUNCTION("""COMPUTED_VALUE"""),"https://www.linkedin.com/in/andrezacarias/")</f>
        <v>https://www.linkedin.com/in/andrezacarias/</v>
      </c>
      <c r="H630" s="290" t="str">
        <f>IFERROR(__xludf.DUMMYFUNCTION("""COMPUTED_VALUE"""),"Conhecimento Técnico")</f>
        <v>Conhecimento Técnico</v>
      </c>
      <c r="I630" s="290" t="str">
        <f>IFERROR(__xludf.DUMMYFUNCTION("""COMPUTED_VALUE"""),"Técnicas de Vendas")</f>
        <v>Técnicas de Vendas</v>
      </c>
      <c r="J630" s="732" t="str">
        <f>IFERROR(__xludf.DUMMYFUNCTION("""COMPUTED_VALUE"""),"Negociação e Fechamento de Vendas")</f>
        <v>Negociação e Fechamento de Vendas</v>
      </c>
      <c r="K630" s="1149" t="str">
        <f>IFERROR(__xludf.DUMMYFUNCTION("""COMPUTED_VALUE"""),"https://universidade.pipelovers.net/m/lessons/5-praticas-para-alavancar-vendas-externas-1780516324791?moduleId=1432&amp;classId=4020")</f>
        <v>https://universidade.pipelovers.net/m/lessons/5-praticas-para-alavancar-vendas-externas-1780516324791?moduleId=1432&amp;classId=4020</v>
      </c>
      <c r="L630" s="1150" t="str">
        <f>IFERROR(__xludf.DUMMYFUNCTION("""COMPUTED_VALUE"""),"https://universidade.pipelovers.net/m/lessons/5-praticas-para-alavancar-vendas-externas-1780516324791?moduleId=1432&amp;classId=4020")</f>
        <v>https://universidade.pipelovers.net/m/lessons/5-praticas-para-alavancar-vendas-externas-1780516324791?moduleId=1432&amp;classId=4020</v>
      </c>
      <c r="M630" s="1151">
        <f>IFERROR(__xludf.DUMMYFUNCTION("""COMPUTED_VALUE"""),3.79)</f>
        <v>3.79</v>
      </c>
      <c r="N630" s="1135"/>
      <c r="O630" s="218" t="str">
        <f>IFERROR(__xludf.DUMMYFUNCTION("""COMPUTED_VALUE"""),"")</f>
        <v/>
      </c>
      <c r="P630" s="1138"/>
      <c r="Q630" s="218"/>
    </row>
    <row r="631">
      <c r="A631" s="73"/>
      <c r="B631" s="496" t="str">
        <f>IFERROR(__xludf.DUMMYFUNCTION("""COMPUTED_VALUE"""),"Líderes de Vendas")</f>
        <v>Líderes de Vendas</v>
      </c>
      <c r="C631" s="487" t="str">
        <f>IFERROR(__xludf.DUMMYFUNCTION("""COMPUTED_VALUE"""),"Organização de rotina e agenda para líderes de vendas")</f>
        <v>Organização de rotina e agenda para líderes de vendas</v>
      </c>
      <c r="D631" s="488" t="str">
        <f>IFERROR(__xludf.DUMMYFUNCTION("""COMPUTED_VALUE"""),"Rodrigo Formento")</f>
        <v>Rodrigo Formento</v>
      </c>
      <c r="E631" s="489" t="str">
        <f>IFERROR(__xludf.DUMMYFUNCTION("""COMPUTED_VALUE"""),"Diretor de Receitas")</f>
        <v>Diretor de Receitas</v>
      </c>
      <c r="F631" s="490" t="str">
        <f>IFERROR(__xludf.DUMMYFUNCTION("""COMPUTED_VALUE"""),"Odisseia AI")</f>
        <v>Odisseia AI</v>
      </c>
      <c r="G631" s="605" t="str">
        <f>IFERROR(__xludf.DUMMYFUNCTION("""COMPUTED_VALUE"""),"https://www.linkedin.com/in/rodrigoformento/")</f>
        <v>https://www.linkedin.com/in/rodrigoformento/</v>
      </c>
      <c r="H631" s="490" t="str">
        <f>IFERROR(__xludf.DUMMYFUNCTION("""COMPUTED_VALUE"""),"Autodesenvolvimento")</f>
        <v>Autodesenvolvimento</v>
      </c>
      <c r="I631" s="490" t="str">
        <f>IFERROR(__xludf.DUMMYFUNCTION("""COMPUTED_VALUE"""),"Gestão de Tempo e da Informação")</f>
        <v>Gestão de Tempo e da Informação</v>
      </c>
      <c r="J631" s="490" t="str">
        <f>IFERROR(__xludf.DUMMYFUNCTION("""COMPUTED_VALUE"""),"Técnicas de Organização e Rotina")</f>
        <v>Técnicas de Organização e Rotina</v>
      </c>
      <c r="K631" s="1152" t="str">
        <f>IFERROR(__xludf.DUMMYFUNCTION("""COMPUTED_VALUE"""),"https://universidade.pipelovers.net/m/lessons/organizacao-de-rotina-e-agenda-para-lideres-de-vendas-1775679204466?moduleId=1335&amp;classId=3917")</f>
        <v>https://universidade.pipelovers.net/m/lessons/organizacao-de-rotina-e-agenda-para-lideres-de-vendas-1775679204466?moduleId=1335&amp;classId=3917</v>
      </c>
      <c r="L631" s="1152" t="str">
        <f>IFERROR(__xludf.DUMMYFUNCTION("""COMPUTED_VALUE"""),"https://universidade.pipelovers.net/m/lessons/organizacao-de-rotina-e-agenda-para-lideres-de-vendas-1775679204466?moduleId=1335&amp;classId=3917")</f>
        <v>https://universidade.pipelovers.net/m/lessons/organizacao-de-rotina-e-agenda-para-lideres-de-vendas-1775679204466?moduleId=1335&amp;classId=3917</v>
      </c>
      <c r="M631" s="620">
        <f>IFERROR(__xludf.DUMMYFUNCTION("""COMPUTED_VALUE"""),3.79)</f>
        <v>3.79</v>
      </c>
      <c r="N631" s="1135"/>
      <c r="O631" s="218" t="str">
        <f>IFERROR(__xludf.DUMMYFUNCTION("""COMPUTED_VALUE"""),"")</f>
        <v/>
      </c>
      <c r="P631" s="1138"/>
      <c r="Q631" s="218"/>
    </row>
    <row r="632">
      <c r="A632" s="73"/>
      <c r="B632" s="496" t="str">
        <f>IFERROR(__xludf.DUMMYFUNCTION("""COMPUTED_VALUE"""),"Líderes de Vendas")</f>
        <v>Líderes de Vendas</v>
      </c>
      <c r="C632" s="487" t="str">
        <f>IFERROR(__xludf.DUMMYFUNCTION("""COMPUTED_VALUE"""),"Modelos de incentivo e recompensa para vendedores")</f>
        <v>Modelos de incentivo e recompensa para vendedores</v>
      </c>
      <c r="D632" s="488" t="str">
        <f>IFERROR(__xludf.DUMMYFUNCTION("""COMPUTED_VALUE"""),"Eduardo Faccio")</f>
        <v>Eduardo Faccio</v>
      </c>
      <c r="E632" s="489" t="str">
        <f>IFERROR(__xludf.DUMMYFUNCTION("""COMPUTED_VALUE"""),"Enterprise Sales &amp; GTM Director")</f>
        <v>Enterprise Sales &amp; GTM Director</v>
      </c>
      <c r="F632" s="490" t="str">
        <f>IFERROR(__xludf.DUMMYFUNCTION("""COMPUTED_VALUE"""),"Contato Seguro")</f>
        <v>Contato Seguro</v>
      </c>
      <c r="G632" s="605" t="str">
        <f>IFERROR(__xludf.DUMMYFUNCTION("""COMPUTED_VALUE"""),"https://www.linkedin.com/in/eduardofaccio/")</f>
        <v>https://www.linkedin.com/in/eduardofaccio/</v>
      </c>
      <c r="H632" s="490" t="str">
        <f>IFERROR(__xludf.DUMMYFUNCTION("""COMPUTED_VALUE"""),"Conhecimento Técnico")</f>
        <v>Conhecimento Técnico</v>
      </c>
      <c r="I632" s="490" t="str">
        <f>IFERROR(__xludf.DUMMYFUNCTION("""COMPUTED_VALUE"""),"Gestão de Vendas")</f>
        <v>Gestão de Vendas</v>
      </c>
      <c r="J632" s="490" t="str">
        <f>IFERROR(__xludf.DUMMYFUNCTION("""COMPUTED_VALUE"""),"Planejamento Comercial")</f>
        <v>Planejamento Comercial</v>
      </c>
      <c r="K632" s="493" t="str">
        <f>IFERROR(__xludf.DUMMYFUNCTION("""COMPUTED_VALUE"""),"https://universidade.pipelovers.net/m/lessons/modelos-de-incentivo-e-recompensa-para-vendedores-1778011143206?moduleId=1404&amp;classId=3989")</f>
        <v>https://universidade.pipelovers.net/m/lessons/modelos-de-incentivo-e-recompensa-para-vendedores-1778011143206?moduleId=1404&amp;classId=3989</v>
      </c>
      <c r="L632" s="1153" t="str">
        <f>IFERROR(__xludf.DUMMYFUNCTION("""COMPUTED_VALUE"""),"https://universidade.pipelovers.net/m/lessons/modelos-de-incentivo-e-recompensa-para-vendedores-1778011143206?moduleId=1404&amp;classId=3989")</f>
        <v>https://universidade.pipelovers.net/m/lessons/modelos-de-incentivo-e-recompensa-para-vendedores-1778011143206?moduleId=1404&amp;classId=3989</v>
      </c>
      <c r="M632" s="620">
        <f>IFERROR(__xludf.DUMMYFUNCTION("""COMPUTED_VALUE"""),4.07)</f>
        <v>4.07</v>
      </c>
      <c r="N632" s="1135"/>
      <c r="O632" s="218" t="str">
        <f>IFERROR(__xludf.DUMMYFUNCTION("""COMPUTED_VALUE"""),"")</f>
        <v/>
      </c>
      <c r="P632" s="1138"/>
      <c r="Q632" s="218"/>
    </row>
    <row r="633">
      <c r="A633" s="73"/>
      <c r="B633" s="496" t="str">
        <f>IFERROR(__xludf.DUMMYFUNCTION("""COMPUTED_VALUE"""),"Líderes de Vendas")</f>
        <v>Líderes de Vendas</v>
      </c>
      <c r="C633" s="487" t="str">
        <f>IFERROR(__xludf.DUMMYFUNCTION("""COMPUTED_VALUE"""),"Gestão de território de vendas externas: como equilibrar sua equipe")</f>
        <v>Gestão de território de vendas externas: como equilibrar sua equipe</v>
      </c>
      <c r="D633" s="488" t="str">
        <f>IFERROR(__xludf.DUMMYFUNCTION("""COMPUTED_VALUE"""),"Lucas Ferreira")</f>
        <v>Lucas Ferreira</v>
      </c>
      <c r="E633" s="489" t="str">
        <f>IFERROR(__xludf.DUMMYFUNCTION("""COMPUTED_VALUE"""),"Senior Closer")</f>
        <v>Senior Closer</v>
      </c>
      <c r="F633" s="490" t="str">
        <f>IFERROR(__xludf.DUMMYFUNCTION("""COMPUTED_VALUE"""),"Checkmob")</f>
        <v>Checkmob</v>
      </c>
      <c r="G633" s="605" t="str">
        <f>IFERROR(__xludf.DUMMYFUNCTION("""COMPUTED_VALUE"""),"https://www.linkedin.com/in/lucasferreira123/?skipRedirect=true")</f>
        <v>https://www.linkedin.com/in/lucasferreira123/?skipRedirect=true</v>
      </c>
      <c r="H633" s="490" t="str">
        <f>IFERROR(__xludf.DUMMYFUNCTION("""COMPUTED_VALUE"""),"Conhecimento Técnico")</f>
        <v>Conhecimento Técnico</v>
      </c>
      <c r="I633" s="490" t="str">
        <f>IFERROR(__xludf.DUMMYFUNCTION("""COMPUTED_VALUE"""),"Gestão de Vendas")</f>
        <v>Gestão de Vendas</v>
      </c>
      <c r="J633" s="490" t="str">
        <f>IFERROR(__xludf.DUMMYFUNCTION("""COMPUTED_VALUE"""),"Planejamento Comercial")</f>
        <v>Planejamento Comercial</v>
      </c>
      <c r="K633" s="1152" t="str">
        <f>IFERROR(__xludf.DUMMYFUNCTION("""COMPUTED_VALUE"""),"https://universidade.pipelovers.net/m/lessons/gestao-de-territorio-de-vendas-externas-como-equilibrar-sua-equipe-1782225749478?moduleId=1457&amp;classId=4041")</f>
        <v>https://universidade.pipelovers.net/m/lessons/gestao-de-territorio-de-vendas-externas-como-equilibrar-sua-equipe-1782225749478?moduleId=1457&amp;classId=4041</v>
      </c>
      <c r="L633" s="615"/>
      <c r="M633" s="620">
        <f>IFERROR(__xludf.DUMMYFUNCTION("""COMPUTED_VALUE"""),3.43)</f>
        <v>3.43</v>
      </c>
      <c r="N633" s="1135"/>
      <c r="O633" s="218" t="str">
        <f>IFERROR(__xludf.DUMMYFUNCTION("""COMPUTED_VALUE"""),"")</f>
        <v/>
      </c>
      <c r="P633" s="1138"/>
      <c r="Q633" s="218"/>
    </row>
    <row r="634">
      <c r="A634" s="73"/>
      <c r="B634" s="496" t="str">
        <f>IFERROR(__xludf.DUMMYFUNCTION("""COMPUTED_VALUE"""),"Líderes de Vendas")</f>
        <v>Líderes de Vendas</v>
      </c>
      <c r="C634" s="487" t="str">
        <f>IFERROR(__xludf.DUMMYFUNCTION("""COMPUTED_VALUE"""),"Cultura de valorização: como engajar times de vendas no dia a dia")</f>
        <v>Cultura de valorização: como engajar times de vendas no dia a dia</v>
      </c>
      <c r="D634" s="488" t="str">
        <f>IFERROR(__xludf.DUMMYFUNCTION("""COMPUTED_VALUE"""),"Alexander Cabral")</f>
        <v>Alexander Cabral</v>
      </c>
      <c r="E634" s="489" t="str">
        <f>IFERROR(__xludf.DUMMYFUNCTION("""COMPUTED_VALUE"""),"Professor")</f>
        <v>Professor</v>
      </c>
      <c r="F634" s="490" t="str">
        <f>IFERROR(__xludf.DUMMYFUNCTION("""COMPUTED_VALUE"""),"Escola Conquer")</f>
        <v>Escola Conquer</v>
      </c>
      <c r="G634" s="605" t="str">
        <f>IFERROR(__xludf.DUMMYFUNCTION("""COMPUTED_VALUE"""),"https://www.linkedin.com/in/alexandercabral/")</f>
        <v>https://www.linkedin.com/in/alexandercabral/</v>
      </c>
      <c r="H634" s="490" t="str">
        <f>IFERROR(__xludf.DUMMYFUNCTION("""COMPUTED_VALUE"""),"Relacionamento Interpessoal")</f>
        <v>Relacionamento Interpessoal</v>
      </c>
      <c r="I634" s="490" t="str">
        <f>IFERROR(__xludf.DUMMYFUNCTION("""COMPUTED_VALUE"""),"Liderança e Influência")</f>
        <v>Liderança e Influência</v>
      </c>
      <c r="J634" s="490" t="str">
        <f>IFERROR(__xludf.DUMMYFUNCTION("""COMPUTED_VALUE"""),"Motivação e Engajamento de Times")</f>
        <v>Motivação e Engajamento de Times</v>
      </c>
      <c r="K634" s="1152" t="str">
        <f>IFERROR(__xludf.DUMMYFUNCTION("""COMPUTED_VALUE"""),"https://universidade.pipelovers.net/m/lessons/cultura-de-valorizacao-como-engajar-times-de-vendas-no-dia-a-dia-1778615587418?moduleId=1414&amp;classId=4000")</f>
        <v>https://universidade.pipelovers.net/m/lessons/cultura-de-valorizacao-como-engajar-times-de-vendas-no-dia-a-dia-1778615587418?moduleId=1414&amp;classId=4000</v>
      </c>
      <c r="L634" s="1150" t="str">
        <f>IFERROR(__xludf.DUMMYFUNCTION("""COMPUTED_VALUE"""),"https://universidade.pipelovers.net/m/lessons/cultura-de-valorizacao-como-engajar-times-de-vendas-no-dia-a-dia-1778615587418?moduleId=1414&amp;classId=4000")</f>
        <v>https://universidade.pipelovers.net/m/lessons/cultura-de-valorizacao-como-engajar-times-de-vendas-no-dia-a-dia-1778615587418?moduleId=1414&amp;classId=4000</v>
      </c>
      <c r="M634" s="620">
        <f>IFERROR(__xludf.DUMMYFUNCTION("""COMPUTED_VALUE"""),4.21)</f>
        <v>4.21</v>
      </c>
      <c r="N634" s="1135"/>
      <c r="O634" s="218" t="str">
        <f>IFERROR(__xludf.DUMMYFUNCTION("""COMPUTED_VALUE"""),"")</f>
        <v/>
      </c>
      <c r="P634" s="1138"/>
      <c r="Q634" s="218"/>
    </row>
    <row r="635">
      <c r="A635" s="73"/>
      <c r="B635" s="496" t="str">
        <f>IFERROR(__xludf.DUMMYFUNCTION("""COMPUTED_VALUE"""),"Líderes de Vendas")</f>
        <v>Líderes de Vendas</v>
      </c>
      <c r="C635" s="210" t="str">
        <f>IFERROR(__xludf.DUMMYFUNCTION("""COMPUTED_VALUE"""),"Preparação para promoção: como se tornar líder de líderes")</f>
        <v>Preparação para promoção: como se tornar líder de líderes</v>
      </c>
      <c r="D635" s="210" t="str">
        <f>IFERROR(__xludf.DUMMYFUNCTION("""COMPUTED_VALUE"""),"Julia Drummond")</f>
        <v>Julia Drummond</v>
      </c>
      <c r="E635" s="406" t="str">
        <f>IFERROR(__xludf.DUMMYFUNCTION("""COMPUTED_VALUE"""),"Head of Customer Success &amp; Community")</f>
        <v>Head of Customer Success &amp; Community</v>
      </c>
      <c r="F635" s="407" t="str">
        <f>IFERROR(__xludf.DUMMYFUNCTION("""COMPUTED_VALUE"""),"ImLog")</f>
        <v>ImLog</v>
      </c>
      <c r="G635" s="876" t="str">
        <f>IFERROR(__xludf.DUMMYFUNCTION("""COMPUTED_VALUE"""),"https://www.linkedin.com/in/julia-drumond/")</f>
        <v>https://www.linkedin.com/in/julia-drumond/</v>
      </c>
      <c r="H635" s="290" t="str">
        <f>IFERROR(__xludf.DUMMYFUNCTION("""COMPUTED_VALUE"""),"Relacionamento Interpessoal")</f>
        <v>Relacionamento Interpessoal</v>
      </c>
      <c r="I635" s="290" t="str">
        <f>IFERROR(__xludf.DUMMYFUNCTION("""COMPUTED_VALUE"""),"Liderança e Influência")</f>
        <v>Liderança e Influência</v>
      </c>
      <c r="J635" s="732" t="str">
        <f>IFERROR(__xludf.DUMMYFUNCTION("""COMPUTED_VALUE"""),"Mentoria e Desenvolvimento de Talentos")</f>
        <v>Mentoria e Desenvolvimento de Talentos</v>
      </c>
      <c r="K635" s="1154" t="str">
        <f>IFERROR(__xludf.DUMMYFUNCTION("""COMPUTED_VALUE"""),"https://universidade.pipelovers.net/m/lessons/preparacao-para-promocao-como-se-tornar-lider-de-lideres-1781809613628")</f>
        <v>https://universidade.pipelovers.net/m/lessons/preparacao-para-promocao-como-se-tornar-lider-de-lideres-1781809613628</v>
      </c>
      <c r="L635" s="615"/>
      <c r="M635" s="620">
        <f>IFERROR(__xludf.DUMMYFUNCTION("""COMPUTED_VALUE"""),4.21)</f>
        <v>4.21</v>
      </c>
      <c r="N635" s="1135"/>
      <c r="O635" s="218" t="str">
        <f>IFERROR(__xludf.DUMMYFUNCTION("""COMPUTED_VALUE"""),"")</f>
        <v/>
      </c>
      <c r="P635" s="1138"/>
      <c r="Q635" s="218"/>
    </row>
    <row r="636">
      <c r="A636" s="73"/>
      <c r="B636" s="496" t="str">
        <f>IFERROR(__xludf.DUMMYFUNCTION("""COMPUTED_VALUE"""),"Líderes de Vendas")</f>
        <v>Líderes de Vendas</v>
      </c>
      <c r="C636" s="487" t="str">
        <f>IFERROR(__xludf.DUMMYFUNCTION("""COMPUTED_VALUE"""),"Ações práticas para desenvolver e reter os talentos do seu time")</f>
        <v>Ações práticas para desenvolver e reter os talentos do seu time</v>
      </c>
      <c r="D636" s="488" t="str">
        <f>IFERROR(__xludf.DUMMYFUNCTION("""COMPUTED_VALUE"""),"Felipe Roque")</f>
        <v>Felipe Roque</v>
      </c>
      <c r="E636" s="489" t="str">
        <f>IFERROR(__xludf.DUMMYFUNCTION("""COMPUTED_VALUE"""),"CRO")</f>
        <v>CRO</v>
      </c>
      <c r="F636" s="490" t="str">
        <f>IFERROR(__xludf.DUMMYFUNCTION("""COMPUTED_VALUE"""),"Alto QI")</f>
        <v>Alto QI</v>
      </c>
      <c r="G636" s="605" t="str">
        <f>IFERROR(__xludf.DUMMYFUNCTION("""COMPUTED_VALUE"""),"https://www.linkedin.com/in/felipebkroque/")</f>
        <v>https://www.linkedin.com/in/felipebkroque/</v>
      </c>
      <c r="H636" s="490" t="str">
        <f>IFERROR(__xludf.DUMMYFUNCTION("""COMPUTED_VALUE"""),"Relacionamento Interpessoal")</f>
        <v>Relacionamento Interpessoal</v>
      </c>
      <c r="I636" s="490" t="str">
        <f>IFERROR(__xludf.DUMMYFUNCTION("""COMPUTED_VALUE"""),"Liderança e Influência")</f>
        <v>Liderança e Influência</v>
      </c>
      <c r="J636" s="490" t="str">
        <f>IFERROR(__xludf.DUMMYFUNCTION("""COMPUTED_VALUE"""),"Mentoria e Desenvolvimento de Talentos")</f>
        <v>Mentoria e Desenvolvimento de Talentos</v>
      </c>
      <c r="K636" s="1153" t="str">
        <f>IFERROR(__xludf.DUMMYFUNCTION("""COMPUTED_VALUE"""),"https://universidade.pipelovers.net/m/lessons/acoes-praticas-para-desenvolver-e-reter-os-talentos-do-seu-time-1782224168574?moduleId=1563&amp;classId=4415")</f>
        <v>https://universidade.pipelovers.net/m/lessons/acoes-praticas-para-desenvolver-e-reter-os-talentos-do-seu-time-1782224168574?moduleId=1563&amp;classId=4415</v>
      </c>
      <c r="L636" s="615"/>
      <c r="M636" s="620">
        <f>IFERROR(__xludf.DUMMYFUNCTION("""COMPUTED_VALUE"""),3.43)</f>
        <v>3.43</v>
      </c>
      <c r="N636" s="1135"/>
      <c r="O636" s="218" t="str">
        <f>IFERROR(__xludf.DUMMYFUNCTION("""COMPUTED_VALUE"""),"")</f>
        <v/>
      </c>
      <c r="P636" s="1138"/>
      <c r="Q636" s="218"/>
    </row>
    <row r="637">
      <c r="A637" s="73"/>
      <c r="B637" s="496" t="str">
        <f>IFERROR(__xludf.DUMMYFUNCTION("""COMPUTED_VALUE"""),"Líderes de Vendas")</f>
        <v>Líderes de Vendas</v>
      </c>
      <c r="C637" s="487" t="str">
        <f>IFERROR(__xludf.DUMMYFUNCTION("""COMPUTED_VALUE"""),"Aumento de taxa de conversão através de Coaching de vendedores")</f>
        <v>Aumento de taxa de conversão através de Coaching de vendedores</v>
      </c>
      <c r="D637" s="488" t="str">
        <f>IFERROR(__xludf.DUMMYFUNCTION("""COMPUTED_VALUE"""),"Vinicius da Silva")</f>
        <v>Vinicius da Silva</v>
      </c>
      <c r="E637" s="489" t="str">
        <f>IFERROR(__xludf.DUMMYFUNCTION("""COMPUTED_VALUE"""),"Head of Sales")</f>
        <v>Head of Sales</v>
      </c>
      <c r="F637" s="490" t="str">
        <f>IFERROR(__xludf.DUMMYFUNCTION("""COMPUTED_VALUE"""),"You RH")</f>
        <v>You RH</v>
      </c>
      <c r="G637" s="605" t="str">
        <f>IFERROR(__xludf.DUMMYFUNCTION("""COMPUTED_VALUE"""),"https://www.linkedin.com/in/vinicius-tirapelle-da-silva-51451349/")</f>
        <v>https://www.linkedin.com/in/vinicius-tirapelle-da-silva-51451349/</v>
      </c>
      <c r="H637" s="490" t="str">
        <f>IFERROR(__xludf.DUMMYFUNCTION("""COMPUTED_VALUE"""),"Conhecimento Técnico")</f>
        <v>Conhecimento Técnico</v>
      </c>
      <c r="I637" s="490" t="str">
        <f>IFERROR(__xludf.DUMMYFUNCTION("""COMPUTED_VALUE"""),"Gestão de vendas")</f>
        <v>Gestão de vendas</v>
      </c>
      <c r="J637" s="490" t="str">
        <f>IFERROR(__xludf.DUMMYFUNCTION("""COMPUTED_VALUE"""),"Rotinas e Rituais")</f>
        <v>Rotinas e Rituais</v>
      </c>
      <c r="K637" s="1153" t="str">
        <f>IFERROR(__xludf.DUMMYFUNCTION("""COMPUTED_VALUE"""),"https://universidade.pipelovers.net/m/lessons/aumento-de-taxa-de-conversao-atraves-de-coaching-de-vendedores-1783099432674")</f>
        <v>https://universidade.pipelovers.net/m/lessons/aumento-de-taxa-de-conversao-atraves-de-coaching-de-vendedores-1783099432674</v>
      </c>
      <c r="L637" s="615"/>
      <c r="M637" s="620">
        <f>IFERROR(__xludf.DUMMYFUNCTION("""COMPUTED_VALUE"""),3.79)</f>
        <v>3.79</v>
      </c>
      <c r="N637" s="1135"/>
      <c r="O637" s="218" t="str">
        <f>IFERROR(__xludf.DUMMYFUNCTION("""COMPUTED_VALUE"""),"")</f>
        <v/>
      </c>
      <c r="P637" s="1138"/>
      <c r="Q637" s="218"/>
    </row>
    <row r="638">
      <c r="A638" s="73"/>
      <c r="B638" s="496" t="str">
        <f>IFERROR(__xludf.DUMMYFUNCTION("""COMPUTED_VALUE"""),"Líderes de Vendas")</f>
        <v>Líderes de Vendas</v>
      </c>
      <c r="C638" s="487" t="str">
        <f>IFERROR(__xludf.DUMMYFUNCTION("""COMPUTED_VALUE"""),"Gestão de vendas internacionais a partir do Brasil")</f>
        <v>Gestão de vendas internacionais a partir do Brasil</v>
      </c>
      <c r="D638" s="488" t="str">
        <f>IFERROR(__xludf.DUMMYFUNCTION("""COMPUTED_VALUE"""),"David Mattos")</f>
        <v>David Mattos</v>
      </c>
      <c r="E638" s="489" t="str">
        <f>IFERROR(__xludf.DUMMYFUNCTION("""COMPUTED_VALUE"""),"CEO")</f>
        <v>CEO</v>
      </c>
      <c r="F638" s="490" t="str">
        <f>IFERROR(__xludf.DUMMYFUNCTION("""COMPUTED_VALUE"""),"Don Consultoria")</f>
        <v>Don Consultoria</v>
      </c>
      <c r="G638" s="605" t="str">
        <f>IFERROR(__xludf.DUMMYFUNCTION("""COMPUTED_VALUE"""),"https://www.linkedin.com/in/david-mattos/")</f>
        <v>https://www.linkedin.com/in/david-mattos/</v>
      </c>
      <c r="H638" s="490" t="str">
        <f>IFERROR(__xludf.DUMMYFUNCTION("""COMPUTED_VALUE"""),"Visão de Negócios")</f>
        <v>Visão de Negócios</v>
      </c>
      <c r="I638" s="490" t="str">
        <f>IFERROR(__xludf.DUMMYFUNCTION("""COMPUTED_VALUE"""),"Tendências de Mercado")</f>
        <v>Tendências de Mercado</v>
      </c>
      <c r="J638" s="490" t="str">
        <f>IFERROR(__xludf.DUMMYFUNCTION("""COMPUTED_VALUE"""),"Cenário Internacional")</f>
        <v>Cenário Internacional</v>
      </c>
      <c r="K638" s="1153" t="str">
        <f>IFERROR(__xludf.DUMMYFUNCTION("""COMPUTED_VALUE"""),"https://universidade.pipelovers.net/m/lessons/gestao-de-vendas-internacionais-a-partir-do-brasil-1783099942622?moduleId=1470&amp;classId=4052")</f>
        <v>https://universidade.pipelovers.net/m/lessons/gestao-de-vendas-internacionais-a-partir-do-brasil-1783099942622?moduleId=1470&amp;classId=4052</v>
      </c>
      <c r="L638" s="615"/>
      <c r="M638" s="620">
        <f>IFERROR(__xludf.DUMMYFUNCTION("""COMPUTED_VALUE"""),4.07)</f>
        <v>4.07</v>
      </c>
      <c r="N638" s="1135"/>
      <c r="O638" s="218" t="str">
        <f>IFERROR(__xludf.DUMMYFUNCTION("""COMPUTED_VALUE"""),"")</f>
        <v/>
      </c>
      <c r="P638" s="1138"/>
      <c r="Q638" s="218"/>
    </row>
    <row r="639">
      <c r="A639" s="73"/>
      <c r="B639" s="496" t="str">
        <f>IFERROR(__xludf.DUMMYFUNCTION("""COMPUTED_VALUE"""),"Líderes de Vendas")</f>
        <v>Líderes de Vendas</v>
      </c>
      <c r="C639" s="487" t="str">
        <f>IFERROR(__xludf.DUMMYFUNCTION("""COMPUTED_VALUE"""),"A indicação como canal de vendas")</f>
        <v>A indicação como canal de vendas</v>
      </c>
      <c r="D639" s="488" t="str">
        <f>IFERROR(__xludf.DUMMYFUNCTION("""COMPUTED_VALUE"""),"Marcelo Pereira")</f>
        <v>Marcelo Pereira</v>
      </c>
      <c r="E639" s="489" t="str">
        <f>IFERROR(__xludf.DUMMYFUNCTION("""COMPUTED_VALUE"""),"CEO")</f>
        <v>CEO</v>
      </c>
      <c r="F639" s="490" t="str">
        <f>IFERROR(__xludf.DUMMYFUNCTION("""COMPUTED_VALUE"""),"Beeviral")</f>
        <v>Beeviral</v>
      </c>
      <c r="G639" s="605" t="str">
        <f>IFERROR(__xludf.DUMMYFUNCTION("""COMPUTED_VALUE"""),"https://www.linkedin.com/in/marcelopereira/")</f>
        <v>https://www.linkedin.com/in/marcelopereira/</v>
      </c>
      <c r="H639" s="490" t="str">
        <f>IFERROR(__xludf.DUMMYFUNCTION("""COMPUTED_VALUE"""),"Conhecimento Técnico")</f>
        <v>Conhecimento Técnico</v>
      </c>
      <c r="I639" s="490" t="str">
        <f>IFERROR(__xludf.DUMMYFUNCTION("""COMPUTED_VALUE"""),"Gestão de Vendas")</f>
        <v>Gestão de Vendas</v>
      </c>
      <c r="J639" s="490" t="str">
        <f>IFERROR(__xludf.DUMMYFUNCTION("""COMPUTED_VALUE"""),"Metodologias de Vendas")</f>
        <v>Metodologias de Vendas</v>
      </c>
      <c r="K639" s="605" t="str">
        <f>IFERROR(__xludf.DUMMYFUNCTION("""COMPUTED_VALUE"""),"https://universidade.pipelovers.net/m/lessons/a-indicacao-como-canal-de-vendas-1784050890632?moduleId=1507&amp;classId=4206")</f>
        <v>https://universidade.pipelovers.net/m/lessons/a-indicacao-como-canal-de-vendas-1784050890632?moduleId=1507&amp;classId=4206</v>
      </c>
      <c r="L639" s="1155"/>
      <c r="M639" s="620">
        <f>IFERROR(__xludf.DUMMYFUNCTION("""COMPUTED_VALUE"""),3.57)</f>
        <v>3.57</v>
      </c>
      <c r="N639" s="1135"/>
      <c r="O639" s="218" t="str">
        <f>IFERROR(__xludf.DUMMYFUNCTION("""COMPUTED_VALUE"""),"")</f>
        <v/>
      </c>
      <c r="P639" s="1138"/>
      <c r="Q639" s="218"/>
    </row>
    <row r="640">
      <c r="A640" s="73"/>
      <c r="B640" s="496" t="str">
        <f>IFERROR(__xludf.DUMMYFUNCTION("""COMPUTED_VALUE"""),"Líderes de Vendas")</f>
        <v>Líderes de Vendas</v>
      </c>
      <c r="C640" s="487" t="str">
        <f>IFERROR(__xludf.DUMMYFUNCTION("""COMPUTED_VALUE""")," A persona do indicador e a definição do modelo de recompensa")</f>
        <v> A persona do indicador e a definição do modelo de recompensa</v>
      </c>
      <c r="D640" s="488" t="str">
        <f>IFERROR(__xludf.DUMMYFUNCTION("""COMPUTED_VALUE"""),"Marcelo Pereira")</f>
        <v>Marcelo Pereira</v>
      </c>
      <c r="E640" s="489" t="str">
        <f>IFERROR(__xludf.DUMMYFUNCTION("""COMPUTED_VALUE"""),"CEO")</f>
        <v>CEO</v>
      </c>
      <c r="F640" s="490" t="str">
        <f>IFERROR(__xludf.DUMMYFUNCTION("""COMPUTED_VALUE"""),"Beeviral")</f>
        <v>Beeviral</v>
      </c>
      <c r="G640" s="605" t="str">
        <f>IFERROR(__xludf.DUMMYFUNCTION("""COMPUTED_VALUE"""),"https://www.linkedin.com/in/marcelopereira/")</f>
        <v>https://www.linkedin.com/in/marcelopereira/</v>
      </c>
      <c r="H640" s="490" t="str">
        <f>IFERROR(__xludf.DUMMYFUNCTION("""COMPUTED_VALUE"""),"Conhecimento Técnico")</f>
        <v>Conhecimento Técnico</v>
      </c>
      <c r="I640" s="490" t="str">
        <f>IFERROR(__xludf.DUMMYFUNCTION("""COMPUTED_VALUE"""),"Gestão de Vendas")</f>
        <v>Gestão de Vendas</v>
      </c>
      <c r="J640" s="490" t="str">
        <f>IFERROR(__xludf.DUMMYFUNCTION("""COMPUTED_VALUE"""),"Metodologias de Vendas")</f>
        <v>Metodologias de Vendas</v>
      </c>
      <c r="K640" s="1153" t="str">
        <f>IFERROR(__xludf.DUMMYFUNCTION("""COMPUTED_VALUE"""),"https://universidade.pipelovers.net/m/lessons/a-persona-do-indicador-e-a-definicao-do-modelo-de-recompensa-1784051189434?moduleId=1508&amp;classId=4207")</f>
        <v>https://universidade.pipelovers.net/m/lessons/a-persona-do-indicador-e-a-definicao-do-modelo-de-recompensa-1784051189434?moduleId=1508&amp;classId=4207</v>
      </c>
      <c r="L640" s="615"/>
      <c r="M640" s="620">
        <f>IFERROR(__xludf.DUMMYFUNCTION("""COMPUTED_VALUE"""),4.07)</f>
        <v>4.07</v>
      </c>
      <c r="N640" s="1135"/>
      <c r="O640" s="218" t="str">
        <f>IFERROR(__xludf.DUMMYFUNCTION("""COMPUTED_VALUE"""),"")</f>
        <v/>
      </c>
      <c r="P640" s="1138"/>
      <c r="Q640" s="218"/>
    </row>
    <row r="641">
      <c r="A641" s="953"/>
      <c r="B641" s="1156" t="str">
        <f>IFERROR(__xludf.DUMMYFUNCTION("""COMPUTED_VALUE"""),"Líderes de Vendas")</f>
        <v>Líderes de Vendas</v>
      </c>
      <c r="C641" s="487" t="str">
        <f>IFERROR(__xludf.DUMMYFUNCTION("""COMPUTED_VALUE"""),"O formato da indicação e divulgação do programa")</f>
        <v>O formato da indicação e divulgação do programa</v>
      </c>
      <c r="D641" s="488" t="str">
        <f>IFERROR(__xludf.DUMMYFUNCTION("""COMPUTED_VALUE"""),"Marcelo Pereira")</f>
        <v>Marcelo Pereira</v>
      </c>
      <c r="E641" s="489" t="str">
        <f>IFERROR(__xludf.DUMMYFUNCTION("""COMPUTED_VALUE"""),"CEO")</f>
        <v>CEO</v>
      </c>
      <c r="F641" s="490" t="str">
        <f>IFERROR(__xludf.DUMMYFUNCTION("""COMPUTED_VALUE"""),"Beeviral")</f>
        <v>Beeviral</v>
      </c>
      <c r="G641" s="605" t="str">
        <f>IFERROR(__xludf.DUMMYFUNCTION("""COMPUTED_VALUE"""),"https://www.linkedin.com/in/marcelopereira/")</f>
        <v>https://www.linkedin.com/in/marcelopereira/</v>
      </c>
      <c r="H641" s="490" t="str">
        <f>IFERROR(__xludf.DUMMYFUNCTION("""COMPUTED_VALUE"""),"Conhecimento Técnico")</f>
        <v>Conhecimento Técnico</v>
      </c>
      <c r="I641" s="490" t="str">
        <f>IFERROR(__xludf.DUMMYFUNCTION("""COMPUTED_VALUE"""),"Gestão de Vendas")</f>
        <v>Gestão de Vendas</v>
      </c>
      <c r="J641" s="490" t="str">
        <f>IFERROR(__xludf.DUMMYFUNCTION("""COMPUTED_VALUE"""),"Metodologias de Vendas")</f>
        <v>Metodologias de Vendas</v>
      </c>
      <c r="K641" s="605" t="str">
        <f>IFERROR(__xludf.DUMMYFUNCTION("""COMPUTED_VALUE"""),"https://universidade.pipelovers.net/m/lessons/o-formato-da-indicacao-e-divulgacao-do-programa-1784051352689?moduleId=1509&amp;classId=4208")</f>
        <v>https://universidade.pipelovers.net/m/lessons/o-formato-da-indicacao-e-divulgacao-do-programa-1784051352689?moduleId=1509&amp;classId=4208</v>
      </c>
      <c r="L641" s="1155"/>
      <c r="M641" s="620">
        <f>IFERROR(__xludf.DUMMYFUNCTION("""COMPUTED_VALUE"""),4.07)</f>
        <v>4.07</v>
      </c>
      <c r="N641" s="1157"/>
      <c r="O641" s="1158" t="str">
        <f>IFERROR(__xludf.DUMMYFUNCTION("""COMPUTED_VALUE"""),"")</f>
        <v/>
      </c>
      <c r="P641" s="1159"/>
      <c r="Q641" s="1158"/>
    </row>
    <row r="642">
      <c r="A642" s="1160"/>
      <c r="B642" s="1161" t="str">
        <f>IFERROR(__xludf.DUMMYFUNCTION("""COMPUTED_VALUE"""),"Líderes de Vendas")</f>
        <v>Líderes de Vendas</v>
      </c>
      <c r="C642" s="1162" t="str">
        <f>IFERROR(__xludf.DUMMYFUNCTION("""COMPUTED_VALUE"""),"Métricas e rituais de gestão de programas de indicação")</f>
        <v>Métricas e rituais de gestão de programas de indicação</v>
      </c>
      <c r="D642" s="1162" t="str">
        <f>IFERROR(__xludf.DUMMYFUNCTION("""COMPUTED_VALUE"""),"Marcelo Pereira")</f>
        <v>Marcelo Pereira</v>
      </c>
      <c r="E642" s="1162" t="str">
        <f>IFERROR(__xludf.DUMMYFUNCTION("""COMPUTED_VALUE"""),"CEO")</f>
        <v>CEO</v>
      </c>
      <c r="F642" s="1163" t="str">
        <f>IFERROR(__xludf.DUMMYFUNCTION("""COMPUTED_VALUE"""),"Beeviral")</f>
        <v>Beeviral</v>
      </c>
      <c r="G642" s="1164" t="str">
        <f>IFERROR(__xludf.DUMMYFUNCTION("""COMPUTED_VALUE"""),"https://www.linkedin.com/in/marcelopereira/")</f>
        <v>https://www.linkedin.com/in/marcelopereira/</v>
      </c>
      <c r="H642" s="1165" t="str">
        <f>IFERROR(__xludf.DUMMYFUNCTION("""COMPUTED_VALUE"""),"Conhecimento Técnico")</f>
        <v>Conhecimento Técnico</v>
      </c>
      <c r="I642" s="1165" t="str">
        <f>IFERROR(__xludf.DUMMYFUNCTION("""COMPUTED_VALUE"""),"Gestão de Vendas")</f>
        <v>Gestão de Vendas</v>
      </c>
      <c r="J642" s="589" t="str">
        <f>IFERROR(__xludf.DUMMYFUNCTION("""COMPUTED_VALUE"""),"Metodologias de Vendas")</f>
        <v>Metodologias de Vendas</v>
      </c>
      <c r="K642" s="1166" t="str">
        <f>IFERROR(__xludf.DUMMYFUNCTION("""COMPUTED_VALUE"""),"https://universidade.pipelovers.net/m/lessons/consistencia-do-programa-1784051514542?moduleId=1510&amp;classId=4209")</f>
        <v>https://universidade.pipelovers.net/m/lessons/consistencia-do-programa-1784051514542?moduleId=1510&amp;classId=4209</v>
      </c>
      <c r="L642" s="1155"/>
      <c r="M642" s="620">
        <f>IFERROR(__xludf.DUMMYFUNCTION("""COMPUTED_VALUE"""),3.57)</f>
        <v>3.57</v>
      </c>
      <c r="N642" s="1167"/>
      <c r="O642" s="736" t="str">
        <f>IFERROR(__xludf.DUMMYFUNCTION("""COMPUTED_VALUE"""),"")</f>
        <v/>
      </c>
      <c r="P642" s="1168"/>
      <c r="Q642" s="736"/>
    </row>
    <row r="643">
      <c r="A643" s="1043"/>
      <c r="B643" s="1161" t="str">
        <f>IFERROR(__xludf.DUMMYFUNCTION("""COMPUTED_VALUE"""),"Líderes de Vendas")</f>
        <v>Líderes de Vendas</v>
      </c>
      <c r="C643" s="487" t="str">
        <f>IFERROR(__xludf.DUMMYFUNCTION("""COMPUTED_VALUE"""),"Eventos como máquina de geração de demanda e ROI")</f>
        <v>Eventos como máquina de geração de demanda e ROI</v>
      </c>
      <c r="D643" s="488" t="str">
        <f>IFERROR(__xludf.DUMMYFUNCTION("""COMPUTED_VALUE"""),"Roberta Timboni Kuzolitz")</f>
        <v>Roberta Timboni Kuzolitz</v>
      </c>
      <c r="E643" s="489" t="str">
        <f>IFERROR(__xludf.DUMMYFUNCTION("""COMPUTED_VALUE"""),"Fundadora")</f>
        <v>Fundadora</v>
      </c>
      <c r="F643" s="490" t="str">
        <f>IFERROR(__xludf.DUMMYFUNCTION("""COMPUTED_VALUE"""),"RTK - Mentoria &amp; Consultoria Estratégica")</f>
        <v>RTK - Mentoria &amp; Consultoria Estratégica</v>
      </c>
      <c r="G643" s="605" t="str">
        <f>IFERROR(__xludf.DUMMYFUNCTION("""COMPUTED_VALUE"""),"https://www.linkedin.com/in/robertakuzolitz/")</f>
        <v>https://www.linkedin.com/in/robertakuzolitz/</v>
      </c>
      <c r="H643" s="490" t="str">
        <f>IFERROR(__xludf.DUMMYFUNCTION("""COMPUTED_VALUE"""),"Conhecimento Técnico")</f>
        <v>Conhecimento Técnico</v>
      </c>
      <c r="I643" s="490" t="str">
        <f>IFERROR(__xludf.DUMMYFUNCTION("""COMPUTED_VALUE"""),"Gestão de Vendas")</f>
        <v>Gestão de Vendas</v>
      </c>
      <c r="J643" s="490" t="str">
        <f>IFERROR(__xludf.DUMMYFUNCTION("""COMPUTED_VALUE"""),"Metodologias de Vendas")</f>
        <v>Metodologias de Vendas</v>
      </c>
      <c r="K643" s="1153" t="str">
        <f>IFERROR(__xludf.DUMMYFUNCTION("""COMPUTED_VALUE"""),"https://universidade.pipelovers.net/m/lessons/eventos-como-maquina-de-geracao-de-demanda-e-roi-1786644544313?moduleId=1654&amp;classId=4560")</f>
        <v>https://universidade.pipelovers.net/m/lessons/eventos-como-maquina-de-geracao-de-demanda-e-roi-1786644544313?moduleId=1654&amp;classId=4560</v>
      </c>
      <c r="L643" s="615"/>
      <c r="M643" s="620">
        <f>IFERROR(__xludf.DUMMYFUNCTION("""COMPUTED_VALUE"""),3.43)</f>
        <v>3.43</v>
      </c>
      <c r="N643" s="1169"/>
      <c r="O643" s="1170" t="str">
        <f>IFERROR(__xludf.DUMMYFUNCTION("""COMPUTED_VALUE"""),"")</f>
        <v/>
      </c>
      <c r="P643" s="1171"/>
      <c r="Q643" s="1170"/>
    </row>
    <row r="644">
      <c r="A644" s="1043"/>
      <c r="B644" s="1161" t="str">
        <f>IFERROR(__xludf.DUMMYFUNCTION("""COMPUTED_VALUE"""),"Líderes de Vendas")</f>
        <v>Líderes de Vendas</v>
      </c>
      <c r="C644" s="212" t="str">
        <f>IFERROR(__xludf.DUMMYFUNCTION("""COMPUTED_VALUE"""),"Prontos pro confronto: a ferramenta que seu time usa contra a concorrência")</f>
        <v>Prontos pro confronto: a ferramenta que seu time usa contra a concorrência</v>
      </c>
      <c r="D644" s="212" t="str">
        <f>IFERROR(__xludf.DUMMYFUNCTION("""COMPUTED_VALUE"""),"Lorena von Hroch")</f>
        <v>Lorena von Hroch</v>
      </c>
      <c r="E644" s="432" t="str">
        <f>IFERROR(__xludf.DUMMYFUNCTION("""COMPUTED_VALUE"""),"Analista de Marketing de Produtos")</f>
        <v>Analista de Marketing de Produtos</v>
      </c>
      <c r="F644" s="433" t="str">
        <f>IFERROR(__xludf.DUMMYFUNCTION("""COMPUTED_VALUE"""),"Plannera")</f>
        <v>Plannera</v>
      </c>
      <c r="G644" s="876" t="str">
        <f>IFERROR(__xludf.DUMMYFUNCTION("""COMPUTED_VALUE"""),"https://www.linkedin.com/in/lorenavonhroch/")</f>
        <v>https://www.linkedin.com/in/lorenavonhroch/</v>
      </c>
      <c r="H644" s="490" t="str">
        <f>IFERROR(__xludf.DUMMYFUNCTION("""COMPUTED_VALUE"""),"Conhecimento Técnico")</f>
        <v>Conhecimento Técnico</v>
      </c>
      <c r="I644" s="490" t="str">
        <f>IFERROR(__xludf.DUMMYFUNCTION("""COMPUTED_VALUE"""),"Conhecimento de Produto e Negócio")</f>
        <v>Conhecimento de Produto e Negócio</v>
      </c>
      <c r="J644" s="490" t="str">
        <f>IFERROR(__xludf.DUMMYFUNCTION("""COMPUTED_VALUE"""),"Análise da Concorrência")</f>
        <v>Análise da Concorrência</v>
      </c>
      <c r="K644" s="493" t="str">
        <f>IFERROR(__xludf.DUMMYFUNCTION("""COMPUTED_VALUE"""),"https://universidade.pipelovers.net/m/lessons/prontos-pro-confronto-a-ferramenta-que-seu-time-usa-contra-a-concorrencia-1786643367432?moduleId=1589&amp;classId=4480")</f>
        <v>https://universidade.pipelovers.net/m/lessons/prontos-pro-confronto-a-ferramenta-que-seu-time-usa-contra-a-concorrencia-1786643367432?moduleId=1589&amp;classId=4480</v>
      </c>
      <c r="L644" s="1155"/>
      <c r="M644" s="620">
        <f>IFERROR(__xludf.DUMMYFUNCTION("""COMPUTED_VALUE"""),3.29)</f>
        <v>3.29</v>
      </c>
      <c r="N644" s="1169"/>
      <c r="O644" s="1170" t="str">
        <f>IFERROR(__xludf.DUMMYFUNCTION("""COMPUTED_VALUE"""),"")</f>
        <v/>
      </c>
      <c r="P644" s="1171"/>
      <c r="Q644" s="1170"/>
    </row>
    <row r="645">
      <c r="A645" s="1043"/>
      <c r="B645" s="1161" t="str">
        <f>IFERROR(__xludf.DUMMYFUNCTION("""COMPUTED_VALUE"""),"Líderes de Vendas")</f>
        <v>Líderes de Vendas</v>
      </c>
      <c r="C645" s="487" t="str">
        <f>IFERROR(__xludf.DUMMYFUNCTION("""COMPUTED_VALUE"""),"IA aplicada na Gestão de CRM")</f>
        <v>IA aplicada na Gestão de CRM</v>
      </c>
      <c r="D645" s="488" t="str">
        <f>IFERROR(__xludf.DUMMYFUNCTION("""COMPUTED_VALUE"""),"Thais Sterenberg
Raphael Moraes")</f>
        <v>Thais Sterenberg
Raphael Moraes</v>
      </c>
      <c r="E645" s="489" t="str">
        <f>IFERROR(__xludf.DUMMYFUNCTION("""COMPUTED_VALUE"""),"Co-founder &amp; CEO
Revenue Operations Manager")</f>
        <v>Co-founder &amp; CEO
Revenue Operations Manager</v>
      </c>
      <c r="F645" s="605" t="str">
        <f>IFERROR(__xludf.DUMMYFUNCTION("""COMPUTED_VALUE"""),"Elephan.ai")</f>
        <v>Elephan.ai</v>
      </c>
      <c r="G645" s="490" t="str">
        <f>IFERROR(__xludf.DUMMYFUNCTION("""COMPUTED_VALUE"""),"https://www.linkedin.com/in/thais-sterenberg-de-oliveira/
https://www.linkedin.com/in/moraesraphael/")</f>
        <v>https://www.linkedin.com/in/thais-sterenberg-de-oliveira/
https://www.linkedin.com/in/moraesraphael/</v>
      </c>
      <c r="H645" s="490" t="str">
        <f>IFERROR(__xludf.DUMMYFUNCTION("""COMPUTED_VALUE"""),"Autodesenvolvimento")</f>
        <v>Autodesenvolvimento</v>
      </c>
      <c r="I645" s="490" t="str">
        <f>IFERROR(__xludf.DUMMYFUNCTION("""COMPUTED_VALUE"""),"Inteligência Emocional")</f>
        <v>Inteligência Emocional</v>
      </c>
      <c r="J645" s="490" t="str">
        <f>IFERROR(__xludf.DUMMYFUNCTION("""COMPUTED_VALUE"""),"Melhores Práticas de CRM")</f>
        <v>Melhores Práticas de CRM</v>
      </c>
      <c r="K645" s="1172" t="str">
        <f>IFERROR(__xludf.DUMMYFUNCTION("""COMPUTED_VALUE"""),"https://universidade.pipelovers.net/m/lessons/ia-aplicada-na-gestao-de-crm-1789503124269?moduleId=1676&amp;classId=4611")</f>
        <v>https://universidade.pipelovers.net/m/lessons/ia-aplicada-na-gestao-de-crm-1789503124269?moduleId=1676&amp;classId=4611</v>
      </c>
      <c r="L645" s="1155"/>
      <c r="M645" s="620">
        <f>IFERROR(__xludf.DUMMYFUNCTION("""COMPUTED_VALUE"""),3.29)</f>
        <v>3.29</v>
      </c>
      <c r="N645" s="1169"/>
      <c r="O645" s="1170" t="str">
        <f>IFERROR(__xludf.DUMMYFUNCTION("""COMPUTED_VALUE"""),"")</f>
        <v/>
      </c>
      <c r="P645" s="1171"/>
      <c r="Q645" s="1170"/>
    </row>
    <row r="646">
      <c r="A646" s="73"/>
      <c r="B646" s="209" t="str">
        <f>IFERROR(__xludf.DUMMYFUNCTION("""COMPUTED_VALUE"""),"Líderes de Vendas")</f>
        <v>Líderes de Vendas</v>
      </c>
      <c r="C646" s="556" t="str">
        <f>IFERROR(__xludf.DUMMYFUNCTION("""COMPUTED_VALUE"""),"Sinais de Intenção de Compra: como usar dado pra saber a hora certa de abordar")</f>
        <v>Sinais de Intenção de Compra: como usar dado pra saber a hora certa de abordar</v>
      </c>
      <c r="D646" s="175" t="str">
        <f>IFERROR(__xludf.DUMMYFUNCTION("""COMPUTED_VALUE"""),"Eduardo Mattos")</f>
        <v>Eduardo Mattos</v>
      </c>
      <c r="E646" s="174" t="str">
        <f>IFERROR(__xludf.DUMMYFUNCTION("""COMPUTED_VALUE"""),"CEO")</f>
        <v>CEO</v>
      </c>
      <c r="F646" s="478" t="str">
        <f>IFERROR(__xludf.DUMMYFUNCTION("""COMPUTED_VALUE"""),"Intexfy")</f>
        <v>Intexfy</v>
      </c>
      <c r="G646" s="447" t="str">
        <f>IFERROR(__xludf.DUMMYFUNCTION("""COMPUTED_VALUE"""),"https://www.linkedin.com/in/edusmattos/")</f>
        <v>https://www.linkedin.com/in/edusmattos/</v>
      </c>
      <c r="H646" s="446" t="str">
        <f>IFERROR(__xludf.DUMMYFUNCTION("""COMPUTED_VALUE"""),"Autodesenvolvimento")</f>
        <v>Autodesenvolvimento</v>
      </c>
      <c r="I646" s="446" t="str">
        <f>IFERROR(__xludf.DUMMYFUNCTION("""COMPUTED_VALUE"""),"Gestão de Tempo e da Informação")</f>
        <v>Gestão de Tempo e da Informação</v>
      </c>
      <c r="J646" s="446"/>
      <c r="K646" s="473" t="str">
        <f>IFERROR(__xludf.DUMMYFUNCTION("""COMPUTED_VALUE"""),"https://universidade.pipelovers.net/m/lessons/sinais-de-intencao-de-compra-como-usar-dado-pra-saber-a-hora-certa-de-abordar-1788461986742?moduleId=1639&amp;classId=4546")</f>
        <v>https://universidade.pipelovers.net/m/lessons/sinais-de-intencao-de-compra-como-usar-dado-pra-saber-a-hora-certa-de-abordar-1788461986742?moduleId=1639&amp;classId=4546</v>
      </c>
      <c r="L646" s="1173"/>
      <c r="M646" s="379">
        <f>IFERROR(__xludf.DUMMYFUNCTION("""COMPUTED_VALUE"""),3.79)</f>
        <v>3.79</v>
      </c>
      <c r="N646" s="1135"/>
      <c r="O646" s="218" t="str">
        <f>IFERROR(__xludf.DUMMYFUNCTION("""COMPUTED_VALUE"""),"")</f>
        <v/>
      </c>
      <c r="P646" s="1138"/>
      <c r="Q646" s="218"/>
    </row>
    <row r="647">
      <c r="A647" s="73"/>
      <c r="B647" s="209" t="str">
        <f>IFERROR(__xludf.DUMMYFUNCTION("""COMPUTED_VALUE"""),"Líderes de Vendas")</f>
        <v>Líderes de Vendas</v>
      </c>
      <c r="C647" s="300" t="str">
        <f>IFERROR(__xludf.DUMMYFUNCTION("""COMPUTED_VALUE"""),"Resenha do Livro:  Pipelines da Liderança de Ram Charan")</f>
        <v>Resenha do Livro:  Pipelines da Liderança de Ram Charan</v>
      </c>
      <c r="D647" s="175" t="str">
        <f>IFERROR(__xludf.DUMMYFUNCTION("""COMPUTED_VALUE"""),"Guilherme Bonaroti")</f>
        <v>Guilherme Bonaroti</v>
      </c>
      <c r="E647" s="174" t="str">
        <f>IFERROR(__xludf.DUMMYFUNCTION("""COMPUTED_VALUE"""),"Diretor de operações de tecnologia")</f>
        <v>Diretor de operações de tecnologia</v>
      </c>
      <c r="F647" s="478" t="str">
        <f>IFERROR(__xludf.DUMMYFUNCTION("""COMPUTED_VALUE"""),"Better Now")</f>
        <v>Better Now</v>
      </c>
      <c r="G647" s="447" t="str">
        <f>IFERROR(__xludf.DUMMYFUNCTION("""COMPUTED_VALUE"""),"https://www.linkedin.com/in/bonaroti/")</f>
        <v>https://www.linkedin.com/in/bonaroti/</v>
      </c>
      <c r="H647" s="446" t="str">
        <f>IFERROR(__xludf.DUMMYFUNCTION("""COMPUTED_VALUE"""),"Autodesenvolvimento")</f>
        <v>Autodesenvolvimento</v>
      </c>
      <c r="I647" s="446" t="str">
        <f>IFERROR(__xludf.DUMMYFUNCTION("""COMPUTED_VALUE"""),"Aprendizado Ativo")</f>
        <v>Aprendizado Ativo</v>
      </c>
      <c r="J647" s="446" t="str">
        <f>IFERROR(__xludf.DUMMYFUNCTION("""COMPUTED_VALUE"""),"Plano de Desenvolvimento Individual")</f>
        <v>Plano de Desenvolvimento Individual</v>
      </c>
      <c r="K647" s="473" t="str">
        <f>IFERROR(__xludf.DUMMYFUNCTION("""COMPUTED_VALUE"""),"https://universidade.pipelovers.net/m/lessons/resenha-do-livro-pipelines-da-lideranca-de-ram-charan-1789157418378?moduleId=1662&amp;classId=4598")</f>
        <v>https://universidade.pipelovers.net/m/lessons/resenha-do-livro-pipelines-da-lideranca-de-ram-charan-1789157418378?moduleId=1662&amp;classId=4598</v>
      </c>
      <c r="L647" s="1174"/>
      <c r="M647" s="117">
        <f>IFERROR(__xludf.DUMMYFUNCTION("""COMPUTED_VALUE"""),3.57)</f>
        <v>3.57</v>
      </c>
      <c r="N647" s="1175"/>
      <c r="O647" s="218" t="str">
        <f>IFERROR(__xludf.DUMMYFUNCTION("""COMPUTED_VALUE"""),"")</f>
        <v/>
      </c>
      <c r="P647" s="1138"/>
      <c r="Q647" s="218"/>
    </row>
    <row r="648">
      <c r="A648" s="73"/>
      <c r="B648" s="209" t="str">
        <f>IFERROR(__xludf.DUMMYFUNCTION("""COMPUTED_VALUE"""),"Líderes de Vendas")</f>
        <v>Líderes de Vendas</v>
      </c>
      <c r="C648" s="145" t="str">
        <f>IFERROR(__xludf.DUMMYFUNCTION("""COMPUTED_VALUE"""),"O impacto da IA na jornada de compra B2B")</f>
        <v>O impacto da IA na jornada de compra B2B</v>
      </c>
      <c r="D648" s="173" t="str">
        <f>IFERROR(__xludf.DUMMYFUNCTION("""COMPUTED_VALUE"""),"Matheus Gomes")</f>
        <v>Matheus Gomes</v>
      </c>
      <c r="E648" s="206" t="str">
        <f>IFERROR(__xludf.DUMMYFUNCTION("""COMPUTED_VALUE"""),"Gerente de Comunidade e Conteúdo")</f>
        <v>Gerente de Comunidade e Conteúdo</v>
      </c>
      <c r="F648" s="646" t="str">
        <f>IFERROR(__xludf.DUMMYFUNCTION("""COMPUTED_VALUE"""),"PipeLovers🖤")</f>
        <v>PipeLovers🖤</v>
      </c>
      <c r="G648" s="647" t="str">
        <f>IFERROR(__xludf.DUMMYFUNCTION("""COMPUTED_VALUE"""),"https://www.linkedin.com/in/matheus-gomes-dasilva/")</f>
        <v>https://www.linkedin.com/in/matheus-gomes-dasilva/</v>
      </c>
      <c r="H648" s="648" t="str">
        <f>IFERROR(__xludf.DUMMYFUNCTION("""COMPUTED_VALUE"""),"Visão de Negócios")</f>
        <v>Visão de Negócios</v>
      </c>
      <c r="I648" s="648" t="str">
        <f>IFERROR(__xludf.DUMMYFUNCTION("""COMPUTED_VALUE"""),"Tendências de Mercado")</f>
        <v>Tendências de Mercado</v>
      </c>
      <c r="J648" s="648" t="str">
        <f>IFERROR(__xludf.DUMMYFUNCTION("""COMPUTED_VALUE"""),"Perfil do Comprador B2B")</f>
        <v>Perfil do Comprador B2B</v>
      </c>
      <c r="K648" s="479" t="str">
        <f>IFERROR(__xludf.DUMMYFUNCTION("""COMPUTED_VALUE"""),"https://universidade.pipelovers.net/m/lessons/o-impacto-da-ia-na-jornada-de-compra-b2b-1789157620083?moduleId=1663&amp;classId=4599")</f>
        <v>https://universidade.pipelovers.net/m/lessons/o-impacto-da-ia-na-jornada-de-compra-b2b-1789157620083?moduleId=1663&amp;classId=4599</v>
      </c>
      <c r="L648" s="1174"/>
      <c r="M648" s="117">
        <f>IFERROR(__xludf.DUMMYFUNCTION("""COMPUTED_VALUE"""),3.07)</f>
        <v>3.07</v>
      </c>
      <c r="N648" s="1135"/>
      <c r="O648" s="218" t="str">
        <f>IFERROR(__xludf.DUMMYFUNCTION("""COMPUTED_VALUE"""),"")</f>
        <v/>
      </c>
      <c r="P648" s="1138"/>
      <c r="Q648" s="218"/>
    </row>
    <row r="649">
      <c r="A649" s="73"/>
      <c r="B649" s="209" t="str">
        <f>IFERROR(__xludf.DUMMYFUNCTION("""COMPUTED_VALUE"""),"Líderes de Vendas")</f>
        <v>Líderes de Vendas</v>
      </c>
      <c r="C649" s="157" t="str">
        <f>IFERROR(__xludf.DUMMYFUNCTION("""COMPUTED_VALUE"""),"Como justificar mais investimentos em vendas para a diretoria")</f>
        <v>Como justificar mais investimentos em vendas para a diretoria</v>
      </c>
      <c r="D649" s="175" t="str">
        <f>IFERROR(__xludf.DUMMYFUNCTION("""COMPUTED_VALUE"""),"Felipe Roque")</f>
        <v>Felipe Roque</v>
      </c>
      <c r="E649" s="206" t="str">
        <f>IFERROR(__xludf.DUMMYFUNCTION("""COMPUTED_VALUE"""),"Chief Revenue Officer (CRO)")</f>
        <v>Chief Revenue Officer (CRO)</v>
      </c>
      <c r="F649" s="646" t="str">
        <f>IFERROR(__xludf.DUMMYFUNCTION("""COMPUTED_VALUE"""),"AltoQi")</f>
        <v>AltoQi</v>
      </c>
      <c r="G649" s="647" t="str">
        <f>IFERROR(__xludf.DUMMYFUNCTION("""COMPUTED_VALUE"""),"https://www.linkedin.com/in/felipebkroque/")</f>
        <v>https://www.linkedin.com/in/felipebkroque/</v>
      </c>
      <c r="H649" s="648" t="str">
        <f>IFERROR(__xludf.DUMMYFUNCTION("""COMPUTED_VALUE"""),"Conhecimento Técnico")</f>
        <v>Conhecimento Técnico</v>
      </c>
      <c r="I649" s="648" t="str">
        <f>IFERROR(__xludf.DUMMYFUNCTION("""COMPUTED_VALUE"""),"Pensamento Crítico")</f>
        <v>Pensamento Crítico</v>
      </c>
      <c r="J649" s="648" t="str">
        <f>IFERROR(__xludf.DUMMYFUNCTION("""COMPUTED_VALUE"""),"ROI")</f>
        <v>ROI</v>
      </c>
      <c r="K649" s="473" t="str">
        <f>IFERROR(__xludf.DUMMYFUNCTION("""COMPUTED_VALUE"""),"https://universidade.pipelovers.net/m/lessons/como-justificar-mais-investimentos-em-vendas-para-a-diretoria-1789157896633?moduleId=1664&amp;classId=4600")</f>
        <v>https://universidade.pipelovers.net/m/lessons/como-justificar-mais-investimentos-em-vendas-para-a-diretoria-1789157896633?moduleId=1664&amp;classId=4600</v>
      </c>
      <c r="L649" s="474" t="str">
        <f>IFERROR(__xludf.DUMMYFUNCTION("""COMPUTED_VALUE"""),"https://universidade.pipelovers.net/m/lessons/como-justificar-mais-investimentos-em-vendas-para-a-diretoria-1789157896633?moduleId=1664&amp;classId=4600")</f>
        <v>https://universidade.pipelovers.net/m/lessons/como-justificar-mais-investimentos-em-vendas-para-a-diretoria-1789157896633?moduleId=1664&amp;classId=4600</v>
      </c>
      <c r="M649" s="379"/>
      <c r="N649" s="1135"/>
      <c r="O649" s="218" t="str">
        <f>IFERROR(__xludf.DUMMYFUNCTION("""COMPUTED_VALUE"""),"")</f>
        <v/>
      </c>
      <c r="P649" s="1138"/>
      <c r="Q649" s="218"/>
    </row>
    <row r="650">
      <c r="A650" s="73"/>
      <c r="B650" s="209" t="str">
        <f>IFERROR(__xludf.DUMMYFUNCTION("""COMPUTED_VALUE"""),"")</f>
        <v/>
      </c>
      <c r="C650" s="145" t="str">
        <f>IFERROR(__xludf.DUMMYFUNCTION("""COMPUTED_VALUE"""),"")</f>
        <v/>
      </c>
      <c r="D650" s="119" t="str">
        <f>IFERROR(__xludf.DUMMYFUNCTION("""COMPUTED_VALUE"""),"")</f>
        <v/>
      </c>
      <c r="E650" s="151" t="str">
        <f>IFERROR(__xludf.DUMMYFUNCTION("""COMPUTED_VALUE"""),"")</f>
        <v/>
      </c>
      <c r="F650" s="648" t="str">
        <f>IFERROR(__xludf.DUMMYFUNCTION("""COMPUTED_VALUE"""),"")</f>
        <v/>
      </c>
      <c r="G650" s="648" t="str">
        <f>IFERROR(__xludf.DUMMYFUNCTION("""COMPUTED_VALUE"""),"")</f>
        <v/>
      </c>
      <c r="H650" s="648" t="str">
        <f>IFERROR(__xludf.DUMMYFUNCTION("""COMPUTED_VALUE"""),"")</f>
        <v/>
      </c>
      <c r="I650" s="648" t="str">
        <f>IFERROR(__xludf.DUMMYFUNCTION("""COMPUTED_VALUE"""),"")</f>
        <v/>
      </c>
      <c r="J650" s="648" t="str">
        <f>IFERROR(__xludf.DUMMYFUNCTION("""COMPUTED_VALUE"""),"")</f>
        <v/>
      </c>
      <c r="K650" s="1176" t="str">
        <f>IFERROR(__xludf.DUMMYFUNCTION("""COMPUTED_VALUE"""),"")</f>
        <v/>
      </c>
      <c r="L650" s="1174" t="str">
        <f>IFERROR(__xludf.DUMMYFUNCTION("""COMPUTED_VALUE"""),"")</f>
        <v/>
      </c>
      <c r="M650" s="379" t="str">
        <f>IFERROR(__xludf.DUMMYFUNCTION("""COMPUTED_VALUE"""),"")</f>
        <v/>
      </c>
      <c r="N650" s="1135" t="str">
        <f>IFERROR(__xludf.DUMMYFUNCTION("""COMPUTED_VALUE"""),"")</f>
        <v/>
      </c>
      <c r="O650" s="218" t="str">
        <f>IFERROR(__xludf.DUMMYFUNCTION("""COMPUTED_VALUE"""),"")</f>
        <v/>
      </c>
      <c r="P650" s="1138" t="str">
        <f>IFERROR(__xludf.DUMMYFUNCTION("""COMPUTED_VALUE"""),"")</f>
        <v/>
      </c>
      <c r="Q650" s="218"/>
    </row>
    <row r="651">
      <c r="A651" s="73"/>
      <c r="B651" s="209" t="str">
        <f>IFERROR(__xludf.DUMMYFUNCTION("""COMPUTED_VALUE"""),"Canais e Parcerias")</f>
        <v>Canais e Parcerias</v>
      </c>
      <c r="C651" s="181" t="str">
        <f>IFERROR(__xludf.DUMMYFUNCTION("""COMPUTED_VALUE"""),"Programa de Canais: Ter ou não ter?")</f>
        <v>Programa de Canais: Ter ou não ter?</v>
      </c>
      <c r="D651" s="216" t="str">
        <f>IFERROR(__xludf.DUMMYFUNCTION("""COMPUTED_VALUE"""),"Gustavo Pagotto
Rafael Milare")</f>
        <v>Gustavo Pagotto
Rafael Milare</v>
      </c>
      <c r="E651" s="303" t="str">
        <f>IFERROR(__xludf.DUMMYFUNCTION("""COMPUTED_VALUE"""),"Fundador
Head of Customer Journey")</f>
        <v>Fundador
Head of Customer Journey</v>
      </c>
      <c r="F651" s="484" t="str">
        <f>IFERROR(__xludf.DUMMYFUNCTION("""COMPUTED_VALUE"""),"PipeLovers
Barte")</f>
        <v>PipeLovers
Barte</v>
      </c>
      <c r="G651" s="483" t="str">
        <f>IFERROR(__xludf.DUMMYFUNCTION("""COMPUTED_VALUE"""),"https://www.linkedin.com/in/rafael-milare/")</f>
        <v>https://www.linkedin.com/in/rafael-milare/</v>
      </c>
      <c r="H651" s="484" t="str">
        <f>IFERROR(__xludf.DUMMYFUNCTION("""COMPUTED_VALUE"""),"Visão de Negócios")</f>
        <v>Visão de Negócios</v>
      </c>
      <c r="I651" s="484" t="str">
        <f>IFERROR(__xludf.DUMMYFUNCTION("""COMPUTED_VALUE"""),"Conhecimento de Produto e Negócio")</f>
        <v>Conhecimento de Produto e Negócio</v>
      </c>
      <c r="J651" s="867" t="str">
        <f>IFERROR(__xludf.DUMMYFUNCTION("""COMPUTED_VALUE"""),"Posicionamento de Produto")</f>
        <v>Posicionamento de Produto</v>
      </c>
      <c r="K651" s="473" t="str">
        <f>IFERROR(__xludf.DUMMYFUNCTION("""COMPUTED_VALUE"""),"https://universidade.pipelovers.net/m/lessons/programa-de-canais-ter-ou-nao-ter1769552397371?classId=2854")</f>
        <v>https://universidade.pipelovers.net/m/lessons/programa-de-canais-ter-ou-nao-ter1769552397371?classId=2854</v>
      </c>
      <c r="L651" s="474" t="str">
        <f>IFERROR(__xludf.DUMMYFUNCTION("""COMPUTED_VALUE"""),"https://universidade.pipelovers.net/m/lessons/programa-de-canais-ter-ou-nao-ter1769552397371?classId=2854")</f>
        <v>https://universidade.pipelovers.net/m/lessons/programa-de-canais-ter-ou-nao-ter1769552397371?classId=2854</v>
      </c>
      <c r="M651" s="379" t="str">
        <f>IFERROR(__xludf.DUMMYFUNCTION("""COMPUTED_VALUE"""),"3,71")</f>
        <v>3,71</v>
      </c>
      <c r="N651" s="1177" t="str">
        <f>IFERROR(__xludf.DUMMYFUNCTION("""COMPUTED_VALUE"""),"https://drive.google.com/file/d/1oEbDazy7jyGwS3S1H-rwTzwPEos7ocdS/view?usp=drive_link")</f>
        <v>https://drive.google.com/file/d/1oEbDazy7jyGwS3S1H-rwTzwPEos7ocdS/view?usp=drive_link</v>
      </c>
      <c r="O651" s="218" t="str">
        <f>IFERROR(__xludf.DUMMYFUNCTION("""COMPUTED_VALUE"""),"")</f>
        <v/>
      </c>
      <c r="P651" s="1138" t="str">
        <f>IFERROR(__xludf.DUMMYFUNCTION("""COMPUTED_VALUE"""),"27/04/2023")</f>
        <v>27/04/2023</v>
      </c>
      <c r="Q651" s="218"/>
    </row>
    <row r="652">
      <c r="A652" s="73"/>
      <c r="B652" s="209" t="str">
        <f>IFERROR(__xludf.DUMMYFUNCTION("""COMPUTED_VALUE"""),"Canais e Parcerias")</f>
        <v>Canais e Parcerias</v>
      </c>
      <c r="C652" s="145" t="str">
        <f>IFERROR(__xludf.DUMMYFUNCTION("""COMPUTED_VALUE"""),"Modelos de Programas de Canais")</f>
        <v>Modelos de Programas de Canais</v>
      </c>
      <c r="D652" s="119" t="str">
        <f>IFERROR(__xludf.DUMMYFUNCTION("""COMPUTED_VALUE"""),"Nara Guimarães")</f>
        <v>Nara Guimarães</v>
      </c>
      <c r="E652" s="218" t="str">
        <f>IFERROR(__xludf.DUMMYFUNCTION("""COMPUTED_VALUE"""),"Fundadora")</f>
        <v>Fundadora</v>
      </c>
      <c r="F652" s="667" t="str">
        <f>IFERROR(__xludf.DUMMYFUNCTION("""COMPUTED_VALUE"""),"Plural Sales")</f>
        <v>Plural Sales</v>
      </c>
      <c r="G652" s="668" t="str">
        <f>IFERROR(__xludf.DUMMYFUNCTION("""COMPUTED_VALUE"""),"https://www.linkedin.com/in/naravazguimaraes/")</f>
        <v>https://www.linkedin.com/in/naravazguimaraes/</v>
      </c>
      <c r="H652" s="648" t="str">
        <f>IFERROR(__xludf.DUMMYFUNCTION("""COMPUTED_VALUE"""),"Conhecimento Técnico")</f>
        <v>Conhecimento Técnico</v>
      </c>
      <c r="I652" s="648" t="str">
        <f>IFERROR(__xludf.DUMMYFUNCTION("""COMPUTED_VALUE"""),"Gestão de Vendas")</f>
        <v>Gestão de Vendas</v>
      </c>
      <c r="J652" s="649" t="str">
        <f>IFERROR(__xludf.DUMMYFUNCTION("""COMPUTED_VALUE"""),"Planejamento Comercial")</f>
        <v>Planejamento Comercial</v>
      </c>
      <c r="K652" s="479" t="str">
        <f>IFERROR(__xludf.DUMMYFUNCTION("""COMPUTED_VALUE"""),"https://universidade.pipelovers.net/m/lessons/modelos-de-programas-de-canais1769552397431?classId=3070")</f>
        <v>https://universidade.pipelovers.net/m/lessons/modelos-de-programas-de-canais1769552397431?classId=3070</v>
      </c>
      <c r="L652" s="474" t="str">
        <f>IFERROR(__xludf.DUMMYFUNCTION("""COMPUTED_VALUE"""),"https://universidade.pipelovers.net/m/lessons/modelos-de-programas-de-canais1769552397431?classId=3070")</f>
        <v>https://universidade.pipelovers.net/m/lessons/modelos-de-programas-de-canais1769552397431?classId=3070</v>
      </c>
      <c r="M652" s="379" t="str">
        <f>IFERROR(__xludf.DUMMYFUNCTION("""COMPUTED_VALUE"""),"3,71")</f>
        <v>3,71</v>
      </c>
      <c r="N652" s="1177" t="str">
        <f>IFERROR(__xludf.DUMMYFUNCTION("""COMPUTED_VALUE"""),"https://drive.google.com/file/d/12nFgcrvx4hzQnpkfltYCJUtWh9uD8732/view?usp=drive_link")</f>
        <v>https://drive.google.com/file/d/12nFgcrvx4hzQnpkfltYCJUtWh9uD8732/view?usp=drive_link</v>
      </c>
      <c r="O652" s="218" t="str">
        <f>IFERROR(__xludf.DUMMYFUNCTION("""COMPUTED_VALUE"""),"")</f>
        <v/>
      </c>
      <c r="P652" s="1138" t="str">
        <f>IFERROR(__xludf.DUMMYFUNCTION("""COMPUTED_VALUE"""),"04/05/2023")</f>
        <v>04/05/2023</v>
      </c>
      <c r="Q652" s="218"/>
    </row>
    <row r="653">
      <c r="A653" s="73"/>
      <c r="B653" s="209" t="str">
        <f>IFERROR(__xludf.DUMMYFUNCTION("""COMPUTED_VALUE"""),"Canais e Parcerias")</f>
        <v>Canais e Parcerias</v>
      </c>
      <c r="C653" s="104" t="str">
        <f>IFERROR(__xludf.DUMMYFUNCTION("""COMPUTED_VALUE"""),"Case Stone")</f>
        <v>Case Stone</v>
      </c>
      <c r="D653" s="104" t="str">
        <f>IFERROR(__xludf.DUMMYFUNCTION("""COMPUTED_VALUE"""),"João Barcellos")</f>
        <v>João Barcellos</v>
      </c>
      <c r="E653" s="218" t="str">
        <f>IFERROR(__xludf.DUMMYFUNCTION("""COMPUTED_VALUE"""),"Sales Director and Partner")</f>
        <v>Sales Director and Partner</v>
      </c>
      <c r="F653" s="667" t="str">
        <f>IFERROR(__xludf.DUMMYFUNCTION("""COMPUTED_VALUE"""),"Stone")</f>
        <v>Stone</v>
      </c>
      <c r="G653" s="668" t="str">
        <f>IFERROR(__xludf.DUMMYFUNCTION("""COMPUTED_VALUE"""),"https://www.linkedin.com/in/joaobarcellos/")</f>
        <v>https://www.linkedin.com/in/joaobarcellos/</v>
      </c>
      <c r="H653" s="648" t="str">
        <f>IFERROR(__xludf.DUMMYFUNCTION("""COMPUTED_VALUE"""),"Relacionamento Interpessoal")</f>
        <v>Relacionamento Interpessoal</v>
      </c>
      <c r="I653" s="648" t="str">
        <f>IFERROR(__xludf.DUMMYFUNCTION("""COMPUTED_VALUE"""),"Liderança e Influência")</f>
        <v>Liderança e Influência</v>
      </c>
      <c r="J653" s="649" t="str">
        <f>IFERROR(__xludf.DUMMYFUNCTION("""COMPUTED_VALUE"""),"Provas Sociais")</f>
        <v>Provas Sociais</v>
      </c>
      <c r="K653" s="473" t="str">
        <f>IFERROR(__xludf.DUMMYFUNCTION("""COMPUTED_VALUE"""),"https://universidade.pipelovers.net/aulas/case-stone-1775081594547")</f>
        <v>https://universidade.pipelovers.net/aulas/case-stone-1775081594547</v>
      </c>
      <c r="L653" s="474" t="str">
        <f>IFERROR(__xludf.DUMMYFUNCTION("""COMPUTED_VALUE"""),"https://universidade.pipelovers.net/aulas/case-stone-1775081594547")</f>
        <v>https://universidade.pipelovers.net/aulas/case-stone-1775081594547</v>
      </c>
      <c r="M653" s="379" t="str">
        <f>IFERROR(__xludf.DUMMYFUNCTION("""COMPUTED_VALUE"""),"3")</f>
        <v>3</v>
      </c>
      <c r="N653" s="1177" t="str">
        <f>IFERROR(__xludf.DUMMYFUNCTION("""COMPUTED_VALUE"""),"https://drive.google.com/file/d/1zHd5bPR6Uvfc-6Ei-ElhlqyhQQPiYbSI/view?usp=drive_link")</f>
        <v>https://drive.google.com/file/d/1zHd5bPR6Uvfc-6Ei-ElhlqyhQQPiYbSI/view?usp=drive_link</v>
      </c>
      <c r="O653" s="218" t="str">
        <f>IFERROR(__xludf.DUMMYFUNCTION("""COMPUTED_VALUE"""),"")</f>
        <v/>
      </c>
      <c r="P653" s="1138" t="str">
        <f>IFERROR(__xludf.DUMMYFUNCTION("""COMPUTED_VALUE"""),"11/05/2023")</f>
        <v>11/05/2023</v>
      </c>
      <c r="Q653" s="218"/>
    </row>
    <row r="654">
      <c r="A654" s="73"/>
      <c r="B654" s="209" t="str">
        <f>IFERROR(__xludf.DUMMYFUNCTION("""COMPUTED_VALUE"""),"Canais e Parcerias")</f>
        <v>Canais e Parcerias</v>
      </c>
      <c r="C654" s="119" t="str">
        <f>IFERROR(__xludf.DUMMYFUNCTION("""COMPUTED_VALUE"""),"Case: XP INC")</f>
        <v>Case: XP INC</v>
      </c>
      <c r="D654" s="119" t="str">
        <f>IFERROR(__xludf.DUMMYFUNCTION("""COMPUTED_VALUE"""),"Caio Peres")</f>
        <v>Caio Peres</v>
      </c>
      <c r="E654" s="218" t="str">
        <f>IFERROR(__xludf.DUMMYFUNCTION("""COMPUTED_VALUE"""),"Sócio e Head de Expansão e Estratégia de Distribuição")</f>
        <v>Sócio e Head de Expansão e Estratégia de Distribuição</v>
      </c>
      <c r="F654" s="667" t="str">
        <f>IFERROR(__xludf.DUMMYFUNCTION("""COMPUTED_VALUE"""),"XP Inc")</f>
        <v>XP Inc</v>
      </c>
      <c r="G654" s="668" t="str">
        <f>IFERROR(__xludf.DUMMYFUNCTION("""COMPUTED_VALUE"""),"https://www.linkedin.com/in/caio-peres-cfa-57253693/")</f>
        <v>https://www.linkedin.com/in/caio-peres-cfa-57253693/</v>
      </c>
      <c r="H654" s="648" t="str">
        <f>IFERROR(__xludf.DUMMYFUNCTION("""COMPUTED_VALUE"""),"Relacionamento Interpessoal")</f>
        <v>Relacionamento Interpessoal</v>
      </c>
      <c r="I654" s="648" t="str">
        <f>IFERROR(__xludf.DUMMYFUNCTION("""COMPUTED_VALUE"""),"Liderança e Influência")</f>
        <v>Liderança e Influência</v>
      </c>
      <c r="J654" s="649" t="str">
        <f>IFERROR(__xludf.DUMMYFUNCTION("""COMPUTED_VALUE"""),"Provas Sociais")</f>
        <v>Provas Sociais</v>
      </c>
      <c r="K654" s="479" t="str">
        <f>IFERROR(__xludf.DUMMYFUNCTION("""COMPUTED_VALUE"""),"https://universidade.pipelovers.net/m/lessons/case-xp-inc1769552397542?classId=3324")</f>
        <v>https://universidade.pipelovers.net/m/lessons/case-xp-inc1769552397542?classId=3324</v>
      </c>
      <c r="L654" s="474" t="str">
        <f>IFERROR(__xludf.DUMMYFUNCTION("""COMPUTED_VALUE"""),"https://universidade.pipelovers.net/m/lessons/case-xp-inc1769552397542?classId=3324")</f>
        <v>https://universidade.pipelovers.net/m/lessons/case-xp-inc1769552397542?classId=3324</v>
      </c>
      <c r="M654" s="379" t="str">
        <f>IFERROR(__xludf.DUMMYFUNCTION("""COMPUTED_VALUE"""),"3")</f>
        <v>3</v>
      </c>
      <c r="N654" s="1177" t="str">
        <f>IFERROR(__xludf.DUMMYFUNCTION("""COMPUTED_VALUE"""),"https://drive.google.com/file/d/1rNmJQwxdo63nw_IjCAMbpGrcwbOL8JQl/view?usp=drive_link")</f>
        <v>https://drive.google.com/file/d/1rNmJQwxdo63nw_IjCAMbpGrcwbOL8JQl/view?usp=drive_link</v>
      </c>
      <c r="O654" s="218" t="str">
        <f>IFERROR(__xludf.DUMMYFUNCTION("""COMPUTED_VALUE"""),"")</f>
        <v/>
      </c>
      <c r="P654" s="1138" t="str">
        <f>IFERROR(__xludf.DUMMYFUNCTION("""COMPUTED_VALUE"""),"18/05/2023")</f>
        <v>18/05/2023</v>
      </c>
      <c r="Q654" s="218"/>
    </row>
    <row r="655">
      <c r="A655" s="73"/>
      <c r="B655" s="209" t="str">
        <f>IFERROR(__xludf.DUMMYFUNCTION("""COMPUTED_VALUE"""),"Canais e Parcerias")</f>
        <v>Canais e Parcerias</v>
      </c>
      <c r="C655" s="104" t="str">
        <f>IFERROR(__xludf.DUMMYFUNCTION("""COMPUTED_VALUE"""),"Case: Mercado Pago")</f>
        <v>Case: Mercado Pago</v>
      </c>
      <c r="D655" s="104" t="str">
        <f>IFERROR(__xludf.DUMMYFUNCTION("""COMPUTED_VALUE"""),"Samir Carlton")</f>
        <v>Samir Carlton</v>
      </c>
      <c r="E655" s="218" t="str">
        <f>IFERROR(__xludf.DUMMYFUNCTION("""COMPUTED_VALUE"""),"Partnerships &amp; Enablement Leader")</f>
        <v>Partnerships &amp; Enablement Leader</v>
      </c>
      <c r="F655" s="667" t="str">
        <f>IFERROR(__xludf.DUMMYFUNCTION("""COMPUTED_VALUE"""),"Mercadopago")</f>
        <v>Mercadopago</v>
      </c>
      <c r="G655" s="668" t="str">
        <f>IFERROR(__xludf.DUMMYFUNCTION("""COMPUTED_VALUE"""),"https://www.linkedin.com/in/samircarlton/")</f>
        <v>https://www.linkedin.com/in/samircarlton/</v>
      </c>
      <c r="H655" s="648" t="str">
        <f>IFERROR(__xludf.DUMMYFUNCTION("""COMPUTED_VALUE"""),"Relacionamento Interpessoal")</f>
        <v>Relacionamento Interpessoal</v>
      </c>
      <c r="I655" s="648" t="str">
        <f>IFERROR(__xludf.DUMMYFUNCTION("""COMPUTED_VALUE"""),"Liderança e Influência")</f>
        <v>Liderança e Influência</v>
      </c>
      <c r="J655" s="649" t="str">
        <f>IFERROR(__xludf.DUMMYFUNCTION("""COMPUTED_VALUE"""),"Provas Sociais")</f>
        <v>Provas Sociais</v>
      </c>
      <c r="K655" s="473" t="str">
        <f>IFERROR(__xludf.DUMMYFUNCTION("""COMPUTED_VALUE"""),"https://universidade.pipelovers.net/m/lessons/case-mercado-pago1769552405200?classId=3325")</f>
        <v>https://universidade.pipelovers.net/m/lessons/case-mercado-pago1769552405200?classId=3325</v>
      </c>
      <c r="L655" s="474" t="str">
        <f>IFERROR(__xludf.DUMMYFUNCTION("""COMPUTED_VALUE"""),"https://universidade.pipelovers.net/m/lessons/case-mercado-pago1769552405200?classId=3325")</f>
        <v>https://universidade.pipelovers.net/m/lessons/case-mercado-pago1769552405200?classId=3325</v>
      </c>
      <c r="M655" s="379" t="str">
        <f>IFERROR(__xludf.DUMMYFUNCTION("""COMPUTED_VALUE"""),"3")</f>
        <v>3</v>
      </c>
      <c r="N655" s="1177" t="str">
        <f>IFERROR(__xludf.DUMMYFUNCTION("""COMPUTED_VALUE"""),"https://drive.google.com/file/d/1OQhj281BDkd8AQ1w32dTIdQDhf7vPiB8/view?usp=drive_link")</f>
        <v>https://drive.google.com/file/d/1OQhj281BDkd8AQ1w32dTIdQDhf7vPiB8/view?usp=drive_link</v>
      </c>
      <c r="O655" s="218" t="str">
        <f>IFERROR(__xludf.DUMMYFUNCTION("""COMPUTED_VALUE"""),"")</f>
        <v/>
      </c>
      <c r="P655" s="1138" t="str">
        <f>IFERROR(__xludf.DUMMYFUNCTION("""COMPUTED_VALUE"""),"25/05/2023")</f>
        <v>25/05/2023</v>
      </c>
      <c r="Q655" s="218"/>
    </row>
    <row r="656">
      <c r="A656" s="73"/>
      <c r="B656" s="209" t="str">
        <f>IFERROR(__xludf.DUMMYFUNCTION("""COMPUTED_VALUE"""),"Canais e Parcerias")</f>
        <v>Canais e Parcerias</v>
      </c>
      <c r="C656" s="268" t="str">
        <f>IFERROR(__xludf.DUMMYFUNCTION("""COMPUTED_VALUE"""),"Case: Amazon AWS")</f>
        <v>Case: Amazon AWS</v>
      </c>
      <c r="D656" s="119" t="str">
        <f>IFERROR(__xludf.DUMMYFUNCTION("""COMPUTED_VALUE"""),"Yasmim Dib")</f>
        <v>Yasmim Dib</v>
      </c>
      <c r="E656" s="218" t="str">
        <f>IFERROR(__xludf.DUMMYFUNCTION("""COMPUTED_VALUE"""),"Partner Program Manager")</f>
        <v>Partner Program Manager</v>
      </c>
      <c r="F656" s="667" t="str">
        <f>IFERROR(__xludf.DUMMYFUNCTION("""COMPUTED_VALUE"""),"Amazon AWS")</f>
        <v>Amazon AWS</v>
      </c>
      <c r="G656" s="668" t="str">
        <f>IFERROR(__xludf.DUMMYFUNCTION("""COMPUTED_VALUE"""),"https://www.linkedin.com/in/yasmim-dib-loureiro/")</f>
        <v>https://www.linkedin.com/in/yasmim-dib-loureiro/</v>
      </c>
      <c r="H656" s="667" t="str">
        <f>IFERROR(__xludf.DUMMYFUNCTION("""COMPUTED_VALUE"""),"Relacionamento Interpessoal")</f>
        <v>Relacionamento Interpessoal</v>
      </c>
      <c r="I656" s="667" t="str">
        <f>IFERROR(__xludf.DUMMYFUNCTION("""COMPUTED_VALUE"""),"Liderança e Influência")</f>
        <v>Liderança e Influência</v>
      </c>
      <c r="J656" s="669" t="str">
        <f>IFERROR(__xludf.DUMMYFUNCTION("""COMPUTED_VALUE"""),"Provas Sociais")</f>
        <v>Provas Sociais</v>
      </c>
      <c r="K656" s="479" t="str">
        <f>IFERROR(__xludf.DUMMYFUNCTION("""COMPUTED_VALUE"""),"https://universidade.pipelovers.net/m/lessons/case-amazon-aws1769552405299?classId=3329")</f>
        <v>https://universidade.pipelovers.net/m/lessons/case-amazon-aws1769552405299?classId=3329</v>
      </c>
      <c r="L656" s="474" t="str">
        <f>IFERROR(__xludf.DUMMYFUNCTION("""COMPUTED_VALUE"""),"https://universidade.pipelovers.net/m/lessons/case-amazon-aws1769552405299?classId=3329")</f>
        <v>https://universidade.pipelovers.net/m/lessons/case-amazon-aws1769552405299?classId=3329</v>
      </c>
      <c r="M656" s="379" t="str">
        <f>IFERROR(__xludf.DUMMYFUNCTION("""COMPUTED_VALUE"""),"3")</f>
        <v>3</v>
      </c>
      <c r="N656" s="1177" t="str">
        <f>IFERROR(__xludf.DUMMYFUNCTION("""COMPUTED_VALUE"""),"https://drive.google.com/file/d/1tlZMm7HVNBAJYRQMTJnXSkynDwr9oJs0/view?usp=drive_link")</f>
        <v>https://drive.google.com/file/d/1tlZMm7HVNBAJYRQMTJnXSkynDwr9oJs0/view?usp=drive_link</v>
      </c>
      <c r="O656" s="218" t="str">
        <f>IFERROR(__xludf.DUMMYFUNCTION("""COMPUTED_VALUE"""),"")</f>
        <v/>
      </c>
      <c r="P656" s="1138" t="str">
        <f>IFERROR(__xludf.DUMMYFUNCTION("""COMPUTED_VALUE"""),"01/06/2023")</f>
        <v>01/06/2023</v>
      </c>
      <c r="Q656" s="218"/>
    </row>
    <row r="657">
      <c r="A657" s="73"/>
      <c r="B657" s="209" t="str">
        <f>IFERROR(__xludf.DUMMYFUNCTION("""COMPUTED_VALUE"""),"Canais e Parcerias")</f>
        <v>Canais e Parcerias</v>
      </c>
      <c r="C657" s="104" t="str">
        <f>IFERROR(__xludf.DUMMYFUNCTION("""COMPUTED_VALUE"""),"Case: Loja Integrada")</f>
        <v>Case: Loja Integrada</v>
      </c>
      <c r="D657" s="104" t="str">
        <f>IFERROR(__xludf.DUMMYFUNCTION("""COMPUTED_VALUE"""),"Ana Duccini ")</f>
        <v>Ana Duccini </v>
      </c>
      <c r="E657" s="208" t="str">
        <f>IFERROR(__xludf.DUMMYFUNCTION("""COMPUTED_VALUE"""),"Head of Sales &amp; Partner Program Leader")</f>
        <v>Head of Sales &amp; Partner Program Leader</v>
      </c>
      <c r="F657" s="655" t="str">
        <f>IFERROR(__xludf.DUMMYFUNCTION("""COMPUTED_VALUE"""),"Loja integrada")</f>
        <v>Loja integrada</v>
      </c>
      <c r="G657" s="656" t="str">
        <f>IFERROR(__xludf.DUMMYFUNCTION("""COMPUTED_VALUE"""),"https://www.linkedin.com/in/anaduccini/")</f>
        <v>https://www.linkedin.com/in/anaduccini/</v>
      </c>
      <c r="H657" s="655" t="str">
        <f>IFERROR(__xludf.DUMMYFUNCTION("""COMPUTED_VALUE"""),"Relacionamento Interpessoal")</f>
        <v>Relacionamento Interpessoal</v>
      </c>
      <c r="I657" s="655" t="str">
        <f>IFERROR(__xludf.DUMMYFUNCTION("""COMPUTED_VALUE"""),"Liderança e Influência")</f>
        <v>Liderança e Influência</v>
      </c>
      <c r="J657" s="657" t="str">
        <f>IFERROR(__xludf.DUMMYFUNCTION("""COMPUTED_VALUE"""),"Provas Sociais")</f>
        <v>Provas Sociais</v>
      </c>
      <c r="K657" s="473" t="str">
        <f>IFERROR(__xludf.DUMMYFUNCTION("""COMPUTED_VALUE"""),"https://universidade.pipelovers.net/m/lessons/case-loja-integrada1769552405489?classId=3326")</f>
        <v>https://universidade.pipelovers.net/m/lessons/case-loja-integrada1769552405489?classId=3326</v>
      </c>
      <c r="L657" s="474" t="str">
        <f>IFERROR(__xludf.DUMMYFUNCTION("""COMPUTED_VALUE"""),"https://universidade.pipelovers.net/m/lessons/case-loja-integrada1769552405489?classId=3326")</f>
        <v>https://universidade.pipelovers.net/m/lessons/case-loja-integrada1769552405489?classId=3326</v>
      </c>
      <c r="M657" s="379" t="str">
        <f>IFERROR(__xludf.DUMMYFUNCTION("""COMPUTED_VALUE"""),"2")</f>
        <v>2</v>
      </c>
      <c r="N657" s="1177" t="str">
        <f>IFERROR(__xludf.DUMMYFUNCTION("""COMPUTED_VALUE"""),"https://drive.google.com/file/d/1sgVDl9fiu3yVKf-VNKsvR9XcktbfOUhe/view?usp=drive_link")</f>
        <v>https://drive.google.com/file/d/1sgVDl9fiu3yVKf-VNKsvR9XcktbfOUhe/view?usp=drive_link</v>
      </c>
      <c r="O657" s="218" t="str">
        <f>IFERROR(__xludf.DUMMYFUNCTION("""COMPUTED_VALUE"""),"")</f>
        <v/>
      </c>
      <c r="P657" s="1138" t="str">
        <f>IFERROR(__xludf.DUMMYFUNCTION("""COMPUTED_VALUE"""),"08/06/2023")</f>
        <v>08/06/2023</v>
      </c>
      <c r="Q657" s="218"/>
    </row>
    <row r="658">
      <c r="A658" s="73"/>
      <c r="B658" s="209" t="str">
        <f>IFERROR(__xludf.DUMMYFUNCTION("""COMPUTED_VALUE"""),"Canais e Parcerias")</f>
        <v>Canais e Parcerias</v>
      </c>
      <c r="C658" s="145" t="str">
        <f>IFERROR(__xludf.DUMMYFUNCTION("""COMPUTED_VALUE"""),"Case: Alelo")</f>
        <v>Case: Alelo</v>
      </c>
      <c r="D658" s="119" t="str">
        <f>IFERROR(__xludf.DUMMYFUNCTION("""COMPUTED_VALUE"""),"Barbara Luchese")</f>
        <v>Barbara Luchese</v>
      </c>
      <c r="E658" s="218" t="str">
        <f>IFERROR(__xludf.DUMMYFUNCTION("""COMPUTED_VALUE"""),"Superintendente de Parcerias &amp; Vendas Diretas")</f>
        <v>Superintendente de Parcerias &amp; Vendas Diretas</v>
      </c>
      <c r="F658" s="667" t="str">
        <f>IFERROR(__xludf.DUMMYFUNCTION("""COMPUTED_VALUE"""),"Alelo")</f>
        <v>Alelo</v>
      </c>
      <c r="G658" s="668" t="str">
        <f>IFERROR(__xludf.DUMMYFUNCTION("""COMPUTED_VALUE"""),"https://www.linkedin.com/in/barbara-luchese/overlay/photo/")</f>
        <v>https://www.linkedin.com/in/barbara-luchese/overlay/photo/</v>
      </c>
      <c r="H658" s="667" t="str">
        <f>IFERROR(__xludf.DUMMYFUNCTION("""COMPUTED_VALUE"""),"Relacionamento Interpessoal")</f>
        <v>Relacionamento Interpessoal</v>
      </c>
      <c r="I658" s="667" t="str">
        <f>IFERROR(__xludf.DUMMYFUNCTION("""COMPUTED_VALUE"""),"Liderança e Influência")</f>
        <v>Liderança e Influência</v>
      </c>
      <c r="J658" s="669" t="str">
        <f>IFERROR(__xludf.DUMMYFUNCTION("""COMPUTED_VALUE"""),"Provas Sociais")</f>
        <v>Provas Sociais</v>
      </c>
      <c r="K658" s="479" t="str">
        <f>IFERROR(__xludf.DUMMYFUNCTION("""COMPUTED_VALUE"""),"https://universidade.pipelovers.net/m/lessons/case-alelo1769552405429?classId=3327")</f>
        <v>https://universidade.pipelovers.net/m/lessons/case-alelo1769552405429?classId=3327</v>
      </c>
      <c r="L658" s="474" t="str">
        <f>IFERROR(__xludf.DUMMYFUNCTION("""COMPUTED_VALUE"""),"https://universidade.pipelovers.net/m/lessons/case-alelo1769552405429?classId=3327")</f>
        <v>https://universidade.pipelovers.net/m/lessons/case-alelo1769552405429?classId=3327</v>
      </c>
      <c r="M658" s="379" t="str">
        <f>IFERROR(__xludf.DUMMYFUNCTION("""COMPUTED_VALUE"""),"2")</f>
        <v>2</v>
      </c>
      <c r="N658" s="1177" t="str">
        <f>IFERROR(__xludf.DUMMYFUNCTION("""COMPUTED_VALUE"""),"https://drive.google.com/file/d/1eSIV5fkLxGHvGGbSZ2J6-aUk7LI9MNBd/view?usp=drive_link")</f>
        <v>https://drive.google.com/file/d/1eSIV5fkLxGHvGGbSZ2J6-aUk7LI9MNBd/view?usp=drive_link</v>
      </c>
      <c r="O658" s="218" t="str">
        <f>IFERROR(__xludf.DUMMYFUNCTION("""COMPUTED_VALUE"""),"")</f>
        <v/>
      </c>
      <c r="P658" s="1138" t="str">
        <f>IFERROR(__xludf.DUMMYFUNCTION("""COMPUTED_VALUE"""),"15/06/2023")</f>
        <v>15/06/2023</v>
      </c>
      <c r="Q658" s="218"/>
    </row>
    <row r="659">
      <c r="A659" s="73"/>
      <c r="B659" s="209" t="str">
        <f>IFERROR(__xludf.DUMMYFUNCTION("""COMPUTED_VALUE"""),"Canais e Parcerias")</f>
        <v>Canais e Parcerias</v>
      </c>
      <c r="C659" s="216" t="str">
        <f>IFERROR(__xludf.DUMMYFUNCTION("""COMPUTED_VALUE"""),"Case: Gympass")</f>
        <v>Case: Gympass</v>
      </c>
      <c r="D659" s="104" t="str">
        <f>IFERROR(__xludf.DUMMYFUNCTION("""COMPUTED_VALUE"""),"Raphael Gouvea")</f>
        <v>Raphael Gouvea</v>
      </c>
      <c r="E659" s="218" t="str">
        <f>IFERROR(__xludf.DUMMYFUNCTION("""COMPUTED_VALUE"""),"Diretor de Canais e Parcerias Estratégicas")</f>
        <v>Diretor de Canais e Parcerias Estratégicas</v>
      </c>
      <c r="F659" s="667" t="str">
        <f>IFERROR(__xludf.DUMMYFUNCTION("""COMPUTED_VALUE"""),"Gympass")</f>
        <v>Gympass</v>
      </c>
      <c r="G659" s="668" t="str">
        <f>IFERROR(__xludf.DUMMYFUNCTION("""COMPUTED_VALUE"""),"https://www.linkedin.com/in/raphael-gouvea-b9788624/")</f>
        <v>https://www.linkedin.com/in/raphael-gouvea-b9788624/</v>
      </c>
      <c r="H659" s="667" t="str">
        <f>IFERROR(__xludf.DUMMYFUNCTION("""COMPUTED_VALUE"""),"Relacionamento Interpessoal")</f>
        <v>Relacionamento Interpessoal</v>
      </c>
      <c r="I659" s="667" t="str">
        <f>IFERROR(__xludf.DUMMYFUNCTION("""COMPUTED_VALUE"""),"Liderança e Influência")</f>
        <v>Liderança e Influência</v>
      </c>
      <c r="J659" s="669" t="str">
        <f>IFERROR(__xludf.DUMMYFUNCTION("""COMPUTED_VALUE"""),"Provas Sociais")</f>
        <v>Provas Sociais</v>
      </c>
      <c r="K659" s="473" t="str">
        <f>IFERROR(__xludf.DUMMYFUNCTION("""COMPUTED_VALUE"""),"https://universidade.pipelovers.net/m/lessons/case-gympass1769552405373?classId=3328")</f>
        <v>https://universidade.pipelovers.net/m/lessons/case-gympass1769552405373?classId=3328</v>
      </c>
      <c r="L659" s="474" t="str">
        <f>IFERROR(__xludf.DUMMYFUNCTION("""COMPUTED_VALUE"""),"https://universidade.pipelovers.net/m/lessons/case-gympass1769552405373?classId=3328")</f>
        <v>https://universidade.pipelovers.net/m/lessons/case-gympass1769552405373?classId=3328</v>
      </c>
      <c r="M659" s="379" t="str">
        <f>IFERROR(__xludf.DUMMYFUNCTION("""COMPUTED_VALUE"""),"2")</f>
        <v>2</v>
      </c>
      <c r="N659" s="1177" t="str">
        <f>IFERROR(__xludf.DUMMYFUNCTION("""COMPUTED_VALUE"""),"https://drive.google.com/file/d/1rH_qvpxRSPbKHPPtqleCsVYyNaxJ8hJ5/view?usp=drive_link")</f>
        <v>https://drive.google.com/file/d/1rH_qvpxRSPbKHPPtqleCsVYyNaxJ8hJ5/view?usp=drive_link</v>
      </c>
      <c r="O659" s="218" t="str">
        <f>IFERROR(__xludf.DUMMYFUNCTION("""COMPUTED_VALUE"""),"")</f>
        <v/>
      </c>
      <c r="P659" s="1138" t="str">
        <f>IFERROR(__xludf.DUMMYFUNCTION("""COMPUTED_VALUE"""),"22/06/2023")</f>
        <v>22/06/2023</v>
      </c>
      <c r="Q659" s="218"/>
    </row>
    <row r="660">
      <c r="A660" s="73"/>
      <c r="B660" s="209" t="str">
        <f>IFERROR(__xludf.DUMMYFUNCTION("""COMPUTED_VALUE"""),"Canais e Parcerias")</f>
        <v>Canais e Parcerias</v>
      </c>
      <c r="C660" s="145" t="str">
        <f>IFERROR(__xludf.DUMMYFUNCTION("""COMPUTED_VALUE"""),"Engajamento de Parceiros")</f>
        <v>Engajamento de Parceiros</v>
      </c>
      <c r="D660" s="119" t="str">
        <f>IFERROR(__xludf.DUMMYFUNCTION("""COMPUTED_VALUE"""),"Vitor Nascimento")</f>
        <v>Vitor Nascimento</v>
      </c>
      <c r="E660" s="218" t="str">
        <f>IFERROR(__xludf.DUMMYFUNCTION("""COMPUTED_VALUE"""),"Head of Channel &amp; Sales")</f>
        <v>Head of Channel &amp; Sales</v>
      </c>
      <c r="F660" s="667" t="str">
        <f>IFERROR(__xludf.DUMMYFUNCTION("""COMPUTED_VALUE"""),"Adaptive")</f>
        <v>Adaptive</v>
      </c>
      <c r="G660" s="668" t="str">
        <f>IFERROR(__xludf.DUMMYFUNCTION("""COMPUTED_VALUE"""),"https://www.linkedin.com/in/vitorcesar/")</f>
        <v>https://www.linkedin.com/in/vitorcesar/</v>
      </c>
      <c r="H660" s="667" t="str">
        <f>IFERROR(__xludf.DUMMYFUNCTION("""COMPUTED_VALUE"""),"Relacionamento Interpessoal")</f>
        <v>Relacionamento Interpessoal</v>
      </c>
      <c r="I660" s="667" t="str">
        <f>IFERROR(__xludf.DUMMYFUNCTION("""COMPUTED_VALUE"""),"Liderança e Influência")</f>
        <v>Liderança e Influência</v>
      </c>
      <c r="J660" s="669" t="str">
        <f>IFERROR(__xludf.DUMMYFUNCTION("""COMPUTED_VALUE"""),"Stakeholder Management")</f>
        <v>Stakeholder Management</v>
      </c>
      <c r="K660" s="479" t="str">
        <f>IFERROR(__xludf.DUMMYFUNCTION("""COMPUTED_VALUE"""),"https://universidade.pipelovers.net/m/lessons/engajamento-de-parceiros1769552405642?classId=3331")</f>
        <v>https://universidade.pipelovers.net/m/lessons/engajamento-de-parceiros1769552405642?classId=3331</v>
      </c>
      <c r="L660" s="474" t="str">
        <f>IFERROR(__xludf.DUMMYFUNCTION("""COMPUTED_VALUE"""),"https://universidade.pipelovers.net/m/lessons/engajamento-de-parceiros1769552405642?classId=3331")</f>
        <v>https://universidade.pipelovers.net/m/lessons/engajamento-de-parceiros1769552405642?classId=3331</v>
      </c>
      <c r="M660" s="379" t="str">
        <f>IFERROR(__xludf.DUMMYFUNCTION("""COMPUTED_VALUE"""),"2")</f>
        <v>2</v>
      </c>
      <c r="N660" s="1177" t="str">
        <f>IFERROR(__xludf.DUMMYFUNCTION("""COMPUTED_VALUE"""),"https://drive.google.com/file/d/1rSG6mI38aeptXw3dRu2zDfyhmZU0bYkP/view?usp=drive_link")</f>
        <v>https://drive.google.com/file/d/1rSG6mI38aeptXw3dRu2zDfyhmZU0bYkP/view?usp=drive_link</v>
      </c>
      <c r="O660" s="293" t="str">
        <f>IFERROR(__xludf.DUMMYFUNCTION("""COMPUTED_VALUE"""),"")</f>
        <v/>
      </c>
      <c r="P660" s="1138" t="str">
        <f>IFERROR(__xludf.DUMMYFUNCTION("""COMPUTED_VALUE"""),"29/06/2023")</f>
        <v>29/06/2023</v>
      </c>
      <c r="Q660" s="293"/>
    </row>
    <row r="661">
      <c r="A661" s="73"/>
      <c r="B661" s="209" t="str">
        <f>IFERROR(__xludf.DUMMYFUNCTION("""COMPUTED_VALUE"""),"Canais e Parcerias")</f>
        <v>Canais e Parcerias</v>
      </c>
      <c r="C661" s="157" t="str">
        <f>IFERROR(__xludf.DUMMYFUNCTION("""COMPUTED_VALUE"""),"Internacionalização via Canais")</f>
        <v>Internacionalização via Canais</v>
      </c>
      <c r="D661" s="104" t="str">
        <f>IFERROR(__xludf.DUMMYFUNCTION("""COMPUTED_VALUE"""),"Daniela Spinardi")</f>
        <v>Daniela Spinardi</v>
      </c>
      <c r="E661" s="218" t="str">
        <f>IFERROR(__xludf.DUMMYFUNCTION("""COMPUTED_VALUE"""),"LatAm Director of Channels")</f>
        <v>LatAm Director of Channels</v>
      </c>
      <c r="F661" s="667" t="str">
        <f>IFERROR(__xludf.DUMMYFUNCTION("""COMPUTED_VALUE"""),"Nuvemshop")</f>
        <v>Nuvemshop</v>
      </c>
      <c r="G661" s="668" t="str">
        <f>IFERROR(__xludf.DUMMYFUNCTION("""COMPUTED_VALUE"""),"https://www.linkedin.com/in/danielaspinardi/")</f>
        <v>https://www.linkedin.com/in/danielaspinardi/</v>
      </c>
      <c r="H661" s="648" t="str">
        <f>IFERROR(__xludf.DUMMYFUNCTION("""COMPUTED_VALUE"""),"Visão de Negócios")</f>
        <v>Visão de Negócios</v>
      </c>
      <c r="I661" s="648" t="str">
        <f>IFERROR(__xludf.DUMMYFUNCTION("""COMPUTED_VALUE"""),"Tendências de Mercado")</f>
        <v>Tendências de Mercado</v>
      </c>
      <c r="J661" s="649" t="str">
        <f>IFERROR(__xludf.DUMMYFUNCTION("""COMPUTED_VALUE"""),"Cenário Internacional")</f>
        <v>Cenário Internacional</v>
      </c>
      <c r="K661" s="473" t="str">
        <f>IFERROR(__xludf.DUMMYFUNCTION("""COMPUTED_VALUE"""),"https://universidade.pipelovers.net/m/lessons/internacionalizacao-via-canais1769552405580?classId=3333")</f>
        <v>https://universidade.pipelovers.net/m/lessons/internacionalizacao-via-canais1769552405580?classId=3333</v>
      </c>
      <c r="L661" s="474" t="str">
        <f>IFERROR(__xludf.DUMMYFUNCTION("""COMPUTED_VALUE"""),"https://universidade.pipelovers.net/m/lessons/internacionalizacao-via-canais1769552405580?classId=3333")</f>
        <v>https://universidade.pipelovers.net/m/lessons/internacionalizacao-via-canais1769552405580?classId=3333</v>
      </c>
      <c r="M661" s="379" t="str">
        <f>IFERROR(__xludf.DUMMYFUNCTION("""COMPUTED_VALUE"""),"2")</f>
        <v>2</v>
      </c>
      <c r="N661" s="1177" t="str">
        <f>IFERROR(__xludf.DUMMYFUNCTION("""COMPUTED_VALUE"""),"https://drive.google.com/file/d/1iM15kaKIkKUaQ2NYqqNMtP7RZb5Tituq/view?usp=drive_link")</f>
        <v>https://drive.google.com/file/d/1iM15kaKIkKUaQ2NYqqNMtP7RZb5Tituq/view?usp=drive_link</v>
      </c>
      <c r="O661" s="293" t="str">
        <f>IFERROR(__xludf.DUMMYFUNCTION("""COMPUTED_VALUE"""),"")</f>
        <v/>
      </c>
      <c r="P661" s="1138" t="str">
        <f>IFERROR(__xludf.DUMMYFUNCTION("""COMPUTED_VALUE"""),"06/07/2023")</f>
        <v>06/07/2023</v>
      </c>
      <c r="Q661" s="293"/>
    </row>
    <row r="662">
      <c r="A662" s="73"/>
      <c r="B662" s="209" t="str">
        <f>IFERROR(__xludf.DUMMYFUNCTION("""COMPUTED_VALUE"""),"Canais e Parcerias")</f>
        <v>Canais e Parcerias</v>
      </c>
      <c r="C662" s="119" t="str">
        <f>IFERROR(__xludf.DUMMYFUNCTION("""COMPUTED_VALUE"""),"Métricas de Gestão de Canais")</f>
        <v>Métricas de Gestão de Canais</v>
      </c>
      <c r="D662" s="119" t="str">
        <f>IFERROR(__xludf.DUMMYFUNCTION("""COMPUTED_VALUE"""),"Luis Lourenço")</f>
        <v>Luis Lourenço</v>
      </c>
      <c r="E662" s="228" t="str">
        <f>IFERROR(__xludf.DUMMYFUNCTION("""COMPUTED_VALUE"""),"Director of Channel, Partners and International Expansion")</f>
        <v>Director of Channel, Partners and International Expansion</v>
      </c>
      <c r="F662" s="453" t="str">
        <f>IFERROR(__xludf.DUMMYFUNCTION("""COMPUTED_VALUE"""),"RD Station")</f>
        <v>RD Station</v>
      </c>
      <c r="G662" s="455" t="str">
        <f>IFERROR(__xludf.DUMMYFUNCTION("""COMPUTED_VALUE"""),"https://www.linkedin.com/in/lourencoluis/")</f>
        <v>https://www.linkedin.com/in/lourencoluis/</v>
      </c>
      <c r="H662" s="667" t="str">
        <f>IFERROR(__xludf.DUMMYFUNCTION("""COMPUTED_VALUE"""),"Conhecimento Técnico")</f>
        <v>Conhecimento Técnico</v>
      </c>
      <c r="I662" s="667" t="str">
        <f>IFERROR(__xludf.DUMMYFUNCTION("""COMPUTED_VALUE"""),"Pensamento Crítico")</f>
        <v>Pensamento Crítico</v>
      </c>
      <c r="J662" s="669" t="str">
        <f>IFERROR(__xludf.DUMMYFUNCTION("""COMPUTED_VALUE"""),"Métricas de Funil")</f>
        <v>Métricas de Funil</v>
      </c>
      <c r="K662" s="473" t="str">
        <f>IFERROR(__xludf.DUMMYFUNCTION("""COMPUTED_VALUE"""),"https://universidade.pipelovers.net/m/lessons/metricas-de-gestao-de-canais1769552405737?classId=3334")</f>
        <v>https://universidade.pipelovers.net/m/lessons/metricas-de-gestao-de-canais1769552405737?classId=3334</v>
      </c>
      <c r="L662" s="474" t="str">
        <f>IFERROR(__xludf.DUMMYFUNCTION("""COMPUTED_VALUE"""),"https://universidade.pipelovers.net/m/lessons/metricas-de-gestao-de-canais1769552405737?classId=3334")</f>
        <v>https://universidade.pipelovers.net/m/lessons/metricas-de-gestao-de-canais1769552405737?classId=3334</v>
      </c>
      <c r="M662" s="379" t="str">
        <f>IFERROR(__xludf.DUMMYFUNCTION("""COMPUTED_VALUE"""),"3,71")</f>
        <v>3,71</v>
      </c>
      <c r="N662" s="1177" t="str">
        <f>IFERROR(__xludf.DUMMYFUNCTION("""COMPUTED_VALUE"""),"https://drive.google.com/file/d/1xJsiRo_ElABaaS9HjSC97wLbDoYFYvGa/view?usp=drive_link")</f>
        <v>https://drive.google.com/file/d/1xJsiRo_ElABaaS9HjSC97wLbDoYFYvGa/view?usp=drive_link</v>
      </c>
      <c r="O662" s="293" t="str">
        <f>IFERROR(__xludf.DUMMYFUNCTION("""COMPUTED_VALUE"""),"")</f>
        <v/>
      </c>
      <c r="P662" s="1138" t="str">
        <f>IFERROR(__xludf.DUMMYFUNCTION("""COMPUTED_VALUE"""),"13/07/2023")</f>
        <v>13/07/2023</v>
      </c>
      <c r="Q662" s="293"/>
    </row>
    <row r="663">
      <c r="A663" s="73"/>
      <c r="B663" s="209" t="str">
        <f>IFERROR(__xludf.DUMMYFUNCTION("""COMPUTED_VALUE"""),"Canais e Parcerias")</f>
        <v>Canais e Parcerias</v>
      </c>
      <c r="C663" s="157" t="str">
        <f>IFERROR(__xludf.DUMMYFUNCTION("""COMPUTED_VALUE"""),"Ferramentas e Engajamento de Parceiros")</f>
        <v>Ferramentas e Engajamento de Parceiros</v>
      </c>
      <c r="D663" s="104" t="str">
        <f>IFERROR(__xludf.DUMMYFUNCTION("""COMPUTED_VALUE"""),"Felipe Cambraia")</f>
        <v>Felipe Cambraia</v>
      </c>
      <c r="E663" s="151" t="str">
        <f>IFERROR(__xludf.DUMMYFUNCTION("""COMPUTED_VALUE"""),"Coordenador de novos negócios")</f>
        <v>Coordenador de novos negócios</v>
      </c>
      <c r="F663" s="648" t="str">
        <f>IFERROR(__xludf.DUMMYFUNCTION("""COMPUTED_VALUE"""),"Tangerino by Sólides")</f>
        <v>Tangerino by Sólides</v>
      </c>
      <c r="G663" s="647" t="str">
        <f>IFERROR(__xludf.DUMMYFUNCTION("""COMPUTED_VALUE"""),"https://www.linkedin.com/in/fcambraia/")</f>
        <v>https://www.linkedin.com/in/fcambraia/</v>
      </c>
      <c r="H663" s="648" t="str">
        <f>IFERROR(__xludf.DUMMYFUNCTION("""COMPUTED_VALUE"""),"Conhecimento Técnico")</f>
        <v>Conhecimento Técnico</v>
      </c>
      <c r="I663" s="648" t="str">
        <f>IFERROR(__xludf.DUMMYFUNCTION("""COMPUTED_VALUE"""),"Gestão de Vendas")</f>
        <v>Gestão de Vendas</v>
      </c>
      <c r="J663" s="648" t="str">
        <f>IFERROR(__xludf.DUMMYFUNCTION("""COMPUTED_VALUE"""),"Ferramentas de Vendas")</f>
        <v>Ferramentas de Vendas</v>
      </c>
      <c r="K663" s="479" t="str">
        <f>IFERROR(__xludf.DUMMYFUNCTION("""COMPUTED_VALUE"""),"https://universidade.pipelovers.net/m/lessons/ferramentas-e-engajamento-de-parceiros1769552405791?classId=3335")</f>
        <v>https://universidade.pipelovers.net/m/lessons/ferramentas-e-engajamento-de-parceiros1769552405791?classId=3335</v>
      </c>
      <c r="L663" s="474" t="str">
        <f>IFERROR(__xludf.DUMMYFUNCTION("""COMPUTED_VALUE"""),"https://universidade.pipelovers.net/m/lessons/ferramentas-e-engajamento-de-parceiros1769552405791?classId=3335")</f>
        <v>https://universidade.pipelovers.net/m/lessons/ferramentas-e-engajamento-de-parceiros1769552405791?classId=3335</v>
      </c>
      <c r="M663" s="379">
        <f>IFERROR(__xludf.DUMMYFUNCTION("""COMPUTED_VALUE"""),2.0)</f>
        <v>2</v>
      </c>
      <c r="N663" s="1177" t="str">
        <f>IFERROR(__xludf.DUMMYFUNCTION("""COMPUTED_VALUE"""),"https://drive.google.com/file/d/1-iF4VSjkhmzKEZZBA8g40HTrNfj-nIpu/view?usp=drive_link")</f>
        <v>https://drive.google.com/file/d/1-iF4VSjkhmzKEZZBA8g40HTrNfj-nIpu/view?usp=drive_link</v>
      </c>
      <c r="O663" s="294" t="str">
        <f>IFERROR(__xludf.DUMMYFUNCTION("""COMPUTED_VALUE"""),"")</f>
        <v/>
      </c>
      <c r="P663" s="1138">
        <f>IFERROR(__xludf.DUMMYFUNCTION("""COMPUTED_VALUE"""),45127.0)</f>
        <v>45127</v>
      </c>
      <c r="Q663" s="294"/>
    </row>
    <row r="664">
      <c r="A664" s="73"/>
      <c r="B664" s="209" t="str">
        <f>IFERROR(__xludf.DUMMYFUNCTION("""COMPUTED_VALUE"""),"Canais e Parcerias")</f>
        <v>Canais e Parcerias</v>
      </c>
      <c r="C664" s="145" t="str">
        <f>IFERROR(__xludf.DUMMYFUNCTION("""COMPUTED_VALUE"""),"Processos de Canais B2B2C")</f>
        <v>Processos de Canais B2B2C</v>
      </c>
      <c r="D664" s="119" t="str">
        <f>IFERROR(__xludf.DUMMYFUNCTION("""COMPUTED_VALUE"""),"Mathias Costa")</f>
        <v>Mathias Costa</v>
      </c>
      <c r="E664" s="228" t="str">
        <f>IFERROR(__xludf.DUMMYFUNCTION("""COMPUTED_VALUE"""),"Gerente executivo de vendas")</f>
        <v>Gerente executivo de vendas</v>
      </c>
      <c r="F664" s="453" t="str">
        <f>IFERROR(__xludf.DUMMYFUNCTION("""COMPUTED_VALUE"""),"Pague Menos")</f>
        <v>Pague Menos</v>
      </c>
      <c r="G664" s="455" t="str">
        <f>IFERROR(__xludf.DUMMYFUNCTION("""COMPUTED_VALUE"""),"https://www.linkedin.com/in/mathiascosta/")</f>
        <v>https://www.linkedin.com/in/mathiascosta/</v>
      </c>
      <c r="H664" s="667" t="str">
        <f>IFERROR(__xludf.DUMMYFUNCTION("""COMPUTED_VALUE"""),"Conhecimento Técnico")</f>
        <v>Conhecimento Técnico</v>
      </c>
      <c r="I664" s="667" t="str">
        <f>IFERROR(__xludf.DUMMYFUNCTION("""COMPUTED_VALUE"""),"Gestão de Vendas")</f>
        <v>Gestão de Vendas</v>
      </c>
      <c r="J664" s="667" t="str">
        <f>IFERROR(__xludf.DUMMYFUNCTION("""COMPUTED_VALUE"""),"Planejamento Comercial")</f>
        <v>Planejamento Comercial</v>
      </c>
      <c r="K664" s="473" t="str">
        <f>IFERROR(__xludf.DUMMYFUNCTION("""COMPUTED_VALUE"""),"https://universidade.pipelovers.net/m/lessons/processos-de-canais-b2b2c1769552405853?classId=3336")</f>
        <v>https://universidade.pipelovers.net/m/lessons/processos-de-canais-b2b2c1769552405853?classId=3336</v>
      </c>
      <c r="L664" s="474" t="str">
        <f>IFERROR(__xludf.DUMMYFUNCTION("""COMPUTED_VALUE"""),"https://universidade.pipelovers.net/m/lessons/processos-de-canais-b2b2c1769552405853?classId=3336")</f>
        <v>https://universidade.pipelovers.net/m/lessons/processos-de-canais-b2b2c1769552405853?classId=3336</v>
      </c>
      <c r="M664" s="117">
        <f>IFERROR(__xludf.DUMMYFUNCTION("""COMPUTED_VALUE"""),3.0)</f>
        <v>3</v>
      </c>
      <c r="N664" s="1177" t="str">
        <f>IFERROR(__xludf.DUMMYFUNCTION("""COMPUTED_VALUE"""),"https://drive.google.com/file/d/18y-pHiGn99dxXo4ZL78H9o0WPffv35jc/view?usp=drive_link")</f>
        <v>https://drive.google.com/file/d/18y-pHiGn99dxXo4ZL78H9o0WPffv35jc/view?usp=drive_link</v>
      </c>
      <c r="O664" s="294" t="str">
        <f>IFERROR(__xludf.DUMMYFUNCTION("""COMPUTED_VALUE"""),"")</f>
        <v/>
      </c>
      <c r="P664" s="1138">
        <f>IFERROR(__xludf.DUMMYFUNCTION("""COMPUTED_VALUE"""),45134.0)</f>
        <v>45134</v>
      </c>
      <c r="Q664" s="294"/>
    </row>
    <row r="665">
      <c r="A665" s="73"/>
      <c r="B665" s="209" t="str">
        <f>IFERROR(__xludf.DUMMYFUNCTION("""COMPUTED_VALUE"""),"Canais e Parcerias")</f>
        <v>Canais e Parcerias</v>
      </c>
      <c r="C665" s="157" t="str">
        <f>IFERROR(__xludf.DUMMYFUNCTION("""COMPUTED_VALUE"""),"Case: Creditas")</f>
        <v>Case: Creditas</v>
      </c>
      <c r="D665" s="104" t="str">
        <f>IFERROR(__xludf.DUMMYFUNCTION("""COMPUTED_VALUE"""),"Luccas Speranzini")</f>
        <v>Luccas Speranzini</v>
      </c>
      <c r="E665" s="151" t="str">
        <f>IFERROR(__xludf.DUMMYFUNCTION("""COMPUTED_VALUE"""),"Diretor de vendas")</f>
        <v>Diretor de vendas</v>
      </c>
      <c r="F665" s="648" t="str">
        <f>IFERROR(__xludf.DUMMYFUNCTION("""COMPUTED_VALUE"""),"Creditas")</f>
        <v>Creditas</v>
      </c>
      <c r="G665" s="647" t="str">
        <f>IFERROR(__xludf.DUMMYFUNCTION("""COMPUTED_VALUE"""),"https://www.linkedin.com/in/luccas-speranzini-56a39a78/")</f>
        <v>https://www.linkedin.com/in/luccas-speranzini-56a39a78/</v>
      </c>
      <c r="H665" s="648" t="str">
        <f>IFERROR(__xludf.DUMMYFUNCTION("""COMPUTED_VALUE"""),"Relacionamento Interpessoal")</f>
        <v>Relacionamento Interpessoal</v>
      </c>
      <c r="I665" s="648" t="str">
        <f>IFERROR(__xludf.DUMMYFUNCTION("""COMPUTED_VALUE"""),"Liderança e Influência")</f>
        <v>Liderança e Influência</v>
      </c>
      <c r="J665" s="649" t="str">
        <f>IFERROR(__xludf.DUMMYFUNCTION("""COMPUTED_VALUE"""),"Provas Sociais")</f>
        <v>Provas Sociais</v>
      </c>
      <c r="K665" s="479" t="str">
        <f>IFERROR(__xludf.DUMMYFUNCTION("""COMPUTED_VALUE"""),"https://universidade.pipelovers.net/m/lessons/case-creditas1769552405918?classId=3343")</f>
        <v>https://universidade.pipelovers.net/m/lessons/case-creditas1769552405918?classId=3343</v>
      </c>
      <c r="L665" s="474" t="str">
        <f>IFERROR(__xludf.DUMMYFUNCTION("""COMPUTED_VALUE"""),"https://universidade.pipelovers.net/m/lessons/case-creditas1769552405918?classId=3343")</f>
        <v>https://universidade.pipelovers.net/m/lessons/case-creditas1769552405918?classId=3343</v>
      </c>
      <c r="M665" s="379" t="str">
        <f>IFERROR(__xludf.DUMMYFUNCTION("""COMPUTED_VALUE"""),"3")</f>
        <v>3</v>
      </c>
      <c r="N665" s="1135" t="str">
        <f>IFERROR(__xludf.DUMMYFUNCTION("""COMPUTED_VALUE"""),"16. PipeLovers 💚 Canais &amp; Parcerias com Luccas Speranzini ""Case: Creditas"" (2023-03-09 08:04 GMT-3)")</f>
        <v>16. PipeLovers 💚 Canais &amp; Parcerias com Luccas Speranzini "Case: Creditas" (2023-03-09 08:04 GMT-3)</v>
      </c>
      <c r="O665" s="294" t="str">
        <f>IFERROR(__xludf.DUMMYFUNCTION("""COMPUTED_VALUE"""),"")</f>
        <v/>
      </c>
      <c r="P665" s="1138" t="str">
        <f>IFERROR(__xludf.DUMMYFUNCTION("""COMPUTED_VALUE"""),"03/08/2023")</f>
        <v>03/08/2023</v>
      </c>
      <c r="Q665" s="294"/>
    </row>
    <row r="666">
      <c r="A666" s="73"/>
      <c r="B666" s="209" t="str">
        <f>IFERROR(__xludf.DUMMYFUNCTION("""COMPUTED_VALUE"""),"Canais e Parcerias")</f>
        <v>Canais e Parcerias</v>
      </c>
      <c r="C666" s="181" t="str">
        <f>IFERROR(__xludf.DUMMYFUNCTION("""COMPUTED_VALUE"""),"O outro lado: como é ser um parceiro?")</f>
        <v>O outro lado: como é ser um parceiro?</v>
      </c>
      <c r="D666" s="119" t="str">
        <f>IFERROR(__xludf.DUMMYFUNCTION("""COMPUTED_VALUE"""),"Giovanni Batista")</f>
        <v>Giovanni Batista</v>
      </c>
      <c r="E666" s="228" t="str">
        <f>IFERROR(__xludf.DUMMYFUNCTION("""COMPUTED_VALUE"""),"Parceiro do Canal de Vendas Diretas ")</f>
        <v>Parceiro do Canal de Vendas Diretas </v>
      </c>
      <c r="F666" s="453" t="str">
        <f>IFERROR(__xludf.DUMMYFUNCTION("""COMPUTED_VALUE"""),"Livelo")</f>
        <v>Livelo</v>
      </c>
      <c r="G666" s="455" t="str">
        <f>IFERROR(__xludf.DUMMYFUNCTION("""COMPUTED_VALUE"""),"https://www.linkedin.com/in/giovanni-batista-4091032/")</f>
        <v>https://www.linkedin.com/in/giovanni-batista-4091032/</v>
      </c>
      <c r="H666" s="453" t="str">
        <f>IFERROR(__xludf.DUMMYFUNCTION("""COMPUTED_VALUE"""),"Relacionamento Interpessoal")</f>
        <v>Relacionamento Interpessoal</v>
      </c>
      <c r="I666" s="453" t="str">
        <f>IFERROR(__xludf.DUMMYFUNCTION("""COMPUTED_VALUE"""),"Liderança e Influência")</f>
        <v>Liderança e Influência</v>
      </c>
      <c r="J666" s="679" t="str">
        <f>IFERROR(__xludf.DUMMYFUNCTION("""COMPUTED_VALUE"""),"Stakeholder Management")</f>
        <v>Stakeholder Management</v>
      </c>
      <c r="K666" s="473" t="str">
        <f>IFERROR(__xludf.DUMMYFUNCTION("""COMPUTED_VALUE"""),"https://universidade.pipelovers.net/m/lessons/o-outro-lado-como-e-ser-um-parceiro1769552405979?classId=3342")</f>
        <v>https://universidade.pipelovers.net/m/lessons/o-outro-lado-como-e-ser-um-parceiro1769552405979?classId=3342</v>
      </c>
      <c r="L666" s="474" t="str">
        <f>IFERROR(__xludf.DUMMYFUNCTION("""COMPUTED_VALUE"""),"https://universidade.pipelovers.net/m/lessons/o-outro-lado-como-e-ser-um-parceiro1769552405979?classId=3342")</f>
        <v>https://universidade.pipelovers.net/m/lessons/o-outro-lado-como-e-ser-um-parceiro1769552405979?classId=3342</v>
      </c>
      <c r="M666" s="379" t="str">
        <f>IFERROR(__xludf.DUMMYFUNCTION("""COMPUTED_VALUE"""),"2")</f>
        <v>2</v>
      </c>
      <c r="N666" s="1177" t="str">
        <f>IFERROR(__xludf.DUMMYFUNCTION("""COMPUTED_VALUE"""),"https://drive.google.com/file/d/1yzxGyIvhq0BSZj1Noi7mobJG1lc75-FU/view?usp=drive_link")</f>
        <v>https://drive.google.com/file/d/1yzxGyIvhq0BSZj1Noi7mobJG1lc75-FU/view?usp=drive_link</v>
      </c>
      <c r="O666" s="293" t="str">
        <f>IFERROR(__xludf.DUMMYFUNCTION("""COMPUTED_VALUE"""),"")</f>
        <v/>
      </c>
      <c r="P666" s="1138" t="str">
        <f>IFERROR(__xludf.DUMMYFUNCTION("""COMPUTED_VALUE"""),"10/08/2023")</f>
        <v>10/08/2023</v>
      </c>
      <c r="Q666" s="293"/>
    </row>
    <row r="667">
      <c r="A667" s="73"/>
      <c r="B667" s="209" t="str">
        <f>IFERROR(__xludf.DUMMYFUNCTION("""COMPUTED_VALUE"""),"Canais e Parcerias")</f>
        <v>Canais e Parcerias</v>
      </c>
      <c r="C667" s="157" t="str">
        <f>IFERROR(__xludf.DUMMYFUNCTION("""COMPUTED_VALUE"""),"Case: Microsoft")</f>
        <v>Case: Microsoft</v>
      </c>
      <c r="D667" s="104" t="str">
        <f>IFERROR(__xludf.DUMMYFUNCTION("""COMPUTED_VALUE"""),"Guilherme Tsuchida")</f>
        <v>Guilherme Tsuchida</v>
      </c>
      <c r="E667" s="151" t="str">
        <f>IFERROR(__xludf.DUMMYFUNCTION("""COMPUTED_VALUE"""),"Partner Development Manager")</f>
        <v>Partner Development Manager</v>
      </c>
      <c r="F667" s="648" t="str">
        <f>IFERROR(__xludf.DUMMYFUNCTION("""COMPUTED_VALUE"""),"Microsoft")</f>
        <v>Microsoft</v>
      </c>
      <c r="G667" s="647" t="str">
        <f>IFERROR(__xludf.DUMMYFUNCTION("""COMPUTED_VALUE"""),"https://www.linkedin.com/in/gtsuchida/")</f>
        <v>https://www.linkedin.com/in/gtsuchida/</v>
      </c>
      <c r="H667" s="648" t="str">
        <f>IFERROR(__xludf.DUMMYFUNCTION("""COMPUTED_VALUE"""),"Relacionamento Interpessoal")</f>
        <v>Relacionamento Interpessoal</v>
      </c>
      <c r="I667" s="648" t="str">
        <f>IFERROR(__xludf.DUMMYFUNCTION("""COMPUTED_VALUE"""),"Liderança e Influência")</f>
        <v>Liderança e Influência</v>
      </c>
      <c r="J667" s="649" t="str">
        <f>IFERROR(__xludf.DUMMYFUNCTION("""COMPUTED_VALUE"""),"Provas Sociais")</f>
        <v>Provas Sociais</v>
      </c>
      <c r="K667" s="473" t="str">
        <f>IFERROR(__xludf.DUMMYFUNCTION("""COMPUTED_VALUE"""),"https://universidade.pipelovers.net/m/lessons/case-microsoft1769552406083?classId=3341")</f>
        <v>https://universidade.pipelovers.net/m/lessons/case-microsoft1769552406083?classId=3341</v>
      </c>
      <c r="L667" s="474" t="str">
        <f>IFERROR(__xludf.DUMMYFUNCTION("""COMPUTED_VALUE"""),"https://universidade.pipelovers.net/m/lessons/case-microsoft1769552406083?classId=3341")</f>
        <v>https://universidade.pipelovers.net/m/lessons/case-microsoft1769552406083?classId=3341</v>
      </c>
      <c r="M667" s="379" t="str">
        <f>IFERROR(__xludf.DUMMYFUNCTION("""COMPUTED_VALUE"""),"3")</f>
        <v>3</v>
      </c>
      <c r="N667" s="1177" t="str">
        <f>IFERROR(__xludf.DUMMYFUNCTION("""COMPUTED_VALUE"""),"https://drive.google.com/file/d/18aN0VjQMeDKQMjaAO_UsI5HSuHeB_2I9/view?usp=drive_link")</f>
        <v>https://drive.google.com/file/d/18aN0VjQMeDKQMjaAO_UsI5HSuHeB_2I9/view?usp=drive_link</v>
      </c>
      <c r="O667" s="110" t="str">
        <f>IFERROR(__xludf.DUMMYFUNCTION("""COMPUTED_VALUE"""),"")</f>
        <v/>
      </c>
      <c r="P667" s="1138" t="str">
        <f>IFERROR(__xludf.DUMMYFUNCTION("""COMPUTED_VALUE"""),"17/08/2023")</f>
        <v>17/08/2023</v>
      </c>
      <c r="Q667" s="110"/>
    </row>
    <row r="668">
      <c r="A668" s="73"/>
      <c r="B668" s="209" t="str">
        <f>IFERROR(__xludf.DUMMYFUNCTION("""COMPUTED_VALUE"""),"Canais e Parcerias")</f>
        <v>Canais e Parcerias</v>
      </c>
      <c r="C668" s="145" t="str">
        <f>IFERROR(__xludf.DUMMYFUNCTION("""COMPUTED_VALUE"""),"Fusão de Programas de Canais Pós-M&amp;A")</f>
        <v>Fusão de Programas de Canais Pós-M&amp;A</v>
      </c>
      <c r="D668" s="119" t="str">
        <f>IFERROR(__xludf.DUMMYFUNCTION("""COMPUTED_VALUE"""),"Cristiano Gregorius")</f>
        <v>Cristiano Gregorius</v>
      </c>
      <c r="E668" s="228" t="str">
        <f>IFERROR(__xludf.DUMMYFUNCTION("""COMPUTED_VALUE"""),"CRO")</f>
        <v>CRO</v>
      </c>
      <c r="F668" s="453" t="str">
        <f>IFERROR(__xludf.DUMMYFUNCTION("""COMPUTED_VALUE"""),"Softplan")</f>
        <v>Softplan</v>
      </c>
      <c r="G668" s="455" t="str">
        <f>IFERROR(__xludf.DUMMYFUNCTION("""COMPUTED_VALUE"""),"https://www.linkedin.com/in/cristiano-gregorius-b73bb7/")</f>
        <v>https://www.linkedin.com/in/cristiano-gregorius-b73bb7/</v>
      </c>
      <c r="H668" s="453" t="str">
        <f>IFERROR(__xludf.DUMMYFUNCTION("""COMPUTED_VALUE"""),"Visão de Negócios")</f>
        <v>Visão de Negócios</v>
      </c>
      <c r="I668" s="453" t="str">
        <f>IFERROR(__xludf.DUMMYFUNCTION("""COMPUTED_VALUE"""),"Tendências de Mercado")</f>
        <v>Tendências de Mercado</v>
      </c>
      <c r="J668" s="679" t="str">
        <f>IFERROR(__xludf.DUMMYFUNCTION("""COMPUTED_VALUE"""),"Fusões, Aquisições e Falências")</f>
        <v>Fusões, Aquisições e Falências</v>
      </c>
      <c r="K668" s="473" t="str">
        <f>IFERROR(__xludf.DUMMYFUNCTION("""COMPUTED_VALUE"""),"https://universidade.pipelovers.net/m/lessons/fusao-de-programas-de-canais-pos-ma1769552406157?classId=3340")</f>
        <v>https://universidade.pipelovers.net/m/lessons/fusao-de-programas-de-canais-pos-ma1769552406157?classId=3340</v>
      </c>
      <c r="L668" s="474" t="str">
        <f>IFERROR(__xludf.DUMMYFUNCTION("""COMPUTED_VALUE"""),"https://universidade.pipelovers.net/m/lessons/fusao-de-programas-de-canais-pos-ma1769552406157?classId=3340")</f>
        <v>https://universidade.pipelovers.net/m/lessons/fusao-de-programas-de-canais-pos-ma1769552406157?classId=3340</v>
      </c>
      <c r="M668" s="379" t="str">
        <f>IFERROR(__xludf.DUMMYFUNCTION("""COMPUTED_VALUE"""),"4,29")</f>
        <v>4,29</v>
      </c>
      <c r="N668" s="1177" t="str">
        <f>IFERROR(__xludf.DUMMYFUNCTION("""COMPUTED_VALUE"""),"https://drive.google.com/file/d/1Hx_sKoh5HHbnjoIFYZTu3Q3-4PWNBya4/view?usp=drive_link")</f>
        <v>https://drive.google.com/file/d/1Hx_sKoh5HHbnjoIFYZTu3Q3-4PWNBya4/view?usp=drive_link</v>
      </c>
      <c r="O668" s="110" t="str">
        <f>IFERROR(__xludf.DUMMYFUNCTION("""COMPUTED_VALUE"""),"")</f>
        <v/>
      </c>
      <c r="P668" s="1138" t="str">
        <f>IFERROR(__xludf.DUMMYFUNCTION("""COMPUTED_VALUE"""),"24/08/2023")</f>
        <v>24/08/2023</v>
      </c>
      <c r="Q668" s="110"/>
    </row>
    <row r="669">
      <c r="A669" s="73"/>
      <c r="B669" s="209" t="str">
        <f>IFERROR(__xludf.DUMMYFUNCTION("""COMPUTED_VALUE"""),"Canais e Parcerias")</f>
        <v>Canais e Parcerias</v>
      </c>
      <c r="C669" s="157" t="str">
        <f>IFERROR(__xludf.DUMMYFUNCTION("""COMPUTED_VALUE"""),"Case: Google Cloud")</f>
        <v>Case: Google Cloud</v>
      </c>
      <c r="D669" s="104" t="str">
        <f>IFERROR(__xludf.DUMMYFUNCTION("""COMPUTED_VALUE"""),"Henrique Saraiva")</f>
        <v>Henrique Saraiva</v>
      </c>
      <c r="E669" s="151" t="str">
        <f>IFERROR(__xludf.DUMMYFUNCTION("""COMPUTED_VALUE"""),"Head of Google Cloud Partners")</f>
        <v>Head of Google Cloud Partners</v>
      </c>
      <c r="F669" s="648" t="str">
        <f>IFERROR(__xludf.DUMMYFUNCTION("""COMPUTED_VALUE"""),"Google")</f>
        <v>Google</v>
      </c>
      <c r="G669" s="647" t="str">
        <f>IFERROR(__xludf.DUMMYFUNCTION("""COMPUTED_VALUE"""),"https://www.linkedin.com/in/henriquesaraiva/")</f>
        <v>https://www.linkedin.com/in/henriquesaraiva/</v>
      </c>
      <c r="H669" s="453" t="str">
        <f>IFERROR(__xludf.DUMMYFUNCTION("""COMPUTED_VALUE"""),"Relacionamento Interpessoal")</f>
        <v>Relacionamento Interpessoal</v>
      </c>
      <c r="I669" s="453" t="str">
        <f>IFERROR(__xludf.DUMMYFUNCTION("""COMPUTED_VALUE"""),"Liderança e Influência")</f>
        <v>Liderança e Influência</v>
      </c>
      <c r="J669" s="679" t="str">
        <f>IFERROR(__xludf.DUMMYFUNCTION("""COMPUTED_VALUE"""),"Provas Sociais")</f>
        <v>Provas Sociais</v>
      </c>
      <c r="K669" s="473" t="str">
        <f>IFERROR(__xludf.DUMMYFUNCTION("""COMPUTED_VALUE"""),"https://universidade.pipelovers.net/m/lessons/case-google-cloud1769552406256?classId=3338")</f>
        <v>https://universidade.pipelovers.net/m/lessons/case-google-cloud1769552406256?classId=3338</v>
      </c>
      <c r="L669" s="474" t="str">
        <f>IFERROR(__xludf.DUMMYFUNCTION("""COMPUTED_VALUE"""),"https://universidade.pipelovers.net/m/lessons/case-google-cloud1769552406256?classId=3338")</f>
        <v>https://universidade.pipelovers.net/m/lessons/case-google-cloud1769552406256?classId=3338</v>
      </c>
      <c r="M669" s="379" t="str">
        <f>IFERROR(__xludf.DUMMYFUNCTION("""COMPUTED_VALUE"""),"3")</f>
        <v>3</v>
      </c>
      <c r="N669" s="1177" t="str">
        <f>IFERROR(__xludf.DUMMYFUNCTION("""COMPUTED_VALUE"""),"https://drive.google.com/file/d/1axhjSOdIiQiuyM3-560ZEUegCXLzUy2Q/view?usp=drive_link")</f>
        <v>https://drive.google.com/file/d/1axhjSOdIiQiuyM3-560ZEUegCXLzUy2Q/view?usp=drive_link</v>
      </c>
      <c r="O669" s="110" t="str">
        <f>IFERROR(__xludf.DUMMYFUNCTION("""COMPUTED_VALUE"""),"")</f>
        <v/>
      </c>
      <c r="P669" s="1138" t="str">
        <f>IFERROR(__xludf.DUMMYFUNCTION("""COMPUTED_VALUE"""),"31/08/2023")</f>
        <v>31/08/2023</v>
      </c>
      <c r="Q669" s="110"/>
    </row>
    <row r="670">
      <c r="A670" s="73"/>
      <c r="B670" s="209" t="str">
        <f>IFERROR(__xludf.DUMMYFUNCTION("""COMPUTED_VALUE"""),"Canais e Parcerias")</f>
        <v>Canais e Parcerias</v>
      </c>
      <c r="C670" s="119" t="str">
        <f>IFERROR(__xludf.DUMMYFUNCTION("""COMPUTED_VALUE"""),"Rotinas de Gestão de Canais Indiretos")</f>
        <v>Rotinas de Gestão de Canais Indiretos</v>
      </c>
      <c r="D670" s="119" t="str">
        <f>IFERROR(__xludf.DUMMYFUNCTION("""COMPUTED_VALUE"""),"Glaucio Gonçalves")</f>
        <v>Glaucio Gonçalves</v>
      </c>
      <c r="E670" s="228" t="str">
        <f>IFERROR(__xludf.DUMMYFUNCTION("""COMPUTED_VALUE"""),"Diretor Comercial ")</f>
        <v>Diretor Comercial </v>
      </c>
      <c r="F670" s="453" t="str">
        <f>IFERROR(__xludf.DUMMYFUNCTION("""COMPUTED_VALUE"""),"Softdata")</f>
        <v>Softdata</v>
      </c>
      <c r="G670" s="455" t="str">
        <f>IFERROR(__xludf.DUMMYFUNCTION("""COMPUTED_VALUE"""),"https://www.linkedin.com/in/glaucio-goncalves/")</f>
        <v>https://www.linkedin.com/in/glaucio-goncalves/</v>
      </c>
      <c r="H670" s="453" t="str">
        <f>IFERROR(__xludf.DUMMYFUNCTION("""COMPUTED_VALUE"""),"Conhecimento Técnico")</f>
        <v>Conhecimento Técnico</v>
      </c>
      <c r="I670" s="453" t="str">
        <f>IFERROR(__xludf.DUMMYFUNCTION("""COMPUTED_VALUE"""),"Gestão de Vendas")</f>
        <v>Gestão de Vendas</v>
      </c>
      <c r="J670" s="679" t="str">
        <f>IFERROR(__xludf.DUMMYFUNCTION("""COMPUTED_VALUE"""),"Rotinas e Rituais")</f>
        <v>Rotinas e Rituais</v>
      </c>
      <c r="K670" s="473" t="str">
        <f>IFERROR(__xludf.DUMMYFUNCTION("""COMPUTED_VALUE"""),"https://universidade.pipelovers.net/m/lessons/rotinas-de-gestao-de-canais-indiretos1769552406333?classId=3350")</f>
        <v>https://universidade.pipelovers.net/m/lessons/rotinas-de-gestao-de-canais-indiretos1769552406333?classId=3350</v>
      </c>
      <c r="L670" s="474" t="str">
        <f>IFERROR(__xludf.DUMMYFUNCTION("""COMPUTED_VALUE"""),"https://universidade.pipelovers.net/m/lessons/rotinas-de-gestao-de-canais-indiretos1769552406333?classId=3350")</f>
        <v>https://universidade.pipelovers.net/m/lessons/rotinas-de-gestao-de-canais-indiretos1769552406333?classId=3350</v>
      </c>
      <c r="M670" s="379" t="str">
        <f>IFERROR(__xludf.DUMMYFUNCTION("""COMPUTED_VALUE"""),"3,71")</f>
        <v>3,71</v>
      </c>
      <c r="N670" s="1177" t="str">
        <f>IFERROR(__xludf.DUMMYFUNCTION("""COMPUTED_VALUE"""),"https://drive.google.com/file/d/1D85FGxY-R4u1oTqWdwljMFBBN0Oo2Z0c/view?usp=drive_link")</f>
        <v>https://drive.google.com/file/d/1D85FGxY-R4u1oTqWdwljMFBBN0Oo2Z0c/view?usp=drive_link</v>
      </c>
      <c r="O670" s="110" t="str">
        <f>IFERROR(__xludf.DUMMYFUNCTION("""COMPUTED_VALUE"""),"")</f>
        <v/>
      </c>
      <c r="P670" s="1138" t="str">
        <f>IFERROR(__xludf.DUMMYFUNCTION("""COMPUTED_VALUE"""),"07/09/2023")</f>
        <v>07/09/2023</v>
      </c>
      <c r="Q670" s="110"/>
    </row>
    <row r="671">
      <c r="A671" s="73"/>
      <c r="B671" s="209" t="str">
        <f>IFERROR(__xludf.DUMMYFUNCTION("""COMPUTED_VALUE"""),"Canais e Parcerias")</f>
        <v>Canais e Parcerias</v>
      </c>
      <c r="C671" s="157" t="str">
        <f>IFERROR(__xludf.DUMMYFUNCTION("""COMPUTED_VALUE"""),"Modelo de Franquias - Case ALGAR Telecom")</f>
        <v>Modelo de Franquias - Case ALGAR Telecom</v>
      </c>
      <c r="D671" s="104" t="str">
        <f>IFERROR(__xludf.DUMMYFUNCTION("""COMPUTED_VALUE"""),"Ana Flávia Martins")</f>
        <v>Ana Flávia Martins</v>
      </c>
      <c r="E671" s="151" t="str">
        <f>IFERROR(__xludf.DUMMYFUNCTION("""COMPUTED_VALUE"""),"Diretora da Algar Franquias")</f>
        <v>Diretora da Algar Franquias</v>
      </c>
      <c r="F671" s="648" t="str">
        <f>IFERROR(__xludf.DUMMYFUNCTION("""COMPUTED_VALUE"""),"Algar Telecom")</f>
        <v>Algar Telecom</v>
      </c>
      <c r="G671" s="647" t="str">
        <f>IFERROR(__xludf.DUMMYFUNCTION("""COMPUTED_VALUE"""),"https://www.linkedin.com/in/anaflaviamartins/")</f>
        <v>https://www.linkedin.com/in/anaflaviamartins/</v>
      </c>
      <c r="H671" s="648" t="str">
        <f>IFERROR(__xludf.DUMMYFUNCTION("""COMPUTED_VALUE"""),"Relacionamento Interpessoal")</f>
        <v>Relacionamento Interpessoal</v>
      </c>
      <c r="I671" s="648" t="str">
        <f>IFERROR(__xludf.DUMMYFUNCTION("""COMPUTED_VALUE"""),"Liderança e Influência")</f>
        <v>Liderança e Influência</v>
      </c>
      <c r="J671" s="649" t="str">
        <f>IFERROR(__xludf.DUMMYFUNCTION("""COMPUTED_VALUE"""),"Provas Sociais")</f>
        <v>Provas Sociais</v>
      </c>
      <c r="K671" s="473" t="str">
        <f>IFERROR(__xludf.DUMMYFUNCTION("""COMPUTED_VALUE"""),"https://universidade.pipelovers.net/m/lessons/modelo-de-franquias-case-algar-telecom1769552406396?classId=3349")</f>
        <v>https://universidade.pipelovers.net/m/lessons/modelo-de-franquias-case-algar-telecom1769552406396?classId=3349</v>
      </c>
      <c r="L671" s="474" t="str">
        <f>IFERROR(__xludf.DUMMYFUNCTION("""COMPUTED_VALUE"""),"https://universidade.pipelovers.net/m/lessons/modelo-de-franquias-case-algar-telecom1769552406396?classId=3349")</f>
        <v>https://universidade.pipelovers.net/m/lessons/modelo-de-franquias-case-algar-telecom1769552406396?classId=3349</v>
      </c>
      <c r="M671" s="379" t="str">
        <f>IFERROR(__xludf.DUMMYFUNCTION("""COMPUTED_VALUE"""),"3")</f>
        <v>3</v>
      </c>
      <c r="N671" s="1177" t="str">
        <f>IFERROR(__xludf.DUMMYFUNCTION("""COMPUTED_VALUE"""),"https://drive.google.com/file/d/1_TgBTU-utZ0QFU5aZFPAwt-dMoQEeOD4/view?usp=drive_link")</f>
        <v>https://drive.google.com/file/d/1_TgBTU-utZ0QFU5aZFPAwt-dMoQEeOD4/view?usp=drive_link</v>
      </c>
      <c r="O671" s="110" t="str">
        <f>IFERROR(__xludf.DUMMYFUNCTION("""COMPUTED_VALUE"""),"")</f>
        <v/>
      </c>
      <c r="P671" s="1138" t="str">
        <f>IFERROR(__xludf.DUMMYFUNCTION("""COMPUTED_VALUE"""),"14/09/2023")</f>
        <v>14/09/2023</v>
      </c>
      <c r="Q671" s="110"/>
    </row>
    <row r="672">
      <c r="A672" s="73"/>
      <c r="B672" s="209" t="str">
        <f>IFERROR(__xludf.DUMMYFUNCTION("""COMPUTED_VALUE"""),"Canais e Parcerias")</f>
        <v>Canais e Parcerias</v>
      </c>
      <c r="C672" s="181" t="str">
        <f>IFERROR(__xludf.DUMMYFUNCTION("""COMPUTED_VALUE"""),"Como estruturar comissionamento para canais indiretos")</f>
        <v>Como estruturar comissionamento para canais indiretos</v>
      </c>
      <c r="D672" s="119" t="str">
        <f>IFERROR(__xludf.DUMMYFUNCTION("""COMPUTED_VALUE"""),"Willian Neves")</f>
        <v>Willian Neves</v>
      </c>
      <c r="E672" s="228" t="str">
        <f>IFERROR(__xludf.DUMMYFUNCTION("""COMPUTED_VALUE"""),"Coordenador Financeiro")</f>
        <v>Coordenador Financeiro</v>
      </c>
      <c r="F672" s="453" t="str">
        <f>IFERROR(__xludf.DUMMYFUNCTION("""COMPUTED_VALUE"""),"RD Station")</f>
        <v>RD Station</v>
      </c>
      <c r="G672" s="455" t="str">
        <f>IFERROR(__xludf.DUMMYFUNCTION("""COMPUTED_VALUE"""),"https://www.linkedin.com/in/williantrovo/")</f>
        <v>https://www.linkedin.com/in/williantrovo/</v>
      </c>
      <c r="H672" s="453" t="str">
        <f>IFERROR(__xludf.DUMMYFUNCTION("""COMPUTED_VALUE"""),"Conhecimento Técnico")</f>
        <v>Conhecimento Técnico</v>
      </c>
      <c r="I672" s="453" t="str">
        <f>IFERROR(__xludf.DUMMYFUNCTION("""COMPUTED_VALUE"""),"Gestão de Vendas")</f>
        <v>Gestão de Vendas</v>
      </c>
      <c r="J672" s="679" t="str">
        <f>IFERROR(__xludf.DUMMYFUNCTION("""COMPUTED_VALUE"""),"Planejamento Comercial")</f>
        <v>Planejamento Comercial</v>
      </c>
      <c r="K672" s="473" t="str">
        <f>IFERROR(__xludf.DUMMYFUNCTION("""COMPUTED_VALUE"""),"https://universidade.pipelovers.net/m/lessons/como-estruturar-comissionamento-para-canais-indiretos1769552409063?classId=3348")</f>
        <v>https://universidade.pipelovers.net/m/lessons/como-estruturar-comissionamento-para-canais-indiretos1769552409063?classId=3348</v>
      </c>
      <c r="L672" s="474" t="str">
        <f>IFERROR(__xludf.DUMMYFUNCTION("""COMPUTED_VALUE"""),"https://universidade.pipelovers.net/m/lessons/como-estruturar-comissionamento-para-canais-indiretos1769552409063?classId=3348")</f>
        <v>https://universidade.pipelovers.net/m/lessons/como-estruturar-comissionamento-para-canais-indiretos1769552409063?classId=3348</v>
      </c>
      <c r="M672" s="379" t="str">
        <f>IFERROR(__xludf.DUMMYFUNCTION("""COMPUTED_VALUE"""),"3,71")</f>
        <v>3,71</v>
      </c>
      <c r="N672" s="1177" t="str">
        <f>IFERROR(__xludf.DUMMYFUNCTION("""COMPUTED_VALUE"""),"https://drive.google.com/file/d/1IwHryiHGYttfYX5JwwJcZB-tbUmHzqn3/view?usp=drive_link")</f>
        <v>https://drive.google.com/file/d/1IwHryiHGYttfYX5JwwJcZB-tbUmHzqn3/view?usp=drive_link</v>
      </c>
      <c r="O672" s="110" t="str">
        <f>IFERROR(__xludf.DUMMYFUNCTION("""COMPUTED_VALUE"""),"")</f>
        <v/>
      </c>
      <c r="P672" s="1138" t="str">
        <f>IFERROR(__xludf.DUMMYFUNCTION("""COMPUTED_VALUE"""),"21/09/2023")</f>
        <v>21/09/2023</v>
      </c>
      <c r="Q672" s="110"/>
    </row>
    <row r="673">
      <c r="A673" s="73"/>
      <c r="B673" s="209" t="str">
        <f>IFERROR(__xludf.DUMMYFUNCTION("""COMPUTED_VALUE"""),"Canais e Parcerias")</f>
        <v>Canais e Parcerias</v>
      </c>
      <c r="C673" s="104" t="str">
        <f>IFERROR(__xludf.DUMMYFUNCTION("""COMPUTED_VALUE"""),"Partner Business Plan: como construir com o canal um plano de crescimento")</f>
        <v>Partner Business Plan: como construir com o canal um plano de crescimento</v>
      </c>
      <c r="D673" s="104" t="str">
        <f>IFERROR(__xludf.DUMMYFUNCTION("""COMPUTED_VALUE"""),"Douglas Medeiros")</f>
        <v>Douglas Medeiros</v>
      </c>
      <c r="E673" s="151" t="str">
        <f>IFERROR(__xludf.DUMMYFUNCTION("""COMPUTED_VALUE"""),"-")</f>
        <v>-</v>
      </c>
      <c r="F673" s="648" t="str">
        <f>IFERROR(__xludf.DUMMYFUNCTION("""COMPUTED_VALUE"""),"-")</f>
        <v>-</v>
      </c>
      <c r="G673" s="647" t="str">
        <f>IFERROR(__xludf.DUMMYFUNCTION("""COMPUTED_VALUE"""),"https://www.linkedin.com/in/douglas-a-medeiros/")</f>
        <v>https://www.linkedin.com/in/douglas-a-medeiros/</v>
      </c>
      <c r="H673" s="648" t="str">
        <f>IFERROR(__xludf.DUMMYFUNCTION("""COMPUTED_VALUE"""),"Conhecimento Técnico")</f>
        <v>Conhecimento Técnico</v>
      </c>
      <c r="I673" s="648" t="str">
        <f>IFERROR(__xludf.DUMMYFUNCTION("""COMPUTED_VALUE"""),"Gestão de Vendas")</f>
        <v>Gestão de Vendas</v>
      </c>
      <c r="J673" s="649" t="str">
        <f>IFERROR(__xludf.DUMMYFUNCTION("""COMPUTED_VALUE"""),"Planejamento Comercial")</f>
        <v>Planejamento Comercial</v>
      </c>
      <c r="K673" s="473" t="str">
        <f>IFERROR(__xludf.DUMMYFUNCTION("""COMPUTED_VALUE"""),"https://universidade.pipelovers.net/m/lessons/partner-business-plan-como-construir-com-o-canal-um-plano-de-crescimento1769552409118?classId=3346")</f>
        <v>https://universidade.pipelovers.net/m/lessons/partner-business-plan-como-construir-com-o-canal-um-plano-de-crescimento1769552409118?classId=3346</v>
      </c>
      <c r="L673" s="474" t="str">
        <f>IFERROR(__xludf.DUMMYFUNCTION("""COMPUTED_VALUE"""),"https://universidade.pipelovers.net/m/lessons/partner-business-plan-como-construir-com-o-canal-um-plano-de-crescimento1769552409118?classId=3346")</f>
        <v>https://universidade.pipelovers.net/m/lessons/partner-business-plan-como-construir-com-o-canal-um-plano-de-crescimento1769552409118?classId=3346</v>
      </c>
      <c r="M673" s="1178" t="str">
        <f>IFERROR(__xludf.DUMMYFUNCTION("""COMPUTED_VALUE"""),"4")</f>
        <v>4</v>
      </c>
      <c r="N673" s="1179" t="str">
        <f>IFERROR(__xludf.DUMMYFUNCTION("""COMPUTED_VALUE"""),"https://drive.google.com/file/d/14a2faNNwnC_g185HRBXVIMsaxQie6a1b/view?usp=drive_link")</f>
        <v>https://drive.google.com/file/d/14a2faNNwnC_g185HRBXVIMsaxQie6a1b/view?usp=drive_link</v>
      </c>
      <c r="O673" s="110" t="str">
        <f>IFERROR(__xludf.DUMMYFUNCTION("""COMPUTED_VALUE"""),"")</f>
        <v/>
      </c>
      <c r="P673" s="1138" t="str">
        <f>IFERROR(__xludf.DUMMYFUNCTION("""COMPUTED_VALUE"""),"28/09/2023")</f>
        <v>28/09/2023</v>
      </c>
      <c r="Q673" s="110"/>
    </row>
    <row r="674">
      <c r="A674" s="73"/>
      <c r="B674" s="209" t="str">
        <f>IFERROR(__xludf.DUMMYFUNCTION("""COMPUTED_VALUE"""),"Canais e Parcerias")</f>
        <v>Canais e Parcerias</v>
      </c>
      <c r="C674" s="145" t="str">
        <f>IFERROR(__xludf.DUMMYFUNCTION("""COMPUTED_VALUE"""),"Partner Enablement: O que funciona para capacitar canais?")</f>
        <v>Partner Enablement: O que funciona para capacitar canais?</v>
      </c>
      <c r="D674" s="119" t="str">
        <f>IFERROR(__xludf.DUMMYFUNCTION("""COMPUTED_VALUE"""),"Amanda Duarte")</f>
        <v>Amanda Duarte</v>
      </c>
      <c r="E674" s="228" t="str">
        <f>IFERROR(__xludf.DUMMYFUNCTION("""COMPUTED_VALUE"""),"Head of Revenue")</f>
        <v>Head of Revenue</v>
      </c>
      <c r="F674" s="453" t="str">
        <f>IFERROR(__xludf.DUMMYFUNCTION("""COMPUTED_VALUE"""),"Condoconta")</f>
        <v>Condoconta</v>
      </c>
      <c r="G674" s="455" t="str">
        <f>IFERROR(__xludf.DUMMYFUNCTION("""COMPUTED_VALUE"""),"https://www.linkedin.com/in/amanda-zeferino-duarte/")</f>
        <v>https://www.linkedin.com/in/amanda-zeferino-duarte/</v>
      </c>
      <c r="H674" s="453" t="str">
        <f>IFERROR(__xludf.DUMMYFUNCTION("""COMPUTED_VALUE"""),"Conhecimento Técnico")</f>
        <v>Conhecimento Técnico</v>
      </c>
      <c r="I674" s="453" t="str">
        <f>IFERROR(__xludf.DUMMYFUNCTION("""COMPUTED_VALUE"""),"Gestão de Vendas")</f>
        <v>Gestão de Vendas</v>
      </c>
      <c r="J674" s="679" t="str">
        <f>IFERROR(__xludf.DUMMYFUNCTION("""COMPUTED_VALUE"""),"Planejamento Comercial")</f>
        <v>Planejamento Comercial</v>
      </c>
      <c r="K674" s="473" t="str">
        <f>IFERROR(__xludf.DUMMYFUNCTION("""COMPUTED_VALUE"""),"https://universidade.pipelovers.net/m/lessons/partner-enablement-o-que-funciona-para-capacitar-canais1769552409191?classId=3345")</f>
        <v>https://universidade.pipelovers.net/m/lessons/partner-enablement-o-que-funciona-para-capacitar-canais1769552409191?classId=3345</v>
      </c>
      <c r="L674" s="474" t="str">
        <f>IFERROR(__xludf.DUMMYFUNCTION("""COMPUTED_VALUE"""),"https://universidade.pipelovers.net/m/lessons/partner-enablement-o-que-funciona-para-capacitar-canais1769552409191?classId=3345")</f>
        <v>https://universidade.pipelovers.net/m/lessons/partner-enablement-o-que-funciona-para-capacitar-canais1769552409191?classId=3345</v>
      </c>
      <c r="M674" s="379" t="str">
        <f>IFERROR(__xludf.DUMMYFUNCTION("""COMPUTED_VALUE"""),"2")</f>
        <v>2</v>
      </c>
      <c r="N674" s="1177" t="str">
        <f>IFERROR(__xludf.DUMMYFUNCTION("""COMPUTED_VALUE"""),"https://drive.google.com/file/d/1G1ehcDZtvchdM2tE9CmnpeatbFrA4rk1/view?usp=drive_link")</f>
        <v>https://drive.google.com/file/d/1G1ehcDZtvchdM2tE9CmnpeatbFrA4rk1/view?usp=drive_link</v>
      </c>
      <c r="O674" s="110" t="str">
        <f>IFERROR(__xludf.DUMMYFUNCTION("""COMPUTED_VALUE"""),"")</f>
        <v/>
      </c>
      <c r="P674" s="1138" t="str">
        <f>IFERROR(__xludf.DUMMYFUNCTION("""COMPUTED_VALUE"""),"05/10/2023")</f>
        <v>05/10/2023</v>
      </c>
      <c r="Q674" s="110"/>
    </row>
    <row r="675">
      <c r="A675" s="73"/>
      <c r="B675" s="209" t="str">
        <f>IFERROR(__xludf.DUMMYFUNCTION("""COMPUTED_VALUE"""),"Canais e Parcerias")</f>
        <v>Canais e Parcerias</v>
      </c>
      <c r="C675" s="104" t="str">
        <f>IFERROR(__xludf.DUMMYFUNCTION("""COMPUTED_VALUE"""),"Estratégia PLG como canal de aquisição")</f>
        <v>Estratégia PLG como canal de aquisição</v>
      </c>
      <c r="D675" s="104" t="str">
        <f>IFERROR(__xludf.DUMMYFUNCTION("""COMPUTED_VALUE"""),"Gabriel Costa")</f>
        <v>Gabriel Costa</v>
      </c>
      <c r="E675" s="151" t="str">
        <f>IFERROR(__xludf.DUMMYFUNCTION("""COMPUTED_VALUE"""),"Founder")</f>
        <v>Founder</v>
      </c>
      <c r="F675" s="648" t="str">
        <f>IFERROR(__xludf.DUMMYFUNCTION("""COMPUTED_VALUE"""),"Growth Leaders Academy &amp; Merlin")</f>
        <v>Growth Leaders Academy &amp; Merlin</v>
      </c>
      <c r="G675" s="647" t="str">
        <f>IFERROR(__xludf.DUMMYFUNCTION("""COMPUTED_VALUE"""),"https://www.linkedin.com/in/gabriel-mineiro/")</f>
        <v>https://www.linkedin.com/in/gabriel-mineiro/</v>
      </c>
      <c r="H675" s="453" t="str">
        <f>IFERROR(__xludf.DUMMYFUNCTION("""COMPUTED_VALUE"""),"Visão de Negócios")</f>
        <v>Visão de Negócios</v>
      </c>
      <c r="I675" s="453" t="str">
        <f>IFERROR(__xludf.DUMMYFUNCTION("""COMPUTED_VALUE"""),"Tendências de Mercado")</f>
        <v>Tendências de Mercado</v>
      </c>
      <c r="J675" s="679" t="str">
        <f>IFERROR(__xludf.DUMMYFUNCTION("""COMPUTED_VALUE"""),"Inovações Tecnológicas")</f>
        <v>Inovações Tecnológicas</v>
      </c>
      <c r="K675" s="473" t="str">
        <f>IFERROR(__xludf.DUMMYFUNCTION("""COMPUTED_VALUE"""),"https://universidade.pipelovers.net/m/lessons/estrategia-plg-como-canal-de-aquisicao1769552409221?classId=3017")</f>
        <v>https://universidade.pipelovers.net/m/lessons/estrategia-plg-como-canal-de-aquisicao1769552409221?classId=3017</v>
      </c>
      <c r="L675" s="474" t="str">
        <f>IFERROR(__xludf.DUMMYFUNCTION("""COMPUTED_VALUE"""),"https://universidade.pipelovers.net/m/lessons/estrategia-plg-como-canal-de-aquisicao1769552409221?classId=3017")</f>
        <v>https://universidade.pipelovers.net/m/lessons/estrategia-plg-como-canal-de-aquisicao1769552409221?classId=3017</v>
      </c>
      <c r="M675" s="379" t="str">
        <f>IFERROR(__xludf.DUMMYFUNCTION("""COMPUTED_VALUE"""),"3,71")</f>
        <v>3,71</v>
      </c>
      <c r="N675" s="1177" t="str">
        <f>IFERROR(__xludf.DUMMYFUNCTION("""COMPUTED_VALUE"""),"https://drive.google.com/file/d/1NcOtet6Qqar0S_mTeCV5EUkCEM_Pfxyj/view?usp=drive_link")</f>
        <v>https://drive.google.com/file/d/1NcOtet6Qqar0S_mTeCV5EUkCEM_Pfxyj/view?usp=drive_link</v>
      </c>
      <c r="O675" s="293" t="str">
        <f>IFERROR(__xludf.DUMMYFUNCTION("""COMPUTED_VALUE"""),"")</f>
        <v/>
      </c>
      <c r="P675" s="1138" t="str">
        <f>IFERROR(__xludf.DUMMYFUNCTION("""COMPUTED_VALUE"""),"12/10/2023")</f>
        <v>12/10/2023</v>
      </c>
      <c r="Q675" s="293"/>
    </row>
    <row r="676">
      <c r="A676" s="73"/>
      <c r="B676" s="209" t="str">
        <f>IFERROR(__xludf.DUMMYFUNCTION("""COMPUTED_VALUE"""),"Canais e Parcerias")</f>
        <v>Canais e Parcerias</v>
      </c>
      <c r="C676" s="145" t="str">
        <f>IFERROR(__xludf.DUMMYFUNCTION("""COMPUTED_VALUE"""),"Product Marketing para canais ")</f>
        <v>Product Marketing para canais </v>
      </c>
      <c r="D676" s="119" t="str">
        <f>IFERROR(__xludf.DUMMYFUNCTION("""COMPUTED_VALUE"""),"Caue Pedroza")</f>
        <v>Caue Pedroza</v>
      </c>
      <c r="E676" s="228" t="str">
        <f>IFERROR(__xludf.DUMMYFUNCTION("""COMPUTED_VALUE"""),"Marketing Manager ")</f>
        <v>Marketing Manager </v>
      </c>
      <c r="F676" s="453" t="str">
        <f>IFERROR(__xludf.DUMMYFUNCTION("""COMPUTED_VALUE"""),"HubSpot ")</f>
        <v>HubSpot </v>
      </c>
      <c r="G676" s="455" t="str">
        <f>IFERROR(__xludf.DUMMYFUNCTION("""COMPUTED_VALUE"""),"https://www.linkedin.com/in/carloseduardopedroza/")</f>
        <v>https://www.linkedin.com/in/carloseduardopedroza/</v>
      </c>
      <c r="H676" s="336" t="str">
        <f>IFERROR(__xludf.DUMMYFUNCTION("""COMPUTED_VALUE"""),"Visão de Negócios")</f>
        <v>Visão de Negócios</v>
      </c>
      <c r="I676" s="336" t="str">
        <f>IFERROR(__xludf.DUMMYFUNCTION("""COMPUTED_VALUE"""),"Conhecimento de Produto e Negócio")</f>
        <v>Conhecimento de Produto e Negócio</v>
      </c>
      <c r="J676" s="1180" t="str">
        <f>IFERROR(__xludf.DUMMYFUNCTION("""COMPUTED_VALUE"""),"Posicionamento de Produto")</f>
        <v>Posicionamento de Produto</v>
      </c>
      <c r="K676" s="473" t="str">
        <f>IFERROR(__xludf.DUMMYFUNCTION("""COMPUTED_VALUE"""),"https://universidade.pipelovers.net/m/lessons/product-marketing-para-canais1769552409251?classId=3356")</f>
        <v>https://universidade.pipelovers.net/m/lessons/product-marketing-para-canais1769552409251?classId=3356</v>
      </c>
      <c r="L676" s="474" t="str">
        <f>IFERROR(__xludf.DUMMYFUNCTION("""COMPUTED_VALUE"""),"https://universidade.pipelovers.net/m/lessons/product-marketing-para-canais1769552409251?classId=3356")</f>
        <v>https://universidade.pipelovers.net/m/lessons/product-marketing-para-canais1769552409251?classId=3356</v>
      </c>
      <c r="M676" s="379" t="str">
        <f>IFERROR(__xludf.DUMMYFUNCTION("""COMPUTED_VALUE"""),"3,71")</f>
        <v>3,71</v>
      </c>
      <c r="N676" s="1177" t="str">
        <f>IFERROR(__xludf.DUMMYFUNCTION("""COMPUTED_VALUE"""),"https://drive.google.com/file/d/1czEICHqlxgSK848Ua-phhzYTlaQY-uuI/view?usp=drive_link")</f>
        <v>https://drive.google.com/file/d/1czEICHqlxgSK848Ua-phhzYTlaQY-uuI/view?usp=drive_link</v>
      </c>
      <c r="O676" s="110" t="str">
        <f>IFERROR(__xludf.DUMMYFUNCTION("""COMPUTED_VALUE"""),"")</f>
        <v/>
      </c>
      <c r="P676" s="1138" t="str">
        <f>IFERROR(__xludf.DUMMYFUNCTION("""COMPUTED_VALUE"""),"19/10/2023")</f>
        <v>19/10/2023</v>
      </c>
      <c r="Q676" s="110"/>
    </row>
    <row r="677">
      <c r="A677" s="73"/>
      <c r="B677" s="209" t="str">
        <f>IFERROR(__xludf.DUMMYFUNCTION("""COMPUTED_VALUE"""),"Canais e Parcerias")</f>
        <v>Canais e Parcerias</v>
      </c>
      <c r="C677" s="104" t="str">
        <f>IFERROR(__xludf.DUMMYFUNCTION("""COMPUTED_VALUE"""),"Como avaliar seu programa de canais?")</f>
        <v>Como avaliar seu programa de canais?</v>
      </c>
      <c r="D677" s="104" t="str">
        <f>IFERROR(__xludf.DUMMYFUNCTION("""COMPUTED_VALUE"""),"Nara Vaz Guimarães")</f>
        <v>Nara Vaz Guimarães</v>
      </c>
      <c r="E677" s="151" t="str">
        <f>IFERROR(__xludf.DUMMYFUNCTION("""COMPUTED_VALUE"""),"Founder")</f>
        <v>Founder</v>
      </c>
      <c r="F677" s="648" t="str">
        <f>IFERROR(__xludf.DUMMYFUNCTION("""COMPUTED_VALUE"""),"Plural Sales")</f>
        <v>Plural Sales</v>
      </c>
      <c r="G677" s="647" t="str">
        <f>IFERROR(__xludf.DUMMYFUNCTION("""COMPUTED_VALUE"""),"https://www.linkedin.com/in/naravazguimaraes/")</f>
        <v>https://www.linkedin.com/in/naravazguimaraes/</v>
      </c>
      <c r="H677" s="1181" t="str">
        <f>IFERROR(__xludf.DUMMYFUNCTION("""COMPUTED_VALUE"""),"Conhecimento Técnico")</f>
        <v>Conhecimento Técnico</v>
      </c>
      <c r="I677" s="1181" t="str">
        <f>IFERROR(__xludf.DUMMYFUNCTION("""COMPUTED_VALUE"""),"Pensamento Crítico")</f>
        <v>Pensamento Crítico</v>
      </c>
      <c r="J677" s="1181" t="str">
        <f>IFERROR(__xludf.DUMMYFUNCTION("""COMPUTED_VALUE"""),"Métricas de Funil")</f>
        <v>Métricas de Funil</v>
      </c>
      <c r="K677" s="473" t="str">
        <f>IFERROR(__xludf.DUMMYFUNCTION("""COMPUTED_VALUE"""),"https://universidade.pipelovers.net/m/lessons/como-avaliar-seu-programa-de-canais1769552409278?classId=3355")</f>
        <v>https://universidade.pipelovers.net/m/lessons/como-avaliar-seu-programa-de-canais1769552409278?classId=3355</v>
      </c>
      <c r="L677" s="474" t="str">
        <f>IFERROR(__xludf.DUMMYFUNCTION("""COMPUTED_VALUE"""),"https://universidade.pipelovers.net/m/lessons/como-avaliar-seu-programa-de-canais1769552409278?classId=3355")</f>
        <v>https://universidade.pipelovers.net/m/lessons/como-avaliar-seu-programa-de-canais1769552409278?classId=3355</v>
      </c>
      <c r="M677" s="379">
        <f>IFERROR(__xludf.DUMMYFUNCTION("""COMPUTED_VALUE"""),2.0)</f>
        <v>2</v>
      </c>
      <c r="N677" s="1177" t="str">
        <f>IFERROR(__xludf.DUMMYFUNCTION("""COMPUTED_VALUE"""),"https://drive.google.com/file/d/1SAOgX83iBKz6Ng4yIZNVm3SLt0BBkUKf/view?usp=drive_link")</f>
        <v>https://drive.google.com/file/d/1SAOgX83iBKz6Ng4yIZNVm3SLt0BBkUKf/view?usp=drive_link</v>
      </c>
      <c r="O677" s="110" t="str">
        <f>IFERROR(__xludf.DUMMYFUNCTION("""COMPUTED_VALUE"""),"")</f>
        <v/>
      </c>
      <c r="P677" s="1138">
        <f>IFERROR(__xludf.DUMMYFUNCTION("""COMPUTED_VALUE"""),45225.0)</f>
        <v>45225</v>
      </c>
      <c r="Q677" s="110"/>
    </row>
    <row r="678">
      <c r="A678" s="73"/>
      <c r="B678" s="209" t="str">
        <f>IFERROR(__xludf.DUMMYFUNCTION("""COMPUTED_VALUE"""),"Canais e Parcerias")</f>
        <v>Canais e Parcerias</v>
      </c>
      <c r="C678" s="181" t="str">
        <f>IFERROR(__xludf.DUMMYFUNCTION("""COMPUTED_VALUE"""),"Como criar vantagem competitiva e escalar negócios com ecossistema de parceria")</f>
        <v>Como criar vantagem competitiva e escalar negócios com ecossistema de parceria</v>
      </c>
      <c r="D678" s="119" t="str">
        <f>IFERROR(__xludf.DUMMYFUNCTION("""COMPUTED_VALUE"""),"Edson Rigonatti")</f>
        <v>Edson Rigonatti</v>
      </c>
      <c r="E678" s="228" t="str">
        <f>IFERROR(__xludf.DUMMYFUNCTION("""COMPUTED_VALUE"""),"Partner")</f>
        <v>Partner</v>
      </c>
      <c r="F678" s="453" t="str">
        <f>IFERROR(__xludf.DUMMYFUNCTION("""COMPUTED_VALUE"""),"Astella")</f>
        <v>Astella</v>
      </c>
      <c r="G678" s="455" t="str">
        <f>IFERROR(__xludf.DUMMYFUNCTION("""COMPUTED_VALUE"""),"https://www.linkedin.com/in/edsonrigonatti/")</f>
        <v>https://www.linkedin.com/in/edsonrigonatti/</v>
      </c>
      <c r="H678" s="453" t="str">
        <f>IFERROR(__xludf.DUMMYFUNCTION("""COMPUTED_VALUE"""),"Visão de Negócios")</f>
        <v>Visão de Negócios</v>
      </c>
      <c r="I678" s="453" t="str">
        <f>IFERROR(__xludf.DUMMYFUNCTION("""COMPUTED_VALUE"""),"Conhecimento de Produto e Negócio")</f>
        <v>Conhecimento de Produto e Negócio</v>
      </c>
      <c r="J678" s="679" t="str">
        <f>IFERROR(__xludf.DUMMYFUNCTION("""COMPUTED_VALUE"""),"Posicionamento de Produto")</f>
        <v>Posicionamento de Produto</v>
      </c>
      <c r="K678" s="473" t="str">
        <f>IFERROR(__xludf.DUMMYFUNCTION("""COMPUTED_VALUE"""),"https://universidade.pipelovers.net/m/lessons/como-criar-vantagem-competitiva-e-escalar-negocios-com-ecossistema-de-parceria1769552409306?classId=3354")</f>
        <v>https://universidade.pipelovers.net/m/lessons/como-criar-vantagem-competitiva-e-escalar-negocios-com-ecossistema-de-parceria1769552409306?classId=3354</v>
      </c>
      <c r="L678" s="474" t="str">
        <f>IFERROR(__xludf.DUMMYFUNCTION("""COMPUTED_VALUE"""),"https://universidade.pipelovers.net/m/lessons/como-criar-vantagem-competitiva-e-escalar-negocios-com-ecossistema-de-parceria1769552409306?classId=3354")</f>
        <v>https://universidade.pipelovers.net/m/lessons/como-criar-vantagem-competitiva-e-escalar-negocios-com-ecossistema-de-parceria1769552409306?classId=3354</v>
      </c>
      <c r="M678" s="379" t="str">
        <f>IFERROR(__xludf.DUMMYFUNCTION("""COMPUTED_VALUE"""),"5")</f>
        <v>5</v>
      </c>
      <c r="N678" s="1177" t="str">
        <f>IFERROR(__xludf.DUMMYFUNCTION("""COMPUTED_VALUE"""),"https://drive.google.com/file/d/1-TtAXBt-rRp6QWY3UQzxIuLT7i5Bz3Fl/view?usp=drive_link")</f>
        <v>https://drive.google.com/file/d/1-TtAXBt-rRp6QWY3UQzxIuLT7i5Bz3Fl/view?usp=drive_link</v>
      </c>
      <c r="O678" s="110" t="str">
        <f>IFERROR(__xludf.DUMMYFUNCTION("""COMPUTED_VALUE"""),"")</f>
        <v/>
      </c>
      <c r="P678" s="1138" t="str">
        <f>IFERROR(__xludf.DUMMYFUNCTION("""COMPUTED_VALUE"""),"02/11/2023")</f>
        <v>02/11/2023</v>
      </c>
      <c r="Q678" s="110"/>
    </row>
    <row r="679">
      <c r="A679" s="73"/>
      <c r="B679" s="209" t="str">
        <f>IFERROR(__xludf.DUMMYFUNCTION("""COMPUTED_VALUE"""),"Canais e Parcerias")</f>
        <v>Canais e Parcerias</v>
      </c>
      <c r="C679" s="157" t="str">
        <f>IFERROR(__xludf.DUMMYFUNCTION("""COMPUTED_VALUE"""),"Modelo de atendimento high touch como ferramenta de go to market")</f>
        <v>Modelo de atendimento high touch como ferramenta de go to market</v>
      </c>
      <c r="D679" s="104" t="str">
        <f>IFERROR(__xludf.DUMMYFUNCTION("""COMPUTED_VALUE"""),"Gustavo de Martini")</f>
        <v>Gustavo de Martini</v>
      </c>
      <c r="E679" s="151" t="str">
        <f>IFERROR(__xludf.DUMMYFUNCTION("""COMPUTED_VALUE"""),"VP de Canais")</f>
        <v>VP de Canais</v>
      </c>
      <c r="F679" s="648" t="str">
        <f>IFERROR(__xludf.DUMMYFUNCTION("""COMPUTED_VALUE"""),"Pipefy")</f>
        <v>Pipefy</v>
      </c>
      <c r="G679" s="647" t="str">
        <f>IFERROR(__xludf.DUMMYFUNCTION("""COMPUTED_VALUE"""),"https://www.linkedin.com/in/gust-d/")</f>
        <v>https://www.linkedin.com/in/gust-d/</v>
      </c>
      <c r="H679" s="1181" t="str">
        <f>IFERROR(__xludf.DUMMYFUNCTION("""COMPUTED_VALUE"""),"Conhecimento Técnico")</f>
        <v>Conhecimento Técnico</v>
      </c>
      <c r="I679" s="1181" t="str">
        <f>IFERROR(__xludf.DUMMYFUNCTION("""COMPUTED_VALUE"""),"Gestão de Vendas")</f>
        <v>Gestão de Vendas</v>
      </c>
      <c r="J679" s="696" t="str">
        <f>IFERROR(__xludf.DUMMYFUNCTION("""COMPUTED_VALUE"""),"Planejamento Comercial")</f>
        <v>Planejamento Comercial</v>
      </c>
      <c r="K679" s="473" t="str">
        <f>IFERROR(__xludf.DUMMYFUNCTION("""COMPUTED_VALUE"""),"https://universidade.pipelovers.net/m/lessons/modelo-de-atendimento-high-touch-como-ferramenta-de-go-to-market1769552417300?classId=3353")</f>
        <v>https://universidade.pipelovers.net/m/lessons/modelo-de-atendimento-high-touch-como-ferramenta-de-go-to-market1769552417300?classId=3353</v>
      </c>
      <c r="L679" s="474" t="str">
        <f>IFERROR(__xludf.DUMMYFUNCTION("""COMPUTED_VALUE"""),"https://universidade.pipelovers.net/m/lessons/modelo-de-atendimento-high-touch-como-ferramenta-de-go-to-market1769552417300?classId=3353")</f>
        <v>https://universidade.pipelovers.net/m/lessons/modelo-de-atendimento-high-touch-como-ferramenta-de-go-to-market1769552417300?classId=3353</v>
      </c>
      <c r="M679" s="379" t="str">
        <f>IFERROR(__xludf.DUMMYFUNCTION("""COMPUTED_VALUE"""),"2")</f>
        <v>2</v>
      </c>
      <c r="N679" s="1177" t="str">
        <f>IFERROR(__xludf.DUMMYFUNCTION("""COMPUTED_VALUE"""),"https://drive.google.com/file/d/1nSutgHJV6RuzRDeVOXHHgZKCsFZ6CxlS/view?usp=drive_link")</f>
        <v>https://drive.google.com/file/d/1nSutgHJV6RuzRDeVOXHHgZKCsFZ6CxlS/view?usp=drive_link</v>
      </c>
      <c r="O679" s="110" t="str">
        <f>IFERROR(__xludf.DUMMYFUNCTION("""COMPUTED_VALUE"""),"")</f>
        <v/>
      </c>
      <c r="P679" s="1138" t="str">
        <f>IFERROR(__xludf.DUMMYFUNCTION("""COMPUTED_VALUE"""),"09/11/2023")</f>
        <v>09/11/2023</v>
      </c>
      <c r="Q679" s="110"/>
    </row>
    <row r="680">
      <c r="A680" s="73"/>
      <c r="B680" s="209" t="str">
        <f>IFERROR(__xludf.DUMMYFUNCTION("""COMPUTED_VALUE"""),"Canais e Parcerias")</f>
        <v>Canais e Parcerias</v>
      </c>
      <c r="C680" s="119" t="str">
        <f>IFERROR(__xludf.DUMMYFUNCTION("""COMPUTED_VALUE"""),"Job Descrition dos executivos de Canais e Parcerias")</f>
        <v>Job Descrition dos executivos de Canais e Parcerias</v>
      </c>
      <c r="D680" s="119" t="str">
        <f>IFERROR(__xludf.DUMMYFUNCTION("""COMPUTED_VALUE"""),"Ana Rezende")</f>
        <v>Ana Rezende</v>
      </c>
      <c r="E680" s="228" t="str">
        <f>IFERROR(__xludf.DUMMYFUNCTION("""COMPUTED_VALUE"""),"Talent Strategist")</f>
        <v>Talent Strategist</v>
      </c>
      <c r="F680" s="453" t="str">
        <f>IFERROR(__xludf.DUMMYFUNCTION("""COMPUTED_VALUE"""),"Astella")</f>
        <v>Astella</v>
      </c>
      <c r="G680" s="455" t="str">
        <f>IFERROR(__xludf.DUMMYFUNCTION("""COMPUTED_VALUE"""),"https://www.linkedin.com/in/anacarolinavrezende/")</f>
        <v>https://www.linkedin.com/in/anacarolinavrezende/</v>
      </c>
      <c r="H680" s="1182" t="str">
        <f>IFERROR(__xludf.DUMMYFUNCTION("""COMPUTED_VALUE"""),"Conhecimento Técnico")</f>
        <v>Conhecimento Técnico</v>
      </c>
      <c r="I680" s="1182" t="str">
        <f>IFERROR(__xludf.DUMMYFUNCTION("""COMPUTED_VALUE"""),"Gestão de Vendas")</f>
        <v>Gestão de Vendas</v>
      </c>
      <c r="J680" s="1183" t="str">
        <f>IFERROR(__xludf.DUMMYFUNCTION("""COMPUTED_VALUE"""),"Planejamento Comercial")</f>
        <v>Planejamento Comercial</v>
      </c>
      <c r="K680" s="473" t="str">
        <f>IFERROR(__xludf.DUMMYFUNCTION("""COMPUTED_VALUE"""),"https://universidade.pipelovers.net/m/lessons/job-descrition-dos-executivos-de-canais-e-parcerias1769552417458?classId=3362")</f>
        <v>https://universidade.pipelovers.net/m/lessons/job-descrition-dos-executivos-de-canais-e-parcerias1769552417458?classId=3362</v>
      </c>
      <c r="L680" s="474" t="str">
        <f>IFERROR(__xludf.DUMMYFUNCTION("""COMPUTED_VALUE"""),"https://universidade.pipelovers.net/m/lessons/job-descrition-dos-executivos-de-canais-e-parcerias1769552417458?classId=3362")</f>
        <v>https://universidade.pipelovers.net/m/lessons/job-descrition-dos-executivos-de-canais-e-parcerias1769552417458?classId=3362</v>
      </c>
      <c r="M680" s="1178" t="str">
        <f>IFERROR(__xludf.DUMMYFUNCTION("""COMPUTED_VALUE"""),"3,71")</f>
        <v>3,71</v>
      </c>
      <c r="N680" s="1179" t="str">
        <f>IFERROR(__xludf.DUMMYFUNCTION("""COMPUTED_VALUE"""),"https://drive.google.com/file/d/1zAmATEq_qwzch0bEEg638HOwlLn9KRst/view?usp=drive_link")</f>
        <v>https://drive.google.com/file/d/1zAmATEq_qwzch0bEEg638HOwlLn9KRst/view?usp=drive_link</v>
      </c>
      <c r="O680" s="110" t="str">
        <f>IFERROR(__xludf.DUMMYFUNCTION("""COMPUTED_VALUE"""),"")</f>
        <v/>
      </c>
      <c r="P680" s="1138" t="str">
        <f>IFERROR(__xludf.DUMMYFUNCTION("""COMPUTED_VALUE"""),"16/11/2023")</f>
        <v>16/11/2023</v>
      </c>
      <c r="Q680" s="110"/>
    </row>
    <row r="681">
      <c r="A681" s="73"/>
      <c r="B681" s="1129" t="str">
        <f>IFERROR(__xludf.DUMMYFUNCTION("""COMPUTED_VALUE"""),"Canais e Parcerias")</f>
        <v>Canais e Parcerias</v>
      </c>
      <c r="C681" s="268" t="str">
        <f>IFERROR(__xludf.DUMMYFUNCTION("""COMPUTED_VALUE"""),"Recrutamento e Seleção na Prática")</f>
        <v>Recrutamento e Seleção na Prática</v>
      </c>
      <c r="D681" s="268" t="str">
        <f>IFERROR(__xludf.DUMMYFUNCTION("""COMPUTED_VALUE"""),"Ana Rezende")</f>
        <v>Ana Rezende</v>
      </c>
      <c r="E681" s="151" t="str">
        <f>IFERROR(__xludf.DUMMYFUNCTION("""COMPUTED_VALUE"""),"Talent Strategist")</f>
        <v>Talent Strategist</v>
      </c>
      <c r="F681" s="648" t="str">
        <f>IFERROR(__xludf.DUMMYFUNCTION("""COMPUTED_VALUE"""),"Astella")</f>
        <v>Astella</v>
      </c>
      <c r="G681" s="647" t="str">
        <f>IFERROR(__xludf.DUMMYFUNCTION("""COMPUTED_VALUE"""),"https://www.linkedin.com/in/anacarolinavrezende/")</f>
        <v>https://www.linkedin.com/in/anacarolinavrezende/</v>
      </c>
      <c r="H681" s="648" t="str">
        <f>IFERROR(__xludf.DUMMYFUNCTION("""COMPUTED_VALUE"""),"Conhecimento Técnico")</f>
        <v>Conhecimento Técnico</v>
      </c>
      <c r="I681" s="648" t="str">
        <f>IFERROR(__xludf.DUMMYFUNCTION("""COMPUTED_VALUE"""),"Gestão de Vendas")</f>
        <v>Gestão de Vendas</v>
      </c>
      <c r="J681" s="649" t="str">
        <f>IFERROR(__xludf.DUMMYFUNCTION("""COMPUTED_VALUE"""),"Planejamento Comercial")</f>
        <v>Planejamento Comercial</v>
      </c>
      <c r="K681" s="473" t="str">
        <f>IFERROR(__xludf.DUMMYFUNCTION("""COMPUTED_VALUE"""),"https://universidade.pipelovers.net/m/lessons/recrutamento-e-selecao-na-pratica1769552417523?classId=3361")</f>
        <v>https://universidade.pipelovers.net/m/lessons/recrutamento-e-selecao-na-pratica1769552417523?classId=3361</v>
      </c>
      <c r="L681" s="474" t="str">
        <f>IFERROR(__xludf.DUMMYFUNCTION("""COMPUTED_VALUE"""),"https://universidade.pipelovers.net/m/lessons/recrutamento-e-selecao-na-pratica1769552417523?classId=3361")</f>
        <v>https://universidade.pipelovers.net/m/lessons/recrutamento-e-selecao-na-pratica1769552417523?classId=3361</v>
      </c>
      <c r="M681" s="379" t="str">
        <f>IFERROR(__xludf.DUMMYFUNCTION("""COMPUTED_VALUE"""),"2")</f>
        <v>2</v>
      </c>
      <c r="N681" s="1177" t="str">
        <f>IFERROR(__xludf.DUMMYFUNCTION("""COMPUTED_VALUE"""),"https://drive.google.com/file/d/14iwI46uQTjUsWkOOrxf_2rZ4KQXTBQNm/view?usp=drive_link")</f>
        <v>https://drive.google.com/file/d/14iwI46uQTjUsWkOOrxf_2rZ4KQXTBQNm/view?usp=drive_link</v>
      </c>
      <c r="O681" s="110" t="str">
        <f>IFERROR(__xludf.DUMMYFUNCTION("""COMPUTED_VALUE"""),"")</f>
        <v/>
      </c>
      <c r="P681" s="1138" t="str">
        <f>IFERROR(__xludf.DUMMYFUNCTION("""COMPUTED_VALUE"""),"23/11/2023")</f>
        <v>23/11/2023</v>
      </c>
      <c r="Q681" s="110"/>
    </row>
    <row r="682">
      <c r="A682" s="73"/>
      <c r="B682" s="1129" t="str">
        <f>IFERROR(__xludf.DUMMYFUNCTION("""COMPUTED_VALUE"""),"Canais e Parcerias")</f>
        <v>Canais e Parcerias</v>
      </c>
      <c r="C682" s="529" t="str">
        <f>IFERROR(__xludf.DUMMYFUNCTION("""COMPUTED_VALUE"""),"Gestão de conflito de contas entre canais")</f>
        <v>Gestão de conflito de contas entre canais</v>
      </c>
      <c r="D682" s="529" t="str">
        <f>IFERROR(__xludf.DUMMYFUNCTION("""COMPUTED_VALUE"""),"Breno Riether")</f>
        <v>Breno Riether</v>
      </c>
      <c r="E682" s="228" t="str">
        <f>IFERROR(__xludf.DUMMYFUNCTION("""COMPUTED_VALUE"""),"Chief Growth Officer")</f>
        <v>Chief Growth Officer</v>
      </c>
      <c r="F682" s="453" t="str">
        <f>IFERROR(__xludf.DUMMYFUNCTION("""COMPUTED_VALUE"""),"Sankhya")</f>
        <v>Sankhya</v>
      </c>
      <c r="G682" s="455" t="str">
        <f>IFERROR(__xludf.DUMMYFUNCTION("""COMPUTED_VALUE"""),"https://www.linkedin.com/in/brenoriether/")</f>
        <v>https://www.linkedin.com/in/brenoriether/</v>
      </c>
      <c r="H682" s="453" t="str">
        <f>IFERROR(__xludf.DUMMYFUNCTION("""COMPUTED_VALUE"""),"Relacionamento Interpessoal")</f>
        <v>Relacionamento Interpessoal</v>
      </c>
      <c r="I682" s="453" t="str">
        <f>IFERROR(__xludf.DUMMYFUNCTION("""COMPUTED_VALUE"""),"Liderança e Influência")</f>
        <v>Liderança e Influência</v>
      </c>
      <c r="J682" s="679" t="str">
        <f>IFERROR(__xludf.DUMMYFUNCTION("""COMPUTED_VALUE"""),"Gestão de Conflitos e Resolução de Problemas")</f>
        <v>Gestão de Conflitos e Resolução de Problemas</v>
      </c>
      <c r="K682" s="473" t="str">
        <f>IFERROR(__xludf.DUMMYFUNCTION("""COMPUTED_VALUE"""),"https://universidade.pipelovers.net/m/lessons/gestao-de-conflito-de-contas-entre-canais1769552418182?classId=3024")</f>
        <v>https://universidade.pipelovers.net/m/lessons/gestao-de-conflito-de-contas-entre-canais1769552418182?classId=3024</v>
      </c>
      <c r="L682" s="474" t="str">
        <f>IFERROR(__xludf.DUMMYFUNCTION("""COMPUTED_VALUE"""),"https://universidade.pipelovers.net/m/lessons/gestao-de-conflito-de-contas-entre-canais1769552418182?classId=3024")</f>
        <v>https://universidade.pipelovers.net/m/lessons/gestao-de-conflito-de-contas-entre-canais1769552418182?classId=3024</v>
      </c>
      <c r="M682" s="379" t="str">
        <f>IFERROR(__xludf.DUMMYFUNCTION("""COMPUTED_VALUE"""),"3,71")</f>
        <v>3,71</v>
      </c>
      <c r="N682" s="1177" t="str">
        <f>IFERROR(__xludf.DUMMYFUNCTION("""COMPUTED_VALUE"""),"https://drive.google.com/file/d/1kc-eF0SIiVRL58wcCA2JYncaeEdMNWKh/view?usp=drive_link")</f>
        <v>https://drive.google.com/file/d/1kc-eF0SIiVRL58wcCA2JYncaeEdMNWKh/view?usp=drive_link</v>
      </c>
      <c r="O682" s="110" t="str">
        <f>IFERROR(__xludf.DUMMYFUNCTION("""COMPUTED_VALUE"""),"")</f>
        <v/>
      </c>
      <c r="P682" s="1138" t="str">
        <f>IFERROR(__xludf.DUMMYFUNCTION("""COMPUTED_VALUE"""),"30/11/2023")</f>
        <v>30/11/2023</v>
      </c>
      <c r="Q682" s="110"/>
    </row>
    <row r="683">
      <c r="A683" s="73"/>
      <c r="B683" s="1129" t="str">
        <f>IFERROR(__xludf.DUMMYFUNCTION("""COMPUTED_VALUE"""),"Canais e Parcerias")</f>
        <v>Canais e Parcerias</v>
      </c>
      <c r="C683" s="247" t="str">
        <f>IFERROR(__xludf.DUMMYFUNCTION("""COMPUTED_VALUE"""),"Como implementar uma política de MDF (Marketing Development Fund)")</f>
        <v>Como implementar uma política de MDF (Marketing Development Fund)</v>
      </c>
      <c r="D683" s="268" t="str">
        <f>IFERROR(__xludf.DUMMYFUNCTION("""COMPUTED_VALUE"""),"Paulo Felix")</f>
        <v>Paulo Felix</v>
      </c>
      <c r="E683" s="151" t="str">
        <f>IFERROR(__xludf.DUMMYFUNCTION("""COMPUTED_VALUE"""),"Diretor de Desenvolvimento de Negócios ")</f>
        <v>Diretor de Desenvolvimento de Negócios </v>
      </c>
      <c r="F683" s="648" t="str">
        <f>IFERROR(__xludf.DUMMYFUNCTION("""COMPUTED_VALUE"""),"FCamara")</f>
        <v>FCamara</v>
      </c>
      <c r="G683" s="647" t="str">
        <f>IFERROR(__xludf.DUMMYFUNCTION("""COMPUTED_VALUE"""),"https://www.linkedin.com/in/paulofelix/")</f>
        <v>https://www.linkedin.com/in/paulofelix/</v>
      </c>
      <c r="H683" s="648" t="str">
        <f>IFERROR(__xludf.DUMMYFUNCTION("""COMPUTED_VALUE"""),"Conhecimento Técnico")</f>
        <v>Conhecimento Técnico</v>
      </c>
      <c r="I683" s="648" t="str">
        <f>IFERROR(__xludf.DUMMYFUNCTION("""COMPUTED_VALUE"""),"Gestão de Vendas")</f>
        <v>Gestão de Vendas</v>
      </c>
      <c r="J683" s="649" t="str">
        <f>IFERROR(__xludf.DUMMYFUNCTION("""COMPUTED_VALUE"""),"Planejamento Comercial")</f>
        <v>Planejamento Comercial</v>
      </c>
      <c r="K683" s="473" t="str">
        <f>IFERROR(__xludf.DUMMYFUNCTION("""COMPUTED_VALUE"""),"https://universidade.pipelovers.net/m/lessons/como-implementar-uma-politica-de-mdf-marketing-development-fund1769552418260?classId=3360")</f>
        <v>https://universidade.pipelovers.net/m/lessons/como-implementar-uma-politica-de-mdf-marketing-development-fund1769552418260?classId=3360</v>
      </c>
      <c r="L683" s="474" t="str">
        <f>IFERROR(__xludf.DUMMYFUNCTION("""COMPUTED_VALUE"""),"https://universidade.pipelovers.net/m/lessons/como-implementar-uma-politica-de-mdf-marketing-development-fund1769552418260?classId=3360")</f>
        <v>https://universidade.pipelovers.net/m/lessons/como-implementar-uma-politica-de-mdf-marketing-development-fund1769552418260?classId=3360</v>
      </c>
      <c r="M683" s="379" t="str">
        <f>IFERROR(__xludf.DUMMYFUNCTION("""COMPUTED_VALUE"""),"4,29")</f>
        <v>4,29</v>
      </c>
      <c r="N683" s="1177" t="str">
        <f>IFERROR(__xludf.DUMMYFUNCTION("""COMPUTED_VALUE"""),"https://drive.google.com/file/d/1p_NLstZiNDSHJhL1q9YNJ_3vwOnoB11d/view?usp=drive_link")</f>
        <v>https://drive.google.com/file/d/1p_NLstZiNDSHJhL1q9YNJ_3vwOnoB11d/view?usp=drive_link</v>
      </c>
      <c r="O683" s="110" t="str">
        <f>IFERROR(__xludf.DUMMYFUNCTION("""COMPUTED_VALUE"""),"")</f>
        <v/>
      </c>
      <c r="P683" s="1138" t="str">
        <f>IFERROR(__xludf.DUMMYFUNCTION("""COMPUTED_VALUE"""),"07/12/2023")</f>
        <v>07/12/2023</v>
      </c>
      <c r="Q683" s="110"/>
    </row>
    <row r="684">
      <c r="A684" s="73"/>
      <c r="B684" s="1129" t="str">
        <f>IFERROR(__xludf.DUMMYFUNCTION("""COMPUTED_VALUE"""),"Canais e Parcerias")</f>
        <v>Canais e Parcerias</v>
      </c>
      <c r="C684" s="501" t="str">
        <f>IFERROR(__xludf.DUMMYFUNCTION("""COMPUTED_VALUE"""),"Capacitação de Vendas para Canais")</f>
        <v>Capacitação de Vendas para Canais</v>
      </c>
      <c r="D684" s="529" t="str">
        <f>IFERROR(__xludf.DUMMYFUNCTION("""COMPUTED_VALUE"""),"Daniele Barracas")</f>
        <v>Daniele Barracas</v>
      </c>
      <c r="E684" s="228" t="str">
        <f>IFERROR(__xludf.DUMMYFUNCTION("""COMPUTED_VALUE"""),"Sales Enablement Manager")</f>
        <v>Sales Enablement Manager</v>
      </c>
      <c r="F684" s="453" t="str">
        <f>IFERROR(__xludf.DUMMYFUNCTION("""COMPUTED_VALUE"""),"Docusign")</f>
        <v>Docusign</v>
      </c>
      <c r="G684" s="455" t="str">
        <f>IFERROR(__xludf.DUMMYFUNCTION("""COMPUTED_VALUE"""),"https://www.linkedin.com/in/daniele-barracas-13186925")</f>
        <v>https://www.linkedin.com/in/daniele-barracas-13186925</v>
      </c>
      <c r="H684" s="453" t="str">
        <f>IFERROR(__xludf.DUMMYFUNCTION("""COMPUTED_VALUE"""),"Conhecimento Técnico")</f>
        <v>Conhecimento Técnico</v>
      </c>
      <c r="I684" s="453" t="str">
        <f>IFERROR(__xludf.DUMMYFUNCTION("""COMPUTED_VALUE"""),"Gestão de Vendas")</f>
        <v>Gestão de Vendas</v>
      </c>
      <c r="J684" s="453" t="str">
        <f>IFERROR(__xludf.DUMMYFUNCTION("""COMPUTED_VALUE"""),"Planejamento Comercial")</f>
        <v>Planejamento Comercial</v>
      </c>
      <c r="K684" s="473" t="str">
        <f>IFERROR(__xludf.DUMMYFUNCTION("""COMPUTED_VALUE"""),"https://universidade.pipelovers.net/m/lessons/capacitacao-de-vendas-para-canais1769552418312?classId=3359")</f>
        <v>https://universidade.pipelovers.net/m/lessons/capacitacao-de-vendas-para-canais1769552418312?classId=3359</v>
      </c>
      <c r="L684" s="474" t="str">
        <f>IFERROR(__xludf.DUMMYFUNCTION("""COMPUTED_VALUE"""),"https://universidade.pipelovers.net/m/lessons/capacitacao-de-vendas-para-canais1769552418312?classId=3359")</f>
        <v>https://universidade.pipelovers.net/m/lessons/capacitacao-de-vendas-para-canais1769552418312?classId=3359</v>
      </c>
      <c r="M684" s="117">
        <f>IFERROR(__xludf.DUMMYFUNCTION("""COMPUTED_VALUE"""),1.0)</f>
        <v>1</v>
      </c>
      <c r="N684" s="1177" t="str">
        <f>IFERROR(__xludf.DUMMYFUNCTION("""COMPUTED_VALUE"""),"https://drive.google.com/file/d/1fdtJn52ux1r2FzKCSrH06kKi64OnqOMu/view?usp=drive_link")</f>
        <v>https://drive.google.com/file/d/1fdtJn52ux1r2FzKCSrH06kKi64OnqOMu/view?usp=drive_link</v>
      </c>
      <c r="O684" s="110" t="str">
        <f>IFERROR(__xludf.DUMMYFUNCTION("""COMPUTED_VALUE"""),"")</f>
        <v/>
      </c>
      <c r="P684" s="1138">
        <f>IFERROR(__xludf.DUMMYFUNCTION("""COMPUTED_VALUE"""),45274.0)</f>
        <v>45274</v>
      </c>
      <c r="Q684" s="110"/>
    </row>
    <row r="685">
      <c r="A685" s="73"/>
      <c r="B685" s="1129" t="str">
        <f>IFERROR(__xludf.DUMMYFUNCTION("""COMPUTED_VALUE"""),"Canais e Parcerias")</f>
        <v>Canais e Parcerias</v>
      </c>
      <c r="C685" s="268" t="str">
        <f>IFERROR(__xludf.DUMMYFUNCTION("""COMPUTED_VALUE"""),"Segmentação de Canais e Parceiros")</f>
        <v>Segmentação de Canais e Parceiros</v>
      </c>
      <c r="D685" s="268" t="str">
        <f>IFERROR(__xludf.DUMMYFUNCTION("""COMPUTED_VALUE"""),"Paula Chacur")</f>
        <v>Paula Chacur</v>
      </c>
      <c r="E685" s="151" t="str">
        <f>IFERROR(__xludf.DUMMYFUNCTION("""COMPUTED_VALUE"""),"Gerente de Canais")</f>
        <v>Gerente de Canais</v>
      </c>
      <c r="F685" s="648" t="str">
        <f>IFERROR(__xludf.DUMMYFUNCTION("""COMPUTED_VALUE"""),"SkyOne")</f>
        <v>SkyOne</v>
      </c>
      <c r="G685" s="647" t="str">
        <f>IFERROR(__xludf.DUMMYFUNCTION("""COMPUTED_VALUE"""),"https://www.linkedin.com/in/paula-chacur-de-arandas-67252228/")</f>
        <v>https://www.linkedin.com/in/paula-chacur-de-arandas-67252228/</v>
      </c>
      <c r="H685" s="648" t="str">
        <f>IFERROR(__xludf.DUMMYFUNCTION("""COMPUTED_VALUE"""),"Visão de Negócios")</f>
        <v>Visão de Negócios</v>
      </c>
      <c r="I685" s="648" t="str">
        <f>IFERROR(__xludf.DUMMYFUNCTION("""COMPUTED_VALUE"""),"Conhecimento de Produto e Negócio")</f>
        <v>Conhecimento de Produto e Negócio</v>
      </c>
      <c r="J685" s="649" t="str">
        <f>IFERROR(__xludf.DUMMYFUNCTION("""COMPUTED_VALUE"""),"Segmentação de Mercado")</f>
        <v>Segmentação de Mercado</v>
      </c>
      <c r="K685" s="473" t="str">
        <f>IFERROR(__xludf.DUMMYFUNCTION("""COMPUTED_VALUE"""),"https://universidade.pipelovers.net/m/lessons/segmentacao-de-canais-e-parceiros1769552418755?classId=3015")</f>
        <v>https://universidade.pipelovers.net/m/lessons/segmentacao-de-canais-e-parceiros1769552418755?classId=3015</v>
      </c>
      <c r="L685" s="474" t="str">
        <f>IFERROR(__xludf.DUMMYFUNCTION("""COMPUTED_VALUE"""),"https://universidade.pipelovers.net/m/lessons/segmentacao-de-canais-e-parceiros1769552418755?classId=3015")</f>
        <v>https://universidade.pipelovers.net/m/lessons/segmentacao-de-canais-e-parceiros1769552418755?classId=3015</v>
      </c>
      <c r="M685" s="379" t="str">
        <f>IFERROR(__xludf.DUMMYFUNCTION("""COMPUTED_VALUE"""),"2")</f>
        <v>2</v>
      </c>
      <c r="N685" s="1177" t="str">
        <f>IFERROR(__xludf.DUMMYFUNCTION("""COMPUTED_VALUE"""),"https://drive.google.com/file/d/1pYZkxRGukn2HHuVeBXzb7ZYkejtI2Zh8/view?usp=drive_link")</f>
        <v>https://drive.google.com/file/d/1pYZkxRGukn2HHuVeBXzb7ZYkejtI2Zh8/view?usp=drive_link</v>
      </c>
      <c r="O685" s="110" t="str">
        <f>IFERROR(__xludf.DUMMYFUNCTION("""COMPUTED_VALUE"""),"")</f>
        <v/>
      </c>
      <c r="P685" s="1138" t="str">
        <f>IFERROR(__xludf.DUMMYFUNCTION("""COMPUTED_VALUE"""),"21/12/2023")</f>
        <v>21/12/2023</v>
      </c>
      <c r="Q685" s="110"/>
    </row>
    <row r="686">
      <c r="A686" s="73"/>
      <c r="B686" s="1129" t="str">
        <f>IFERROR(__xludf.DUMMYFUNCTION("""COMPUTED_VALUE"""),"Canais e Parcerias")</f>
        <v>Canais e Parcerias</v>
      </c>
      <c r="C686" s="501" t="str">
        <f>IFERROR(__xludf.DUMMYFUNCTION("""COMPUTED_VALUE"""),"Vendas para Setor Público via Canais")</f>
        <v>Vendas para Setor Público via Canais</v>
      </c>
      <c r="D686" s="529" t="str">
        <f>IFERROR(__xludf.DUMMYFUNCTION("""COMPUTED_VALUE"""),"Roberto Miyahara")</f>
        <v>Roberto Miyahara</v>
      </c>
      <c r="E686" s="228" t="str">
        <f>IFERROR(__xludf.DUMMYFUNCTION("""COMPUTED_VALUE"""),"-")</f>
        <v>-</v>
      </c>
      <c r="F686" s="453" t="str">
        <f>IFERROR(__xludf.DUMMYFUNCTION("""COMPUTED_VALUE"""),"-")</f>
        <v>-</v>
      </c>
      <c r="G686" s="455" t="str">
        <f>IFERROR(__xludf.DUMMYFUNCTION("""COMPUTED_VALUE"""),"https://www.linkedin.com/in/roberto-miyahara-856198/")</f>
        <v>https://www.linkedin.com/in/roberto-miyahara-856198/</v>
      </c>
      <c r="H686" s="453" t="str">
        <f>IFERROR(__xludf.DUMMYFUNCTION("""COMPUTED_VALUE"""),"Visão de Negócios")</f>
        <v>Visão de Negócios</v>
      </c>
      <c r="I686" s="453" t="str">
        <f>IFERROR(__xludf.DUMMYFUNCTION("""COMPUTED_VALUE"""),"Conhecimento de Produto e Negócio")</f>
        <v>Conhecimento de Produto e Negócio</v>
      </c>
      <c r="J686" s="679" t="str">
        <f>IFERROR(__xludf.DUMMYFUNCTION("""COMPUTED_VALUE"""),"Segmentação de Mercado")</f>
        <v>Segmentação de Mercado</v>
      </c>
      <c r="K686" s="473" t="str">
        <f>IFERROR(__xludf.DUMMYFUNCTION("""COMPUTED_VALUE"""),"https://universidade.pipelovers.net/m/lessons/vendas-para-setor-publico-via-canais1769552418589?classId=3368")</f>
        <v>https://universidade.pipelovers.net/m/lessons/vendas-para-setor-publico-via-canais1769552418589?classId=3368</v>
      </c>
      <c r="L686" s="474" t="str">
        <f>IFERROR(__xludf.DUMMYFUNCTION("""COMPUTED_VALUE"""),"https://universidade.pipelovers.net/m/lessons/vendas-para-setor-publico-via-canais1769552418589?classId=3368")</f>
        <v>https://universidade.pipelovers.net/m/lessons/vendas-para-setor-publico-via-canais1769552418589?classId=3368</v>
      </c>
      <c r="M686" s="379" t="str">
        <f>IFERROR(__xludf.DUMMYFUNCTION("""COMPUTED_VALUE"""),"2")</f>
        <v>2</v>
      </c>
      <c r="N686" s="1177" t="str">
        <f>IFERROR(__xludf.DUMMYFUNCTION("""COMPUTED_VALUE"""),"https://drive.google.com/file/d/1Z7B8ZXMKKw--2rDZY6Z9Z1iJZRC-_rl1/view?usp=drive_link")</f>
        <v>https://drive.google.com/file/d/1Z7B8ZXMKKw--2rDZY6Z9Z1iJZRC-_rl1/view?usp=drive_link</v>
      </c>
      <c r="O686" s="110" t="str">
        <f>IFERROR(__xludf.DUMMYFUNCTION("""COMPUTED_VALUE"""),"")</f>
        <v/>
      </c>
      <c r="P686" s="1138" t="str">
        <f>IFERROR(__xludf.DUMMYFUNCTION("""COMPUTED_VALUE"""),"28/12/2023")</f>
        <v>28/12/2023</v>
      </c>
      <c r="Q686" s="110"/>
    </row>
    <row r="687">
      <c r="A687" s="73"/>
      <c r="B687" s="1129" t="str">
        <f>IFERROR(__xludf.DUMMYFUNCTION("""COMPUTED_VALUE"""),"Canais e Parcerias")</f>
        <v>Canais e Parcerias</v>
      </c>
      <c r="C687" s="382" t="str">
        <f>IFERROR(__xludf.DUMMYFUNCTION("""COMPUTED_VALUE""")," Como gerar valor para o canal além da comissão")</f>
        <v> Como gerar valor para o canal além da comissão</v>
      </c>
      <c r="D687" s="268" t="str">
        <f>IFERROR(__xludf.DUMMYFUNCTION("""COMPUTED_VALUE"""),"José Luiz Quintela")</f>
        <v>José Luiz Quintela</v>
      </c>
      <c r="E687" s="151" t="str">
        <f>IFERROR(__xludf.DUMMYFUNCTION("""COMPUTED_VALUE"""),"VP Canais")</f>
        <v>VP Canais</v>
      </c>
      <c r="F687" s="648" t="str">
        <f>IFERROR(__xludf.DUMMYFUNCTION("""COMPUTED_VALUE"""),"Rock Content")</f>
        <v>Rock Content</v>
      </c>
      <c r="G687" s="647" t="str">
        <f>IFERROR(__xludf.DUMMYFUNCTION("""COMPUTED_VALUE"""),"https://www.linkedin.com/in/jlquintella/")</f>
        <v>https://www.linkedin.com/in/jlquintella/</v>
      </c>
      <c r="H687" s="648" t="str">
        <f>IFERROR(__xludf.DUMMYFUNCTION("""COMPUTED_VALUE"""),"Relacionamento Interpessoal")</f>
        <v>Relacionamento Interpessoal</v>
      </c>
      <c r="I687" s="648" t="str">
        <f>IFERROR(__xludf.DUMMYFUNCTION("""COMPUTED_VALUE"""),"Liderança e Influência")</f>
        <v>Liderança e Influência</v>
      </c>
      <c r="J687" s="649" t="str">
        <f>IFERROR(__xludf.DUMMYFUNCTION("""COMPUTED_VALUE"""),"Reconhecimento e Recompensas")</f>
        <v>Reconhecimento e Recompensas</v>
      </c>
      <c r="K687" s="473" t="str">
        <f>IFERROR(__xludf.DUMMYFUNCTION("""COMPUTED_VALUE"""),"https://universidade.pipelovers.net/m/lessons/como-gerar-valor-para-o-canal-alem-da-comissao1769552418381?classId=3484")</f>
        <v>https://universidade.pipelovers.net/m/lessons/como-gerar-valor-para-o-canal-alem-da-comissao1769552418381?classId=3484</v>
      </c>
      <c r="L687" s="474" t="str">
        <f>IFERROR(__xludf.DUMMYFUNCTION("""COMPUTED_VALUE"""),"https://universidade.pipelovers.net/m/lessons/como-gerar-valor-para-o-canal-alem-da-comissao1769552418381?classId=3484")</f>
        <v>https://universidade.pipelovers.net/m/lessons/como-gerar-valor-para-o-canal-alem-da-comissao1769552418381?classId=3484</v>
      </c>
      <c r="M687" s="379" t="str">
        <f>IFERROR(__xludf.DUMMYFUNCTION("""COMPUTED_VALUE"""),"3,5")</f>
        <v>3,5</v>
      </c>
      <c r="N687" s="1177" t="str">
        <f>IFERROR(__xludf.DUMMYFUNCTION("""COMPUTED_VALUE"""),"https://drive.google.com/file/d/1Rf9h4Hex4LPaZlbIhBGjt_NWJpOASKio/view?usp=drive_link")</f>
        <v>https://drive.google.com/file/d/1Rf9h4Hex4LPaZlbIhBGjt_NWJpOASKio/view?usp=drive_link</v>
      </c>
      <c r="O687" s="110" t="str">
        <f>IFERROR(__xludf.DUMMYFUNCTION("""COMPUTED_VALUE"""),"")</f>
        <v/>
      </c>
      <c r="P687" s="1138" t="str">
        <f>IFERROR(__xludf.DUMMYFUNCTION("""COMPUTED_VALUE"""),"04/01/2024")</f>
        <v>04/01/2024</v>
      </c>
      <c r="Q687" s="110"/>
    </row>
    <row r="688">
      <c r="A688" s="73"/>
      <c r="B688" s="1129" t="str">
        <f>IFERROR(__xludf.DUMMYFUNCTION("""COMPUTED_VALUE"""),"Canais e Parcerias")</f>
        <v>Canais e Parcerias</v>
      </c>
      <c r="C688" s="501" t="str">
        <f>IFERROR(__xludf.DUMMYFUNCTION("""COMPUTED_VALUE"""),"Pesquisa de satisfação para Canais")</f>
        <v>Pesquisa de satisfação para Canais</v>
      </c>
      <c r="D688" s="529" t="str">
        <f>IFERROR(__xludf.DUMMYFUNCTION("""COMPUTED_VALUE"""),"Guilherme Reitz")</f>
        <v>Guilherme Reitz</v>
      </c>
      <c r="E688" s="228" t="str">
        <f>IFERROR(__xludf.DUMMYFUNCTION("""COMPUTED_VALUE"""),"Co-founder &amp; CEO")</f>
        <v>Co-founder &amp; CEO</v>
      </c>
      <c r="F688" s="453" t="str">
        <f>IFERROR(__xludf.DUMMYFUNCTION("""COMPUTED_VALUE"""),"Yungas")</f>
        <v>Yungas</v>
      </c>
      <c r="G688" s="455" t="str">
        <f>IFERROR(__xludf.DUMMYFUNCTION("""COMPUTED_VALUE"""),"https://www.linkedin.com/in/guireitz/")</f>
        <v>https://www.linkedin.com/in/guireitz/</v>
      </c>
      <c r="H688" s="453" t="str">
        <f>IFERROR(__xludf.DUMMYFUNCTION("""COMPUTED_VALUE"""),"Conhecimento Técnico")</f>
        <v>Conhecimento Técnico</v>
      </c>
      <c r="I688" s="453" t="str">
        <f>IFERROR(__xludf.DUMMYFUNCTION("""COMPUTED_VALUE"""),"Pensamento Crítico")</f>
        <v>Pensamento Crítico</v>
      </c>
      <c r="J688" s="679" t="str">
        <f>IFERROR(__xludf.DUMMYFUNCTION("""COMPUTED_VALUE"""),"Métricas de Funil")</f>
        <v>Métricas de Funil</v>
      </c>
      <c r="K688" s="473" t="str">
        <f>IFERROR(__xludf.DUMMYFUNCTION("""COMPUTED_VALUE"""),"https://universidade.pipelovers.net/m/lessons/pesquisa-de-satisfacao-para-canais-1770488598048?classId=3483")</f>
        <v>https://universidade.pipelovers.net/m/lessons/pesquisa-de-satisfacao-para-canais-1770488598048?classId=3483</v>
      </c>
      <c r="L688" s="474" t="str">
        <f>IFERROR(__xludf.DUMMYFUNCTION("""COMPUTED_VALUE"""),"https://universidade.pipelovers.net/m/lessons/pesquisa-de-satisfacao-para-canais-1770488598048?classId=3483")</f>
        <v>https://universidade.pipelovers.net/m/lessons/pesquisa-de-satisfacao-para-canais-1770488598048?classId=3483</v>
      </c>
      <c r="M688" s="379" t="str">
        <f>IFERROR(__xludf.DUMMYFUNCTION("""COMPUTED_VALUE"""),"3,14")</f>
        <v>3,14</v>
      </c>
      <c r="N688" s="1177" t="str">
        <f>IFERROR(__xludf.DUMMYFUNCTION("""COMPUTED_VALUE"""),"https://drive.google.com/file/d/1fBLohmT06rjs8rXHWVRh9cetz84b2Hfc/view?usp=drive_link")</f>
        <v>https://drive.google.com/file/d/1fBLohmT06rjs8rXHWVRh9cetz84b2Hfc/view?usp=drive_link</v>
      </c>
      <c r="O688" s="110" t="str">
        <f>IFERROR(__xludf.DUMMYFUNCTION("""COMPUTED_VALUE"""),"")</f>
        <v/>
      </c>
      <c r="P688" s="1138" t="str">
        <f>IFERROR(__xludf.DUMMYFUNCTION("""COMPUTED_VALUE"""),"11/01/2024")</f>
        <v>11/01/2024</v>
      </c>
      <c r="Q688" s="110"/>
    </row>
    <row r="689">
      <c r="A689" s="73"/>
      <c r="B689" s="1129" t="str">
        <f>IFERROR(__xludf.DUMMYFUNCTION("""COMPUTED_VALUE"""),"Canais e Parcerias")</f>
        <v>Canais e Parcerias</v>
      </c>
      <c r="C689" s="268" t="str">
        <f>IFERROR(__xludf.DUMMYFUNCTION("""COMPUTED_VALUE"""),"O que um canal precisa para crescer")</f>
        <v>O que um canal precisa para crescer</v>
      </c>
      <c r="D689" s="268" t="str">
        <f>IFERROR(__xludf.DUMMYFUNCTION("""COMPUTED_VALUE"""),"Nathalia Koga")</f>
        <v>Nathalia Koga</v>
      </c>
      <c r="E689" s="151" t="str">
        <f>IFERROR(__xludf.DUMMYFUNCTION("""COMPUTED_VALUE"""),"Vice-presidente")</f>
        <v>Vice-presidente</v>
      </c>
      <c r="F689" s="648" t="str">
        <f>IFERROR(__xludf.DUMMYFUNCTION("""COMPUTED_VALUE"""),"Abravit")</f>
        <v>Abravit</v>
      </c>
      <c r="G689" s="647" t="str">
        <f>IFERROR(__xludf.DUMMYFUNCTION("""COMPUTED_VALUE"""),"https://www.linkedin.com/in/nathalia-koga-0072261b9/")</f>
        <v>https://www.linkedin.com/in/nathalia-koga-0072261b9/</v>
      </c>
      <c r="H689" s="648" t="str">
        <f>IFERROR(__xludf.DUMMYFUNCTION("""COMPUTED_VALUE"""),"Conhecimento Técnico")</f>
        <v>Conhecimento Técnico</v>
      </c>
      <c r="I689" s="648" t="str">
        <f>IFERROR(__xludf.DUMMYFUNCTION("""COMPUTED_VALUE"""),"Gestão de Vendas")</f>
        <v>Gestão de Vendas</v>
      </c>
      <c r="J689" s="649" t="str">
        <f>IFERROR(__xludf.DUMMYFUNCTION("""COMPUTED_VALUE"""),"Planejamento Comercial")</f>
        <v>Planejamento Comercial</v>
      </c>
      <c r="K689" s="473" t="str">
        <f>IFERROR(__xludf.DUMMYFUNCTION("""COMPUTED_VALUE"""),"https://universidade.pipelovers.net/m/lessons/o-que-um-canal-precisa-para-crescer1769552418873?classId=3367")</f>
        <v>https://universidade.pipelovers.net/m/lessons/o-que-um-canal-precisa-para-crescer1769552418873?classId=3367</v>
      </c>
      <c r="L689" s="474" t="str">
        <f>IFERROR(__xludf.DUMMYFUNCTION("""COMPUTED_VALUE"""),"https://universidade.pipelovers.net/m/lessons/o-que-um-canal-precisa-para-crescer1769552418873?classId=3367")</f>
        <v>https://universidade.pipelovers.net/m/lessons/o-que-um-canal-precisa-para-crescer1769552418873?classId=3367</v>
      </c>
      <c r="M689" s="379" t="str">
        <f>IFERROR(__xludf.DUMMYFUNCTION("""COMPUTED_VALUE"""),"2")</f>
        <v>2</v>
      </c>
      <c r="N689" s="1177" t="str">
        <f>IFERROR(__xludf.DUMMYFUNCTION("""COMPUTED_VALUE"""),"https://drive.google.com/file/d/1nevWTU6jToILb0I-uZQ2mkD-kNBvr5zU/view?usp=drive_link")</f>
        <v>https://drive.google.com/file/d/1nevWTU6jToILb0I-uZQ2mkD-kNBvr5zU/view?usp=drive_link</v>
      </c>
      <c r="O689" s="110" t="str">
        <f>IFERROR(__xludf.DUMMYFUNCTION("""COMPUTED_VALUE"""),"")</f>
        <v/>
      </c>
      <c r="P689" s="1138" t="str">
        <f>IFERROR(__xludf.DUMMYFUNCTION("""COMPUTED_VALUE"""),"18/01/2024")</f>
        <v>18/01/2024</v>
      </c>
      <c r="Q689" s="110"/>
    </row>
    <row r="690">
      <c r="A690" s="73"/>
      <c r="B690" s="1129" t="str">
        <f>IFERROR(__xludf.DUMMYFUNCTION("""COMPUTED_VALUE"""),"Canais e Parcerias")</f>
        <v>Canais e Parcerias</v>
      </c>
      <c r="C690" s="181" t="str">
        <f>IFERROR(__xludf.DUMMYFUNCTION("""COMPUTED_VALUE"""),"Novas linhas de receita para seu parceiro")</f>
        <v>Novas linhas de receita para seu parceiro</v>
      </c>
      <c r="D690" s="529" t="str">
        <f>IFERROR(__xludf.DUMMYFUNCTION("""COMPUTED_VALUE"""),"Thales Frade")</f>
        <v>Thales Frade</v>
      </c>
      <c r="E690" s="228" t="str">
        <f>IFERROR(__xludf.DUMMYFUNCTION("""COMPUTED_VALUE"""),"Sales Leader")</f>
        <v>Sales Leader</v>
      </c>
      <c r="F690" s="453" t="str">
        <f>IFERROR(__xludf.DUMMYFUNCTION("""COMPUTED_VALUE"""),"Hubla")</f>
        <v>Hubla</v>
      </c>
      <c r="G690" s="455" t="str">
        <f>IFERROR(__xludf.DUMMYFUNCTION("""COMPUTED_VALUE"""),"https://www.linkedin.com/in/thales-frade-1009461a7/")</f>
        <v>https://www.linkedin.com/in/thales-frade-1009461a7/</v>
      </c>
      <c r="H690" s="453" t="str">
        <f>IFERROR(__xludf.DUMMYFUNCTION("""COMPUTED_VALUE"""),"Conhecimento Técnico")</f>
        <v>Conhecimento Técnico</v>
      </c>
      <c r="I690" s="453" t="str">
        <f>IFERROR(__xludf.DUMMYFUNCTION("""COMPUTED_VALUE"""),"Gestão de Canais")</f>
        <v>Gestão de Canais</v>
      </c>
      <c r="J690" s="679" t="str">
        <f>IFERROR(__xludf.DUMMYFUNCTION("""COMPUTED_VALUE"""),"UpSell e Cross Sell")</f>
        <v>UpSell e Cross Sell</v>
      </c>
      <c r="K690" s="473" t="str">
        <f>IFERROR(__xludf.DUMMYFUNCTION("""COMPUTED_VALUE"""),"https://universidade.pipelovers.net/m/lessons/novas-linhas-de-receita-para-seu-parceiro1769552418990?classId=3366")</f>
        <v>https://universidade.pipelovers.net/m/lessons/novas-linhas-de-receita-para-seu-parceiro1769552418990?classId=3366</v>
      </c>
      <c r="L690" s="474" t="str">
        <f>IFERROR(__xludf.DUMMYFUNCTION("""COMPUTED_VALUE"""),"https://universidade.pipelovers.net/m/lessons/novas-linhas-de-receita-para-seu-parceiro1769552418990?classId=3366")</f>
        <v>https://universidade.pipelovers.net/m/lessons/novas-linhas-de-receita-para-seu-parceiro1769552418990?classId=3366</v>
      </c>
      <c r="M690" s="379" t="str">
        <f>IFERROR(__xludf.DUMMYFUNCTION("""COMPUTED_VALUE"""),"3")</f>
        <v>3</v>
      </c>
      <c r="N690" s="1177" t="str">
        <f>IFERROR(__xludf.DUMMYFUNCTION("""COMPUTED_VALUE"""),"https://drive.google.com/file/d/1wwHK-trCM7PCtM4ejlGQNxrliZcKBnnR/view?usp=drive_link")</f>
        <v>https://drive.google.com/file/d/1wwHK-trCM7PCtM4ejlGQNxrliZcKBnnR/view?usp=drive_link</v>
      </c>
      <c r="O690" s="110" t="str">
        <f>IFERROR(__xludf.DUMMYFUNCTION("""COMPUTED_VALUE"""),"")</f>
        <v/>
      </c>
      <c r="P690" s="1138" t="str">
        <f>IFERROR(__xludf.DUMMYFUNCTION("""COMPUTED_VALUE"""),"25/01/2024")</f>
        <v>25/01/2024</v>
      </c>
      <c r="Q690" s="110"/>
    </row>
    <row r="691">
      <c r="A691" s="73"/>
      <c r="B691" s="1129" t="str">
        <f>IFERROR(__xludf.DUMMYFUNCTION("""COMPUTED_VALUE"""),"Canais e Parcerias")</f>
        <v>Canais e Parcerias</v>
      </c>
      <c r="C691" s="268" t="str">
        <f>IFERROR(__xludf.DUMMYFUNCTION("""COMPUTED_VALUE"""),"Estrutura organizacional para times de canais")</f>
        <v>Estrutura organizacional para times de canais</v>
      </c>
      <c r="D691" s="268" t="str">
        <f>IFERROR(__xludf.DUMMYFUNCTION("""COMPUTED_VALUE"""),"Philemon Mattos")</f>
        <v>Philemon Mattos</v>
      </c>
      <c r="E691" s="151" t="str">
        <f>IFERROR(__xludf.DUMMYFUNCTION("""COMPUTED_VALUE"""),"Chief Partnership Officer")</f>
        <v>Chief Partnership Officer</v>
      </c>
      <c r="F691" s="648" t="str">
        <f>IFERROR(__xludf.DUMMYFUNCTION("""COMPUTED_VALUE"""),"Take Blip")</f>
        <v>Take Blip</v>
      </c>
      <c r="G691" s="647" t="str">
        <f>IFERROR(__xludf.DUMMYFUNCTION("""COMPUTED_VALUE"""),"https://www.linkedin.com/in/philemonmattos/")</f>
        <v>https://www.linkedin.com/in/philemonmattos/</v>
      </c>
      <c r="H691" s="648" t="str">
        <f>IFERROR(__xludf.DUMMYFUNCTION("""COMPUTED_VALUE"""),"Conhecimento Técnico")</f>
        <v>Conhecimento Técnico</v>
      </c>
      <c r="I691" s="648" t="str">
        <f>IFERROR(__xludf.DUMMYFUNCTION("""COMPUTED_VALUE"""),"Gestão de Vendas")</f>
        <v>Gestão de Vendas</v>
      </c>
      <c r="J691" s="649" t="str">
        <f>IFERROR(__xludf.DUMMYFUNCTION("""COMPUTED_VALUE"""),"Planejamento Comercial")</f>
        <v>Planejamento Comercial</v>
      </c>
      <c r="K691" s="473" t="str">
        <f>IFERROR(__xludf.DUMMYFUNCTION("""COMPUTED_VALUE"""),"https://universidade.pipelovers.net/m/lessons/estrutura-organizacional-para-times-de-canais1769552419064?classId=3377")</f>
        <v>https://universidade.pipelovers.net/m/lessons/estrutura-organizacional-para-times-de-canais1769552419064?classId=3377</v>
      </c>
      <c r="L691" s="474" t="str">
        <f>IFERROR(__xludf.DUMMYFUNCTION("""COMPUTED_VALUE"""),"https://universidade.pipelovers.net/m/lessons/estrutura-organizacional-para-times-de-canais1769552419064?classId=3377")</f>
        <v>https://universidade.pipelovers.net/m/lessons/estrutura-organizacional-para-times-de-canais1769552419064?classId=3377</v>
      </c>
      <c r="M691" s="1184" t="str">
        <f>IFERROR(__xludf.DUMMYFUNCTION("""COMPUTED_VALUE"""),"3,57")</f>
        <v>3,57</v>
      </c>
      <c r="N691" s="1185" t="str">
        <f>IFERROR(__xludf.DUMMYFUNCTION("""COMPUTED_VALUE"""),"https://drive.google.com/file/d/1qyBBNUw2gRVXcHnijM2IXhn3C7c6V24x/view?usp=drive_link")</f>
        <v>https://drive.google.com/file/d/1qyBBNUw2gRVXcHnijM2IXhn3C7c6V24x/view?usp=drive_link</v>
      </c>
      <c r="O691" s="110" t="str">
        <f>IFERROR(__xludf.DUMMYFUNCTION("""COMPUTED_VALUE"""),"")</f>
        <v/>
      </c>
      <c r="P691" s="1138" t="str">
        <f>IFERROR(__xludf.DUMMYFUNCTION("""COMPUTED_VALUE"""),"01/02/2024")</f>
        <v>01/02/2024</v>
      </c>
      <c r="Q691" s="110"/>
    </row>
    <row r="692">
      <c r="A692" s="73"/>
      <c r="B692" s="1129" t="str">
        <f>IFERROR(__xludf.DUMMYFUNCTION("""COMPUTED_VALUE"""),"Canais e Parcerias")</f>
        <v>Canais e Parcerias</v>
      </c>
      <c r="C692" s="501" t="str">
        <f>IFERROR(__xludf.DUMMYFUNCTION("""COMPUTED_VALUE"""),"Catalyst 2023: Melhores Práticas Sobre Parcerias e Ecossistemas Direto das Trincheiras")</f>
        <v>Catalyst 2023: Melhores Práticas Sobre Parcerias e Ecossistemas Direto das Trincheiras</v>
      </c>
      <c r="D692" s="529" t="str">
        <f>IFERROR(__xludf.DUMMYFUNCTION("""COMPUTED_VALUE"""),"Julio Azzini")</f>
        <v>Julio Azzini</v>
      </c>
      <c r="E692" s="228" t="str">
        <f>IFERROR(__xludf.DUMMYFUNCTION("""COMPUTED_VALUE"""),"Director, Global Partner Programs")</f>
        <v>Director, Global Partner Programs</v>
      </c>
      <c r="F692" s="453" t="str">
        <f>IFERROR(__xludf.DUMMYFUNCTION("""COMPUTED_VALUE"""),"Siteimprove ")</f>
        <v>Siteimprove </v>
      </c>
      <c r="G692" s="455" t="str">
        <f>IFERROR(__xludf.DUMMYFUNCTION("""COMPUTED_VALUE"""),"https://www.linkedin.com/in/juliocesarazzini/")</f>
        <v>https://www.linkedin.com/in/juliocesarazzini/</v>
      </c>
      <c r="H692" s="453" t="str">
        <f>IFERROR(__xludf.DUMMYFUNCTION("""COMPUTED_VALUE"""),"Visão de Negócios")</f>
        <v>Visão de Negócios</v>
      </c>
      <c r="I692" s="453" t="str">
        <f>IFERROR(__xludf.DUMMYFUNCTION("""COMPUTED_VALUE"""),"Tendências de Mercado")</f>
        <v>Tendências de Mercado</v>
      </c>
      <c r="J692" s="679" t="str">
        <f>IFERROR(__xludf.DUMMYFUNCTION("""COMPUTED_VALUE"""),"Tendencias do Setor")</f>
        <v>Tendencias do Setor</v>
      </c>
      <c r="K692" s="473" t="str">
        <f>IFERROR(__xludf.DUMMYFUNCTION("""COMPUTED_VALUE"""),"https://universidade.pipelovers.net/m/lessons/catalyst-2023-melhores-praticas-sobre-parcerias-e-ecossistemas-direto-das-trincheiras1769552419193?classId=3376")</f>
        <v>https://universidade.pipelovers.net/m/lessons/catalyst-2023-melhores-praticas-sobre-parcerias-e-ecossistemas-direto-das-trincheiras1769552419193?classId=3376</v>
      </c>
      <c r="L692" s="474" t="str">
        <f>IFERROR(__xludf.DUMMYFUNCTION("""COMPUTED_VALUE"""),"https://universidade.pipelovers.net/m/lessons/catalyst-2023-melhores-praticas-sobre-parcerias-e-ecossistemas-direto-das-trincheiras1769552419193?classId=3376")</f>
        <v>https://universidade.pipelovers.net/m/lessons/catalyst-2023-melhores-praticas-sobre-parcerias-e-ecossistemas-direto-das-trincheiras1769552419193?classId=3376</v>
      </c>
      <c r="M692" s="379" t="str">
        <f>IFERROR(__xludf.DUMMYFUNCTION("""COMPUTED_VALUE"""),"3,36")</f>
        <v>3,36</v>
      </c>
      <c r="N692" s="1177" t="str">
        <f>IFERROR(__xludf.DUMMYFUNCTION("""COMPUTED_VALUE"""),"https://drive.google.com/file/d/1m7z7UoTa_4VjFeEFQhmViHlvhw13DlEk/view?usp=drive_link")</f>
        <v>https://drive.google.com/file/d/1m7z7UoTa_4VjFeEFQhmViHlvhw13DlEk/view?usp=drive_link</v>
      </c>
      <c r="O692" s="110" t="str">
        <f>IFERROR(__xludf.DUMMYFUNCTION("""COMPUTED_VALUE"""),"")</f>
        <v/>
      </c>
      <c r="P692" s="1138" t="str">
        <f>IFERROR(__xludf.DUMMYFUNCTION("""COMPUTED_VALUE"""),"08/02/2024")</f>
        <v>08/02/2024</v>
      </c>
      <c r="Q692" s="110"/>
    </row>
    <row r="693">
      <c r="A693" s="73"/>
      <c r="B693" s="1129" t="str">
        <f>IFERROR(__xludf.DUMMYFUNCTION("""COMPUTED_VALUE"""),"Canais e Parcerias")</f>
        <v>Canais e Parcerias</v>
      </c>
      <c r="C693" s="382" t="str">
        <f>IFERROR(__xludf.DUMMYFUNCTION("""COMPUTED_VALUE"""),"Engajamento de canais em alta escala")</f>
        <v>Engajamento de canais em alta escala</v>
      </c>
      <c r="D693" s="268" t="str">
        <f>IFERROR(__xludf.DUMMYFUNCTION("""COMPUTED_VALUE"""),"Monique Kempt")</f>
        <v>Monique Kempt</v>
      </c>
      <c r="E693" s="151" t="str">
        <f>IFERROR(__xludf.DUMMYFUNCTION("""COMPUTED_VALUE"""),"Head de Canais")</f>
        <v>Head de Canais</v>
      </c>
      <c r="F693" s="648" t="str">
        <f>IFERROR(__xludf.DUMMYFUNCTION("""COMPUTED_VALUE"""),"Linx / Hiper")</f>
        <v>Linx / Hiper</v>
      </c>
      <c r="G693" s="647" t="str">
        <f>IFERROR(__xludf.DUMMYFUNCTION("""COMPUTED_VALUE"""),"https://www.linkedin.com/in/monique-kempt-b4683b173/")</f>
        <v>https://www.linkedin.com/in/monique-kempt-b4683b173/</v>
      </c>
      <c r="H693" s="648" t="str">
        <f>IFERROR(__xludf.DUMMYFUNCTION("""COMPUTED_VALUE"""),"Conhecimento Técnico")</f>
        <v>Conhecimento Técnico</v>
      </c>
      <c r="I693" s="648" t="str">
        <f>IFERROR(__xludf.DUMMYFUNCTION("""COMPUTED_VALUE"""),"Gestão de Vendas")</f>
        <v>Gestão de Vendas</v>
      </c>
      <c r="J693" s="649" t="str">
        <f>IFERROR(__xludf.DUMMYFUNCTION("""COMPUTED_VALUE"""),"Rotinas e Rituais")</f>
        <v>Rotinas e Rituais</v>
      </c>
      <c r="K693" s="473" t="str">
        <f>IFERROR(__xludf.DUMMYFUNCTION("""COMPUTED_VALUE"""),"https://universidade.pipelovers.net/m/lessons/engajamento-de-canais-em-alta-escala1769552419340?classId=3375")</f>
        <v>https://universidade.pipelovers.net/m/lessons/engajamento-de-canais-em-alta-escala1769552419340?classId=3375</v>
      </c>
      <c r="L693" s="474" t="str">
        <f>IFERROR(__xludf.DUMMYFUNCTION("""COMPUTED_VALUE"""),"https://universidade.pipelovers.net/m/lessons/engajamento-de-canais-em-alta-escala1769552419340?classId=3375")</f>
        <v>https://universidade.pipelovers.net/m/lessons/engajamento-de-canais-em-alta-escala1769552419340?classId=3375</v>
      </c>
      <c r="M693" s="379" t="str">
        <f>IFERROR(__xludf.DUMMYFUNCTION("""COMPUTED_VALUE"""),"2")</f>
        <v>2</v>
      </c>
      <c r="N693" s="1177" t="str">
        <f>IFERROR(__xludf.DUMMYFUNCTION("""COMPUTED_VALUE"""),"https://drive.google.com/file/d/1cKOD3lwTuums7P_UOYRFn8gDwQN55e2O/view?usp=drive_link")</f>
        <v>https://drive.google.com/file/d/1cKOD3lwTuums7P_UOYRFn8gDwQN55e2O/view?usp=drive_link</v>
      </c>
      <c r="O693" s="110" t="str">
        <f>IFERROR(__xludf.DUMMYFUNCTION("""COMPUTED_VALUE"""),"")</f>
        <v/>
      </c>
      <c r="P693" s="1138" t="str">
        <f>IFERROR(__xludf.DUMMYFUNCTION("""COMPUTED_VALUE"""),"15/02/2024")</f>
        <v>15/02/2024</v>
      </c>
      <c r="Q693" s="110"/>
    </row>
    <row r="694">
      <c r="A694" s="73"/>
      <c r="B694" s="1129" t="str">
        <f>IFERROR(__xludf.DUMMYFUNCTION("""COMPUTED_VALUE"""),"Canais e Parcerias")</f>
        <v>Canais e Parcerias</v>
      </c>
      <c r="C694" s="181" t="str">
        <f>IFERROR(__xludf.DUMMYFUNCTION("""COMPUTED_VALUE"""),"A evolução dos modelos de canais indiretos no mundo digital ")</f>
        <v>A evolução dos modelos de canais indiretos no mundo digital </v>
      </c>
      <c r="D694" s="529" t="str">
        <f>IFERROR(__xludf.DUMMYFUNCTION("""COMPUTED_VALUE"""),"Aurora Suh")</f>
        <v>Aurora Suh</v>
      </c>
      <c r="E694" s="228" t="str">
        <f>IFERROR(__xludf.DUMMYFUNCTION("""COMPUTED_VALUE"""),"Chief Revenue Officer")</f>
        <v>Chief Revenue Officer</v>
      </c>
      <c r="F694" s="453" t="str">
        <f>IFERROR(__xludf.DUMMYFUNCTION("""COMPUTED_VALUE"""),"Omie")</f>
        <v>Omie</v>
      </c>
      <c r="G694" s="455" t="str">
        <f>IFERROR(__xludf.DUMMYFUNCTION("""COMPUTED_VALUE"""),"https://www.linkedin.com/in/aurora-suh/")</f>
        <v>https://www.linkedin.com/in/aurora-suh/</v>
      </c>
      <c r="H694" s="453" t="str">
        <f>IFERROR(__xludf.DUMMYFUNCTION("""COMPUTED_VALUE"""),"Visão de Negócios")</f>
        <v>Visão de Negócios</v>
      </c>
      <c r="I694" s="453" t="str">
        <f>IFERROR(__xludf.DUMMYFUNCTION("""COMPUTED_VALUE"""),"Tendências de Mercado")</f>
        <v>Tendências de Mercado</v>
      </c>
      <c r="J694" s="679" t="str">
        <f>IFERROR(__xludf.DUMMYFUNCTION("""COMPUTED_VALUE"""),"Tendencias do Setor")</f>
        <v>Tendencias do Setor</v>
      </c>
      <c r="K694" s="473" t="str">
        <f>IFERROR(__xludf.DUMMYFUNCTION("""COMPUTED_VALUE"""),"https://universidade.pipelovers.net/m/lessons/a-evolucao-dos-modelos-de-canais-indiretos-no-mundo-digital1769552419444?classId=3374")</f>
        <v>https://universidade.pipelovers.net/m/lessons/a-evolucao-dos-modelos-de-canais-indiretos-no-mundo-digital1769552419444?classId=3374</v>
      </c>
      <c r="L694" s="474" t="str">
        <f>IFERROR(__xludf.DUMMYFUNCTION("""COMPUTED_VALUE"""),"https://universidade.pipelovers.net/m/lessons/a-evolucao-dos-modelos-de-canais-indiretos-no-mundo-digital1769552419444?classId=3374")</f>
        <v>https://universidade.pipelovers.net/m/lessons/a-evolucao-dos-modelos-de-canais-indiretos-no-mundo-digital1769552419444?classId=3374</v>
      </c>
      <c r="M694" s="379" t="str">
        <f>IFERROR(__xludf.DUMMYFUNCTION("""COMPUTED_VALUE"""),"4,29")</f>
        <v>4,29</v>
      </c>
      <c r="N694" s="1177" t="str">
        <f>IFERROR(__xludf.DUMMYFUNCTION("""COMPUTED_VALUE"""),"https://drive.google.com/file/d/19CCVR0AdP3xxMhJOAweroZBxhPCl0i1X/view?usp=drive_link")</f>
        <v>https://drive.google.com/file/d/19CCVR0AdP3xxMhJOAweroZBxhPCl0i1X/view?usp=drive_link</v>
      </c>
      <c r="O694" s="110" t="str">
        <f>IFERROR(__xludf.DUMMYFUNCTION("""COMPUTED_VALUE"""),"")</f>
        <v/>
      </c>
      <c r="P694" s="1138" t="str">
        <f>IFERROR(__xludf.DUMMYFUNCTION("""COMPUTED_VALUE"""),"22/02/2024")</f>
        <v>22/02/2024</v>
      </c>
      <c r="Q694" s="110"/>
    </row>
    <row r="695">
      <c r="A695" s="73"/>
      <c r="B695" s="1129" t="str">
        <f>IFERROR(__xludf.DUMMYFUNCTION("""COMPUTED_VALUE"""),"Canais e Parcerias")</f>
        <v>Canais e Parcerias</v>
      </c>
      <c r="C695" s="382" t="str">
        <f>IFERROR(__xludf.DUMMYFUNCTION("""COMPUTED_VALUE"""),"Estratégias de Customer Success para Parceiros")</f>
        <v>Estratégias de Customer Success para Parceiros</v>
      </c>
      <c r="D695" s="268" t="str">
        <f>IFERROR(__xludf.DUMMYFUNCTION("""COMPUTED_VALUE"""),"Lui von Holleben")</f>
        <v>Lui von Holleben</v>
      </c>
      <c r="E695" s="151" t="str">
        <f>IFERROR(__xludf.DUMMYFUNCTION("""COMPUTED_VALUE"""),"Fundador")</f>
        <v>Fundador</v>
      </c>
      <c r="F695" s="648" t="str">
        <f>IFERROR(__xludf.DUMMYFUNCTION("""COMPUTED_VALUE"""),"CS by Lui")</f>
        <v>CS by Lui</v>
      </c>
      <c r="G695" s="647" t="str">
        <f>IFERROR(__xludf.DUMMYFUNCTION("""COMPUTED_VALUE"""),"https://www.linkedin.com/in/luiholleben/")</f>
        <v>https://www.linkedin.com/in/luiholleben/</v>
      </c>
      <c r="H695" s="648" t="str">
        <f>IFERROR(__xludf.DUMMYFUNCTION("""COMPUTED_VALUE"""),"Conhecimento Técnico")</f>
        <v>Conhecimento Técnico</v>
      </c>
      <c r="I695" s="648" t="str">
        <f>IFERROR(__xludf.DUMMYFUNCTION("""COMPUTED_VALUE"""),"Técnicas de Vendas")</f>
        <v>Técnicas de Vendas</v>
      </c>
      <c r="J695" s="648" t="str">
        <f>IFERROR(__xludf.DUMMYFUNCTION("""COMPUTED_VALUE"""),"Gestão de Carteira de Clientes")</f>
        <v>Gestão de Carteira de Clientes</v>
      </c>
      <c r="K695" s="473" t="str">
        <f>IFERROR(__xludf.DUMMYFUNCTION("""COMPUTED_VALUE"""),"https://universidade.pipelovers.net/m/lessons/estrategias-de-customer-success-para-parceiros1769552419494?classId=3373")</f>
        <v>https://universidade.pipelovers.net/m/lessons/estrategias-de-customer-success-para-parceiros1769552419494?classId=3373</v>
      </c>
      <c r="L695" s="474" t="str">
        <f>IFERROR(__xludf.DUMMYFUNCTION("""COMPUTED_VALUE"""),"https://universidade.pipelovers.net/m/lessons/estrategias-de-customer-success-para-parceiros1769552419494?classId=3373")</f>
        <v>https://universidade.pipelovers.net/m/lessons/estrategias-de-customer-success-para-parceiros1769552419494?classId=3373</v>
      </c>
      <c r="M695" s="117">
        <f>IFERROR(__xludf.DUMMYFUNCTION("""COMPUTED_VALUE"""),2.0)</f>
        <v>2</v>
      </c>
      <c r="N695" s="1177" t="str">
        <f>IFERROR(__xludf.DUMMYFUNCTION("""COMPUTED_VALUE"""),"https://drive.google.com/file/d/1mIsnyzlFpS9SPwkijHks_ODVNY84hc6B/view?usp=drive_link")</f>
        <v>https://drive.google.com/file/d/1mIsnyzlFpS9SPwkijHks_ODVNY84hc6B/view?usp=drive_link</v>
      </c>
      <c r="O695" s="110" t="str">
        <f>IFERROR(__xludf.DUMMYFUNCTION("""COMPUTED_VALUE"""),"")</f>
        <v/>
      </c>
      <c r="P695" s="1138">
        <f>IFERROR(__xludf.DUMMYFUNCTION("""COMPUTED_VALUE"""),45351.0)</f>
        <v>45351</v>
      </c>
      <c r="Q695" s="110"/>
    </row>
    <row r="696">
      <c r="A696" s="73"/>
      <c r="B696" s="1129" t="str">
        <f>IFERROR(__xludf.DUMMYFUNCTION("""COMPUTED_VALUE"""),"Canais e Parcerias")</f>
        <v>Canais e Parcerias</v>
      </c>
      <c r="C696" s="529" t="str">
        <f>IFERROR(__xludf.DUMMYFUNCTION("""COMPUTED_VALUE"""),"Palestra RD Summit 2023")</f>
        <v>Palestra RD Summit 2023</v>
      </c>
      <c r="D696" s="529" t="str">
        <f>IFERROR(__xludf.DUMMYFUNCTION("""COMPUTED_VALUE"""),"Gustavo Pagotto")</f>
        <v>Gustavo Pagotto</v>
      </c>
      <c r="E696" s="228" t="str">
        <f>IFERROR(__xludf.DUMMYFUNCTION("""COMPUTED_VALUE"""),"Fundador")</f>
        <v>Fundador</v>
      </c>
      <c r="F696" s="453" t="str">
        <f>IFERROR(__xludf.DUMMYFUNCTION("""COMPUTED_VALUE"""),"PipeLovers")</f>
        <v>PipeLovers</v>
      </c>
      <c r="G696" s="455" t="str">
        <f>IFERROR(__xludf.DUMMYFUNCTION("""COMPUTED_VALUE"""),"https://www.linkedin.com/in/gpagotto/")</f>
        <v>https://www.linkedin.com/in/gpagotto/</v>
      </c>
      <c r="H696" s="453" t="str">
        <f>IFERROR(__xludf.DUMMYFUNCTION("""COMPUTED_VALUE"""),"Visão de Negócio")</f>
        <v>Visão de Negócio</v>
      </c>
      <c r="I696" s="453" t="str">
        <f>IFERROR(__xludf.DUMMYFUNCTION("""COMPUTED_VALUE"""),"Tendencias de mercado")</f>
        <v>Tendencias de mercado</v>
      </c>
      <c r="J696" s="679" t="str">
        <f>IFERROR(__xludf.DUMMYFUNCTION("""COMPUTED_VALUE"""),"Tendencias do Setor")</f>
        <v>Tendencias do Setor</v>
      </c>
      <c r="K696" s="473" t="str">
        <f>IFERROR(__xludf.DUMMYFUNCTION("""COMPUTED_VALUE"""),"https://universidade.pipelovers.net/m/lessons/palestra-rd-summit-20231769552039345?classId=3108")</f>
        <v>https://universidade.pipelovers.net/m/lessons/palestra-rd-summit-20231769552039345?classId=3108</v>
      </c>
      <c r="L696" s="474" t="str">
        <f>IFERROR(__xludf.DUMMYFUNCTION("""COMPUTED_VALUE"""),"https://universidade.pipelovers.net/m/lessons/palestra-rd-summit-20231769552039345?classId=3108")</f>
        <v>https://universidade.pipelovers.net/m/lessons/palestra-rd-summit-20231769552039345?classId=3108</v>
      </c>
      <c r="M696" s="379" t="str">
        <f>IFERROR(__xludf.DUMMYFUNCTION("""COMPUTED_VALUE"""),"5")</f>
        <v>5</v>
      </c>
      <c r="N696" s="1177" t="str">
        <f>IFERROR(__xludf.DUMMYFUNCTION("""COMPUTED_VALUE"""),"https://drive.google.com/file/d/1KQ_j5SOB-E9SGPPIPN0FHipu1qO_mm-E/view?usp=drive_link")</f>
        <v>https://drive.google.com/file/d/1KQ_j5SOB-E9SGPPIPN0FHipu1qO_mm-E/view?usp=drive_link</v>
      </c>
      <c r="O696" s="110" t="str">
        <f>IFERROR(__xludf.DUMMYFUNCTION("""COMPUTED_VALUE"""),"")</f>
        <v/>
      </c>
      <c r="P696" s="1138" t="str">
        <f>IFERROR(__xludf.DUMMYFUNCTION("""COMPUTED_VALUE"""),"07/03/2024")</f>
        <v>07/03/2024</v>
      </c>
      <c r="Q696" s="110"/>
    </row>
    <row r="697">
      <c r="A697" s="73"/>
      <c r="B697" s="1129" t="str">
        <f>IFERROR(__xludf.DUMMYFUNCTION("""COMPUTED_VALUE"""),"Canais e Parcerias")</f>
        <v>Canais e Parcerias</v>
      </c>
      <c r="C697" s="268" t="str">
        <f>IFERROR(__xludf.DUMMYFUNCTION("""COMPUTED_VALUE"""),"Método OCTO")</f>
        <v>Método OCTO</v>
      </c>
      <c r="D697" s="268" t="str">
        <f>IFERROR(__xludf.DUMMYFUNCTION("""COMPUTED_VALUE"""),"Juliana Tubino e Nara Guimarães")</f>
        <v>Juliana Tubino e Nara Guimarães</v>
      </c>
      <c r="E697" s="151" t="str">
        <f>IFERROR(__xludf.DUMMYFUNCTION("""COMPUTED_VALUE"""),"Autoras")</f>
        <v>Autoras</v>
      </c>
      <c r="F697" s="648" t="str">
        <f>IFERROR(__xludf.DUMMYFUNCTION("""COMPUTED_VALUE"""),"-")</f>
        <v>-</v>
      </c>
      <c r="G697" s="648" t="str">
        <f>IFERROR(__xludf.DUMMYFUNCTION("""COMPUTED_VALUE"""),"https://www.linkedin.com/in/naravazguimaraes/ | https://www.linkedin.com/in/julianatubino/")</f>
        <v>https://www.linkedin.com/in/naravazguimaraes/ | https://www.linkedin.com/in/julianatubino/</v>
      </c>
      <c r="H697" s="648" t="str">
        <f>IFERROR(__xludf.DUMMYFUNCTION("""COMPUTED_VALUE"""),"Conhecimento Técnico")</f>
        <v>Conhecimento Técnico</v>
      </c>
      <c r="I697" s="648" t="str">
        <f>IFERROR(__xludf.DUMMYFUNCTION("""COMPUTED_VALUE"""),"Gestão de Vendas")</f>
        <v>Gestão de Vendas</v>
      </c>
      <c r="J697" s="649" t="str">
        <f>IFERROR(__xludf.DUMMYFUNCTION("""COMPUTED_VALUE"""),"Metodologias de Vendas")</f>
        <v>Metodologias de Vendas</v>
      </c>
      <c r="K697" s="473" t="str">
        <f>IFERROR(__xludf.DUMMYFUNCTION("""COMPUTED_VALUE"""),"https://universidade.pipelovers.net/m/lessons/metodo-octo1769552425646?classId=3384")</f>
        <v>https://universidade.pipelovers.net/m/lessons/metodo-octo1769552425646?classId=3384</v>
      </c>
      <c r="L697" s="474" t="str">
        <f>IFERROR(__xludf.DUMMYFUNCTION("""COMPUTED_VALUE"""),"https://universidade.pipelovers.net/m/lessons/metodo-octo1769552425646?classId=3384")</f>
        <v>https://universidade.pipelovers.net/m/lessons/metodo-octo1769552425646?classId=3384</v>
      </c>
      <c r="M697" s="379" t="str">
        <f>IFERROR(__xludf.DUMMYFUNCTION("""COMPUTED_VALUE"""),"4,57")</f>
        <v>4,57</v>
      </c>
      <c r="N697" s="1177" t="str">
        <f>IFERROR(__xludf.DUMMYFUNCTION("""COMPUTED_VALUE"""),"https://drive.google.com/file/d/1nGnnMahe_s0OzzhiXfDOhH5FEoN6MlXN/view?usp=drive_link")</f>
        <v>https://drive.google.com/file/d/1nGnnMahe_s0OzzhiXfDOhH5FEoN6MlXN/view?usp=drive_link</v>
      </c>
      <c r="O697" s="208" t="str">
        <f>IFERROR(__xludf.DUMMYFUNCTION("""COMPUTED_VALUE"""),"")</f>
        <v/>
      </c>
      <c r="P697" s="1138" t="str">
        <f>IFERROR(__xludf.DUMMYFUNCTION("""COMPUTED_VALUE"""),"14/03/2024")</f>
        <v>14/03/2024</v>
      </c>
      <c r="Q697" s="208"/>
    </row>
    <row r="698">
      <c r="A698" s="73"/>
      <c r="B698" s="1129" t="str">
        <f>IFERROR(__xludf.DUMMYFUNCTION("""COMPUTED_VALUE"""),"Canais e Parcerias")</f>
        <v>Canais e Parcerias</v>
      </c>
      <c r="C698" s="216" t="str">
        <f>IFERROR(__xludf.DUMMYFUNCTION("""COMPUTED_VALUE"""),"Podcast como canal de engajamento com parceiros e clientes")</f>
        <v>Podcast como canal de engajamento com parceiros e clientes</v>
      </c>
      <c r="D698" s="529" t="str">
        <f>IFERROR(__xludf.DUMMYFUNCTION("""COMPUTED_VALUE"""),"Romualdo ""Romuca"" Silva")</f>
        <v>Romualdo "Romuca" Silva</v>
      </c>
      <c r="E698" s="228" t="str">
        <f>IFERROR(__xludf.DUMMYFUNCTION("""COMPUTED_VALUE"""),"Diretor")</f>
        <v>Diretor</v>
      </c>
      <c r="F698" s="453" t="str">
        <f>IFERROR(__xludf.DUMMYFUNCTION("""COMPUTED_VALUE"""),"CRMThink")</f>
        <v>CRMThink</v>
      </c>
      <c r="G698" s="455" t="str">
        <f>IFERROR(__xludf.DUMMYFUNCTION("""COMPUTED_VALUE"""),"https://www.linkedin.com/in/romucasp/")</f>
        <v>https://www.linkedin.com/in/romucasp/</v>
      </c>
      <c r="H698" s="453" t="str">
        <f>IFERROR(__xludf.DUMMYFUNCTION("""COMPUTED_VALUE"""),"Relacionamento Interpessoal")</f>
        <v>Relacionamento Interpessoal</v>
      </c>
      <c r="I698" s="453" t="str">
        <f>IFERROR(__xludf.DUMMYFUNCTION("""COMPUTED_VALUE"""),"Comunicação e Relacionamento")</f>
        <v>Comunicação e Relacionamento</v>
      </c>
      <c r="J698" s="679" t="str">
        <f>IFERROR(__xludf.DUMMYFUNCTION("""COMPUTED_VALUE"""),"Comunicação Virtual")</f>
        <v>Comunicação Virtual</v>
      </c>
      <c r="K698" s="473" t="str">
        <f>IFERROR(__xludf.DUMMYFUNCTION("""COMPUTED_VALUE"""),"https://universidade.pipelovers.net/m/lessons/podcast-como-canal-de-engajamento-com-parceiros-e-clientes1769552425690?classId=3383")</f>
        <v>https://universidade.pipelovers.net/m/lessons/podcast-como-canal-de-engajamento-com-parceiros-e-clientes1769552425690?classId=3383</v>
      </c>
      <c r="L698" s="474" t="str">
        <f>IFERROR(__xludf.DUMMYFUNCTION("""COMPUTED_VALUE"""),"https://universidade.pipelovers.net/m/lessons/podcast-como-canal-de-engajamento-com-parceiros-e-clientes1769552425690?classId=3383")</f>
        <v>https://universidade.pipelovers.net/m/lessons/podcast-como-canal-de-engajamento-com-parceiros-e-clientes1769552425690?classId=3383</v>
      </c>
      <c r="M698" s="379" t="str">
        <f>IFERROR(__xludf.DUMMYFUNCTION("""COMPUTED_VALUE"""),"3")</f>
        <v>3</v>
      </c>
      <c r="N698" s="1177" t="str">
        <f>IFERROR(__xludf.DUMMYFUNCTION("""COMPUTED_VALUE"""),"https://drive.google.com/file/d/1Gy-r4iipUWTpy7l73PTNqT2Oax4_27qr/view?usp=drive_link")</f>
        <v>https://drive.google.com/file/d/1Gy-r4iipUWTpy7l73PTNqT2Oax4_27qr/view?usp=drive_link</v>
      </c>
      <c r="O698" s="208" t="str">
        <f>IFERROR(__xludf.DUMMYFUNCTION("""COMPUTED_VALUE"""),"")</f>
        <v/>
      </c>
      <c r="P698" s="1138" t="str">
        <f>IFERROR(__xludf.DUMMYFUNCTION("""COMPUTED_VALUE"""),"21/03/2024")</f>
        <v>21/03/2024</v>
      </c>
      <c r="Q698" s="208"/>
    </row>
    <row r="699">
      <c r="A699" s="73"/>
      <c r="B699" s="1129" t="str">
        <f>IFERROR(__xludf.DUMMYFUNCTION("""COMPUTED_VALUE"""),"Canais e Parcerias")</f>
        <v>Canais e Parcerias</v>
      </c>
      <c r="C699" s="268" t="str">
        <f>IFERROR(__xludf.DUMMYFUNCTION("""COMPUTED_VALUE"""),"Como construir um planejamento estratégico para área de canais ")</f>
        <v>Como construir um planejamento estratégico para área de canais </v>
      </c>
      <c r="D699" s="268" t="str">
        <f>IFERROR(__xludf.DUMMYFUNCTION("""COMPUTED_VALUE"""),"Alexandre Valle")</f>
        <v>Alexandre Valle</v>
      </c>
      <c r="E699" s="151" t="str">
        <f>IFERROR(__xludf.DUMMYFUNCTION("""COMPUTED_VALUE"""),"Canais &amp; Alianças Estratégicas")</f>
        <v>Canais &amp; Alianças Estratégicas</v>
      </c>
      <c r="F699" s="648" t="str">
        <f>IFERROR(__xludf.DUMMYFUNCTION("""COMPUTED_VALUE"""),"Hyperflow Global ")</f>
        <v>Hyperflow Global </v>
      </c>
      <c r="G699" s="647" t="str">
        <f>IFERROR(__xludf.DUMMYFUNCTION("""COMPUTED_VALUE"""),"https://www.linkedin.com/in/alexandre-valle/")</f>
        <v>https://www.linkedin.com/in/alexandre-valle/</v>
      </c>
      <c r="H699" s="648" t="str">
        <f>IFERROR(__xludf.DUMMYFUNCTION("""COMPUTED_VALUE"""),"Conhecimento Técnico")</f>
        <v>Conhecimento Técnico</v>
      </c>
      <c r="I699" s="648" t="str">
        <f>IFERROR(__xludf.DUMMYFUNCTION("""COMPUTED_VALUE"""),"Gestão de Vendas")</f>
        <v>Gestão de Vendas</v>
      </c>
      <c r="J699" s="649" t="str">
        <f>IFERROR(__xludf.DUMMYFUNCTION("""COMPUTED_VALUE"""),"Planejamento Comercial")</f>
        <v>Planejamento Comercial</v>
      </c>
      <c r="K699" s="473" t="str">
        <f>IFERROR(__xludf.DUMMYFUNCTION("""COMPUTED_VALUE"""),"https://universidade.pipelovers.net/m/lessons/como-construir-um-planejamento-estrategico-para-area-de-canais1769552425730?classId=3382")</f>
        <v>https://universidade.pipelovers.net/m/lessons/como-construir-um-planejamento-estrategico-para-area-de-canais1769552425730?classId=3382</v>
      </c>
      <c r="L699" s="474" t="str">
        <f>IFERROR(__xludf.DUMMYFUNCTION("""COMPUTED_VALUE"""),"https://universidade.pipelovers.net/m/lessons/como-construir-um-planejamento-estrategico-para-area-de-canais1769552425730?classId=3382")</f>
        <v>https://universidade.pipelovers.net/m/lessons/como-construir-um-planejamento-estrategico-para-area-de-canais1769552425730?classId=3382</v>
      </c>
      <c r="M699" s="379" t="str">
        <f>IFERROR(__xludf.DUMMYFUNCTION("""COMPUTED_VALUE"""),"3,71")</f>
        <v>3,71</v>
      </c>
      <c r="N699" s="1177" t="str">
        <f>IFERROR(__xludf.DUMMYFUNCTION("""COMPUTED_VALUE"""),"https://drive.google.com/file/d/1J_WYZoaBp87Lw0e-9xd142PTL2z1H2DC/view?usp=drive_link")</f>
        <v>https://drive.google.com/file/d/1J_WYZoaBp87Lw0e-9xd142PTL2z1H2DC/view?usp=drive_link</v>
      </c>
      <c r="O699" s="208" t="str">
        <f>IFERROR(__xludf.DUMMYFUNCTION("""COMPUTED_VALUE"""),"")</f>
        <v/>
      </c>
      <c r="P699" s="1138" t="str">
        <f>IFERROR(__xludf.DUMMYFUNCTION("""COMPUTED_VALUE"""),"28/03/2024")</f>
        <v>28/03/2024</v>
      </c>
      <c r="Q699" s="208"/>
    </row>
    <row r="700">
      <c r="A700" s="73"/>
      <c r="B700" s="1129" t="str">
        <f>IFERROR(__xludf.DUMMYFUNCTION("""COMPUTED_VALUE"""),"Canais e Parcerias")</f>
        <v>Canais e Parcerias</v>
      </c>
      <c r="C700" s="529" t="str">
        <f>IFERROR(__xludf.DUMMYFUNCTION("""COMPUTED_VALUE"""),"Papéis e responsabilidades do Partner Account Manager")</f>
        <v>Papéis e responsabilidades do Partner Account Manager</v>
      </c>
      <c r="D700" s="529" t="str">
        <f>IFERROR(__xludf.DUMMYFUNCTION("""COMPUTED_VALUE"""),"Ligia Alface")</f>
        <v>Ligia Alface</v>
      </c>
      <c r="E700" s="228" t="str">
        <f>IFERROR(__xludf.DUMMYFUNCTION("""COMPUTED_VALUE"""),"Partnerships Manager")</f>
        <v>Partnerships Manager</v>
      </c>
      <c r="F700" s="453" t="str">
        <f>IFERROR(__xludf.DUMMYFUNCTION("""COMPUTED_VALUE"""),"Deel ")</f>
        <v>Deel </v>
      </c>
      <c r="G700" s="455" t="str">
        <f>IFERROR(__xludf.DUMMYFUNCTION("""COMPUTED_VALUE"""),"https://www.linkedin.com/in/ligiaalface/")</f>
        <v>https://www.linkedin.com/in/ligiaalface/</v>
      </c>
      <c r="H700" s="453" t="str">
        <f>IFERROR(__xludf.DUMMYFUNCTION("""COMPUTED_VALUE"""),"Conhecimento Técnico")</f>
        <v>Conhecimento Técnico</v>
      </c>
      <c r="I700" s="453" t="str">
        <f>IFERROR(__xludf.DUMMYFUNCTION("""COMPUTED_VALUE"""),"Gestão de Vendas")</f>
        <v>Gestão de Vendas</v>
      </c>
      <c r="J700" s="679" t="str">
        <f>IFERROR(__xludf.DUMMYFUNCTION("""COMPUTED_VALUE"""),"Planejamento Comercial")</f>
        <v>Planejamento Comercial</v>
      </c>
      <c r="K700" s="473" t="str">
        <f>IFERROR(__xludf.DUMMYFUNCTION("""COMPUTED_VALUE"""),"https://universidade.pipelovers.net/m/lessons/papeis-e-responsabilidades-do-partner-account-manager1769552425761?classId=3381")</f>
        <v>https://universidade.pipelovers.net/m/lessons/papeis-e-responsabilidades-do-partner-account-manager1769552425761?classId=3381</v>
      </c>
      <c r="L700" s="474" t="str">
        <f>IFERROR(__xludf.DUMMYFUNCTION("""COMPUTED_VALUE"""),"https://universidade.pipelovers.net/m/lessons/papeis-e-responsabilidades-do-partner-account-manager1769552425761?classId=3381")</f>
        <v>https://universidade.pipelovers.net/m/lessons/papeis-e-responsabilidades-do-partner-account-manager1769552425761?classId=3381</v>
      </c>
      <c r="M700" s="379" t="str">
        <f>IFERROR(__xludf.DUMMYFUNCTION("""COMPUTED_VALUE"""),"2")</f>
        <v>2</v>
      </c>
      <c r="N700" s="1177" t="str">
        <f>IFERROR(__xludf.DUMMYFUNCTION("""COMPUTED_VALUE"""),"https://drive.google.com/file/d/1XtULLg5o2_DPM77WArI45XapL_XtO4qi/view?usp=drive_link")</f>
        <v>https://drive.google.com/file/d/1XtULLg5o2_DPM77WArI45XapL_XtO4qi/view?usp=drive_link</v>
      </c>
      <c r="O700" s="208" t="str">
        <f>IFERROR(__xludf.DUMMYFUNCTION("""COMPUTED_VALUE"""),"")</f>
        <v/>
      </c>
      <c r="P700" s="1138" t="str">
        <f>IFERROR(__xludf.DUMMYFUNCTION("""COMPUTED_VALUE"""),"04/04/2024")</f>
        <v>04/04/2024</v>
      </c>
      <c r="Q700" s="208"/>
    </row>
    <row r="701">
      <c r="A701" s="73"/>
      <c r="B701" s="1129" t="str">
        <f>IFERROR(__xludf.DUMMYFUNCTION("""COMPUTED_VALUE"""),"Canais e Parcerias")</f>
        <v>Canais e Parcerias</v>
      </c>
      <c r="C701" s="382" t="str">
        <f>IFERROR(__xludf.DUMMYFUNCTION("""COMPUTED_VALUE"""),"Validação de novos modelos de parcerias")</f>
        <v>Validação de novos modelos de parcerias</v>
      </c>
      <c r="D701" s="268" t="str">
        <f>IFERROR(__xludf.DUMMYFUNCTION("""COMPUTED_VALUE"""),"Vinícius Souza")</f>
        <v>Vinícius Souza</v>
      </c>
      <c r="E701" s="151" t="str">
        <f>IFERROR(__xludf.DUMMYFUNCTION("""COMPUTED_VALUE"""),"Strategic Partnerships Specialist")</f>
        <v>Strategic Partnerships Specialist</v>
      </c>
      <c r="F701" s="648" t="str">
        <f>IFERROR(__xludf.DUMMYFUNCTION("""COMPUTED_VALUE"""),"Caju")</f>
        <v>Caju</v>
      </c>
      <c r="G701" s="647" t="str">
        <f>IFERROR(__xludf.DUMMYFUNCTION("""COMPUTED_VALUE"""),"https://www.linkedin.com/in/s-souzavinicius/")</f>
        <v>https://www.linkedin.com/in/s-souzavinicius/</v>
      </c>
      <c r="H701" s="648" t="str">
        <f>IFERROR(__xludf.DUMMYFUNCTION("""COMPUTED_VALUE"""),"Conhecimento Técnico")</f>
        <v>Conhecimento Técnico</v>
      </c>
      <c r="I701" s="648" t="str">
        <f>IFERROR(__xludf.DUMMYFUNCTION("""COMPUTED_VALUE"""),"Gestão de Vendas")</f>
        <v>Gestão de Vendas</v>
      </c>
      <c r="J701" s="649" t="str">
        <f>IFERROR(__xludf.DUMMYFUNCTION("""COMPUTED_VALUE"""),"Planejamento Comercial")</f>
        <v>Planejamento Comercial</v>
      </c>
      <c r="K701" s="473" t="str">
        <f>IFERROR(__xludf.DUMMYFUNCTION("""COMPUTED_VALUE"""),"https://universidade.pipelovers.net/m/lessons/validacao-de-novos-modelos-de-parcerias1769552425848?classId=3071")</f>
        <v>https://universidade.pipelovers.net/m/lessons/validacao-de-novos-modelos-de-parcerias1769552425848?classId=3071</v>
      </c>
      <c r="L701" s="474" t="str">
        <f>IFERROR(__xludf.DUMMYFUNCTION("""COMPUTED_VALUE"""),"https://universidade.pipelovers.net/m/lessons/validacao-de-novos-modelos-de-parcerias1769552425848?classId=3071")</f>
        <v>https://universidade.pipelovers.net/m/lessons/validacao-de-novos-modelos-de-parcerias1769552425848?classId=3071</v>
      </c>
      <c r="M701" s="379" t="str">
        <f>IFERROR(__xludf.DUMMYFUNCTION("""COMPUTED_VALUE"""),"2")</f>
        <v>2</v>
      </c>
      <c r="N701" s="1177" t="str">
        <f>IFERROR(__xludf.DUMMYFUNCTION("""COMPUTED_VALUE"""),"https://drive.google.com/file/d/18ofSnmUoWT4HJnXL6QsSgne31uBO-mB8/view?usp=drive_link")</f>
        <v>https://drive.google.com/file/d/18ofSnmUoWT4HJnXL6QsSgne31uBO-mB8/view?usp=drive_link</v>
      </c>
      <c r="O701" s="218" t="str">
        <f>IFERROR(__xludf.DUMMYFUNCTION("""COMPUTED_VALUE"""),"")</f>
        <v/>
      </c>
      <c r="P701" s="1138" t="str">
        <f>IFERROR(__xludf.DUMMYFUNCTION("""COMPUTED_VALUE"""),"11/04/2024")</f>
        <v>11/04/2024</v>
      </c>
      <c r="Q701" s="218"/>
    </row>
    <row r="702">
      <c r="A702" s="73"/>
      <c r="B702" s="1129" t="str">
        <f>IFERROR(__xludf.DUMMYFUNCTION("""COMPUTED_VALUE"""),"Canais e Parcerias")</f>
        <v>Canais e Parcerias</v>
      </c>
      <c r="C702" s="216" t="str">
        <f>IFERROR(__xludf.DUMMYFUNCTION("""COMPUTED_VALUE"""),"Gestão de Parcerias em Marketplaces")</f>
        <v>Gestão de Parcerias em Marketplaces</v>
      </c>
      <c r="D702" s="529" t="str">
        <f>IFERROR(__xludf.DUMMYFUNCTION("""COMPUTED_VALUE"""),"Paulo Madureira")</f>
        <v>Paulo Madureira</v>
      </c>
      <c r="E702" s="228" t="str">
        <f>IFERROR(__xludf.DUMMYFUNCTION("""COMPUTED_VALUE"""),"Estrategista em Transformação Digital &amp; Marketplace")</f>
        <v>Estrategista em Transformação Digital &amp; Marketplace</v>
      </c>
      <c r="F702" s="453" t="str">
        <f>IFERROR(__xludf.DUMMYFUNCTION("""COMPUTED_VALUE"""),"-")</f>
        <v>-</v>
      </c>
      <c r="G702" s="455" t="str">
        <f>IFERROR(__xludf.DUMMYFUNCTION("""COMPUTED_VALUE"""),"https://www.linkedin.com/in/paulomadu/")</f>
        <v>https://www.linkedin.com/in/paulomadu/</v>
      </c>
      <c r="H702" s="453" t="str">
        <f>IFERROR(__xludf.DUMMYFUNCTION("""COMPUTED_VALUE"""),"Visão de Negócios")</f>
        <v>Visão de Negócios</v>
      </c>
      <c r="I702" s="453" t="str">
        <f>IFERROR(__xludf.DUMMYFUNCTION("""COMPUTED_VALUE"""),"Tendencias de mercado")</f>
        <v>Tendencias de mercado</v>
      </c>
      <c r="J702" s="679" t="str">
        <f>IFERROR(__xludf.DUMMYFUNCTION("""COMPUTED_VALUE"""),"Inovações Tecnológicas")</f>
        <v>Inovações Tecnológicas</v>
      </c>
      <c r="K702" s="473" t="str">
        <f>IFERROR(__xludf.DUMMYFUNCTION("""COMPUTED_VALUE"""),"https://universidade.pipelovers.net/m/lessons/gestao-de-parcerias-em-marketplaces1769552425789?classId=3073")</f>
        <v>https://universidade.pipelovers.net/m/lessons/gestao-de-parcerias-em-marketplaces1769552425789?classId=3073</v>
      </c>
      <c r="L702" s="474" t="str">
        <f>IFERROR(__xludf.DUMMYFUNCTION("""COMPUTED_VALUE"""),"https://universidade.pipelovers.net/m/lessons/gestao-de-parcerias-em-marketplaces1769552425789?classId=3073")</f>
        <v>https://universidade.pipelovers.net/m/lessons/gestao-de-parcerias-em-marketplaces1769552425789?classId=3073</v>
      </c>
      <c r="M702" s="1186" t="str">
        <f>IFERROR(__xludf.DUMMYFUNCTION("""COMPUTED_VALUE"""),"2")</f>
        <v>2</v>
      </c>
      <c r="N702" s="1187" t="str">
        <f>IFERROR(__xludf.DUMMYFUNCTION("""COMPUTED_VALUE"""),"https://drive.google.com/file/d/1HT-Tm0TyD9ij6rXIMQJfoUkyZKB2-sL6/view?usp=drive_link")</f>
        <v>https://drive.google.com/file/d/1HT-Tm0TyD9ij6rXIMQJfoUkyZKB2-sL6/view?usp=drive_link</v>
      </c>
      <c r="O702" s="218" t="str">
        <f>IFERROR(__xludf.DUMMYFUNCTION("""COMPUTED_VALUE"""),"")</f>
        <v/>
      </c>
      <c r="P702" s="1138" t="str">
        <f>IFERROR(__xludf.DUMMYFUNCTION("""COMPUTED_VALUE"""),"18/04/2024")</f>
        <v>18/04/2024</v>
      </c>
      <c r="Q702" s="218"/>
    </row>
    <row r="703">
      <c r="A703" s="73"/>
      <c r="B703" s="1129" t="str">
        <f>IFERROR(__xludf.DUMMYFUNCTION("""COMPUTED_VALUE"""),"Canais e Parcerias")</f>
        <v>Canais e Parcerias</v>
      </c>
      <c r="C703" s="268" t="str">
        <f>IFERROR(__xludf.DUMMYFUNCTION("""COMPUTED_VALUE"""),"Construção de ofertas de valor agregado com parceiros")</f>
        <v>Construção de ofertas de valor agregado com parceiros</v>
      </c>
      <c r="D703" s="268" t="str">
        <f>IFERROR(__xludf.DUMMYFUNCTION("""COMPUTED_VALUE"""),"Thiago Letra")</f>
        <v>Thiago Letra</v>
      </c>
      <c r="E703" s="151" t="str">
        <f>IFERROR(__xludf.DUMMYFUNCTION("""COMPUTED_VALUE"""),"Head of Sales &amp; Business Development")</f>
        <v>Head of Sales &amp; Business Development</v>
      </c>
      <c r="F703" s="648" t="str">
        <f>IFERROR(__xludf.DUMMYFUNCTION("""COMPUTED_VALUE"""),"Total Pass")</f>
        <v>Total Pass</v>
      </c>
      <c r="G703" s="647" t="str">
        <f>IFERROR(__xludf.DUMMYFUNCTION("""COMPUTED_VALUE"""),"https://www.linkedin.com/in/thiagopassosletra/")</f>
        <v>https://www.linkedin.com/in/thiagopassosletra/</v>
      </c>
      <c r="H703" s="648" t="str">
        <f>IFERROR(__xludf.DUMMYFUNCTION("""COMPUTED_VALUE"""),"Conhecimento Técnico")</f>
        <v>Conhecimento Técnico</v>
      </c>
      <c r="I703" s="648" t="str">
        <f>IFERROR(__xludf.DUMMYFUNCTION("""COMPUTED_VALUE"""),"Gestão de Vendas")</f>
        <v>Gestão de Vendas</v>
      </c>
      <c r="J703" s="649" t="str">
        <f>IFERROR(__xludf.DUMMYFUNCTION("""COMPUTED_VALUE"""),"UpSell e Cross Sell")</f>
        <v>UpSell e Cross Sell</v>
      </c>
      <c r="K703" s="473" t="str">
        <f>IFERROR(__xludf.DUMMYFUNCTION("""COMPUTED_VALUE"""),"https://universidade.pipelovers.net/m/lessons/construcao-de-ofertas-de-valor-agregado-com-parceiros1769552425875?classId=3076")</f>
        <v>https://universidade.pipelovers.net/m/lessons/construcao-de-ofertas-de-valor-agregado-com-parceiros1769552425875?classId=3076</v>
      </c>
      <c r="L703" s="474" t="str">
        <f>IFERROR(__xludf.DUMMYFUNCTION("""COMPUTED_VALUE"""),"https://universidade.pipelovers.net/m/lessons/construcao-de-ofertas-de-valor-agregado-com-parceiros1769552425875?classId=3076")</f>
        <v>https://universidade.pipelovers.net/m/lessons/construcao-de-ofertas-de-valor-agregado-com-parceiros1769552425875?classId=3076</v>
      </c>
      <c r="M703" s="379" t="str">
        <f>IFERROR(__xludf.DUMMYFUNCTION("""COMPUTED_VALUE"""),"2")</f>
        <v>2</v>
      </c>
      <c r="N703" s="1177" t="str">
        <f>IFERROR(__xludf.DUMMYFUNCTION("""COMPUTED_VALUE"""),"https://drive.google.com/file/d/1sWwu60Daajo8Raxs47WED1lKndsCYjHs/view?usp=drive_link")</f>
        <v>https://drive.google.com/file/d/1sWwu60Daajo8Raxs47WED1lKndsCYjHs/view?usp=drive_link</v>
      </c>
      <c r="O703" s="218" t="str">
        <f>IFERROR(__xludf.DUMMYFUNCTION("""COMPUTED_VALUE"""),"")</f>
        <v/>
      </c>
      <c r="P703" s="1138" t="str">
        <f>IFERROR(__xludf.DUMMYFUNCTION("""COMPUTED_VALUE"""),"25/04/2024")</f>
        <v>25/04/2024</v>
      </c>
      <c r="Q703" s="218"/>
    </row>
    <row r="704">
      <c r="A704" s="73"/>
      <c r="B704" s="1129" t="str">
        <f>IFERROR(__xludf.DUMMYFUNCTION("""COMPUTED_VALUE"""),"Canais e Parcerias")</f>
        <v>Canais e Parcerias</v>
      </c>
      <c r="C704" s="529" t="str">
        <f>IFERROR(__xludf.DUMMYFUNCTION("""COMPUTED_VALUE"""),"Salesforce Trailhead: um ecossistema de enablement")</f>
        <v>Salesforce Trailhead: um ecossistema de enablement</v>
      </c>
      <c r="D704" s="529" t="str">
        <f>IFERROR(__xludf.DUMMYFUNCTION("""COMPUTED_VALUE"""),"Mauricio Schorsch")</f>
        <v>Mauricio Schorsch</v>
      </c>
      <c r="E704" s="228" t="str">
        <f>IFERROR(__xludf.DUMMYFUNCTION("""COMPUTED_VALUE"""),"Director of Ecosystem Program &amp; Trailhead LATAM")</f>
        <v>Director of Ecosystem Program &amp; Trailhead LATAM</v>
      </c>
      <c r="F704" s="453" t="str">
        <f>IFERROR(__xludf.DUMMYFUNCTION("""COMPUTED_VALUE"""),"Salesforce")</f>
        <v>Salesforce</v>
      </c>
      <c r="G704" s="455" t="str">
        <f>IFERROR(__xludf.DUMMYFUNCTION("""COMPUTED_VALUE"""),"https://www.linkedin.com/in/mauricioschorsch/")</f>
        <v>https://www.linkedin.com/in/mauricioschorsch/</v>
      </c>
      <c r="H704" s="453" t="str">
        <f>IFERROR(__xludf.DUMMYFUNCTION("""COMPUTED_VALUE"""),"Visão de Negócios")</f>
        <v>Visão de Negócios</v>
      </c>
      <c r="I704" s="453" t="str">
        <f>IFERROR(__xludf.DUMMYFUNCTION("""COMPUTED_VALUE"""),"Tendencias de mercado")</f>
        <v>Tendencias de mercado</v>
      </c>
      <c r="J704" s="679" t="str">
        <f>IFERROR(__xludf.DUMMYFUNCTION("""COMPUTED_VALUE"""),"Inovações Tecnológicas")</f>
        <v>Inovações Tecnológicas</v>
      </c>
      <c r="K704" s="473" t="str">
        <f>IFERROR(__xludf.DUMMYFUNCTION("""COMPUTED_VALUE"""),"https://universidade.pipelovers.net/m/lessons/salesforce-trailhead-um-ecossistema-de-enablement1769552425938?classId=3077")</f>
        <v>https://universidade.pipelovers.net/m/lessons/salesforce-trailhead-um-ecossistema-de-enablement1769552425938?classId=3077</v>
      </c>
      <c r="L704" s="474" t="str">
        <f>IFERROR(__xludf.DUMMYFUNCTION("""COMPUTED_VALUE"""),"https://universidade.pipelovers.net/m/lessons/salesforce-trailhead-um-ecossistema-de-enablement1769552425938?classId=3077")</f>
        <v>https://universidade.pipelovers.net/m/lessons/salesforce-trailhead-um-ecossistema-de-enablement1769552425938?classId=3077</v>
      </c>
      <c r="M704" s="1186" t="str">
        <f>IFERROR(__xludf.DUMMYFUNCTION("""COMPUTED_VALUE"""),"2")</f>
        <v>2</v>
      </c>
      <c r="N704" s="1187" t="str">
        <f>IFERROR(__xludf.DUMMYFUNCTION("""COMPUTED_VALUE"""),"https://drive.google.com/file/d/1rBjk9XThPtYGi-FuFXBY33q6itvXFNbW/view?usp=drive_link")</f>
        <v>https://drive.google.com/file/d/1rBjk9XThPtYGi-FuFXBY33q6itvXFNbW/view?usp=drive_link</v>
      </c>
      <c r="O704" s="218" t="str">
        <f>IFERROR(__xludf.DUMMYFUNCTION("""COMPUTED_VALUE"""),"")</f>
        <v/>
      </c>
      <c r="P704" s="1138" t="str">
        <f>IFERROR(__xludf.DUMMYFUNCTION("""COMPUTED_VALUE"""),"02/05/2024")</f>
        <v>02/05/2024</v>
      </c>
      <c r="Q704" s="218"/>
    </row>
    <row r="705">
      <c r="A705" s="73"/>
      <c r="B705" s="1129" t="str">
        <f>IFERROR(__xludf.DUMMYFUNCTION("""COMPUTED_VALUE"""),"Canais e Parcerias")</f>
        <v>Canais e Parcerias</v>
      </c>
      <c r="C705" s="382" t="str">
        <f>IFERROR(__xludf.DUMMYFUNCTION("""COMPUTED_VALUE"""),"Como priorizar a melhor oferta para seu canal?")</f>
        <v>Como priorizar a melhor oferta para seu canal?</v>
      </c>
      <c r="D705" s="268" t="str">
        <f>IFERROR(__xludf.DUMMYFUNCTION("""COMPUTED_VALUE"""),"Felipe Giroleti")</f>
        <v>Felipe Giroleti</v>
      </c>
      <c r="E705" s="151" t="str">
        <f>IFERROR(__xludf.DUMMYFUNCTION("""COMPUTED_VALUE"""),"Co-founder")</f>
        <v>Co-founder</v>
      </c>
      <c r="F705" s="648" t="str">
        <f>IFERROR(__xludf.DUMMYFUNCTION("""COMPUTED_VALUE"""),"Franq")</f>
        <v>Franq</v>
      </c>
      <c r="G705" s="647" t="str">
        <f>IFERROR(__xludf.DUMMYFUNCTION("""COMPUTED_VALUE"""),"https://www.linkedin.com/in/felipegiroleti/")</f>
        <v>https://www.linkedin.com/in/felipegiroleti/</v>
      </c>
      <c r="H705" s="648" t="str">
        <f>IFERROR(__xludf.DUMMYFUNCTION("""COMPUTED_VALUE"""),"Visão de Negócios")</f>
        <v>Visão de Negócios</v>
      </c>
      <c r="I705" s="648" t="str">
        <f>IFERROR(__xludf.DUMMYFUNCTION("""COMPUTED_VALUE"""),"Conhecimento de Produto e Negócio")</f>
        <v>Conhecimento de Produto e Negócio</v>
      </c>
      <c r="J705" s="649" t="str">
        <f>IFERROR(__xludf.DUMMYFUNCTION("""COMPUTED_VALUE"""),"Posicionamento de Produto")</f>
        <v>Posicionamento de Produto</v>
      </c>
      <c r="K705" s="473" t="str">
        <f>IFERROR(__xludf.DUMMYFUNCTION("""COMPUTED_VALUE"""),"https://universidade.pipelovers.net/m/lessons/como-priorizar-a-melhor-oferta-para-seu-canal1769552425966?classId=3078")</f>
        <v>https://universidade.pipelovers.net/m/lessons/como-priorizar-a-melhor-oferta-para-seu-canal1769552425966?classId=3078</v>
      </c>
      <c r="L705" s="474" t="str">
        <f>IFERROR(__xludf.DUMMYFUNCTION("""COMPUTED_VALUE"""),"https://universidade.pipelovers.net/m/lessons/como-priorizar-a-melhor-oferta-para-seu-canal1769552425966?classId=3078")</f>
        <v>https://universidade.pipelovers.net/m/lessons/como-priorizar-a-melhor-oferta-para-seu-canal1769552425966?classId=3078</v>
      </c>
      <c r="M705" s="379" t="str">
        <f>IFERROR(__xludf.DUMMYFUNCTION("""COMPUTED_VALUE"""),"3,57")</f>
        <v>3,57</v>
      </c>
      <c r="N705" s="1177" t="str">
        <f>IFERROR(__xludf.DUMMYFUNCTION("""COMPUTED_VALUE"""),"https://drive.google.com/file/d/1tRmigwD_PcisC7y2ZvbW_oGdpcEMKotc/view?usp=drive_link")</f>
        <v>https://drive.google.com/file/d/1tRmigwD_PcisC7y2ZvbW_oGdpcEMKotc/view?usp=drive_link</v>
      </c>
      <c r="O705" s="218" t="str">
        <f>IFERROR(__xludf.DUMMYFUNCTION("""COMPUTED_VALUE"""),"")</f>
        <v/>
      </c>
      <c r="P705" s="1138" t="str">
        <f>IFERROR(__xludf.DUMMYFUNCTION("""COMPUTED_VALUE"""),"09/05/2024")</f>
        <v>09/05/2024</v>
      </c>
      <c r="Q705" s="218"/>
    </row>
    <row r="706">
      <c r="A706" s="73"/>
      <c r="B706" s="1129" t="str">
        <f>IFERROR(__xludf.DUMMYFUNCTION("""COMPUTED_VALUE"""),"Canais e Parcerias")</f>
        <v>Canais e Parcerias</v>
      </c>
      <c r="C706" s="501" t="str">
        <f>IFERROR(__xludf.DUMMYFUNCTION("""COMPUTED_VALUE"""),"Expansão internacional com franquias")</f>
        <v>Expansão internacional com franquias</v>
      </c>
      <c r="D706" s="529" t="str">
        <f>IFERROR(__xludf.DUMMYFUNCTION("""COMPUTED_VALUE"""),"Arno Krug Junior")</f>
        <v>Arno Krug Junior</v>
      </c>
      <c r="E706" s="228" t="str">
        <f>IFERROR(__xludf.DUMMYFUNCTION("""COMPUTED_VALUE"""),"President")</f>
        <v>President</v>
      </c>
      <c r="F706" s="453" t="str">
        <f>IFERROR(__xludf.DUMMYFUNCTION("""COMPUTED_VALUE"""),"CEFA Early Learning")</f>
        <v>CEFA Early Learning</v>
      </c>
      <c r="G706" s="455" t="str">
        <f>IFERROR(__xludf.DUMMYFUNCTION("""COMPUTED_VALUE"""),"https://www.linkedin.com/in/arnokrugjunior/")</f>
        <v>https://www.linkedin.com/in/arnokrugjunior/</v>
      </c>
      <c r="H706" s="453" t="str">
        <f>IFERROR(__xludf.DUMMYFUNCTION("""COMPUTED_VALUE"""),"Visão de Negócios")</f>
        <v>Visão de Negócios</v>
      </c>
      <c r="I706" s="453" t="str">
        <f>IFERROR(__xludf.DUMMYFUNCTION("""COMPUTED_VALUE"""),"Tendências de Mercado")</f>
        <v>Tendências de Mercado</v>
      </c>
      <c r="J706" s="453" t="str">
        <f>IFERROR(__xludf.DUMMYFUNCTION("""COMPUTED_VALUE"""),"Cenário Internacional")</f>
        <v>Cenário Internacional</v>
      </c>
      <c r="K706" s="473" t="str">
        <f>IFERROR(__xludf.DUMMYFUNCTION("""COMPUTED_VALUE"""),"https://universidade.pipelovers.net/m/lessons/expansao-internacional-com-franquias1769552425993?classId=3117")</f>
        <v>https://universidade.pipelovers.net/m/lessons/expansao-internacional-com-franquias1769552425993?classId=3117</v>
      </c>
      <c r="L706" s="474" t="str">
        <f>IFERROR(__xludf.DUMMYFUNCTION("""COMPUTED_VALUE"""),"https://universidade.pipelovers.net/m/lessons/expansao-internacional-com-franquias1769552425993?classId=3117")</f>
        <v>https://universidade.pipelovers.net/m/lessons/expansao-internacional-com-franquias1769552425993?classId=3117</v>
      </c>
      <c r="M706" s="117">
        <f>IFERROR(__xludf.DUMMYFUNCTION("""COMPUTED_VALUE"""),2.0)</f>
        <v>2</v>
      </c>
      <c r="N706" s="1177" t="str">
        <f>IFERROR(__xludf.DUMMYFUNCTION("""COMPUTED_VALUE"""),"https://drive.google.com/file/d/1_JFV5SvlqXAG3uxHcNH_C0uxKXMF0mF7/view?usp=drive_link")</f>
        <v>https://drive.google.com/file/d/1_JFV5SvlqXAG3uxHcNH_C0uxKXMF0mF7/view?usp=drive_link</v>
      </c>
      <c r="O706" s="218" t="str">
        <f>IFERROR(__xludf.DUMMYFUNCTION("""COMPUTED_VALUE"""),"")</f>
        <v/>
      </c>
      <c r="P706" s="1138">
        <f>IFERROR(__xludf.DUMMYFUNCTION("""COMPUTED_VALUE"""),45428.0)</f>
        <v>45428</v>
      </c>
      <c r="Q706" s="218"/>
    </row>
    <row r="707">
      <c r="A707" s="73"/>
      <c r="B707" s="1129" t="str">
        <f>IFERROR(__xludf.DUMMYFUNCTION("""COMPUTED_VALUE"""),"Canais e Parcerias")</f>
        <v>Canais e Parcerias</v>
      </c>
      <c r="C707" s="382" t="str">
        <f>IFERROR(__xludf.DUMMYFUNCTION("""COMPUTED_VALUE"""),"Diferença na gestão de canais com marca própria e revendas independentes")</f>
        <v>Diferença na gestão de canais com marca própria e revendas independentes</v>
      </c>
      <c r="D707" s="268" t="str">
        <f>IFERROR(__xludf.DUMMYFUNCTION("""COMPUTED_VALUE"""),"Célio Pupo")</f>
        <v>Célio Pupo</v>
      </c>
      <c r="E707" s="151" t="str">
        <f>IFERROR(__xludf.DUMMYFUNCTION("""COMPUTED_VALUE"""),"Gerente Executivo")</f>
        <v>Gerente Executivo</v>
      </c>
      <c r="F707" s="648" t="str">
        <f>IFERROR(__xludf.DUMMYFUNCTION("""COMPUTED_VALUE"""),"Tablet Cloud")</f>
        <v>Tablet Cloud</v>
      </c>
      <c r="G707" s="647" t="str">
        <f>IFERROR(__xludf.DUMMYFUNCTION("""COMPUTED_VALUE"""),"https://www.linkedin.com/in/c%C3%A9lio-pupo-ab745623/")</f>
        <v>https://www.linkedin.com/in/c%C3%A9lio-pupo-ab745623/</v>
      </c>
      <c r="H707" s="648" t="str">
        <f>IFERROR(__xludf.DUMMYFUNCTION("""COMPUTED_VALUE"""),"Conhecimento Técnico")</f>
        <v>Conhecimento Técnico</v>
      </c>
      <c r="I707" s="648" t="str">
        <f>IFERROR(__xludf.DUMMYFUNCTION("""COMPUTED_VALUE"""),"Gestão de Vendas")</f>
        <v>Gestão de Vendas</v>
      </c>
      <c r="J707" s="649" t="str">
        <f>IFERROR(__xludf.DUMMYFUNCTION("""COMPUTED_VALUE"""),"Rotinas e Rituais")</f>
        <v>Rotinas e Rituais</v>
      </c>
      <c r="K707" s="473" t="str">
        <f>IFERROR(__xludf.DUMMYFUNCTION("""COMPUTED_VALUE"""),"https://universidade.pipelovers.net/m/lessons/diferenca-na-gestao-de-canais-com-marca-propria-e-revendas-independentes1769552426019?classId=3119")</f>
        <v>https://universidade.pipelovers.net/m/lessons/diferenca-na-gestao-de-canais-com-marca-propria-e-revendas-independentes1769552426019?classId=3119</v>
      </c>
      <c r="L707" s="474" t="str">
        <f>IFERROR(__xludf.DUMMYFUNCTION("""COMPUTED_VALUE"""),"https://universidade.pipelovers.net/m/lessons/diferenca-na-gestao-de-canais-com-marca-propria-e-revendas-independentes1769552426019?classId=3119")</f>
        <v>https://universidade.pipelovers.net/m/lessons/diferenca-na-gestao-de-canais-com-marca-propria-e-revendas-independentes1769552426019?classId=3119</v>
      </c>
      <c r="M707" s="379" t="str">
        <f>IFERROR(__xludf.DUMMYFUNCTION("""COMPUTED_VALUE"""),"2")</f>
        <v>2</v>
      </c>
      <c r="N707" s="1177" t="str">
        <f>IFERROR(__xludf.DUMMYFUNCTION("""COMPUTED_VALUE"""),"https://drive.google.com/file/d/10NrSGvAlPp4l7A8GemLmzFvwk2jvXSj4/view?usp=drive_link")</f>
        <v>https://drive.google.com/file/d/10NrSGvAlPp4l7A8GemLmzFvwk2jvXSj4/view?usp=drive_link</v>
      </c>
      <c r="O707" s="218" t="str">
        <f>IFERROR(__xludf.DUMMYFUNCTION("""COMPUTED_VALUE"""),"")</f>
        <v/>
      </c>
      <c r="P707" s="1138" t="str">
        <f>IFERROR(__xludf.DUMMYFUNCTION("""COMPUTED_VALUE"""),"23/05/2024")</f>
        <v>23/05/2024</v>
      </c>
      <c r="Q707" s="218"/>
    </row>
    <row r="708">
      <c r="A708" s="73"/>
      <c r="B708" s="1129" t="str">
        <f>IFERROR(__xludf.DUMMYFUNCTION("""COMPUTED_VALUE"""),"Canais e Parcerias")</f>
        <v>Canais e Parcerias</v>
      </c>
      <c r="C708" s="529" t="str">
        <f>IFERROR(__xludf.DUMMYFUNCTION("""COMPUTED_VALUE"""),"Estruturando do zero um canal top performer")</f>
        <v>Estruturando do zero um canal top performer</v>
      </c>
      <c r="D708" s="529" t="str">
        <f>IFERROR(__xludf.DUMMYFUNCTION("""COMPUTED_VALUE"""),"Bruno Stuchi")</f>
        <v>Bruno Stuchi</v>
      </c>
      <c r="E708" s="228" t="str">
        <f>IFERROR(__xludf.DUMMYFUNCTION("""COMPUTED_VALUE"""),"Fundador &amp; CEO")</f>
        <v>Fundador &amp; CEO</v>
      </c>
      <c r="F708" s="453" t="str">
        <f>IFERROR(__xludf.DUMMYFUNCTION("""COMPUTED_VALUE"""),"Aktie Now")</f>
        <v>Aktie Now</v>
      </c>
      <c r="G708" s="455" t="str">
        <f>IFERROR(__xludf.DUMMYFUNCTION("""COMPUTED_VALUE"""),"https://www.linkedin.com/in/brunostuchi/")</f>
        <v>https://www.linkedin.com/in/brunostuchi/</v>
      </c>
      <c r="H708" s="453" t="str">
        <f>IFERROR(__xludf.DUMMYFUNCTION("""COMPUTED_VALUE"""),"Conhecimento Técnico")</f>
        <v>Conhecimento Técnico</v>
      </c>
      <c r="I708" s="453" t="str">
        <f>IFERROR(__xludf.DUMMYFUNCTION("""COMPUTED_VALUE"""),"Gestão de Vendas")</f>
        <v>Gestão de Vendas</v>
      </c>
      <c r="J708" s="453" t="str">
        <f>IFERROR(__xludf.DUMMYFUNCTION("""COMPUTED_VALUE"""),"Planejamento Comercial")</f>
        <v>Planejamento Comercial</v>
      </c>
      <c r="K708" s="473" t="str">
        <f>IFERROR(__xludf.DUMMYFUNCTION("""COMPUTED_VALUE"""),"https://universidade.pipelovers.net/m/lessons/estruturando-do-zero-um-canal-top-performer1769552426046?classId=3121")</f>
        <v>https://universidade.pipelovers.net/m/lessons/estruturando-do-zero-um-canal-top-performer1769552426046?classId=3121</v>
      </c>
      <c r="L708" s="474" t="str">
        <f>IFERROR(__xludf.DUMMYFUNCTION("""COMPUTED_VALUE"""),"https://universidade.pipelovers.net/m/lessons/estruturando-do-zero-um-canal-top-performer1769552426046?classId=3121")</f>
        <v>https://universidade.pipelovers.net/m/lessons/estruturando-do-zero-um-canal-top-performer1769552426046?classId=3121</v>
      </c>
      <c r="M708" s="379">
        <f>IFERROR(__xludf.DUMMYFUNCTION("""COMPUTED_VALUE"""),2.0)</f>
        <v>2</v>
      </c>
      <c r="N708" s="1177" t="str">
        <f>IFERROR(__xludf.DUMMYFUNCTION("""COMPUTED_VALUE"""),"https://drive.google.com/file/d/1vmhDdBWvAHi5wmdWQ1501T-q61Jh-e3c/view?usp=drive_link")</f>
        <v>https://drive.google.com/file/d/1vmhDdBWvAHi5wmdWQ1501T-q61Jh-e3c/view?usp=drive_link</v>
      </c>
      <c r="O708" s="218" t="str">
        <f>IFERROR(__xludf.DUMMYFUNCTION("""COMPUTED_VALUE"""),"")</f>
        <v/>
      </c>
      <c r="P708" s="1138">
        <f>IFERROR(__xludf.DUMMYFUNCTION("""COMPUTED_VALUE"""),45442.0)</f>
        <v>45442</v>
      </c>
      <c r="Q708" s="218"/>
    </row>
    <row r="709">
      <c r="A709" s="73"/>
      <c r="B709" s="1129" t="str">
        <f>IFERROR(__xludf.DUMMYFUNCTION("""COMPUTED_VALUE"""),"Canais e Parcerias")</f>
        <v>Canais e Parcerias</v>
      </c>
      <c r="C709" s="382" t="str">
        <f>IFERROR(__xludf.DUMMYFUNCTION("""COMPUTED_VALUE"""),"Otimização de verbas de marketing para canais")</f>
        <v>Otimização de verbas de marketing para canais</v>
      </c>
      <c r="D709" s="268" t="str">
        <f>IFERROR(__xludf.DUMMYFUNCTION("""COMPUTED_VALUE"""),"Mauricio Cardoso")</f>
        <v>Mauricio Cardoso</v>
      </c>
      <c r="E709" s="151" t="str">
        <f>IFERROR(__xludf.DUMMYFUNCTION("""COMPUTED_VALUE"""),"Fundador")</f>
        <v>Fundador</v>
      </c>
      <c r="F709" s="648" t="str">
        <f>IFERROR(__xludf.DUMMYFUNCTION("""COMPUTED_VALUE"""),"Vuno")</f>
        <v>Vuno</v>
      </c>
      <c r="G709" s="647" t="str">
        <f>IFERROR(__xludf.DUMMYFUNCTION("""COMPUTED_VALUE"""),"https://www.linkedin.com/in/mauricio-cardoso/")</f>
        <v>https://www.linkedin.com/in/mauricio-cardoso/</v>
      </c>
      <c r="H709" s="648" t="str">
        <f>IFERROR(__xludf.DUMMYFUNCTION("""COMPUTED_VALUE"""),"Conhecimento Técnico")</f>
        <v>Conhecimento Técnico</v>
      </c>
      <c r="I709" s="648" t="str">
        <f>IFERROR(__xludf.DUMMYFUNCTION("""COMPUTED_VALUE"""),"Pensamento Crítico")</f>
        <v>Pensamento Crítico</v>
      </c>
      <c r="J709" s="649" t="str">
        <f>IFERROR(__xludf.DUMMYFUNCTION("""COMPUTED_VALUE"""),"ROI")</f>
        <v>ROI</v>
      </c>
      <c r="K709" s="473" t="str">
        <f>IFERROR(__xludf.DUMMYFUNCTION("""COMPUTED_VALUE"""),"https://universidade.pipelovers.net/m/lessons/otimizacao-de-verbas-de-marketing-para-canais1769552426084?classId=3022")</f>
        <v>https://universidade.pipelovers.net/m/lessons/otimizacao-de-verbas-de-marketing-para-canais1769552426084?classId=3022</v>
      </c>
      <c r="L709" s="474" t="str">
        <f>IFERROR(__xludf.DUMMYFUNCTION("""COMPUTED_VALUE"""),"https://universidade.pipelovers.net/m/lessons/otimizacao-de-verbas-de-marketing-para-canais1769552426084?classId=3022")</f>
        <v>https://universidade.pipelovers.net/m/lessons/otimizacao-de-verbas-de-marketing-para-canais1769552426084?classId=3022</v>
      </c>
      <c r="M709" s="379" t="str">
        <f>IFERROR(__xludf.DUMMYFUNCTION("""COMPUTED_VALUE"""),"3,14")</f>
        <v>3,14</v>
      </c>
      <c r="N709" s="1177" t="str">
        <f>IFERROR(__xludf.DUMMYFUNCTION("""COMPUTED_VALUE"""),"https://drive.google.com/file/d/13kOJ0AizKi-ykJe0BDpHK_zWXi93gNPs/view?usp=drive_link")</f>
        <v>https://drive.google.com/file/d/13kOJ0AizKi-ykJe0BDpHK_zWXi93gNPs/view?usp=drive_link</v>
      </c>
      <c r="O709" s="218" t="str">
        <f>IFERROR(__xludf.DUMMYFUNCTION("""COMPUTED_VALUE"""),"")</f>
        <v/>
      </c>
      <c r="P709" s="1138" t="str">
        <f>IFERROR(__xludf.DUMMYFUNCTION("""COMPUTED_VALUE"""),"06/06/2024")</f>
        <v>06/06/2024</v>
      </c>
      <c r="Q709" s="218"/>
    </row>
    <row r="710">
      <c r="A710" s="73"/>
      <c r="B710" s="1129" t="str">
        <f>IFERROR(__xludf.DUMMYFUNCTION("""COMPUTED_VALUE"""),"Canais e Parcerias")</f>
        <v>Canais e Parcerias</v>
      </c>
      <c r="C710" s="501" t="str">
        <f>IFERROR(__xludf.DUMMYFUNCTION("""COMPUTED_VALUE"""),"Influenciadores como canal de vendas")</f>
        <v>Influenciadores como canal de vendas</v>
      </c>
      <c r="D710" s="529" t="str">
        <f>IFERROR(__xludf.DUMMYFUNCTION("""COMPUTED_VALUE"""),"Leandro Barankiewicz")</f>
        <v>Leandro Barankiewicz</v>
      </c>
      <c r="E710" s="228" t="str">
        <f>IFERROR(__xludf.DUMMYFUNCTION("""COMPUTED_VALUE"""),"CEO")</f>
        <v>CEO</v>
      </c>
      <c r="F710" s="453" t="str">
        <f>IFERROR(__xludf.DUMMYFUNCTION("""COMPUTED_VALUE"""),"Non Stop")</f>
        <v>Non Stop</v>
      </c>
      <c r="G710" s="455" t="str">
        <f>IFERROR(__xludf.DUMMYFUNCTION("""COMPUTED_VALUE"""),"https://www.linkedin.com/in/leandro-barankiewicz/")</f>
        <v>https://www.linkedin.com/in/leandro-barankiewicz/</v>
      </c>
      <c r="H710" s="453" t="str">
        <f>IFERROR(__xludf.DUMMYFUNCTION("""COMPUTED_VALUE"""),"Visão de Negócios")</f>
        <v>Visão de Negócios</v>
      </c>
      <c r="I710" s="453" t="str">
        <f>IFERROR(__xludf.DUMMYFUNCTION("""COMPUTED_VALUE"""),"Tendencias de mercado")</f>
        <v>Tendencias de mercado</v>
      </c>
      <c r="J710" s="679" t="str">
        <f>IFERROR(__xludf.DUMMYFUNCTION("""COMPUTED_VALUE"""),"Inovações Tecnológicas")</f>
        <v>Inovações Tecnológicas</v>
      </c>
      <c r="K710" s="473" t="str">
        <f>IFERROR(__xludf.DUMMYFUNCTION("""COMPUTED_VALUE"""),"https://universidade.pipelovers.net/m/lessons/influenciadores-como-canal-de-vendas1769552426110?classId=3124")</f>
        <v>https://universidade.pipelovers.net/m/lessons/influenciadores-como-canal-de-vendas1769552426110?classId=3124</v>
      </c>
      <c r="L710" s="474" t="str">
        <f>IFERROR(__xludf.DUMMYFUNCTION("""COMPUTED_VALUE"""),"https://universidade.pipelovers.net/m/lessons/influenciadores-como-canal-de-vendas1769552426110?classId=3124")</f>
        <v>https://universidade.pipelovers.net/m/lessons/influenciadores-como-canal-de-vendas1769552426110?classId=3124</v>
      </c>
      <c r="M710" s="379" t="str">
        <f>IFERROR(__xludf.DUMMYFUNCTION("""COMPUTED_VALUE"""),"4,29")</f>
        <v>4,29</v>
      </c>
      <c r="N710" s="1177" t="str">
        <f>IFERROR(__xludf.DUMMYFUNCTION("""COMPUTED_VALUE"""),"https://drive.google.com/file/d/1QxEUALxb64EzK0mhsDBr1dRL6mwWV4lx/view?usp=drive_link")</f>
        <v>https://drive.google.com/file/d/1QxEUALxb64EzK0mhsDBr1dRL6mwWV4lx/view?usp=drive_link</v>
      </c>
      <c r="O710" s="218" t="str">
        <f>IFERROR(__xludf.DUMMYFUNCTION("""COMPUTED_VALUE"""),"")</f>
        <v/>
      </c>
      <c r="P710" s="1138" t="str">
        <f>IFERROR(__xludf.DUMMYFUNCTION("""COMPUTED_VALUE"""),"13/06/2024")</f>
        <v>13/06/2024</v>
      </c>
      <c r="Q710" s="218"/>
    </row>
    <row r="711">
      <c r="A711" s="73"/>
      <c r="B711" s="1129" t="str">
        <f>IFERROR(__xludf.DUMMYFUNCTION("""COMPUTED_VALUE"""),"Canais e Parcerias")</f>
        <v>Canais e Parcerias</v>
      </c>
      <c r="C711" s="382" t="str">
        <f>IFERROR(__xludf.DUMMYFUNCTION("""COMPUTED_VALUE"""),"Previsibilidade de forecast em programas de canais")</f>
        <v>Previsibilidade de forecast em programas de canais</v>
      </c>
      <c r="D711" s="268" t="str">
        <f>IFERROR(__xludf.DUMMYFUNCTION("""COMPUTED_VALUE"""),"Ernani Carraro")</f>
        <v>Ernani Carraro</v>
      </c>
      <c r="E711" s="151" t="str">
        <f>IFERROR(__xludf.DUMMYFUNCTION("""COMPUTED_VALUE"""),"Partnerships Development Manager")</f>
        <v>Partnerships Development Manager</v>
      </c>
      <c r="F711" s="648" t="str">
        <f>IFERROR(__xludf.DUMMYFUNCTION("""COMPUTED_VALUE"""),"Leadster")</f>
        <v>Leadster</v>
      </c>
      <c r="G711" s="647" t="str">
        <f>IFERROR(__xludf.DUMMYFUNCTION("""COMPUTED_VALUE"""),"https://www.linkedin.com/in/ernanicarraro/")</f>
        <v>https://www.linkedin.com/in/ernanicarraro/</v>
      </c>
      <c r="H711" s="648" t="str">
        <f>IFERROR(__xludf.DUMMYFUNCTION("""COMPUTED_VALUE"""),"Conhecimento Técnico")</f>
        <v>Conhecimento Técnico</v>
      </c>
      <c r="I711" s="648" t="str">
        <f>IFERROR(__xludf.DUMMYFUNCTION("""COMPUTED_VALUE"""),"Gestão de Vendas")</f>
        <v>Gestão de Vendas</v>
      </c>
      <c r="J711" s="649" t="str">
        <f>IFERROR(__xludf.DUMMYFUNCTION("""COMPUTED_VALUE"""),"Rotinas e Rituais")</f>
        <v>Rotinas e Rituais</v>
      </c>
      <c r="K711" s="473" t="str">
        <f>IFERROR(__xludf.DUMMYFUNCTION("""COMPUTED_VALUE"""),"https://universidade.pipelovers.net/m/lessons/previsibilidade-de-forecast-em-programas-de-canais1769552426137?classId=3135")</f>
        <v>https://universidade.pipelovers.net/m/lessons/previsibilidade-de-forecast-em-programas-de-canais1769552426137?classId=3135</v>
      </c>
      <c r="L711" s="474" t="str">
        <f>IFERROR(__xludf.DUMMYFUNCTION("""COMPUTED_VALUE"""),"https://universidade.pipelovers.net/m/lessons/previsibilidade-de-forecast-em-programas-de-canais1769552426137?classId=3135")</f>
        <v>https://universidade.pipelovers.net/m/lessons/previsibilidade-de-forecast-em-programas-de-canais1769552426137?classId=3135</v>
      </c>
      <c r="M711" s="379" t="str">
        <f>IFERROR(__xludf.DUMMYFUNCTION("""COMPUTED_VALUE"""),"3,71")</f>
        <v>3,71</v>
      </c>
      <c r="N711" s="1177" t="str">
        <f>IFERROR(__xludf.DUMMYFUNCTION("""COMPUTED_VALUE"""),"https://drive.google.com/file/d/1X6oaTMLcZu8bqj_kNRiOTiffI3BGJfIc/view?usp=drive_link")</f>
        <v>https://drive.google.com/file/d/1X6oaTMLcZu8bqj_kNRiOTiffI3BGJfIc/view?usp=drive_link</v>
      </c>
      <c r="O711" s="228" t="str">
        <f>IFERROR(__xludf.DUMMYFUNCTION("""COMPUTED_VALUE"""),"")</f>
        <v/>
      </c>
      <c r="P711" s="1138" t="str">
        <f>IFERROR(__xludf.DUMMYFUNCTION("""COMPUTED_VALUE"""),"20/06/2024")</f>
        <v>20/06/2024</v>
      </c>
      <c r="Q711" s="228"/>
    </row>
    <row r="712">
      <c r="A712" s="73"/>
      <c r="B712" s="1129" t="str">
        <f>IFERROR(__xludf.DUMMYFUNCTION("""COMPUTED_VALUE"""),"Canais e Parcerias")</f>
        <v>Canais e Parcerias</v>
      </c>
      <c r="C712" s="501" t="str">
        <f>IFERROR(__xludf.DUMMYFUNCTION("""COMPUTED_VALUE"""),"7 pecados na gestão de canais indiretos")</f>
        <v>7 pecados na gestão de canais indiretos</v>
      </c>
      <c r="D712" s="529" t="str">
        <f>IFERROR(__xludf.DUMMYFUNCTION("""COMPUTED_VALUE"""),"Walter Acras")</f>
        <v>Walter Acras</v>
      </c>
      <c r="E712" s="228" t="str">
        <f>IFERROR(__xludf.DUMMYFUNCTION("""COMPUTED_VALUE"""),"Presidente ")</f>
        <v>Presidente </v>
      </c>
      <c r="F712" s="453" t="str">
        <f>IFERROR(__xludf.DUMMYFUNCTION("""COMPUTED_VALUE"""),"ABRAVIT")</f>
        <v>ABRAVIT</v>
      </c>
      <c r="G712" s="455" t="str">
        <f>IFERROR(__xludf.DUMMYFUNCTION("""COMPUTED_VALUE"""),"https://www.linkedin.com/in/walteracras/")</f>
        <v>https://www.linkedin.com/in/walteracras/</v>
      </c>
      <c r="H712" s="453" t="str">
        <f>IFERROR(__xludf.DUMMYFUNCTION("""COMPUTED_VALUE"""),"Conhecimento Técnico")</f>
        <v>Conhecimento Técnico</v>
      </c>
      <c r="I712" s="453" t="str">
        <f>IFERROR(__xludf.DUMMYFUNCTION("""COMPUTED_VALUE"""),"Gestão de Vendas")</f>
        <v>Gestão de Vendas</v>
      </c>
      <c r="J712" s="679" t="str">
        <f>IFERROR(__xludf.DUMMYFUNCTION("""COMPUTED_VALUE"""),"Rotinas e Rituais")</f>
        <v>Rotinas e Rituais</v>
      </c>
      <c r="K712" s="473" t="str">
        <f>IFERROR(__xludf.DUMMYFUNCTION("""COMPUTED_VALUE"""),"https://universidade.pipelovers.net/m/lessons/7-pecados-na-gestao-de-canais-indiretos1769552429220?classId=3137")</f>
        <v>https://universidade.pipelovers.net/m/lessons/7-pecados-na-gestao-de-canais-indiretos1769552429220?classId=3137</v>
      </c>
      <c r="L712" s="474" t="str">
        <f>IFERROR(__xludf.DUMMYFUNCTION("""COMPUTED_VALUE"""),"https://universidade.pipelovers.net/m/lessons/7-pecados-na-gestao-de-canais-indiretos1769552429220?classId=3137")</f>
        <v>https://universidade.pipelovers.net/m/lessons/7-pecados-na-gestao-de-canais-indiretos1769552429220?classId=3137</v>
      </c>
      <c r="M712" s="379" t="str">
        <f>IFERROR(__xludf.DUMMYFUNCTION("""COMPUTED_VALUE"""),"2")</f>
        <v>2</v>
      </c>
      <c r="N712" s="1177" t="str">
        <f>IFERROR(__xludf.DUMMYFUNCTION("""COMPUTED_VALUE"""),"https://drive.google.com/file/d/1ddgxIH9AgVzrQBKhYEloP1Q2rMfFgQLM/view?usp=drive_link")</f>
        <v>https://drive.google.com/file/d/1ddgxIH9AgVzrQBKhYEloP1Q2rMfFgQLM/view?usp=drive_link</v>
      </c>
      <c r="O712" s="151" t="str">
        <f>IFERROR(__xludf.DUMMYFUNCTION("""COMPUTED_VALUE"""),"")</f>
        <v/>
      </c>
      <c r="P712" s="1138" t="str">
        <f>IFERROR(__xludf.DUMMYFUNCTION("""COMPUTED_VALUE"""),"27/06/2024")</f>
        <v>27/06/2024</v>
      </c>
      <c r="Q712" s="151"/>
    </row>
    <row r="713">
      <c r="A713" s="73"/>
      <c r="B713" s="1129" t="str">
        <f>IFERROR(__xludf.DUMMYFUNCTION("""COMPUTED_VALUE"""),"Canais e Parcerias")</f>
        <v>Canais e Parcerias</v>
      </c>
      <c r="C713" s="382" t="str">
        <f>IFERROR(__xludf.DUMMYFUNCTION("""COMPUTED_VALUE"""),"Programa de Indicação de Clientes: Case ChatGuru")</f>
        <v>Programa de Indicação de Clientes: Case ChatGuru</v>
      </c>
      <c r="D713" s="268" t="str">
        <f>IFERROR(__xludf.DUMMYFUNCTION("""COMPUTED_VALUE"""),"Malbio Mendes")</f>
        <v>Malbio Mendes</v>
      </c>
      <c r="E713" s="228" t="str">
        <f>IFERROR(__xludf.DUMMYFUNCTION("""COMPUTED_VALUE"""),"Chief Sales &amp; Marketing Officer")</f>
        <v>Chief Sales &amp; Marketing Officer</v>
      </c>
      <c r="F713" s="453" t="str">
        <f>IFERROR(__xludf.DUMMYFUNCTION("""COMPUTED_VALUE"""),"ChatGuru")</f>
        <v>ChatGuru</v>
      </c>
      <c r="G713" s="455" t="str">
        <f>IFERROR(__xludf.DUMMYFUNCTION("""COMPUTED_VALUE"""),"https://www.linkedin.com/in/malbio/")</f>
        <v>https://www.linkedin.com/in/malbio/</v>
      </c>
      <c r="H713" s="453" t="str">
        <f>IFERROR(__xludf.DUMMYFUNCTION("""COMPUTED_VALUE"""),"Relacionamento Interpessoal")</f>
        <v>Relacionamento Interpessoal</v>
      </c>
      <c r="I713" s="453" t="str">
        <f>IFERROR(__xludf.DUMMYFUNCTION("""COMPUTED_VALUE"""),"Liderança e Influência")</f>
        <v>Liderança e Influência</v>
      </c>
      <c r="J713" s="679" t="str">
        <f>IFERROR(__xludf.DUMMYFUNCTION("""COMPUTED_VALUE"""),"Provas Sociais")</f>
        <v>Provas Sociais</v>
      </c>
      <c r="K713" s="473" t="str">
        <f>IFERROR(__xludf.DUMMYFUNCTION("""COMPUTED_VALUE"""),"https://universidade.pipelovers.net/m/lessons/programa-de-indicacao-de-clientes-case-chatguru1769552429249?classId=3140")</f>
        <v>https://universidade.pipelovers.net/m/lessons/programa-de-indicacao-de-clientes-case-chatguru1769552429249?classId=3140</v>
      </c>
      <c r="L713" s="474" t="str">
        <f>IFERROR(__xludf.DUMMYFUNCTION("""COMPUTED_VALUE"""),"https://universidade.pipelovers.net/m/lessons/programa-de-indicacao-de-clientes-case-chatguru1769552429249?classId=3140")</f>
        <v>https://universidade.pipelovers.net/m/lessons/programa-de-indicacao-de-clientes-case-chatguru1769552429249?classId=3140</v>
      </c>
      <c r="M713" s="379" t="str">
        <f>IFERROR(__xludf.DUMMYFUNCTION("""COMPUTED_VALUE"""),"3")</f>
        <v>3</v>
      </c>
      <c r="N713" s="1177" t="str">
        <f>IFERROR(__xludf.DUMMYFUNCTION("""COMPUTED_VALUE"""),"https://drive.google.com/file/d/1wAty5heSbNCOnYSiXU6JeGsEtaz16FM-/view?usp=drive_link")</f>
        <v>https://drive.google.com/file/d/1wAty5heSbNCOnYSiXU6JeGsEtaz16FM-/view?usp=drive_link</v>
      </c>
      <c r="O713" s="228" t="str">
        <f>IFERROR(__xludf.DUMMYFUNCTION("""COMPUTED_VALUE"""),"")</f>
        <v/>
      </c>
      <c r="P713" s="1138" t="str">
        <f>IFERROR(__xludf.DUMMYFUNCTION("""COMPUTED_VALUE"""),"04/07/2024")</f>
        <v>04/07/2024</v>
      </c>
      <c r="Q713" s="228"/>
    </row>
    <row r="714">
      <c r="A714" s="73"/>
      <c r="B714" s="1129" t="str">
        <f>IFERROR(__xludf.DUMMYFUNCTION("""COMPUTED_VALUE"""),"Canais e Parcerias")</f>
        <v>Canais e Parcerias</v>
      </c>
      <c r="C714" s="501" t="str">
        <f>IFERROR(__xludf.DUMMYFUNCTION("""COMPUTED_VALUE"""),"O futuro dos canais indiretos no mercado de tecnologia")</f>
        <v>O futuro dos canais indiretos no mercado de tecnologia</v>
      </c>
      <c r="D714" s="529" t="str">
        <f>IFERROR(__xludf.DUMMYFUNCTION("""COMPUTED_VALUE"""),"Gilsinei Hansen")</f>
        <v>Gilsinei Hansen</v>
      </c>
      <c r="E714" s="228" t="str">
        <f>IFERROR(__xludf.DUMMYFUNCTION("""COMPUTED_VALUE"""),"Senior Advisor")</f>
        <v>Senior Advisor</v>
      </c>
      <c r="F714" s="453" t="str">
        <f>IFERROR(__xludf.DUMMYFUNCTION("""COMPUTED_VALUE"""),"Linx")</f>
        <v>Linx</v>
      </c>
      <c r="G714" s="455" t="str">
        <f>IFERROR(__xludf.DUMMYFUNCTION("""COMPUTED_VALUE"""),"https://www.linkedin.com/in/gilsineihansen/")</f>
        <v>https://www.linkedin.com/in/gilsineihansen/</v>
      </c>
      <c r="H714" s="453" t="str">
        <f>IFERROR(__xludf.DUMMYFUNCTION("""COMPUTED_VALUE"""),"Visão de Negócio")</f>
        <v>Visão de Negócio</v>
      </c>
      <c r="I714" s="453" t="str">
        <f>IFERROR(__xludf.DUMMYFUNCTION("""COMPUTED_VALUE"""),"Tendencias de mercado")</f>
        <v>Tendencias de mercado</v>
      </c>
      <c r="J714" s="679" t="str">
        <f>IFERROR(__xludf.DUMMYFUNCTION("""COMPUTED_VALUE"""),"Tendencias do Setor")</f>
        <v>Tendencias do Setor</v>
      </c>
      <c r="K714" s="473" t="str">
        <f>IFERROR(__xludf.DUMMYFUNCTION("""COMPUTED_VALUE"""),"https://universidade.pipelovers.net/m/lessons/o-futuro-dos-canais-indiretos-no-mercado-de-tecnologia1769552429297?classId=3142")</f>
        <v>https://universidade.pipelovers.net/m/lessons/o-futuro-dos-canais-indiretos-no-mercado-de-tecnologia1769552429297?classId=3142</v>
      </c>
      <c r="L714" s="474" t="str">
        <f>IFERROR(__xludf.DUMMYFUNCTION("""COMPUTED_VALUE"""),"https://universidade.pipelovers.net/m/lessons/o-futuro-dos-canais-indiretos-no-mercado-de-tecnologia1769552429297?classId=3142")</f>
        <v>https://universidade.pipelovers.net/m/lessons/o-futuro-dos-canais-indiretos-no-mercado-de-tecnologia1769552429297?classId=3142</v>
      </c>
      <c r="M714" s="379" t="str">
        <f>IFERROR(__xludf.DUMMYFUNCTION("""COMPUTED_VALUE"""),"4,29")</f>
        <v>4,29</v>
      </c>
      <c r="N714" s="1177" t="str">
        <f>IFERROR(__xludf.DUMMYFUNCTION("""COMPUTED_VALUE"""),"https://drive.google.com/file/d/18cewb_gTgGhfjJsMY6MXAOLwrrNZtdDp/view?usp=drive_link")</f>
        <v>https://drive.google.com/file/d/18cewb_gTgGhfjJsMY6MXAOLwrrNZtdDp/view?usp=drive_link</v>
      </c>
      <c r="O714" s="151" t="str">
        <f>IFERROR(__xludf.DUMMYFUNCTION("""COMPUTED_VALUE"""),"")</f>
        <v/>
      </c>
      <c r="P714" s="1138" t="str">
        <f>IFERROR(__xludf.DUMMYFUNCTION("""COMPUTED_VALUE"""),"11/07/2024")</f>
        <v>11/07/2024</v>
      </c>
      <c r="Q714" s="151"/>
    </row>
    <row r="715">
      <c r="A715" s="73"/>
      <c r="B715" s="1129" t="str">
        <f>IFERROR(__xludf.DUMMYFUNCTION("""COMPUTED_VALUE"""),"Canais e Parcerias")</f>
        <v>Canais e Parcerias</v>
      </c>
      <c r="C715" s="382" t="str">
        <f>IFERROR(__xludf.DUMMYFUNCTION("""COMPUTED_VALUE"""),"Pipeline de Parcerias Estratégicas")</f>
        <v>Pipeline de Parcerias Estratégicas</v>
      </c>
      <c r="D715" s="268" t="str">
        <f>IFERROR(__xludf.DUMMYFUNCTION("""COMPUTED_VALUE"""),"Leandro Sacramento")</f>
        <v>Leandro Sacramento</v>
      </c>
      <c r="E715" s="228" t="str">
        <f>IFERROR(__xludf.DUMMYFUNCTION("""COMPUTED_VALUE"""),"Strategic Partnerships")</f>
        <v>Strategic Partnerships</v>
      </c>
      <c r="F715" s="453" t="str">
        <f>IFERROR(__xludf.DUMMYFUNCTION("""COMPUTED_VALUE"""),"Uber")</f>
        <v>Uber</v>
      </c>
      <c r="G715" s="455" t="str">
        <f>IFERROR(__xludf.DUMMYFUNCTION("""COMPUTED_VALUE"""),"https://www.linkedin.com/in/leandrosacramento/")</f>
        <v>https://www.linkedin.com/in/leandrosacramento/</v>
      </c>
      <c r="H715" s="453" t="str">
        <f>IFERROR(__xludf.DUMMYFUNCTION("""COMPUTED_VALUE"""),"Conhecimento Técnico")</f>
        <v>Conhecimento Técnico</v>
      </c>
      <c r="I715" s="453" t="str">
        <f>IFERROR(__xludf.DUMMYFUNCTION("""COMPUTED_VALUE"""),"Gestão de Vendas")</f>
        <v>Gestão de Vendas</v>
      </c>
      <c r="J715" s="679" t="str">
        <f>IFERROR(__xludf.DUMMYFUNCTION("""COMPUTED_VALUE"""),"Rotinas e Rituais")</f>
        <v>Rotinas e Rituais</v>
      </c>
      <c r="K715" s="473" t="str">
        <f>IFERROR(__xludf.DUMMYFUNCTION("""COMPUTED_VALUE"""),"https://universidade.pipelovers.net/m/lessons/pipeline-de-parcerias-estrategicas1769552429326?classId=3147")</f>
        <v>https://universidade.pipelovers.net/m/lessons/pipeline-de-parcerias-estrategicas1769552429326?classId=3147</v>
      </c>
      <c r="L715" s="474" t="str">
        <f>IFERROR(__xludf.DUMMYFUNCTION("""COMPUTED_VALUE"""),"https://universidade.pipelovers.net/m/lessons/pipeline-de-parcerias-estrategicas1769552429326?classId=3147")</f>
        <v>https://universidade.pipelovers.net/m/lessons/pipeline-de-parcerias-estrategicas1769552429326?classId=3147</v>
      </c>
      <c r="M715" s="379" t="str">
        <f>IFERROR(__xludf.DUMMYFUNCTION("""COMPUTED_VALUE"""),"3,71")</f>
        <v>3,71</v>
      </c>
      <c r="N715" s="1177" t="str">
        <f>IFERROR(__xludf.DUMMYFUNCTION("""COMPUTED_VALUE"""),"https://drive.google.com/file/d/13sQCSoAF02g0aLYXHLMSqq6H2OXPg5it/view?usp=drive_link")</f>
        <v>https://drive.google.com/file/d/13sQCSoAF02g0aLYXHLMSqq6H2OXPg5it/view?usp=drive_link</v>
      </c>
      <c r="O715" s="228" t="str">
        <f>IFERROR(__xludf.DUMMYFUNCTION("""COMPUTED_VALUE"""),"")</f>
        <v/>
      </c>
      <c r="P715" s="1138" t="str">
        <f>IFERROR(__xludf.DUMMYFUNCTION("""COMPUTED_VALUE"""),"18/07/2024")</f>
        <v>18/07/2024</v>
      </c>
      <c r="Q715" s="228"/>
    </row>
    <row r="716">
      <c r="A716" s="73"/>
      <c r="B716" s="1129" t="str">
        <f>IFERROR(__xludf.DUMMYFUNCTION("""COMPUTED_VALUE"""),"Canais e Parcerias")</f>
        <v>Canais e Parcerias</v>
      </c>
      <c r="C716" s="529" t="str">
        <f>IFERROR(__xludf.DUMMYFUNCTION("""COMPUTED_VALUE"""),"Case: Programa de Canais do ZOHO CRM")</f>
        <v>Case: Programa de Canais do ZOHO CRM</v>
      </c>
      <c r="D716" s="529" t="str">
        <f>IFERROR(__xludf.DUMMYFUNCTION("""COMPUTED_VALUE"""),"Katherine Sallum")</f>
        <v>Katherine Sallum</v>
      </c>
      <c r="E716" s="228" t="str">
        <f>IFERROR(__xludf.DUMMYFUNCTION("""COMPUTED_VALUE"""),"Gerente de Parceiros")</f>
        <v>Gerente de Parceiros</v>
      </c>
      <c r="F716" s="453" t="str">
        <f>IFERROR(__xludf.DUMMYFUNCTION("""COMPUTED_VALUE"""),"Zoho")</f>
        <v>Zoho</v>
      </c>
      <c r="G716" s="455" t="str">
        <f>IFERROR(__xludf.DUMMYFUNCTION("""COMPUTED_VALUE"""),"https://www.linkedin.com/in/katherinesallum/")</f>
        <v>https://www.linkedin.com/in/katherinesallum/</v>
      </c>
      <c r="H716" s="453" t="str">
        <f>IFERROR(__xludf.DUMMYFUNCTION("""COMPUTED_VALUE"""),"Relacionamento Interpessoal")</f>
        <v>Relacionamento Interpessoal</v>
      </c>
      <c r="I716" s="453" t="str">
        <f>IFERROR(__xludf.DUMMYFUNCTION("""COMPUTED_VALUE"""),"Liderança e Influência")</f>
        <v>Liderança e Influência</v>
      </c>
      <c r="J716" s="679" t="str">
        <f>IFERROR(__xludf.DUMMYFUNCTION("""COMPUTED_VALUE"""),"Provas Sociais")</f>
        <v>Provas Sociais</v>
      </c>
      <c r="K716" s="473" t="str">
        <f>IFERROR(__xludf.DUMMYFUNCTION("""COMPUTED_VALUE"""),"https://universidade.pipelovers.net/m/lessons/case-programa-de-canais-do-zoho-crm1769552429371?classId=3148")</f>
        <v>https://universidade.pipelovers.net/m/lessons/case-programa-de-canais-do-zoho-crm1769552429371?classId=3148</v>
      </c>
      <c r="L716" s="474" t="str">
        <f>IFERROR(__xludf.DUMMYFUNCTION("""COMPUTED_VALUE"""),"https://universidade.pipelovers.net/m/lessons/case-programa-de-canais-do-zoho-crm1769552429371?classId=3148")</f>
        <v>https://universidade.pipelovers.net/m/lessons/case-programa-de-canais-do-zoho-crm1769552429371?classId=3148</v>
      </c>
      <c r="M716" s="1188" t="str">
        <f>IFERROR(__xludf.DUMMYFUNCTION("""COMPUTED_VALUE"""),"3")</f>
        <v>3</v>
      </c>
      <c r="N716" s="1189" t="str">
        <f>IFERROR(__xludf.DUMMYFUNCTION("""COMPUTED_VALUE"""),"https://drive.google.com/file/d/1spaCsDreMsa8MuEmYrPHENdsG4wpNKjk/view?usp=drive_link")</f>
        <v>https://drive.google.com/file/d/1spaCsDreMsa8MuEmYrPHENdsG4wpNKjk/view?usp=drive_link</v>
      </c>
      <c r="O716" s="151" t="str">
        <f>IFERROR(__xludf.DUMMYFUNCTION("""COMPUTED_VALUE"""),"")</f>
        <v/>
      </c>
      <c r="P716" s="1138" t="str">
        <f>IFERROR(__xludf.DUMMYFUNCTION("""COMPUTED_VALUE"""),"25/07/2024")</f>
        <v>25/07/2024</v>
      </c>
      <c r="Q716" s="151"/>
    </row>
    <row r="717">
      <c r="A717" s="73"/>
      <c r="B717" s="1129" t="str">
        <f>IFERROR(__xludf.DUMMYFUNCTION("""COMPUTED_VALUE"""),"Canais e Parcerias")</f>
        <v>Canais e Parcerias</v>
      </c>
      <c r="C717" s="382" t="str">
        <f>IFERROR(__xludf.DUMMYFUNCTION("""COMPUTED_VALUE"""),"Identificando  alavancas nos Canais de Vendas Indiretas")</f>
        <v>Identificando  alavancas nos Canais de Vendas Indiretas</v>
      </c>
      <c r="D717" s="268" t="str">
        <f>IFERROR(__xludf.DUMMYFUNCTION("""COMPUTED_VALUE"""),"Roberto Dariva")</f>
        <v>Roberto Dariva</v>
      </c>
      <c r="E717" s="151" t="str">
        <f>IFERROR(__xludf.DUMMYFUNCTION("""COMPUTED_VALUE"""),"-")</f>
        <v>-</v>
      </c>
      <c r="F717" s="648" t="str">
        <f>IFERROR(__xludf.DUMMYFUNCTION("""COMPUTED_VALUE"""),"-")</f>
        <v>-</v>
      </c>
      <c r="G717" s="647" t="str">
        <f>IFERROR(__xludf.DUMMYFUNCTION("""COMPUTED_VALUE"""),"https://www.linkedin.com/in/dariva/")</f>
        <v>https://www.linkedin.com/in/dariva/</v>
      </c>
      <c r="H717" s="648" t="str">
        <f>IFERROR(__xludf.DUMMYFUNCTION("""COMPUTED_VALUE"""),"Conhecimento Técnico")</f>
        <v>Conhecimento Técnico</v>
      </c>
      <c r="I717" s="648" t="str">
        <f>IFERROR(__xludf.DUMMYFUNCTION("""COMPUTED_VALUE"""),"Pensamento Crítico")</f>
        <v>Pensamento Crítico</v>
      </c>
      <c r="J717" s="649" t="str">
        <f>IFERROR(__xludf.DUMMYFUNCTION("""COMPUTED_VALUE"""),"Métricas de Funil")</f>
        <v>Métricas de Funil</v>
      </c>
      <c r="K717" s="473" t="str">
        <f>IFERROR(__xludf.DUMMYFUNCTION("""COMPUTED_VALUE"""),"https://universidade.pipelovers.net/aulas/identificando-alavancas-nos-canais-de-vendas-indiretas-1775076477959")</f>
        <v>https://universidade.pipelovers.net/aulas/identificando-alavancas-nos-canais-de-vendas-indiretas-1775076477959</v>
      </c>
      <c r="L717" s="474" t="str">
        <f>IFERROR(__xludf.DUMMYFUNCTION("""COMPUTED_VALUE"""),"https://universidade.pipelovers.net/aulas/identificando-alavancas-nos-canais-de-vendas-indiretas-1775076477959")</f>
        <v>https://universidade.pipelovers.net/aulas/identificando-alavancas-nos-canais-de-vendas-indiretas-1775076477959</v>
      </c>
      <c r="M717" s="379" t="str">
        <f>IFERROR(__xludf.DUMMYFUNCTION("""COMPUTED_VALUE"""),"3,71")</f>
        <v>3,71</v>
      </c>
      <c r="N717" s="1177" t="str">
        <f>IFERROR(__xludf.DUMMYFUNCTION("""COMPUTED_VALUE"""),"https://drive.google.com/file/d/1rI-2fq6SWdDqI0nrjYSynpEfEILo7Cpn/view?usp=drive_link")</f>
        <v>https://drive.google.com/file/d/1rI-2fq6SWdDqI0nrjYSynpEfEILo7Cpn/view?usp=drive_link</v>
      </c>
      <c r="O717" s="228" t="str">
        <f>IFERROR(__xludf.DUMMYFUNCTION("""COMPUTED_VALUE"""),"")</f>
        <v/>
      </c>
      <c r="P717" s="1138" t="str">
        <f>IFERROR(__xludf.DUMMYFUNCTION("""COMPUTED_VALUE"""),"01/08/2024")</f>
        <v>01/08/2024</v>
      </c>
      <c r="Q717" s="228"/>
    </row>
    <row r="718">
      <c r="A718" s="73"/>
      <c r="B718" s="1129" t="str">
        <f>IFERROR(__xludf.DUMMYFUNCTION("""COMPUTED_VALUE"""),"Canais e Parcerias")</f>
        <v>Canais e Parcerias</v>
      </c>
      <c r="C718" s="501" t="str">
        <f>IFERROR(__xludf.DUMMYFUNCTION("""COMPUTED_VALUE"""),"Vendedores especialistas com produtos de parceiros")</f>
        <v>Vendedores especialistas com produtos de parceiros</v>
      </c>
      <c r="D718" s="529" t="str">
        <f>IFERROR(__xludf.DUMMYFUNCTION("""COMPUTED_VALUE"""),"Romulo Ferreira")</f>
        <v>Romulo Ferreira</v>
      </c>
      <c r="E718" s="228" t="str">
        <f>IFERROR(__xludf.DUMMYFUNCTION("""COMPUTED_VALUE"""),"Head Comercial")</f>
        <v>Head Comercial</v>
      </c>
      <c r="F718" s="453" t="str">
        <f>IFERROR(__xludf.DUMMYFUNCTION("""COMPUTED_VALUE"""),"TOTVS")</f>
        <v>TOTVS</v>
      </c>
      <c r="G718" s="455" t="str">
        <f>IFERROR(__xludf.DUMMYFUNCTION("""COMPUTED_VALUE"""),"https://www.linkedin.com/in/romulo-ferreira-16899b73/")</f>
        <v>https://www.linkedin.com/in/romulo-ferreira-16899b73/</v>
      </c>
      <c r="H718" s="453" t="str">
        <f>IFERROR(__xludf.DUMMYFUNCTION("""COMPUTED_VALUE"""),"Conhecimento Técnico")</f>
        <v>Conhecimento Técnico</v>
      </c>
      <c r="I718" s="453" t="str">
        <f>IFERROR(__xludf.DUMMYFUNCTION("""COMPUTED_VALUE"""),"Gestão de Vendas")</f>
        <v>Gestão de Vendas</v>
      </c>
      <c r="J718" s="679" t="str">
        <f>IFERROR(__xludf.DUMMYFUNCTION("""COMPUTED_VALUE"""),"UpSell e Cross Sell")</f>
        <v>UpSell e Cross Sell</v>
      </c>
      <c r="K718" s="473" t="str">
        <f>IFERROR(__xludf.DUMMYFUNCTION("""COMPUTED_VALUE"""),"https://universidade.pipelovers.net/m/lessons/vendedores-especialistas-com-produtos-de-parceiros1769552429522?classId=3150")</f>
        <v>https://universidade.pipelovers.net/m/lessons/vendedores-especialistas-com-produtos-de-parceiros1769552429522?classId=3150</v>
      </c>
      <c r="L718" s="474" t="str">
        <f>IFERROR(__xludf.DUMMYFUNCTION("""COMPUTED_VALUE"""),"https://universidade.pipelovers.net/m/lessons/vendedores-especialistas-com-produtos-de-parceiros1769552429522?classId=3150")</f>
        <v>https://universidade.pipelovers.net/m/lessons/vendedores-especialistas-com-produtos-de-parceiros1769552429522?classId=3150</v>
      </c>
      <c r="M718" s="379" t="str">
        <f>IFERROR(__xludf.DUMMYFUNCTION("""COMPUTED_VALUE"""),"3,71")</f>
        <v>3,71</v>
      </c>
      <c r="N718" s="1177" t="str">
        <f>IFERROR(__xludf.DUMMYFUNCTION("""COMPUTED_VALUE"""),"https://drive.google.com/file/d/1Suv5U4NugZtSlk6DuaG0to9qdJZgS0Es/view?usp=drive_link")</f>
        <v>https://drive.google.com/file/d/1Suv5U4NugZtSlk6DuaG0to9qdJZgS0Es/view?usp=drive_link</v>
      </c>
      <c r="O718" s="151" t="str">
        <f>IFERROR(__xludf.DUMMYFUNCTION("""COMPUTED_VALUE"""),"")</f>
        <v/>
      </c>
      <c r="P718" s="1138" t="str">
        <f>IFERROR(__xludf.DUMMYFUNCTION("""COMPUTED_VALUE"""),"08/08/2024")</f>
        <v>08/08/2024</v>
      </c>
      <c r="Q718" s="151"/>
    </row>
    <row r="719">
      <c r="A719" s="73"/>
      <c r="B719" s="1129" t="str">
        <f>IFERROR(__xludf.DUMMYFUNCTION("""COMPUTED_VALUE"""),"Canais e Parcerias")</f>
        <v>Canais e Parcerias</v>
      </c>
      <c r="C719" s="268" t="str">
        <f>IFERROR(__xludf.DUMMYFUNCTION("""COMPUTED_VALUE"""),"Quando e como usar multicanais como estratégia de crescimento de receita")</f>
        <v>Quando e como usar multicanais como estratégia de crescimento de receita</v>
      </c>
      <c r="D719" s="268" t="str">
        <f>IFERROR(__xludf.DUMMYFUNCTION("""COMPUTED_VALUE"""),"Fabiane Auler")</f>
        <v>Fabiane Auler</v>
      </c>
      <c r="E719" s="151" t="str">
        <f>IFERROR(__xludf.DUMMYFUNCTION("""COMPUTED_VALUE"""),"BizDev &amp; Strategic Partnerships Specialist")</f>
        <v>BizDev &amp; Strategic Partnerships Specialist</v>
      </c>
      <c r="F719" s="648" t="str">
        <f>IFERROR(__xludf.DUMMYFUNCTION("""COMPUTED_VALUE"""),"RD Station")</f>
        <v>RD Station</v>
      </c>
      <c r="G719" s="647" t="str">
        <f>IFERROR(__xludf.DUMMYFUNCTION("""COMPUTED_VALUE"""),"https://www.linkedin.com/in/fabianeauler/")</f>
        <v>https://www.linkedin.com/in/fabianeauler/</v>
      </c>
      <c r="H719" s="648" t="str">
        <f>IFERROR(__xludf.DUMMYFUNCTION("""COMPUTED_VALUE"""),"Conhecimento Técnico")</f>
        <v>Conhecimento Técnico</v>
      </c>
      <c r="I719" s="648" t="str">
        <f>IFERROR(__xludf.DUMMYFUNCTION("""COMPUTED_VALUE"""),"Gestão de Vendas")</f>
        <v>Gestão de Vendas</v>
      </c>
      <c r="J719" s="649" t="str">
        <f>IFERROR(__xludf.DUMMYFUNCTION("""COMPUTED_VALUE"""),"Planejamento Comercial")</f>
        <v>Planejamento Comercial</v>
      </c>
      <c r="K719" s="473" t="str">
        <f>IFERROR(__xludf.DUMMYFUNCTION("""COMPUTED_VALUE"""),"https://universidade.pipelovers.net/m/lessons/quando-e-como-usar-multicanais-como-estrategia-de-crescimento-de-receita1769552437784?classId=3151")</f>
        <v>https://universidade.pipelovers.net/m/lessons/quando-e-como-usar-multicanais-como-estrategia-de-crescimento-de-receita1769552437784?classId=3151</v>
      </c>
      <c r="L719" s="474" t="str">
        <f>IFERROR(__xludf.DUMMYFUNCTION("""COMPUTED_VALUE"""),"https://universidade.pipelovers.net/m/lessons/quando-e-como-usar-multicanais-como-estrategia-de-crescimento-de-receita1769552437784?classId=3151")</f>
        <v>https://universidade.pipelovers.net/m/lessons/quando-e-como-usar-multicanais-como-estrategia-de-crescimento-de-receita1769552437784?classId=3151</v>
      </c>
      <c r="M719" s="379" t="str">
        <f>IFERROR(__xludf.DUMMYFUNCTION("""COMPUTED_VALUE"""),"4,21")</f>
        <v>4,21</v>
      </c>
      <c r="N719" s="1177" t="str">
        <f>IFERROR(__xludf.DUMMYFUNCTION("""COMPUTED_VALUE"""),"https://drive.google.com/file/d/1ZIO2TRNeajDy1u44eYoQKwEH-7jcLGj6/view?usp=drive_link")</f>
        <v>https://drive.google.com/file/d/1ZIO2TRNeajDy1u44eYoQKwEH-7jcLGj6/view?usp=drive_link</v>
      </c>
      <c r="O719" s="228" t="str">
        <f>IFERROR(__xludf.DUMMYFUNCTION("""COMPUTED_VALUE"""),"")</f>
        <v/>
      </c>
      <c r="P719" s="1138" t="str">
        <f>IFERROR(__xludf.DUMMYFUNCTION("""COMPUTED_VALUE"""),"15/08/2024")</f>
        <v>15/08/2024</v>
      </c>
      <c r="Q719" s="228"/>
    </row>
    <row r="720">
      <c r="A720" s="73"/>
      <c r="B720" s="1129" t="str">
        <f>IFERROR(__xludf.DUMMYFUNCTION("""COMPUTED_VALUE"""),"Canais e Parcerias")</f>
        <v>Canais e Parcerias</v>
      </c>
      <c r="C720" s="501" t="str">
        <f>IFERROR(__xludf.DUMMYFUNCTION("""COMPUTED_VALUE"""),"Demonstrações interativas para capacitação de canais indiretos")</f>
        <v>Demonstrações interativas para capacitação de canais indiretos</v>
      </c>
      <c r="D720" s="529" t="str">
        <f>IFERROR(__xludf.DUMMYFUNCTION("""COMPUTED_VALUE"""),"Matheus Weigand")</f>
        <v>Matheus Weigand</v>
      </c>
      <c r="E720" s="228" t="str">
        <f>IFERROR(__xludf.DUMMYFUNCTION("""COMPUTED_VALUE"""),"CEO &amp; Founder")</f>
        <v>CEO &amp; Founder</v>
      </c>
      <c r="F720" s="453" t="str">
        <f>IFERROR(__xludf.DUMMYFUNCTION("""COMPUTED_VALUE"""),"Getdemo")</f>
        <v>Getdemo</v>
      </c>
      <c r="G720" s="455" t="str">
        <f>IFERROR(__xludf.DUMMYFUNCTION("""COMPUTED_VALUE"""),"https://www.linkedin.com/in/matheus-weigand-5aa415151/")</f>
        <v>https://www.linkedin.com/in/matheus-weigand-5aa415151/</v>
      </c>
      <c r="H720" s="453" t="str">
        <f>IFERROR(__xludf.DUMMYFUNCTION("""COMPUTED_VALUE"""),"Conhecimento Técnico")</f>
        <v>Conhecimento Técnico</v>
      </c>
      <c r="I720" s="453" t="str">
        <f>IFERROR(__xludf.DUMMYFUNCTION("""COMPUTED_VALUE"""),"Gestão de Vendas")</f>
        <v>Gestão de Vendas</v>
      </c>
      <c r="J720" s="453" t="str">
        <f>IFERROR(__xludf.DUMMYFUNCTION("""COMPUTED_VALUE"""),"Ferramentas de Vendas")</f>
        <v>Ferramentas de Vendas</v>
      </c>
      <c r="K720" s="473" t="str">
        <f>IFERROR(__xludf.DUMMYFUNCTION("""COMPUTED_VALUE"""),"https://universidade.pipelovers.net/m/lessons/demonstracoes-interativas-para-capacitacao-de-canais-indiretos1769552438073?classId=3152")</f>
        <v>https://universidade.pipelovers.net/m/lessons/demonstracoes-interativas-para-capacitacao-de-canais-indiretos1769552438073?classId=3152</v>
      </c>
      <c r="L720" s="474" t="str">
        <f>IFERROR(__xludf.DUMMYFUNCTION("""COMPUTED_VALUE"""),"https://universidade.pipelovers.net/m/lessons/demonstracoes-interativas-para-capacitacao-de-canais-indiretos1769552438073?classId=3152")</f>
        <v>https://universidade.pipelovers.net/m/lessons/demonstracoes-interativas-para-capacitacao-de-canais-indiretos1769552438073?classId=3152</v>
      </c>
      <c r="M720" s="117">
        <f>IFERROR(__xludf.DUMMYFUNCTION("""COMPUTED_VALUE"""),1.0)</f>
        <v>1</v>
      </c>
      <c r="N720" s="1177" t="str">
        <f>IFERROR(__xludf.DUMMYFUNCTION("""COMPUTED_VALUE"""),"https://drive.google.com/file/d/1iJIDXdNFXvDKmmLc-Q8RIhaiihqq_7s9/view?usp=drive_link")</f>
        <v>https://drive.google.com/file/d/1iJIDXdNFXvDKmmLc-Q8RIhaiihqq_7s9/view?usp=drive_link</v>
      </c>
      <c r="O720" s="151" t="str">
        <f>IFERROR(__xludf.DUMMYFUNCTION("""COMPUTED_VALUE"""),"")</f>
        <v/>
      </c>
      <c r="P720" s="1138">
        <f>IFERROR(__xludf.DUMMYFUNCTION("""COMPUTED_VALUE"""),45526.0)</f>
        <v>45526</v>
      </c>
      <c r="Q720" s="151"/>
    </row>
    <row r="721">
      <c r="A721" s="73"/>
      <c r="B721" s="1129" t="str">
        <f>IFERROR(__xludf.DUMMYFUNCTION("""COMPUTED_VALUE"""),"Canais e Parcerias")</f>
        <v>Canais e Parcerias</v>
      </c>
      <c r="C721" s="544" t="str">
        <f>IFERROR(__xludf.DUMMYFUNCTION("""COMPUTED_VALUE"""),"Moldando seu programa de canais ao contexto organizacional")</f>
        <v>Moldando seu programa de canais ao contexto organizacional</v>
      </c>
      <c r="D721" s="268" t="str">
        <f>IFERROR(__xludf.DUMMYFUNCTION("""COMPUTED_VALUE"""),"Gabriel Higa")</f>
        <v>Gabriel Higa</v>
      </c>
      <c r="E721" s="151" t="str">
        <f>IFERROR(__xludf.DUMMYFUNCTION("""COMPUTED_VALUE"""),"Head de Canais e Parcerias")</f>
        <v>Head de Canais e Parcerias</v>
      </c>
      <c r="F721" s="648" t="str">
        <f>IFERROR(__xludf.DUMMYFUNCTION("""COMPUTED_VALUE"""),"HealthBit")</f>
        <v>HealthBit</v>
      </c>
      <c r="G721" s="647" t="str">
        <f>IFERROR(__xludf.DUMMYFUNCTION("""COMPUTED_VALUE"""),"https://www.linkedin.com/in/gabrielhiga/")</f>
        <v>https://www.linkedin.com/in/gabrielhiga/</v>
      </c>
      <c r="H721" s="648" t="str">
        <f>IFERROR(__xludf.DUMMYFUNCTION("""COMPUTED_VALUE"""),"Conhecimento Técnico")</f>
        <v>Conhecimento Técnico</v>
      </c>
      <c r="I721" s="648" t="str">
        <f>IFERROR(__xludf.DUMMYFUNCTION("""COMPUTED_VALUE"""),"Gestão de Vendas")</f>
        <v>Gestão de Vendas</v>
      </c>
      <c r="J721" s="649" t="str">
        <f>IFERROR(__xludf.DUMMYFUNCTION("""COMPUTED_VALUE"""),"Planejamento Comercial")</f>
        <v>Planejamento Comercial</v>
      </c>
      <c r="K721" s="483" t="str">
        <f>IFERROR(__xludf.DUMMYFUNCTION("""COMPUTED_VALUE"""),"https://universidade.pipelovers.net/m/lessons/moldando-seu-programa-de-canais-ao-contexto-organizacional1769552438130?classId=3154")</f>
        <v>https://universidade.pipelovers.net/m/lessons/moldando-seu-programa-de-canais-ao-contexto-organizacional1769552438130?classId=3154</v>
      </c>
      <c r="L721" s="789" t="str">
        <f>IFERROR(__xludf.DUMMYFUNCTION("""COMPUTED_VALUE"""),"https://universidade.pipelovers.net/m/lessons/moldando-seu-programa-de-canais-ao-contexto-organizacional1769552438130?classId=3154")</f>
        <v>https://universidade.pipelovers.net/m/lessons/moldando-seu-programa-de-canais-ao-contexto-organizacional1769552438130?classId=3154</v>
      </c>
      <c r="M721" s="379" t="str">
        <f>IFERROR(__xludf.DUMMYFUNCTION("""COMPUTED_VALUE"""),"2")</f>
        <v>2</v>
      </c>
      <c r="N721" s="1190" t="str">
        <f>IFERROR(__xludf.DUMMYFUNCTION("""COMPUTED_VALUE"""),"https://drive.google.com/file/d/1_JHKt0MKFJ3o9roKzThFfuapZSerCqPE/view?usp=drive_link")</f>
        <v>https://drive.google.com/file/d/1_JHKt0MKFJ3o9roKzThFfuapZSerCqPE/view?usp=drive_link</v>
      </c>
      <c r="O721" s="228" t="str">
        <f>IFERROR(__xludf.DUMMYFUNCTION("""COMPUTED_VALUE"""),"")</f>
        <v/>
      </c>
      <c r="P721" s="1138" t="str">
        <f>IFERROR(__xludf.DUMMYFUNCTION("""COMPUTED_VALUE"""),"29/08/2024")</f>
        <v>29/08/2024</v>
      </c>
      <c r="Q721" s="228"/>
    </row>
    <row r="722">
      <c r="A722" s="73"/>
      <c r="B722" s="1129" t="str">
        <f>IFERROR(__xludf.DUMMYFUNCTION("""COMPUTED_VALUE"""),"Canais e Parcerias")</f>
        <v>Canais e Parcerias</v>
      </c>
      <c r="C722" s="501" t="str">
        <f>IFERROR(__xludf.DUMMYFUNCTION("""COMPUTED_VALUE"""),"Como construir um ecossistema em uma indústria tradicional?")</f>
        <v>Como construir um ecossistema em uma indústria tradicional?</v>
      </c>
      <c r="D722" s="529" t="str">
        <f>IFERROR(__xludf.DUMMYFUNCTION("""COMPUTED_VALUE"""),"J.R. Caporal")</f>
        <v>J.R. Caporal</v>
      </c>
      <c r="E722" s="228" t="str">
        <f>IFERROR(__xludf.DUMMYFUNCTION("""COMPUTED_VALUE"""),"Presidente e Fundador")</f>
        <v>Presidente e Fundador</v>
      </c>
      <c r="F722" s="453" t="str">
        <f>IFERROR(__xludf.DUMMYFUNCTION("""COMPUTED_VALUE"""),"AutoAvaliar")</f>
        <v>AutoAvaliar</v>
      </c>
      <c r="G722" s="455" t="str">
        <f>IFERROR(__xludf.DUMMYFUNCTION("""COMPUTED_VALUE"""),"https://www.linkedin.com/in/jrcaporal/")</f>
        <v>https://www.linkedin.com/in/jrcaporal/</v>
      </c>
      <c r="H722" s="453" t="str">
        <f>IFERROR(__xludf.DUMMYFUNCTION("""COMPUTED_VALUE"""),"Visão de Negócio")</f>
        <v>Visão de Negócio</v>
      </c>
      <c r="I722" s="453" t="str">
        <f>IFERROR(__xludf.DUMMYFUNCTION("""COMPUTED_VALUE"""),"Tendencias de mercado")</f>
        <v>Tendencias de mercado</v>
      </c>
      <c r="J722" s="679" t="str">
        <f>IFERROR(__xludf.DUMMYFUNCTION("""COMPUTED_VALUE"""),"Tendencias do Setor")</f>
        <v>Tendencias do Setor</v>
      </c>
      <c r="K722" s="473" t="str">
        <f>IFERROR(__xludf.DUMMYFUNCTION("""COMPUTED_VALUE"""),"https://universidade.pipelovers.net/m/lessons/como-construir-um-ecossistema-em-uma-industria-tradicional1769552438207?classId=3155")</f>
        <v>https://universidade.pipelovers.net/m/lessons/como-construir-um-ecossistema-em-uma-industria-tradicional1769552438207?classId=3155</v>
      </c>
      <c r="L722" s="474" t="str">
        <f>IFERROR(__xludf.DUMMYFUNCTION("""COMPUTED_VALUE"""),"https://universidade.pipelovers.net/m/lessons/como-construir-um-ecossistema-em-uma-industria-tradicional1769552438207?classId=3155")</f>
        <v>https://universidade.pipelovers.net/m/lessons/como-construir-um-ecossistema-em-uma-industria-tradicional1769552438207?classId=3155</v>
      </c>
      <c r="M722" s="379" t="str">
        <f>IFERROR(__xludf.DUMMYFUNCTION("""COMPUTED_VALUE"""),"3,71")</f>
        <v>3,71</v>
      </c>
      <c r="N722" s="1177" t="str">
        <f>IFERROR(__xludf.DUMMYFUNCTION("""COMPUTED_VALUE"""),"https://drive.google.com/file/d/1_l8ZjkWhK7bFzWwsIOGJjrJgsOXtQZ_d/view?usp=drive_link")</f>
        <v>https://drive.google.com/file/d/1_l8ZjkWhK7bFzWwsIOGJjrJgsOXtQZ_d/view?usp=drive_link</v>
      </c>
      <c r="O722" s="151" t="str">
        <f>IFERROR(__xludf.DUMMYFUNCTION("""COMPUTED_VALUE"""),"")</f>
        <v/>
      </c>
      <c r="P722" s="1138" t="str">
        <f>IFERROR(__xludf.DUMMYFUNCTION("""COMPUTED_VALUE"""),"05/09/2024")</f>
        <v>05/09/2024</v>
      </c>
      <c r="Q722" s="151"/>
    </row>
    <row r="723">
      <c r="A723" s="73"/>
      <c r="B723" s="1129" t="str">
        <f>IFERROR(__xludf.DUMMYFUNCTION("""COMPUTED_VALUE"""),"Canais e Parcerias")</f>
        <v>Canais e Parcerias</v>
      </c>
      <c r="C723" s="268" t="str">
        <f>IFERROR(__xludf.DUMMYFUNCTION("""COMPUTED_VALUE"""),"Vendas Indiretas para Clientes Enterprise")</f>
        <v>Vendas Indiretas para Clientes Enterprise</v>
      </c>
      <c r="D723" s="268" t="str">
        <f>IFERROR(__xludf.DUMMYFUNCTION("""COMPUTED_VALUE"""),"Paulo Asano")</f>
        <v>Paulo Asano</v>
      </c>
      <c r="E723" s="151" t="str">
        <f>IFERROR(__xludf.DUMMYFUNCTION("""COMPUTED_VALUE"""),"CEO")</f>
        <v>CEO</v>
      </c>
      <c r="F723" s="648" t="str">
        <f>IFERROR(__xludf.DUMMYFUNCTION("""COMPUTED_VALUE"""),"Populos")</f>
        <v>Populos</v>
      </c>
      <c r="G723" s="647" t="str">
        <f>IFERROR(__xludf.DUMMYFUNCTION("""COMPUTED_VALUE"""),"https://www.linkedin.com/in/pauloasano/")</f>
        <v>https://www.linkedin.com/in/pauloasano/</v>
      </c>
      <c r="H723" s="648" t="str">
        <f>IFERROR(__xludf.DUMMYFUNCTION("""COMPUTED_VALUE"""),"Visão de Negócio")</f>
        <v>Visão de Negócio</v>
      </c>
      <c r="I723" s="648" t="str">
        <f>IFERROR(__xludf.DUMMYFUNCTION("""COMPUTED_VALUE"""),"Conhecimento de Produto e Negócio")</f>
        <v>Conhecimento de Produto e Negócio</v>
      </c>
      <c r="J723" s="649" t="str">
        <f>IFERROR(__xludf.DUMMYFUNCTION("""COMPUTED_VALUE"""),"Segmentação de Mercado")</f>
        <v>Segmentação de Mercado</v>
      </c>
      <c r="K723" s="473" t="str">
        <f>IFERROR(__xludf.DUMMYFUNCTION("""COMPUTED_VALUE"""),"https://universidade.pipelovers.net/m/lessons/vendas-indiretas-para-clientes-enterprise1769552438287?classId=3156")</f>
        <v>https://universidade.pipelovers.net/m/lessons/vendas-indiretas-para-clientes-enterprise1769552438287?classId=3156</v>
      </c>
      <c r="L723" s="474" t="str">
        <f>IFERROR(__xludf.DUMMYFUNCTION("""COMPUTED_VALUE"""),"https://universidade.pipelovers.net/m/lessons/vendas-indiretas-para-clientes-enterprise1769552438287?classId=3156")</f>
        <v>https://universidade.pipelovers.net/m/lessons/vendas-indiretas-para-clientes-enterprise1769552438287?classId=3156</v>
      </c>
      <c r="M723" s="379" t="str">
        <f>IFERROR(__xludf.DUMMYFUNCTION("""COMPUTED_VALUE"""),"2")</f>
        <v>2</v>
      </c>
      <c r="N723" s="1177" t="str">
        <f>IFERROR(__xludf.DUMMYFUNCTION("""COMPUTED_VALUE"""),"https://drive.google.com/file/d/1MfFVd5_P4nVhak1gtq6OF_ug4d06265e/view?usp=drive_link")</f>
        <v>https://drive.google.com/file/d/1MfFVd5_P4nVhak1gtq6OF_ug4d06265e/view?usp=drive_link</v>
      </c>
      <c r="O723" s="228" t="str">
        <f>IFERROR(__xludf.DUMMYFUNCTION("""COMPUTED_VALUE"""),"")</f>
        <v/>
      </c>
      <c r="P723" s="1138" t="str">
        <f>IFERROR(__xludf.DUMMYFUNCTION("""COMPUTED_VALUE"""),"12/09/2024")</f>
        <v>12/09/2024</v>
      </c>
      <c r="Q723" s="228"/>
    </row>
    <row r="724">
      <c r="A724" s="73"/>
      <c r="B724" s="1129" t="str">
        <f>IFERROR(__xludf.DUMMYFUNCTION("""COMPUTED_VALUE"""),"Canais e Parcerias")</f>
        <v>Canais e Parcerias</v>
      </c>
      <c r="C724" s="501" t="str">
        <f>IFERROR(__xludf.DUMMYFUNCTION("""COMPUTED_VALUE"""),"O impacto dos marketplaces em negócios B2B")</f>
        <v>O impacto dos marketplaces em negócios B2B</v>
      </c>
      <c r="D724" s="529" t="str">
        <f>IFERROR(__xludf.DUMMYFUNCTION("""COMPUTED_VALUE"""),"Silvio Mota")</f>
        <v>Silvio Mota</v>
      </c>
      <c r="E724" s="228" t="str">
        <f>IFERROR(__xludf.DUMMYFUNCTION("""COMPUTED_VALUE"""),"Diretor Global | Vendas, Canais &amp; Parcerias.")</f>
        <v>Diretor Global | Vendas, Canais &amp; Parcerias.</v>
      </c>
      <c r="F724" s="453" t="str">
        <f>IFERROR(__xludf.DUMMYFUNCTION("""COMPUTED_VALUE"""),"Mercado Eletronico")</f>
        <v>Mercado Eletronico</v>
      </c>
      <c r="G724" s="455" t="str">
        <f>IFERROR(__xludf.DUMMYFUNCTION("""COMPUTED_VALUE"""),"https://www.linkedin.com/in/mota-silvio/")</f>
        <v>https://www.linkedin.com/in/mota-silvio/</v>
      </c>
      <c r="H724" s="453" t="str">
        <f>IFERROR(__xludf.DUMMYFUNCTION("""COMPUTED_VALUE"""),"Visão de Negócios")</f>
        <v>Visão de Negócios</v>
      </c>
      <c r="I724" s="453" t="str">
        <f>IFERROR(__xludf.DUMMYFUNCTION("""COMPUTED_VALUE"""),"Tendencias de mercado")</f>
        <v>Tendencias de mercado</v>
      </c>
      <c r="J724" s="679" t="str">
        <f>IFERROR(__xludf.DUMMYFUNCTION("""COMPUTED_VALUE"""),"Inovações Tecnológicas")</f>
        <v>Inovações Tecnológicas</v>
      </c>
      <c r="K724" s="473" t="str">
        <f>IFERROR(__xludf.DUMMYFUNCTION("""COMPUTED_VALUE"""),"https://universidade.pipelovers.net/m/lessons/o-impacto-dos-marketplaces-em-negocios-b2b1769552438337?classId=3157")</f>
        <v>https://universidade.pipelovers.net/m/lessons/o-impacto-dos-marketplaces-em-negocios-b2b1769552438337?classId=3157</v>
      </c>
      <c r="L724" s="474" t="str">
        <f>IFERROR(__xludf.DUMMYFUNCTION("""COMPUTED_VALUE"""),"https://universidade.pipelovers.net/m/lessons/o-impacto-dos-marketplaces-em-negocios-b2b1769552438337?classId=3157")</f>
        <v>https://universidade.pipelovers.net/m/lessons/o-impacto-dos-marketplaces-em-negocios-b2b1769552438337?classId=3157</v>
      </c>
      <c r="M724" s="379" t="str">
        <f>IFERROR(__xludf.DUMMYFUNCTION("""COMPUTED_VALUE"""),"3,71")</f>
        <v>3,71</v>
      </c>
      <c r="N724" s="1177" t="str">
        <f>IFERROR(__xludf.DUMMYFUNCTION("""COMPUTED_VALUE"""),"https://drive.google.com/file/d/1e_ZV5JaVgsNHDpiy-Uhlcdwpuhc10ihh/view?usp=drive_link")</f>
        <v>https://drive.google.com/file/d/1e_ZV5JaVgsNHDpiy-Uhlcdwpuhc10ihh/view?usp=drive_link</v>
      </c>
      <c r="O724" s="151" t="str">
        <f>IFERROR(__xludf.DUMMYFUNCTION("""COMPUTED_VALUE"""),"")</f>
        <v/>
      </c>
      <c r="P724" s="1138" t="str">
        <f>IFERROR(__xludf.DUMMYFUNCTION("""COMPUTED_VALUE"""),"19/09/2024")</f>
        <v>19/09/2024</v>
      </c>
      <c r="Q724" s="151"/>
    </row>
    <row r="725">
      <c r="A725" s="73"/>
      <c r="B725" s="1129" t="str">
        <f>IFERROR(__xludf.DUMMYFUNCTION("""COMPUTED_VALUE"""),"Canais e Parcerias")</f>
        <v>Canais e Parcerias</v>
      </c>
      <c r="C725" s="181" t="str">
        <f>IFERROR(__xludf.DUMMYFUNCTION("""COMPUTED_VALUE"""),"Best Sellers - Receita Previsível")</f>
        <v>Best Sellers - Receita Previsível</v>
      </c>
      <c r="D725" s="268" t="str">
        <f>IFERROR(__xludf.DUMMYFUNCTION("""COMPUTED_VALUE"""),"Aaron Ross")</f>
        <v>Aaron Ross</v>
      </c>
      <c r="E725" s="151" t="str">
        <f>IFERROR(__xludf.DUMMYFUNCTION("""COMPUTED_VALUE"""),"Autor do livro “Receita Previsível”")</f>
        <v>Autor do livro “Receita Previsível”</v>
      </c>
      <c r="F725" s="648" t="str">
        <f>IFERROR(__xludf.DUMMYFUNCTION("""COMPUTED_VALUE"""),"-")</f>
        <v>-</v>
      </c>
      <c r="G725" s="647" t="str">
        <f>IFERROR(__xludf.DUMMYFUNCTION("""COMPUTED_VALUE"""),"https://www.linkedin.com/in/aaronross/")</f>
        <v>https://www.linkedin.com/in/aaronross/</v>
      </c>
      <c r="H725" s="648" t="str">
        <f>IFERROR(__xludf.DUMMYFUNCTION("""COMPUTED_VALUE"""),"Autodesenvolvimento")</f>
        <v>Autodesenvolvimento</v>
      </c>
      <c r="I725" s="648" t="str">
        <f>IFERROR(__xludf.DUMMYFUNCTION("""COMPUTED_VALUE"""),"Aprendizado Ativo")</f>
        <v>Aprendizado Ativo</v>
      </c>
      <c r="J725" s="649" t="str">
        <f>IFERROR(__xludf.DUMMYFUNCTION("""COMPUTED_VALUE"""),"Benchmarking")</f>
        <v>Benchmarking</v>
      </c>
      <c r="K725" s="473" t="str">
        <f>IFERROR(__xludf.DUMMYFUNCTION("""COMPUTED_VALUE"""),"https://universidade.pipelovers.net/aulas/bestsellers-1775504294126")</f>
        <v>https://universidade.pipelovers.net/aulas/bestsellers-1775504294126</v>
      </c>
      <c r="L725" s="474" t="str">
        <f>IFERROR(__xludf.DUMMYFUNCTION("""COMPUTED_VALUE"""),"https://universidade.pipelovers.net/aulas/bestsellers-1775504294126")</f>
        <v>https://universidade.pipelovers.net/aulas/bestsellers-1775504294126</v>
      </c>
      <c r="M725" s="379" t="str">
        <f>IFERROR(__xludf.DUMMYFUNCTION("""COMPUTED_VALUE"""),"2")</f>
        <v>2</v>
      </c>
      <c r="N725" s="1135"/>
      <c r="O725" s="228" t="str">
        <f>IFERROR(__xludf.DUMMYFUNCTION("""COMPUTED_VALUE"""),"")</f>
        <v/>
      </c>
      <c r="P725" s="1138" t="str">
        <f>IFERROR(__xludf.DUMMYFUNCTION("""COMPUTED_VALUE"""),"26/09/2024")</f>
        <v>26/09/2024</v>
      </c>
      <c r="Q725" s="228"/>
    </row>
    <row r="726">
      <c r="A726" s="73"/>
      <c r="B726" s="1129" t="str">
        <f>IFERROR(__xludf.DUMMYFUNCTION("""COMPUTED_VALUE"""),"Canais e Parcerias")</f>
        <v>Canais e Parcerias</v>
      </c>
      <c r="C726" s="501" t="str">
        <f>IFERROR(__xludf.DUMMYFUNCTION("""COMPUTED_VALUE"""),"Geração de Demanda para Canais")</f>
        <v>Geração de Demanda para Canais</v>
      </c>
      <c r="D726" s="529" t="str">
        <f>IFERROR(__xludf.DUMMYFUNCTION("""COMPUTED_VALUE"""),"Christian Geronasso")</f>
        <v>Christian Geronasso</v>
      </c>
      <c r="E726" s="228" t="str">
        <f>IFERROR(__xludf.DUMMYFUNCTION("""COMPUTED_VALUE"""),"Indirect Demand Generation &amp; GTM Manager - Latin America")</f>
        <v>Indirect Demand Generation &amp; GTM Manager - Latin America</v>
      </c>
      <c r="F726" s="453" t="str">
        <f>IFERROR(__xludf.DUMMYFUNCTION("""COMPUTED_VALUE"""),"SAP")</f>
        <v>SAP</v>
      </c>
      <c r="G726" s="455" t="str">
        <f>IFERROR(__xludf.DUMMYFUNCTION("""COMPUTED_VALUE"""),"https://www.linkedin.com/in/cgeronasso/")</f>
        <v>https://www.linkedin.com/in/cgeronasso/</v>
      </c>
      <c r="H726" s="453" t="str">
        <f>IFERROR(__xludf.DUMMYFUNCTION("""COMPUTED_VALUE"""),"Conhecimento Técnico")</f>
        <v>Conhecimento Técnico</v>
      </c>
      <c r="I726" s="453" t="str">
        <f>IFERROR(__xludf.DUMMYFUNCTION("""COMPUTED_VALUE"""),"Gestão de Vendas")</f>
        <v>Gestão de Vendas</v>
      </c>
      <c r="J726" s="679" t="str">
        <f>IFERROR(__xludf.DUMMYFUNCTION("""COMPUTED_VALUE"""),"Planejamento Comercial")</f>
        <v>Planejamento Comercial</v>
      </c>
      <c r="K726" s="473" t="str">
        <f>IFERROR(__xludf.DUMMYFUNCTION("""COMPUTED_VALUE"""),"https://universidade.pipelovers.net/m/lessons/geracao-de-demanda-para-canais1769552438466?classId=3158")</f>
        <v>https://universidade.pipelovers.net/m/lessons/geracao-de-demanda-para-canais1769552438466?classId=3158</v>
      </c>
      <c r="L726" s="474" t="str">
        <f>IFERROR(__xludf.DUMMYFUNCTION("""COMPUTED_VALUE"""),"https://universidade.pipelovers.net/m/lessons/geracao-de-demanda-para-canais1769552438466?classId=3158")</f>
        <v>https://universidade.pipelovers.net/m/lessons/geracao-de-demanda-para-canais1769552438466?classId=3158</v>
      </c>
      <c r="M726" s="379" t="str">
        <f>IFERROR(__xludf.DUMMYFUNCTION("""COMPUTED_VALUE"""),"4,57")</f>
        <v>4,57</v>
      </c>
      <c r="N726" s="1177" t="str">
        <f>IFERROR(__xludf.DUMMYFUNCTION("""COMPUTED_VALUE"""),"https://drive.google.com/file/d/1_JN-pygS26vsg8FaSEBwll2Cw2jioD2c/view?usp=drive_link")</f>
        <v>https://drive.google.com/file/d/1_JN-pygS26vsg8FaSEBwll2Cw2jioD2c/view?usp=drive_link</v>
      </c>
      <c r="O726" s="151" t="str">
        <f>IFERROR(__xludf.DUMMYFUNCTION("""COMPUTED_VALUE"""),"")</f>
        <v/>
      </c>
      <c r="P726" s="1138" t="str">
        <f>IFERROR(__xludf.DUMMYFUNCTION("""COMPUTED_VALUE"""),"03/10/2024")</f>
        <v>03/10/2024</v>
      </c>
      <c r="Q726" s="151"/>
    </row>
    <row r="727">
      <c r="A727" s="73"/>
      <c r="B727" s="1129" t="str">
        <f>IFERROR(__xludf.DUMMYFUNCTION("""COMPUTED_VALUE"""),"Canais e Parcerias")</f>
        <v>Canais e Parcerias</v>
      </c>
      <c r="C727" s="382" t="str">
        <f>IFERROR(__xludf.DUMMYFUNCTION("""COMPUTED_VALUE"""),"O papel do distribuidor para escalar vendas indiretas")</f>
        <v>O papel do distribuidor para escalar vendas indiretas</v>
      </c>
      <c r="D727" s="268" t="str">
        <f>IFERROR(__xludf.DUMMYFUNCTION("""COMPUTED_VALUE"""),"Marilena Cancelier")</f>
        <v>Marilena Cancelier</v>
      </c>
      <c r="E727" s="151" t="str">
        <f>IFERROR(__xludf.DUMMYFUNCTION("""COMPUTED_VALUE"""),"Chief Revenue Officer")</f>
        <v>Chief Revenue Officer</v>
      </c>
      <c r="F727" s="648" t="str">
        <f>IFERROR(__xludf.DUMMYFUNCTION("""COMPUTED_VALUE"""),"Tocatto")</f>
        <v>Tocatto</v>
      </c>
      <c r="G727" s="647" t="str">
        <f>IFERROR(__xludf.DUMMYFUNCTION("""COMPUTED_VALUE"""),"https://www.linkedin.com/in/marilena-cancelier/")</f>
        <v>https://www.linkedin.com/in/marilena-cancelier/</v>
      </c>
      <c r="H727" s="648" t="str">
        <f>IFERROR(__xludf.DUMMYFUNCTION("""COMPUTED_VALUE"""),"Conhecimento Técnico")</f>
        <v>Conhecimento Técnico</v>
      </c>
      <c r="I727" s="648" t="str">
        <f>IFERROR(__xludf.DUMMYFUNCTION("""COMPUTED_VALUE"""),"Gestão de Vendas")</f>
        <v>Gestão de Vendas</v>
      </c>
      <c r="J727" s="649" t="str">
        <f>IFERROR(__xludf.DUMMYFUNCTION("""COMPUTED_VALUE"""),"Planejamento Comercial")</f>
        <v>Planejamento Comercial</v>
      </c>
      <c r="K727" s="473" t="str">
        <f>IFERROR(__xludf.DUMMYFUNCTION("""COMPUTED_VALUE"""),"https://universidade.pipelovers.net/m/lessons/o-papel-do-distribuidor-para-escalar-vendas-indiretas1769552438586?classId=3159")</f>
        <v>https://universidade.pipelovers.net/m/lessons/o-papel-do-distribuidor-para-escalar-vendas-indiretas1769552438586?classId=3159</v>
      </c>
      <c r="L727" s="474" t="str">
        <f>IFERROR(__xludf.DUMMYFUNCTION("""COMPUTED_VALUE"""),"https://universidade.pipelovers.net/m/lessons/o-papel-do-distribuidor-para-escalar-vendas-indiretas1769552438586?classId=3159")</f>
        <v>https://universidade.pipelovers.net/m/lessons/o-papel-do-distribuidor-para-escalar-vendas-indiretas1769552438586?classId=3159</v>
      </c>
      <c r="M727" s="379" t="str">
        <f>IFERROR(__xludf.DUMMYFUNCTION("""COMPUTED_VALUE"""),"2")</f>
        <v>2</v>
      </c>
      <c r="N727" s="1177" t="str">
        <f>IFERROR(__xludf.DUMMYFUNCTION("""COMPUTED_VALUE"""),"https://drive.google.com/file/d/1tNV8LDVCAjAUi-cC8emYjl2CSh3dKTX3/view?usp=drive_link")</f>
        <v>https://drive.google.com/file/d/1tNV8LDVCAjAUi-cC8emYjl2CSh3dKTX3/view?usp=drive_link</v>
      </c>
      <c r="O727" s="228" t="str">
        <f>IFERROR(__xludf.DUMMYFUNCTION("""COMPUTED_VALUE"""),"")</f>
        <v/>
      </c>
      <c r="P727" s="1138" t="str">
        <f>IFERROR(__xludf.DUMMYFUNCTION("""COMPUTED_VALUE"""),"10/10/2024")</f>
        <v>10/10/2024</v>
      </c>
      <c r="Q727" s="228"/>
    </row>
    <row r="728">
      <c r="A728" s="73"/>
      <c r="B728" s="1129" t="str">
        <f>IFERROR(__xludf.DUMMYFUNCTION("""COMPUTED_VALUE"""),"Canais e Parcerias")</f>
        <v>Canais e Parcerias</v>
      </c>
      <c r="C728" s="501" t="str">
        <f>IFERROR(__xludf.DUMMYFUNCTION("""COMPUTED_VALUE"""),"Gamificação em Programas de Canais e Parcerias")</f>
        <v>Gamificação em Programas de Canais e Parcerias</v>
      </c>
      <c r="D728" s="529" t="str">
        <f>IFERROR(__xludf.DUMMYFUNCTION("""COMPUTED_VALUE"""),"Cristiano Sacramento")</f>
        <v>Cristiano Sacramento</v>
      </c>
      <c r="E728" s="228" t="str">
        <f>IFERROR(__xludf.DUMMYFUNCTION("""COMPUTED_VALUE"""),"Co-Founder &amp; CMO")</f>
        <v>Co-Founder &amp; CMO</v>
      </c>
      <c r="F728" s="453" t="str">
        <f>IFERROR(__xludf.DUMMYFUNCTION("""COMPUTED_VALUE"""),"Peoplefy")</f>
        <v>Peoplefy</v>
      </c>
      <c r="G728" s="455" t="str">
        <f>IFERROR(__xludf.DUMMYFUNCTION("""COMPUTED_VALUE"""),"https://www.linkedin.com/in/cristianosacramento/")</f>
        <v>https://www.linkedin.com/in/cristianosacramento/</v>
      </c>
      <c r="H728" s="453" t="str">
        <f>IFERROR(__xludf.DUMMYFUNCTION("""COMPUTED_VALUE"""),"Conhecimento Técnico")</f>
        <v>Conhecimento Técnico</v>
      </c>
      <c r="I728" s="453" t="str">
        <f>IFERROR(__xludf.DUMMYFUNCTION("""COMPUTED_VALUE"""),"Gestão de Vendas")</f>
        <v>Gestão de Vendas</v>
      </c>
      <c r="J728" s="679" t="str">
        <f>IFERROR(__xludf.DUMMYFUNCTION("""COMPUTED_VALUE"""),"Rotinas e Rituais")</f>
        <v>Rotinas e Rituais</v>
      </c>
      <c r="K728" s="473" t="str">
        <f>IFERROR(__xludf.DUMMYFUNCTION("""COMPUTED_VALUE"""),"https://universidade.pipelovers.net/m/lessons/gamificacao-em-programas-de-canais-e-parcerias1769552438647?classId=3019")</f>
        <v>https://universidade.pipelovers.net/m/lessons/gamificacao-em-programas-de-canais-e-parcerias1769552438647?classId=3019</v>
      </c>
      <c r="L728" s="474" t="str">
        <f>IFERROR(__xludf.DUMMYFUNCTION("""COMPUTED_VALUE"""),"https://universidade.pipelovers.net/m/lessons/gamificacao-em-programas-de-canais-e-parcerias1769552438647?classId=3019")</f>
        <v>https://universidade.pipelovers.net/m/lessons/gamificacao-em-programas-de-canais-e-parcerias1769552438647?classId=3019</v>
      </c>
      <c r="M728" s="379" t="str">
        <f>IFERROR(__xludf.DUMMYFUNCTION("""COMPUTED_VALUE"""),"3,57")</f>
        <v>3,57</v>
      </c>
      <c r="N728" s="1177" t="str">
        <f>IFERROR(__xludf.DUMMYFUNCTION("""COMPUTED_VALUE"""),"https://drive.google.com/file/d/1-JZG5UugMnTupPo6Frw01lw5V1i7BII4/view?usp=drive_link")</f>
        <v>https://drive.google.com/file/d/1-JZG5UugMnTupPo6Frw01lw5V1i7BII4/view?usp=drive_link</v>
      </c>
      <c r="O728" s="151" t="str">
        <f>IFERROR(__xludf.DUMMYFUNCTION("""COMPUTED_VALUE"""),"")</f>
        <v/>
      </c>
      <c r="P728" s="1138" t="str">
        <f>IFERROR(__xludf.DUMMYFUNCTION("""COMPUTED_VALUE"""),"17/10/2024")</f>
        <v>17/10/2024</v>
      </c>
      <c r="Q728" s="151"/>
    </row>
    <row r="729">
      <c r="A729" s="73"/>
      <c r="B729" s="1129" t="str">
        <f>IFERROR(__xludf.DUMMYFUNCTION("""COMPUTED_VALUE"""),"Canais e Parcerias")</f>
        <v>Canais e Parcerias</v>
      </c>
      <c r="C729" s="382" t="str">
        <f>IFERROR(__xludf.DUMMYFUNCTION("""COMPUTED_VALUE"""),"Aquisição de Novos Clientes via Canais")</f>
        <v>Aquisição de Novos Clientes via Canais</v>
      </c>
      <c r="D729" s="268" t="str">
        <f>IFERROR(__xludf.DUMMYFUNCTION("""COMPUTED_VALUE"""),"Rodrigo Gonçalves")</f>
        <v>Rodrigo Gonçalves</v>
      </c>
      <c r="E729" s="151" t="str">
        <f>IFERROR(__xludf.DUMMYFUNCTION("""COMPUTED_VALUE"""),"Senior Sales Manager - SME Indirect Channel")</f>
        <v>Senior Sales Manager - SME Indirect Channel</v>
      </c>
      <c r="F729" s="648" t="str">
        <f>IFERROR(__xludf.DUMMYFUNCTION("""COMPUTED_VALUE"""),"Serasa Experian")</f>
        <v>Serasa Experian</v>
      </c>
      <c r="G729" s="647" t="str">
        <f>IFERROR(__xludf.DUMMYFUNCTION("""COMPUTED_VALUE"""),"https://linkedin.com/in/rodrigo-gs/")</f>
        <v>https://linkedin.com/in/rodrigo-gs/</v>
      </c>
      <c r="H729" s="648" t="str">
        <f>IFERROR(__xludf.DUMMYFUNCTION("""COMPUTED_VALUE"""),"Conhecimento Técnico")</f>
        <v>Conhecimento Técnico</v>
      </c>
      <c r="I729" s="648" t="str">
        <f>IFERROR(__xludf.DUMMYFUNCTION("""COMPUTED_VALUE"""),"Gestão de Vendas")</f>
        <v>Gestão de Vendas</v>
      </c>
      <c r="J729" s="649" t="str">
        <f>IFERROR(__xludf.DUMMYFUNCTION("""COMPUTED_VALUE"""),"Planejamento Comercial")</f>
        <v>Planejamento Comercial</v>
      </c>
      <c r="K729" s="473" t="str">
        <f>IFERROR(__xludf.DUMMYFUNCTION("""COMPUTED_VALUE"""),"https://universidade.pipelovers.net/m/lessons/aquisicao-de-novos-clientes-via-canais1769552438729?classId=3160")</f>
        <v>https://universidade.pipelovers.net/m/lessons/aquisicao-de-novos-clientes-via-canais1769552438729?classId=3160</v>
      </c>
      <c r="L729" s="474" t="str">
        <f>IFERROR(__xludf.DUMMYFUNCTION("""COMPUTED_VALUE"""),"https://universidade.pipelovers.net/m/lessons/aquisicao-de-novos-clientes-via-canais1769552438729?classId=3160")</f>
        <v>https://universidade.pipelovers.net/m/lessons/aquisicao-de-novos-clientes-via-canais1769552438729?classId=3160</v>
      </c>
      <c r="M729" s="379" t="str">
        <f>IFERROR(__xludf.DUMMYFUNCTION("""COMPUTED_VALUE"""),"3,57")</f>
        <v>3,57</v>
      </c>
      <c r="N729" s="1177" t="str">
        <f>IFERROR(__xludf.DUMMYFUNCTION("""COMPUTED_VALUE"""),"https://drive.google.com/file/d/1_48nJdn3DZ3Z5ZA9QdLVEVFRFko_Hrdk/view?usp=drive_link")</f>
        <v>https://drive.google.com/file/d/1_48nJdn3DZ3Z5ZA9QdLVEVFRFko_Hrdk/view?usp=drive_link</v>
      </c>
      <c r="O729" s="228" t="str">
        <f>IFERROR(__xludf.DUMMYFUNCTION("""COMPUTED_VALUE"""),"")</f>
        <v/>
      </c>
      <c r="P729" s="1138" t="str">
        <f>IFERROR(__xludf.DUMMYFUNCTION("""COMPUTED_VALUE"""),"24/10/2024")</f>
        <v>24/10/2024</v>
      </c>
      <c r="Q729" s="228"/>
    </row>
    <row r="730">
      <c r="A730" s="73"/>
      <c r="B730" s="1129" t="str">
        <f>IFERROR(__xludf.DUMMYFUNCTION("""COMPUTED_VALUE"""),"Canais e Parcerias")</f>
        <v>Canais e Parcerias</v>
      </c>
      <c r="C730" s="382" t="str">
        <f>IFERROR(__xludf.DUMMYFUNCTION("""COMPUTED_VALUE"""),"Ampliação de portfólio de produtos nos canais de distribuição")</f>
        <v>Ampliação de portfólio de produtos nos canais de distribuição</v>
      </c>
      <c r="D730" s="529" t="str">
        <f>IFERROR(__xludf.DUMMYFUNCTION("""COMPUTED_VALUE"""),"Andressa Lagonegro")</f>
        <v>Andressa Lagonegro</v>
      </c>
      <c r="E730" s="228" t="str">
        <f>IFERROR(__xludf.DUMMYFUNCTION("""COMPUTED_VALUE"""),"Head de Estratégia de Produtos - Mercado Pago")</f>
        <v>Head de Estratégia de Produtos - Mercado Pago</v>
      </c>
      <c r="F730" s="453" t="str">
        <f>IFERROR(__xludf.DUMMYFUNCTION("""COMPUTED_VALUE"""),"Mercado Livre")</f>
        <v>Mercado Livre</v>
      </c>
      <c r="G730" s="455" t="str">
        <f>IFERROR(__xludf.DUMMYFUNCTION("""COMPUTED_VALUE"""),"https://www.linkedin.com/in/andressa-lagonegro-b08a1411/")</f>
        <v>https://www.linkedin.com/in/andressa-lagonegro-b08a1411/</v>
      </c>
      <c r="H730" s="453" t="str">
        <f>IFERROR(__xludf.DUMMYFUNCTION("""COMPUTED_VALUE"""),"Conhecimento Técnico")</f>
        <v>Conhecimento Técnico</v>
      </c>
      <c r="I730" s="453" t="str">
        <f>IFERROR(__xludf.DUMMYFUNCTION("""COMPUTED_VALUE"""),"Gestão de Vendas")</f>
        <v>Gestão de Vendas</v>
      </c>
      <c r="J730" s="679" t="str">
        <f>IFERROR(__xludf.DUMMYFUNCTION("""COMPUTED_VALUE"""),"UpSell e Cross Sell")</f>
        <v>UpSell e Cross Sell</v>
      </c>
      <c r="K730" s="473" t="str">
        <f>IFERROR(__xludf.DUMMYFUNCTION("""COMPUTED_VALUE"""),"https://universidade.pipelovers.net/m/lessons/ampliacao-de-portfolio-de-produtos-nos-canais-de-distribuicao1769552438796?classId=3161")</f>
        <v>https://universidade.pipelovers.net/m/lessons/ampliacao-de-portfolio-de-produtos-nos-canais-de-distribuicao1769552438796?classId=3161</v>
      </c>
      <c r="L730" s="474" t="str">
        <f>IFERROR(__xludf.DUMMYFUNCTION("""COMPUTED_VALUE"""),"https://universidade.pipelovers.net/m/lessons/ampliacao-de-portfolio-de-produtos-nos-canais-de-distribuicao1769552438796?classId=3161")</f>
        <v>https://universidade.pipelovers.net/m/lessons/ampliacao-de-portfolio-de-produtos-nos-canais-de-distribuicao1769552438796?classId=3161</v>
      </c>
      <c r="M730" s="379" t="str">
        <f>IFERROR(__xludf.DUMMYFUNCTION("""COMPUTED_VALUE"""),"3,36")</f>
        <v>3,36</v>
      </c>
      <c r="N730" s="1177" t="str">
        <f>IFERROR(__xludf.DUMMYFUNCTION("""COMPUTED_VALUE"""),"https://drive.google.com/file/d/1F9SU5y0S0aq6IY9Ijl1oj8J9c8Zl1zY4/view?usp=drive_link")</f>
        <v>https://drive.google.com/file/d/1F9SU5y0S0aq6IY9Ijl1oj8J9c8Zl1zY4/view?usp=drive_link</v>
      </c>
      <c r="O730" s="151" t="str">
        <f>IFERROR(__xludf.DUMMYFUNCTION("""COMPUTED_VALUE"""),"")</f>
        <v/>
      </c>
      <c r="P730" s="1138" t="str">
        <f>IFERROR(__xludf.DUMMYFUNCTION("""COMPUTED_VALUE"""),"31/10/2024")</f>
        <v>31/10/2024</v>
      </c>
      <c r="Q730" s="151"/>
    </row>
    <row r="731">
      <c r="A731" s="73"/>
      <c r="B731" s="1129" t="str">
        <f>IFERROR(__xludf.DUMMYFUNCTION("""COMPUTED_VALUE"""),"Canais e Parcerias")</f>
        <v>Canais e Parcerias</v>
      </c>
      <c r="C731" s="382" t="str">
        <f>IFERROR(__xludf.DUMMYFUNCTION("""COMPUTED_VALUE"""),"Padronização de processos de vendas em canais e revendas")</f>
        <v>Padronização de processos de vendas em canais e revendas</v>
      </c>
      <c r="D731" s="268" t="str">
        <f>IFERROR(__xludf.DUMMYFUNCTION("""COMPUTED_VALUE"""),"Diogo Bandeira")</f>
        <v>Diogo Bandeira</v>
      </c>
      <c r="E731" s="151" t="str">
        <f>IFERROR(__xludf.DUMMYFUNCTION("""COMPUTED_VALUE"""),"Diretor de Vendas via Franquias")</f>
        <v>Diretor de Vendas via Franquias</v>
      </c>
      <c r="F731" s="648" t="str">
        <f>IFERROR(__xludf.DUMMYFUNCTION("""COMPUTED_VALUE"""),"TOTVS")</f>
        <v>TOTVS</v>
      </c>
      <c r="G731" s="647" t="str">
        <f>IFERROR(__xludf.DUMMYFUNCTION("""COMPUTED_VALUE"""),"https://www.linkedin.com/in/diogobandeira27/")</f>
        <v>https://www.linkedin.com/in/diogobandeira27/</v>
      </c>
      <c r="H731" s="648" t="str">
        <f>IFERROR(__xludf.DUMMYFUNCTION("""COMPUTED_VALUE"""),"Conhecimento Técnico")</f>
        <v>Conhecimento Técnico</v>
      </c>
      <c r="I731" s="648" t="str">
        <f>IFERROR(__xludf.DUMMYFUNCTION("""COMPUTED_VALUE"""),"Gestão de Vendas")</f>
        <v>Gestão de Vendas</v>
      </c>
      <c r="J731" s="649" t="str">
        <f>IFERROR(__xludf.DUMMYFUNCTION("""COMPUTED_VALUE"""),"Rotinas e Rituais")</f>
        <v>Rotinas e Rituais</v>
      </c>
      <c r="K731" s="473" t="str">
        <f>IFERROR(__xludf.DUMMYFUNCTION("""COMPUTED_VALUE"""),"https://universidade.pipelovers.net/m/lessons/padronizacao-de-processos-de-vendas-em-canais-e-revendas1769552438845?classId=3162")</f>
        <v>https://universidade.pipelovers.net/m/lessons/padronizacao-de-processos-de-vendas-em-canais-e-revendas1769552438845?classId=3162</v>
      </c>
      <c r="L731" s="474" t="str">
        <f>IFERROR(__xludf.DUMMYFUNCTION("""COMPUTED_VALUE"""),"https://universidade.pipelovers.net/m/lessons/padronizacao-de-processos-de-vendas-em-canais-e-revendas1769552438845?classId=3162")</f>
        <v>https://universidade.pipelovers.net/m/lessons/padronizacao-de-processos-de-vendas-em-canais-e-revendas1769552438845?classId=3162</v>
      </c>
      <c r="M731" s="1184" t="str">
        <f>IFERROR(__xludf.DUMMYFUNCTION("""COMPUTED_VALUE"""),"3,36")</f>
        <v>3,36</v>
      </c>
      <c r="N731" s="1185" t="str">
        <f>IFERROR(__xludf.DUMMYFUNCTION("""COMPUTED_VALUE"""),"https://drive.google.com/file/d/1AwJrLCTBtttGiIVIrwm-nsqs_VSWVDdY/view?usp=drive_link")</f>
        <v>https://drive.google.com/file/d/1AwJrLCTBtttGiIVIrwm-nsqs_VSWVDdY/view?usp=drive_link</v>
      </c>
      <c r="O731" s="228" t="str">
        <f>IFERROR(__xludf.DUMMYFUNCTION("""COMPUTED_VALUE"""),"")</f>
        <v/>
      </c>
      <c r="P731" s="1138" t="str">
        <f>IFERROR(__xludf.DUMMYFUNCTION("""COMPUTED_VALUE"""),"07/11/2024")</f>
        <v>07/11/2024</v>
      </c>
      <c r="Q731" s="228"/>
    </row>
    <row r="732">
      <c r="A732" s="73"/>
      <c r="B732" s="1129" t="str">
        <f>IFERROR(__xludf.DUMMYFUNCTION("""COMPUTED_VALUE"""),"Canais e Parcerias")</f>
        <v>Canais e Parcerias</v>
      </c>
      <c r="C732" s="268" t="str">
        <f>IFERROR(__xludf.DUMMYFUNCTION("""COMPUTED_VALUE"""),"Estruturando uma equipe de gestão de parcerias")</f>
        <v>Estruturando uma equipe de gestão de parcerias</v>
      </c>
      <c r="D732" s="268" t="str">
        <f>IFERROR(__xludf.DUMMYFUNCTION("""COMPUTED_VALUE"""),"Wanderlucio Andrade")</f>
        <v>Wanderlucio Andrade</v>
      </c>
      <c r="E732" s="1191" t="str">
        <f>IFERROR(__xludf.DUMMYFUNCTION("""COMPUTED_VALUE"""),"Head of Sales")</f>
        <v>Head of Sales</v>
      </c>
      <c r="F732" s="1181" t="str">
        <f>IFERROR(__xludf.DUMMYFUNCTION("""COMPUTED_VALUE"""),"Entrepay")</f>
        <v>Entrepay</v>
      </c>
      <c r="G732" s="1192" t="str">
        <f>IFERROR(__xludf.DUMMYFUNCTION("""COMPUTED_VALUE"""),"https://www.linkedin.com/in/wanderl%C3%BAcio-andrade-614ab720?utm_source=share&amp;utm_campaign=share_via&amp;utm_content=profile&amp;utm_medium=ios_app")</f>
        <v>https://www.linkedin.com/in/wanderl%C3%BAcio-andrade-614ab720?utm_source=share&amp;utm_campaign=share_via&amp;utm_content=profile&amp;utm_medium=ios_app</v>
      </c>
      <c r="H732" s="648" t="str">
        <f>IFERROR(__xludf.DUMMYFUNCTION("""COMPUTED_VALUE"""),"Conhecimento Técnico")</f>
        <v>Conhecimento Técnico</v>
      </c>
      <c r="I732" s="648" t="str">
        <f>IFERROR(__xludf.DUMMYFUNCTION("""COMPUTED_VALUE"""),"Gestão de Vendas")</f>
        <v>Gestão de Vendas</v>
      </c>
      <c r="J732" s="649" t="str">
        <f>IFERROR(__xludf.DUMMYFUNCTION("""COMPUTED_VALUE"""),"Planejamento Comercial")</f>
        <v>Planejamento Comercial</v>
      </c>
      <c r="K732" s="473" t="str">
        <f>IFERROR(__xludf.DUMMYFUNCTION("""COMPUTED_VALUE"""),"https://universidade.pipelovers.net/m/lessons/estruturando-uma-equipe-de-gestao-de-parcerias1769552438933?classId=3025")</f>
        <v>https://universidade.pipelovers.net/m/lessons/estruturando-uma-equipe-de-gestao-de-parcerias1769552438933?classId=3025</v>
      </c>
      <c r="L732" s="474" t="str">
        <f>IFERROR(__xludf.DUMMYFUNCTION("""COMPUTED_VALUE"""),"https://universidade.pipelovers.net/m/lessons/estruturando-uma-equipe-de-gestao-de-parcerias1769552438933?classId=3025")</f>
        <v>https://universidade.pipelovers.net/m/lessons/estruturando-uma-equipe-de-gestao-de-parcerias1769552438933?classId=3025</v>
      </c>
      <c r="M732" s="379" t="str">
        <f>IFERROR(__xludf.DUMMYFUNCTION("""COMPUTED_VALUE"""),"3,93")</f>
        <v>3,93</v>
      </c>
      <c r="N732" s="1177" t="str">
        <f>IFERROR(__xludf.DUMMYFUNCTION("""COMPUTED_VALUE"""),"https://drive.google.com/file/d/1xX85mknzuBsZC8Wat0B0sfhPa4cK-WH3/view?usp=drive_link")</f>
        <v>https://drive.google.com/file/d/1xX85mknzuBsZC8Wat0B0sfhPa4cK-WH3/view?usp=drive_link</v>
      </c>
      <c r="O732" s="151" t="str">
        <f>IFERROR(__xludf.DUMMYFUNCTION("""COMPUTED_VALUE"""),"")</f>
        <v/>
      </c>
      <c r="P732" s="1138" t="str">
        <f>IFERROR(__xludf.DUMMYFUNCTION("""COMPUTED_VALUE"""),"14/11/2024")</f>
        <v>14/11/2024</v>
      </c>
      <c r="Q732" s="151"/>
    </row>
    <row r="733">
      <c r="A733" s="73"/>
      <c r="B733" s="1129" t="str">
        <f>IFERROR(__xludf.DUMMYFUNCTION("""COMPUTED_VALUE"""),"Canais e Parcerias")</f>
        <v>Canais e Parcerias</v>
      </c>
      <c r="C733" s="268" t="str">
        <f>IFERROR(__xludf.DUMMYFUNCTION("""COMPUTED_VALUE"""),"Boas práticas de offboarding de canais")</f>
        <v>Boas práticas de offboarding de canais</v>
      </c>
      <c r="D733" s="268" t="str">
        <f>IFERROR(__xludf.DUMMYFUNCTION("""COMPUTED_VALUE"""),"Fernanda Novaes")</f>
        <v>Fernanda Novaes</v>
      </c>
      <c r="E733" s="1193" t="str">
        <f>IFERROR(__xludf.DUMMYFUNCTION("""COMPUTED_VALUE"""),"Gerente de Programas de Parceria | Brasil e LATAM")</f>
        <v>Gerente de Programas de Parceria | Brasil e LATAM</v>
      </c>
      <c r="F733" s="1182" t="str">
        <f>IFERROR(__xludf.DUMMYFUNCTION("""COMPUTED_VALUE"""),"RD Station")</f>
        <v>RD Station</v>
      </c>
      <c r="G733" s="1194" t="str">
        <f>IFERROR(__xludf.DUMMYFUNCTION("""COMPUTED_VALUE"""),"https://www.linkedin.com/in/fernandacpn/")</f>
        <v>https://www.linkedin.com/in/fernandacpn/</v>
      </c>
      <c r="H733" s="453" t="str">
        <f>IFERROR(__xludf.DUMMYFUNCTION("""COMPUTED_VALUE"""),"Conhecimento Técnico")</f>
        <v>Conhecimento Técnico</v>
      </c>
      <c r="I733" s="453" t="str">
        <f>IFERROR(__xludf.DUMMYFUNCTION("""COMPUTED_VALUE"""),"Gestão de Vendas")</f>
        <v>Gestão de Vendas</v>
      </c>
      <c r="J733" s="679" t="str">
        <f>IFERROR(__xludf.DUMMYFUNCTION("""COMPUTED_VALUE"""),"Rotinas e Rituais")</f>
        <v>Rotinas e Rituais</v>
      </c>
      <c r="K733" s="473" t="str">
        <f>IFERROR(__xludf.DUMMYFUNCTION("""COMPUTED_VALUE"""),"https://universidade.pipelovers.net/m/lessons/boas-praticas-de-offboarding-de-canais1769552438998?classId=3164")</f>
        <v>https://universidade.pipelovers.net/m/lessons/boas-praticas-de-offboarding-de-canais1769552438998?classId=3164</v>
      </c>
      <c r="L733" s="474" t="str">
        <f>IFERROR(__xludf.DUMMYFUNCTION("""COMPUTED_VALUE"""),"https://universidade.pipelovers.net/m/lessons/boas-praticas-de-offboarding-de-canais1769552438998?classId=3164")</f>
        <v>https://universidade.pipelovers.net/m/lessons/boas-praticas-de-offboarding-de-canais1769552438998?classId=3164</v>
      </c>
      <c r="M733" s="1188" t="str">
        <f>IFERROR(__xludf.DUMMYFUNCTION("""COMPUTED_VALUE"""),"4,29")</f>
        <v>4,29</v>
      </c>
      <c r="N733" s="1189" t="str">
        <f>IFERROR(__xludf.DUMMYFUNCTION("""COMPUTED_VALUE"""),"https://drive.google.com/file/d/1XW2uPRjDSY9r-g-OIUnWixDRh5zk4qLD/view?usp=drive_link")</f>
        <v>https://drive.google.com/file/d/1XW2uPRjDSY9r-g-OIUnWixDRh5zk4qLD/view?usp=drive_link</v>
      </c>
      <c r="O733" s="228" t="str">
        <f>IFERROR(__xludf.DUMMYFUNCTION("""COMPUTED_VALUE"""),"")</f>
        <v/>
      </c>
      <c r="P733" s="1138" t="str">
        <f>IFERROR(__xludf.DUMMYFUNCTION("""COMPUTED_VALUE"""),"21/11/2024")</f>
        <v>21/11/2024</v>
      </c>
      <c r="Q733" s="228"/>
    </row>
    <row r="734">
      <c r="A734" s="73"/>
      <c r="B734" s="1129" t="str">
        <f>IFERROR(__xludf.DUMMYFUNCTION("""COMPUTED_VALUE"""),"Canais e Parcerias")</f>
        <v>Canais e Parcerias</v>
      </c>
      <c r="C734" s="268" t="str">
        <f>IFERROR(__xludf.DUMMYFUNCTION("""COMPUTED_VALUE"""),"Desafios de apuração de comissões de parceiros")</f>
        <v>Desafios de apuração de comissões de parceiros</v>
      </c>
      <c r="D734" s="268" t="str">
        <f>IFERROR(__xludf.DUMMYFUNCTION("""COMPUTED_VALUE"""),"Douglas Medeiros")</f>
        <v>Douglas Medeiros</v>
      </c>
      <c r="E734" s="228" t="str">
        <f>IFERROR(__xludf.DUMMYFUNCTION("""COMPUTED_VALUE"""),"-")</f>
        <v>-</v>
      </c>
      <c r="F734" s="453" t="str">
        <f>IFERROR(__xludf.DUMMYFUNCTION("""COMPUTED_VALUE"""),"-")</f>
        <v>-</v>
      </c>
      <c r="G734" s="455" t="str">
        <f>IFERROR(__xludf.DUMMYFUNCTION("""COMPUTED_VALUE"""),"https://www.linkedin.com/in/douglas-a-medeiros/")</f>
        <v>https://www.linkedin.com/in/douglas-a-medeiros/</v>
      </c>
      <c r="H734" s="453" t="str">
        <f>IFERROR(__xludf.DUMMYFUNCTION("""COMPUTED_VALUE"""),"Conhecimento Técnico")</f>
        <v>Conhecimento Técnico</v>
      </c>
      <c r="I734" s="453" t="str">
        <f>IFERROR(__xludf.DUMMYFUNCTION("""COMPUTED_VALUE"""),"Pensamento Crítico")</f>
        <v>Pensamento Crítico</v>
      </c>
      <c r="J734" s="679" t="str">
        <f>IFERROR(__xludf.DUMMYFUNCTION("""COMPUTED_VALUE"""),"ROI")</f>
        <v>ROI</v>
      </c>
      <c r="K734" s="473" t="str">
        <f>IFERROR(__xludf.DUMMYFUNCTION("""COMPUTED_VALUE"""),"https://universidade.pipelovers.net/m/lessons/desafios-de-apuracao-de-comissoes-de-parceiros1769552439066?classId=3165")</f>
        <v>https://universidade.pipelovers.net/m/lessons/desafios-de-apuracao-de-comissoes-de-parceiros1769552439066?classId=3165</v>
      </c>
      <c r="L734" s="474" t="str">
        <f>IFERROR(__xludf.DUMMYFUNCTION("""COMPUTED_VALUE"""),"https://universidade.pipelovers.net/m/lessons/desafios-de-apuracao-de-comissoes-de-parceiros1769552439066?classId=3165")</f>
        <v>https://universidade.pipelovers.net/m/lessons/desafios-de-apuracao-de-comissoes-de-parceiros1769552439066?classId=3165</v>
      </c>
      <c r="M734" s="1188" t="str">
        <f>IFERROR(__xludf.DUMMYFUNCTION("""COMPUTED_VALUE"""),"4,14")</f>
        <v>4,14</v>
      </c>
      <c r="N734" s="1189" t="str">
        <f>IFERROR(__xludf.DUMMYFUNCTION("""COMPUTED_VALUE"""),"https://drive.google.com/file/d/1_wDqqIl1z41SGFgCjw65OGwpY-DRBSEG/view?usp=drive_link")</f>
        <v>https://drive.google.com/file/d/1_wDqqIl1z41SGFgCjw65OGwpY-DRBSEG/view?usp=drive_link</v>
      </c>
      <c r="O734" s="151" t="str">
        <f>IFERROR(__xludf.DUMMYFUNCTION("""COMPUTED_VALUE"""),"")</f>
        <v/>
      </c>
      <c r="P734" s="1138" t="str">
        <f>IFERROR(__xludf.DUMMYFUNCTION("""COMPUTED_VALUE"""),"28/11/2024")</f>
        <v>28/11/2024</v>
      </c>
      <c r="Q734" s="151"/>
    </row>
    <row r="735">
      <c r="A735" s="73"/>
      <c r="B735" s="1129" t="str">
        <f>IFERROR(__xludf.DUMMYFUNCTION("""COMPUTED_VALUE"""),"Canais e Parcerias")</f>
        <v>Canais e Parcerias</v>
      </c>
      <c r="C735" s="268" t="str">
        <f>IFERROR(__xludf.DUMMYFUNCTION("""COMPUTED_VALUE"""),"Lições de uma carreira em tecnologia e empreendedorismo")</f>
        <v>Lições de uma carreira em tecnologia e empreendedorismo</v>
      </c>
      <c r="D735" s="268" t="str">
        <f>IFERROR(__xludf.DUMMYFUNCTION("""COMPUTED_VALUE"""),"Ernesto Haberkorn")</f>
        <v>Ernesto Haberkorn</v>
      </c>
      <c r="E735" s="228" t="str">
        <f>IFERROR(__xludf.DUMMYFUNCTION("""COMPUTED_VALUE"""),"Co-Fundador")</f>
        <v>Co-Fundador</v>
      </c>
      <c r="F735" s="453" t="str">
        <f>IFERROR(__xludf.DUMMYFUNCTION("""COMPUTED_VALUE"""),"TOTVS")</f>
        <v>TOTVS</v>
      </c>
      <c r="G735" s="455" t="str">
        <f>IFERROR(__xludf.DUMMYFUNCTION("""COMPUTED_VALUE"""),"https://www.linkedin.com/in/ernestohaberkorn/")</f>
        <v>https://www.linkedin.com/in/ernestohaberkorn/</v>
      </c>
      <c r="H735" s="453" t="str">
        <f>IFERROR(__xludf.DUMMYFUNCTION("""COMPUTED_VALUE"""),"Visão de Negócio")</f>
        <v>Visão de Negócio</v>
      </c>
      <c r="I735" s="648" t="str">
        <f>IFERROR(__xludf.DUMMYFUNCTION("""COMPUTED_VALUE"""),"Tendencias de mercado")</f>
        <v>Tendencias de mercado</v>
      </c>
      <c r="J735" s="453" t="str">
        <f>IFERROR(__xludf.DUMMYFUNCTION("""COMPUTED_VALUE"""),"Tendencias do Setor")</f>
        <v>Tendencias do Setor</v>
      </c>
      <c r="K735" s="473" t="str">
        <f>IFERROR(__xludf.DUMMYFUNCTION("""COMPUTED_VALUE"""),"https://universidade.pipelovers.net/m/lessons/licoes-de-uma-carreira-em-tecnologia-e-empreendedorismo1769552439117?classId=3166")</f>
        <v>https://universidade.pipelovers.net/m/lessons/licoes-de-uma-carreira-em-tecnologia-e-empreendedorismo1769552439117?classId=3166</v>
      </c>
      <c r="L735" s="474" t="str">
        <f>IFERROR(__xludf.DUMMYFUNCTION("""COMPUTED_VALUE"""),"https://universidade.pipelovers.net/m/lessons/licoes-de-uma-carreira-em-tecnologia-e-empreendedorismo1769552439117?classId=3166")</f>
        <v>https://universidade.pipelovers.net/m/lessons/licoes-de-uma-carreira-em-tecnologia-e-empreendedorismo1769552439117?classId=3166</v>
      </c>
      <c r="M735" s="1195">
        <f>IFERROR(__xludf.DUMMYFUNCTION("""COMPUTED_VALUE"""),4.29)</f>
        <v>4.29</v>
      </c>
      <c r="N735" s="1196" t="str">
        <f>IFERROR(__xludf.DUMMYFUNCTION("""COMPUTED_VALUE"""),"https://drive.google.com/file/d/1fw8B_BZMqe7fv70TMmcypuwXWp087ikh/view?usp=drive_link")</f>
        <v>https://drive.google.com/file/d/1fw8B_BZMqe7fv70TMmcypuwXWp087ikh/view?usp=drive_link</v>
      </c>
      <c r="O735" s="228" t="str">
        <f>IFERROR(__xludf.DUMMYFUNCTION("""COMPUTED_VALUE"""),"")</f>
        <v/>
      </c>
      <c r="P735" s="1138">
        <f>IFERROR(__xludf.DUMMYFUNCTION("""COMPUTED_VALUE"""),45631.0)</f>
        <v>45631</v>
      </c>
      <c r="Q735" s="228"/>
    </row>
    <row r="736">
      <c r="A736" s="73"/>
      <c r="B736" s="1129" t="str">
        <f>IFERROR(__xludf.DUMMYFUNCTION("""COMPUTED_VALUE"""),"Canais e Parcerias")</f>
        <v>Canais e Parcerias</v>
      </c>
      <c r="C736" s="181" t="str">
        <f>IFERROR(__xludf.DUMMYFUNCTION("""COMPUTED_VALUE"""),"Conectando Canais com Marketing, Produto e Customer Success")</f>
        <v>Conectando Canais com Marketing, Produto e Customer Success</v>
      </c>
      <c r="D736" s="529" t="str">
        <f>IFERROR(__xludf.DUMMYFUNCTION("""COMPUTED_VALUE"""),"Karine Catani")</f>
        <v>Karine Catani</v>
      </c>
      <c r="E736" s="228" t="str">
        <f>IFERROR(__xludf.DUMMYFUNCTION("""COMPUTED_VALUE"""),"Chief Commercial Officer (CCO)")</f>
        <v>Chief Commercial Officer (CCO)</v>
      </c>
      <c r="F736" s="453" t="str">
        <f>IFERROR(__xludf.DUMMYFUNCTION("""COMPUTED_VALUE"""),"Impulse Soluções e Consultoria")</f>
        <v>Impulse Soluções e Consultoria</v>
      </c>
      <c r="G736" s="455" t="str">
        <f>IFERROR(__xludf.DUMMYFUNCTION("""COMPUTED_VALUE"""),"https://www.linkedin.com/in/karine-catani-336679149/")</f>
        <v>https://www.linkedin.com/in/karine-catani-336679149/</v>
      </c>
      <c r="H736" s="453" t="str">
        <f>IFERROR(__xludf.DUMMYFUNCTION("""COMPUTED_VALUE"""),"Relacionamento Interpessoal")</f>
        <v>Relacionamento Interpessoal</v>
      </c>
      <c r="I736" s="453" t="str">
        <f>IFERROR(__xludf.DUMMYFUNCTION("""COMPUTED_VALUE"""),"Liderança e Influência")</f>
        <v>Liderança e Influência</v>
      </c>
      <c r="J736" s="679" t="str">
        <f>IFERROR(__xludf.DUMMYFUNCTION("""COMPUTED_VALUE"""),"Gestão de Conflitos e Resolução de Problemas")</f>
        <v>Gestão de Conflitos e Resolução de Problemas</v>
      </c>
      <c r="K736" s="473" t="str">
        <f>IFERROR(__xludf.DUMMYFUNCTION("""COMPUTED_VALUE"""),"https://universidade.pipelovers.net/m/lessons/conectando-canais-com-marketing-produto-e-customer-success1769552445429?classId=3167")</f>
        <v>https://universidade.pipelovers.net/m/lessons/conectando-canais-com-marketing-produto-e-customer-success1769552445429?classId=3167</v>
      </c>
      <c r="L736" s="474" t="str">
        <f>IFERROR(__xludf.DUMMYFUNCTION("""COMPUTED_VALUE"""),"https://universidade.pipelovers.net/m/lessons/conectando-canais-com-marketing-produto-e-customer-success1769552445429?classId=3167")</f>
        <v>https://universidade.pipelovers.net/m/lessons/conectando-canais-com-marketing-produto-e-customer-success1769552445429?classId=3167</v>
      </c>
      <c r="M736" s="379" t="str">
        <f>IFERROR(__xludf.DUMMYFUNCTION("""COMPUTED_VALUE"""),"2")</f>
        <v>2</v>
      </c>
      <c r="N736" s="1177" t="str">
        <f>IFERROR(__xludf.DUMMYFUNCTION("""COMPUTED_VALUE"""),"https://drive.google.com/file/d/1ppSZtLBQ7sMCS4o55MTWqXtRkASUhzdi/view?usp=drive_link")</f>
        <v>https://drive.google.com/file/d/1ppSZtLBQ7sMCS4o55MTWqXtRkASUhzdi/view?usp=drive_link</v>
      </c>
      <c r="O736" s="151" t="str">
        <f>IFERROR(__xludf.DUMMYFUNCTION("""COMPUTED_VALUE"""),"")</f>
        <v/>
      </c>
      <c r="P736" s="1138" t="str">
        <f>IFERROR(__xludf.DUMMYFUNCTION("""COMPUTED_VALUE"""),"12/12/2024")</f>
        <v>12/12/2024</v>
      </c>
      <c r="Q736" s="151"/>
    </row>
    <row r="737">
      <c r="A737" s="73"/>
      <c r="B737" s="1129" t="str">
        <f>IFERROR(__xludf.DUMMYFUNCTION("""COMPUTED_VALUE"""),"Canais e Parcerias")</f>
        <v>Canais e Parcerias</v>
      </c>
      <c r="C737" s="268" t="str">
        <f>IFERROR(__xludf.DUMMYFUNCTION("""COMPUTED_VALUE"""),"Partner Account Manager: Escopo e Responsabilidades")</f>
        <v>Partner Account Manager: Escopo e Responsabilidades</v>
      </c>
      <c r="D737" s="268" t="str">
        <f>IFERROR(__xludf.DUMMYFUNCTION("""COMPUTED_VALUE"""),"Guilherme Maciel")</f>
        <v>Guilherme Maciel</v>
      </c>
      <c r="E737" s="218" t="str">
        <f>IFERROR(__xludf.DUMMYFUNCTION("""COMPUTED_VALUE"""),"Partnerships Ecosystem Manager")</f>
        <v>Partnerships Ecosystem Manager</v>
      </c>
      <c r="F737" s="667" t="str">
        <f>IFERROR(__xludf.DUMMYFUNCTION("""COMPUTED_VALUE"""),"Blip")</f>
        <v>Blip</v>
      </c>
      <c r="G737" s="668" t="str">
        <f>IFERROR(__xludf.DUMMYFUNCTION("""COMPUTED_VALUE"""),"https://www.linkedin.com/in/macielguilherme/")</f>
        <v>https://www.linkedin.com/in/macielguilherme/</v>
      </c>
      <c r="H737" s="667" t="str">
        <f>IFERROR(__xludf.DUMMYFUNCTION("""COMPUTED_VALUE"""),"Conhecimento Técnico")</f>
        <v>Conhecimento Técnico</v>
      </c>
      <c r="I737" s="667" t="str">
        <f>IFERROR(__xludf.DUMMYFUNCTION("""COMPUTED_VALUE"""),"Gestão de Vendas")</f>
        <v>Gestão de Vendas</v>
      </c>
      <c r="J737" s="667" t="str">
        <f>IFERROR(__xludf.DUMMYFUNCTION("""COMPUTED_VALUE"""),"Planejamento Comercial")</f>
        <v>Planejamento Comercial</v>
      </c>
      <c r="K737" s="473" t="str">
        <f>IFERROR(__xludf.DUMMYFUNCTION("""COMPUTED_VALUE"""),"https://universidade.pipelovers.net/m/lessons/partner-account-manager-escopo-e-responsabilidades1769552445557?classId=3168")</f>
        <v>https://universidade.pipelovers.net/m/lessons/partner-account-manager-escopo-e-responsabilidades1769552445557?classId=3168</v>
      </c>
      <c r="L737" s="474" t="str">
        <f>IFERROR(__xludf.DUMMYFUNCTION("""COMPUTED_VALUE"""),"https://universidade.pipelovers.net/m/lessons/partner-account-manager-escopo-e-responsabilidades1769552445557?classId=3168")</f>
        <v>https://universidade.pipelovers.net/m/lessons/partner-account-manager-escopo-e-responsabilidades1769552445557?classId=3168</v>
      </c>
      <c r="M737" s="1195">
        <f>IFERROR(__xludf.DUMMYFUNCTION("""COMPUTED_VALUE"""),1.0)</f>
        <v>1</v>
      </c>
      <c r="N737" s="1196" t="str">
        <f>IFERROR(__xludf.DUMMYFUNCTION("""COMPUTED_VALUE"""),"https://drive.google.com/file/d/1ksYwjHNxWOYvhBgbzHcnX1dwrn4rmVMi/view?usp=drive_link")</f>
        <v>https://drive.google.com/file/d/1ksYwjHNxWOYvhBgbzHcnX1dwrn4rmVMi/view?usp=drive_link</v>
      </c>
      <c r="O737" s="228" t="str">
        <f>IFERROR(__xludf.DUMMYFUNCTION("""COMPUTED_VALUE"""),"")</f>
        <v/>
      </c>
      <c r="P737" s="1138">
        <f>IFERROR(__xludf.DUMMYFUNCTION("""COMPUTED_VALUE"""),45645.0)</f>
        <v>45645</v>
      </c>
      <c r="Q737" s="228"/>
    </row>
    <row r="738">
      <c r="A738" s="73"/>
      <c r="B738" s="1129" t="str">
        <f>IFERROR(__xludf.DUMMYFUNCTION("""COMPUTED_VALUE"""),"Canais e Parcerias")</f>
        <v>Canais e Parcerias</v>
      </c>
      <c r="C738" s="501" t="str">
        <f>IFERROR(__xludf.DUMMYFUNCTION("""COMPUTED_VALUE"""),"Transição de carreira de vendas diretas para gestão de canais diretos")</f>
        <v>Transição de carreira de vendas diretas para gestão de canais diretos</v>
      </c>
      <c r="D738" s="529" t="str">
        <f>IFERROR(__xludf.DUMMYFUNCTION("""COMPUTED_VALUE"""),"Guilherme Losekann")</f>
        <v>Guilherme Losekann</v>
      </c>
      <c r="E738" s="218" t="str">
        <f>IFERROR(__xludf.DUMMYFUNCTION("""COMPUTED_VALUE"""),"Gerente de Relacionamento e Expansão")</f>
        <v>Gerente de Relacionamento e Expansão</v>
      </c>
      <c r="F738" s="667" t="str">
        <f>IFERROR(__xludf.DUMMYFUNCTION("""COMPUTED_VALUE"""),"Softplan")</f>
        <v>Softplan</v>
      </c>
      <c r="G738" s="668" t="str">
        <f>IFERROR(__xludf.DUMMYFUNCTION("""COMPUTED_VALUE"""),"https://www.linkedin.com/in/guilherme-losekann/?utm_source=share&amp;utm_campaign=share_via&amp;utm_content=profile&amp;utm_medium=ios_app")</f>
        <v>https://www.linkedin.com/in/guilherme-losekann/?utm_source=share&amp;utm_campaign=share_via&amp;utm_content=profile&amp;utm_medium=ios_app</v>
      </c>
      <c r="H738" s="667" t="str">
        <f>IFERROR(__xludf.DUMMYFUNCTION("""COMPUTED_VALUE"""),"Relacionamento Interpessoal")</f>
        <v>Relacionamento Interpessoal</v>
      </c>
      <c r="I738" s="667" t="str">
        <f>IFERROR(__xludf.DUMMYFUNCTION("""COMPUTED_VALUE"""),"Liderança e Influência")</f>
        <v>Liderança e Influência</v>
      </c>
      <c r="J738" s="667" t="str">
        <f>IFERROR(__xludf.DUMMYFUNCTION("""COMPUTED_VALUE"""),"Mentoria e Desenvolvimento de Talentos")</f>
        <v>Mentoria e Desenvolvimento de Talentos</v>
      </c>
      <c r="K738" s="473" t="str">
        <f>IFERROR(__xludf.DUMMYFUNCTION("""COMPUTED_VALUE"""),"https://universidade.pipelovers.net/m/lessons/transicao-de-carreira-de-vendas-diretas-para-gestao-de-canais-diretos1769552445623?classId=3169")</f>
        <v>https://universidade.pipelovers.net/m/lessons/transicao-de-carreira-de-vendas-diretas-para-gestao-de-canais-diretos1769552445623?classId=3169</v>
      </c>
      <c r="L738" s="474" t="str">
        <f>IFERROR(__xludf.DUMMYFUNCTION("""COMPUTED_VALUE"""),"https://universidade.pipelovers.net/m/lessons/transicao-de-carreira-de-vendas-diretas-para-gestao-de-canais-diretos1769552445623?classId=3169")</f>
        <v>https://universidade.pipelovers.net/m/lessons/transicao-de-carreira-de-vendas-diretas-para-gestao-de-canais-diretos1769552445623?classId=3169</v>
      </c>
      <c r="M738" s="117">
        <f>IFERROR(__xludf.DUMMYFUNCTION("""COMPUTED_VALUE"""),1.0)</f>
        <v>1</v>
      </c>
      <c r="N738" s="1177" t="str">
        <f>IFERROR(__xludf.DUMMYFUNCTION("""COMPUTED_VALUE"""),"https://drive.google.com/file/d/1G_HTPyPiM-sFowi5LJXpu0n7esZsupGv/view?usp=drive_link")</f>
        <v>https://drive.google.com/file/d/1G_HTPyPiM-sFowi5LJXpu0n7esZsupGv/view?usp=drive_link</v>
      </c>
      <c r="O738" s="151" t="str">
        <f>IFERROR(__xludf.DUMMYFUNCTION("""COMPUTED_VALUE"""),"")</f>
        <v/>
      </c>
      <c r="P738" s="1138">
        <f>IFERROR(__xludf.DUMMYFUNCTION("""COMPUTED_VALUE"""),45652.0)</f>
        <v>45652</v>
      </c>
      <c r="Q738" s="151"/>
    </row>
    <row r="739">
      <c r="A739" s="73"/>
      <c r="B739" s="1129" t="str">
        <f>IFERROR(__xludf.DUMMYFUNCTION("""COMPUTED_VALUE"""),"Canais e Parcerias")</f>
        <v>Canais e Parcerias</v>
      </c>
      <c r="C739" s="382" t="str">
        <f>IFERROR(__xludf.DUMMYFUNCTION("""COMPUTED_VALUE"""),"Alavancando resultado através de parcerias de integração de produtos")</f>
        <v>Alavancando resultado através de parcerias de integração de produtos</v>
      </c>
      <c r="D739" s="268" t="str">
        <f>IFERROR(__xludf.DUMMYFUNCTION("""COMPUTED_VALUE"""),"Lucas Varnieri")</f>
        <v>Lucas Varnieri</v>
      </c>
      <c r="E739" s="857" t="str">
        <f>IFERROR(__xludf.DUMMYFUNCTION("""COMPUTED_VALUE"""),"Partnership &amp; Marketing Sr. Manager")</f>
        <v>Partnership &amp; Marketing Sr. Manager</v>
      </c>
      <c r="F739" s="858" t="str">
        <f>IFERROR(__xludf.DUMMYFUNCTION("""COMPUTED_VALUE"""),"Stone")</f>
        <v>Stone</v>
      </c>
      <c r="G739" s="860" t="str">
        <f>IFERROR(__xludf.DUMMYFUNCTION("""COMPUTED_VALUE"""),"https://www.linkedin.com/in/lucas-varnieri-a6124a46/")</f>
        <v>https://www.linkedin.com/in/lucas-varnieri-a6124a46/</v>
      </c>
      <c r="H739" s="858" t="str">
        <f>IFERROR(__xludf.DUMMYFUNCTION("""COMPUTED_VALUE"""),"Visão de Negócio")</f>
        <v>Visão de Negócio</v>
      </c>
      <c r="I739" s="667" t="str">
        <f>IFERROR(__xludf.DUMMYFUNCTION("""COMPUTED_VALUE"""),"Conhecimento de Produto e Negócio")</f>
        <v>Conhecimento de Produto e Negócio</v>
      </c>
      <c r="J739" s="667" t="str">
        <f>IFERROR(__xludf.DUMMYFUNCTION("""COMPUTED_VALUE"""),"Posicionamento de Produto")</f>
        <v>Posicionamento de Produto</v>
      </c>
      <c r="K739" s="473" t="str">
        <f>IFERROR(__xludf.DUMMYFUNCTION("""COMPUTED_VALUE"""),"https://universidade.pipelovers.net/m/lessons/alavancando-resultado-atraves-de-parcerias-de-integracao-de-produtos1769552445684?classId=3170")</f>
        <v>https://universidade.pipelovers.net/m/lessons/alavancando-resultado-atraves-de-parcerias-de-integracao-de-produtos1769552445684?classId=3170</v>
      </c>
      <c r="L739" s="474" t="str">
        <f>IFERROR(__xludf.DUMMYFUNCTION("""COMPUTED_VALUE"""),"https://universidade.pipelovers.net/m/lessons/alavancando-resultado-atraves-de-parcerias-de-integracao-de-produtos1769552445684?classId=3170")</f>
        <v>https://universidade.pipelovers.net/m/lessons/alavancando-resultado-atraves-de-parcerias-de-integracao-de-produtos1769552445684?classId=3170</v>
      </c>
      <c r="M739" s="117">
        <f>IFERROR(__xludf.DUMMYFUNCTION("""COMPUTED_VALUE"""),1.0)</f>
        <v>1</v>
      </c>
      <c r="N739" s="1177" t="str">
        <f>IFERROR(__xludf.DUMMYFUNCTION("""COMPUTED_VALUE"""),"https://drive.google.com/file/d/1JRHHE5AYpzcXMobUGSi5jNhs47c382Py/view?usp=drive_link")</f>
        <v>https://drive.google.com/file/d/1JRHHE5AYpzcXMobUGSi5jNhs47c382Py/view?usp=drive_link</v>
      </c>
      <c r="O739" s="228" t="str">
        <f>IFERROR(__xludf.DUMMYFUNCTION("""COMPUTED_VALUE"""),"")</f>
        <v/>
      </c>
      <c r="P739" s="1138">
        <f>IFERROR(__xludf.DUMMYFUNCTION("""COMPUTED_VALUE"""),45659.0)</f>
        <v>45659</v>
      </c>
      <c r="Q739" s="228"/>
    </row>
    <row r="740">
      <c r="A740" s="73"/>
      <c r="B740" s="1129" t="str">
        <f>IFERROR(__xludf.DUMMYFUNCTION("""COMPUTED_VALUE"""),"Canais e Parcerias")</f>
        <v>Canais e Parcerias</v>
      </c>
      <c r="C740" s="529" t="str">
        <f>IFERROR(__xludf.DUMMYFUNCTION("""COMPUTED_VALUE"""),"RD Summit 2024 : Níveis de Maturidade em vendas B2B")</f>
        <v>RD Summit 2024 : Níveis de Maturidade em vendas B2B</v>
      </c>
      <c r="D740" s="529" t="str">
        <f>IFERROR(__xludf.DUMMYFUNCTION("""COMPUTED_VALUE"""),"Gustavo Pagotto")</f>
        <v>Gustavo Pagotto</v>
      </c>
      <c r="E740" s="857" t="str">
        <f>IFERROR(__xludf.DUMMYFUNCTION("""COMPUTED_VALUE"""),"Fundador")</f>
        <v>Fundador</v>
      </c>
      <c r="F740" s="858" t="str">
        <f>IFERROR(__xludf.DUMMYFUNCTION("""COMPUTED_VALUE"""),"PipeLovers")</f>
        <v>PipeLovers</v>
      </c>
      <c r="G740" s="860" t="str">
        <f>IFERROR(__xludf.DUMMYFUNCTION("""COMPUTED_VALUE"""),"https://www.linkedin.com/in/gpagotto/")</f>
        <v>https://www.linkedin.com/in/gpagotto/</v>
      </c>
      <c r="H740" s="858" t="str">
        <f>IFERROR(__xludf.DUMMYFUNCTION("""COMPUTED_VALUE"""),"Visão de Negócio")</f>
        <v>Visão de Negócio</v>
      </c>
      <c r="I740" s="648" t="str">
        <f>IFERROR(__xludf.DUMMYFUNCTION("""COMPUTED_VALUE"""),"Tendencias de mercado")</f>
        <v>Tendencias de mercado</v>
      </c>
      <c r="J740" s="669" t="str">
        <f>IFERROR(__xludf.DUMMYFUNCTION("""COMPUTED_VALUE"""),"Tendencias do Setor")</f>
        <v>Tendencias do Setor</v>
      </c>
      <c r="K740" s="473" t="str">
        <f>IFERROR(__xludf.DUMMYFUNCTION("""COMPUTED_VALUE"""),"https://universidade.pipelovers.net/m/lessons/rd-summit-2024-niveis-de-maturidade-em-vendas-b2b1769552060152?classId=3026")</f>
        <v>https://universidade.pipelovers.net/m/lessons/rd-summit-2024-niveis-de-maturidade-em-vendas-b2b1769552060152?classId=3026</v>
      </c>
      <c r="L740" s="474" t="str">
        <f>IFERROR(__xludf.DUMMYFUNCTION("""COMPUTED_VALUE"""),"https://universidade.pipelovers.net/m/lessons/rd-summit-2024-niveis-de-maturidade-em-vendas-b2b1769552060152?classId=3026")</f>
        <v>https://universidade.pipelovers.net/m/lessons/rd-summit-2024-niveis-de-maturidade-em-vendas-b2b1769552060152?classId=3026</v>
      </c>
      <c r="M740" s="379" t="str">
        <f>IFERROR(__xludf.DUMMYFUNCTION("""COMPUTED_VALUE"""),"4,71")</f>
        <v>4,71</v>
      </c>
      <c r="N740" s="1177" t="str">
        <f>IFERROR(__xludf.DUMMYFUNCTION("""COMPUTED_VALUE"""),"https://drive.google.com/file/d/1UtH7raSUXgwmwrNiKFgd5Sv3DJqK9WPt/view?usp=drive_link")</f>
        <v>https://drive.google.com/file/d/1UtH7raSUXgwmwrNiKFgd5Sv3DJqK9WPt/view?usp=drive_link</v>
      </c>
      <c r="O740" s="151" t="str">
        <f>IFERROR(__xludf.DUMMYFUNCTION("""COMPUTED_VALUE"""),"")</f>
        <v/>
      </c>
      <c r="P740" s="1138" t="str">
        <f>IFERROR(__xludf.DUMMYFUNCTION("""COMPUTED_VALUE"""),"09/01/2025")</f>
        <v>09/01/2025</v>
      </c>
      <c r="Q740" s="151"/>
    </row>
    <row r="741">
      <c r="A741" s="73"/>
      <c r="B741" s="1129" t="str">
        <f>IFERROR(__xludf.DUMMYFUNCTION("""COMPUTED_VALUE"""),"Canais e Parcerias")</f>
        <v>Canais e Parcerias</v>
      </c>
      <c r="C741" s="268" t="str">
        <f>IFERROR(__xludf.DUMMYFUNCTION("""COMPUTED_VALUE"""),"Geração de Leads através de canais não remunerados")</f>
        <v>Geração de Leads através de canais não remunerados</v>
      </c>
      <c r="D741" s="268" t="str">
        <f>IFERROR(__xludf.DUMMYFUNCTION("""COMPUTED_VALUE"""),"Danilo Sugahara")</f>
        <v>Danilo Sugahara</v>
      </c>
      <c r="E741" s="857" t="str">
        <f>IFERROR(__xludf.DUMMYFUNCTION("""COMPUTED_VALUE"""),"Ex-Clearsale/Stuo/Picpay")</f>
        <v>Ex-Clearsale/Stuo/Picpay</v>
      </c>
      <c r="F741" s="858"/>
      <c r="G741" s="860" t="str">
        <f>IFERROR(__xludf.DUMMYFUNCTION("""COMPUTED_VALUE"""),"https://www.linkedin.com/in/danilosugahara/")</f>
        <v>https://www.linkedin.com/in/danilosugahara/</v>
      </c>
      <c r="H741" s="667" t="str">
        <f>IFERROR(__xludf.DUMMYFUNCTION("""COMPUTED_VALUE"""),"Conhecimento Técnico")</f>
        <v>Conhecimento Técnico</v>
      </c>
      <c r="I741" s="667" t="str">
        <f>IFERROR(__xludf.DUMMYFUNCTION("""COMPUTED_VALUE"""),"Gestão de Vendas")</f>
        <v>Gestão de Vendas</v>
      </c>
      <c r="J741" s="667" t="str">
        <f>IFERROR(__xludf.DUMMYFUNCTION("""COMPUTED_VALUE"""),"Planejamento Comercial")</f>
        <v>Planejamento Comercial</v>
      </c>
      <c r="K741" s="473" t="str">
        <f>IFERROR(__xludf.DUMMYFUNCTION("""COMPUTED_VALUE"""),"https://universidade.pipelovers.net/m/lessons/geracao-de-leads-atraves-de-canais-nao-remunerados1769552445782?classId=3021")</f>
        <v>https://universidade.pipelovers.net/m/lessons/geracao-de-leads-atraves-de-canais-nao-remunerados1769552445782?classId=3021</v>
      </c>
      <c r="L741" s="474" t="str">
        <f>IFERROR(__xludf.DUMMYFUNCTION("""COMPUTED_VALUE"""),"https://universidade.pipelovers.net/m/lessons/geracao-de-leads-atraves-de-canais-nao-remunerados1769552445782?classId=3021")</f>
        <v>https://universidade.pipelovers.net/m/lessons/geracao-de-leads-atraves-de-canais-nao-remunerados1769552445782?classId=3021</v>
      </c>
      <c r="M741" s="379">
        <f>IFERROR(__xludf.DUMMYFUNCTION("""COMPUTED_VALUE"""),1.0)</f>
        <v>1</v>
      </c>
      <c r="N741" s="1177" t="str">
        <f>IFERROR(__xludf.DUMMYFUNCTION("""COMPUTED_VALUE"""),"https://drive.google.com/file/d/1HEvBQpxjwEio-808M7lo8k50iP-bp8Yc/view?usp=drive_link")</f>
        <v>https://drive.google.com/file/d/1HEvBQpxjwEio-808M7lo8k50iP-bp8Yc/view?usp=drive_link</v>
      </c>
      <c r="O741" s="228" t="str">
        <f>IFERROR(__xludf.DUMMYFUNCTION("""COMPUTED_VALUE"""),"")</f>
        <v/>
      </c>
      <c r="P741" s="1138">
        <f>IFERROR(__xludf.DUMMYFUNCTION("""COMPUTED_VALUE"""),45673.0)</f>
        <v>45673</v>
      </c>
      <c r="Q741" s="228"/>
    </row>
    <row r="742">
      <c r="A742" s="73"/>
      <c r="B742" s="1129" t="str">
        <f>IFERROR(__xludf.DUMMYFUNCTION("""COMPUTED_VALUE"""),"Canais e Parcerias")</f>
        <v>Canais e Parcerias</v>
      </c>
      <c r="C742" s="181" t="str">
        <f>IFERROR(__xludf.DUMMYFUNCTION("""COMPUTED_VALUE"""),"Hard e soft skills para gestão de canais")</f>
        <v>Hard e soft skills para gestão de canais</v>
      </c>
      <c r="D742" s="507" t="str">
        <f>IFERROR(__xludf.DUMMYFUNCTION("""COMPUTED_VALUE"""),"Paula Schaefer")</f>
        <v>Paula Schaefer</v>
      </c>
      <c r="E742" s="395" t="str">
        <f>IFERROR(__xludf.DUMMYFUNCTION("""COMPUTED_VALUE"""),"Gerente de vendas sênior - Canais/Parceiros")</f>
        <v>Gerente de vendas sênior - Canais/Parceiros</v>
      </c>
      <c r="F742" s="872" t="str">
        <f>IFERROR(__xludf.DUMMYFUNCTION("""COMPUTED_VALUE"""),"RD Station")</f>
        <v>RD Station</v>
      </c>
      <c r="G742" s="873" t="str">
        <f>IFERROR(__xludf.DUMMYFUNCTION("""COMPUTED_VALUE"""),"https://www.linkedin.com/in/paula-schaefer/")</f>
        <v>https://www.linkedin.com/in/paula-schaefer/</v>
      </c>
      <c r="H742" s="667" t="str">
        <f>IFERROR(__xludf.DUMMYFUNCTION("""COMPUTED_VALUE"""),"Relacionamento Interpessoal")</f>
        <v>Relacionamento Interpessoal</v>
      </c>
      <c r="I742" s="667" t="str">
        <f>IFERROR(__xludf.DUMMYFUNCTION("""COMPUTED_VALUE"""),"Liderança e Influência")</f>
        <v>Liderança e Influência</v>
      </c>
      <c r="J742" s="669" t="str">
        <f>IFERROR(__xludf.DUMMYFUNCTION("""COMPUTED_VALUE"""),"Mentoria e Desenvolvimento de Talentos")</f>
        <v>Mentoria e Desenvolvimento de Talentos</v>
      </c>
      <c r="K742" s="473" t="str">
        <f>IFERROR(__xludf.DUMMYFUNCTION("""COMPUTED_VALUE"""),"https://universidade.pipelovers.net/m/lessons/hard-e-soft-skills-para-gestao-de-canais1769552445851?classId=3175")</f>
        <v>https://universidade.pipelovers.net/m/lessons/hard-e-soft-skills-para-gestao-de-canais1769552445851?classId=3175</v>
      </c>
      <c r="L742" s="474" t="str">
        <f>IFERROR(__xludf.DUMMYFUNCTION("""COMPUTED_VALUE"""),"https://universidade.pipelovers.net/m/lessons/hard-e-soft-skills-para-gestao-de-canais1769552445851?classId=3175")</f>
        <v>https://universidade.pipelovers.net/m/lessons/hard-e-soft-skills-para-gestao-de-canais1769552445851?classId=3175</v>
      </c>
      <c r="M742" s="379" t="str">
        <f>IFERROR(__xludf.DUMMYFUNCTION("""COMPUTED_VALUE"""),"4,43")</f>
        <v>4,43</v>
      </c>
      <c r="N742" s="1177" t="str">
        <f>IFERROR(__xludf.DUMMYFUNCTION("""COMPUTED_VALUE"""),"https://drive.google.com/file/d/1M9rkt06iuKAF9PrvUt1vKPDoPDh2GH7-/view?usp=drive_link")</f>
        <v>https://drive.google.com/file/d/1M9rkt06iuKAF9PrvUt1vKPDoPDh2GH7-/view?usp=drive_link</v>
      </c>
      <c r="O742" s="151" t="str">
        <f>IFERROR(__xludf.DUMMYFUNCTION("""COMPUTED_VALUE"""),"")</f>
        <v/>
      </c>
      <c r="P742" s="1138" t="str">
        <f>IFERROR(__xludf.DUMMYFUNCTION("""COMPUTED_VALUE"""),"23/01/2025")</f>
        <v>23/01/2025</v>
      </c>
      <c r="Q742" s="151"/>
    </row>
    <row r="743">
      <c r="A743" s="73"/>
      <c r="B743" s="1129" t="str">
        <f>IFERROR(__xludf.DUMMYFUNCTION("""COMPUTED_VALUE"""),"Canais e Parcerias")</f>
        <v>Canais e Parcerias</v>
      </c>
      <c r="C743" s="382" t="str">
        <f>IFERROR(__xludf.DUMMYFUNCTION("""COMPUTED_VALUE"""),"Programa de Afiliados: primeiros passos para criar um novo canal de aquisição")</f>
        <v>Programa de Afiliados: primeiros passos para criar um novo canal de aquisição</v>
      </c>
      <c r="D743" s="268" t="str">
        <f>IFERROR(__xludf.DUMMYFUNCTION("""COMPUTED_VALUE"""),"Gustavo Pagotto")</f>
        <v>Gustavo Pagotto</v>
      </c>
      <c r="E743" s="105" t="str">
        <f>IFERROR(__xludf.DUMMYFUNCTION("""COMPUTED_VALUE"""),"Fundador")</f>
        <v>Fundador</v>
      </c>
      <c r="F743" s="448" t="str">
        <f>IFERROR(__xludf.DUMMYFUNCTION("""COMPUTED_VALUE"""),"PipeLovers")</f>
        <v>PipeLovers</v>
      </c>
      <c r="G743" s="449" t="str">
        <f>IFERROR(__xludf.DUMMYFUNCTION("""COMPUTED_VALUE"""),"https://www.linkedin.com/in/gpagotto/")</f>
        <v>https://www.linkedin.com/in/gpagotto/</v>
      </c>
      <c r="H743" s="446" t="str">
        <f>IFERROR(__xludf.DUMMYFUNCTION("""COMPUTED_VALUE"""),"Visão de Negócios")</f>
        <v>Visão de Negócios</v>
      </c>
      <c r="I743" s="446" t="str">
        <f>IFERROR(__xludf.DUMMYFUNCTION("""COMPUTED_VALUE"""),"Tendencias de mercado")</f>
        <v>Tendencias de mercado</v>
      </c>
      <c r="J743" s="642" t="str">
        <f>IFERROR(__xludf.DUMMYFUNCTION("""COMPUTED_VALUE"""),"Inovações Tecnológicas")</f>
        <v>Inovações Tecnológicas</v>
      </c>
      <c r="K743" s="473" t="str">
        <f>IFERROR(__xludf.DUMMYFUNCTION("""COMPUTED_VALUE"""),"https://universidade.pipelovers.net/m/lessons/programa-de-afiliados-primeiros-passos-para-criar-um-novo-canal-de-aquisicao1769552445920?classId=3176")</f>
        <v>https://universidade.pipelovers.net/m/lessons/programa-de-afiliados-primeiros-passos-para-criar-um-novo-canal-de-aquisicao1769552445920?classId=3176</v>
      </c>
      <c r="L743" s="474" t="str">
        <f>IFERROR(__xludf.DUMMYFUNCTION("""COMPUTED_VALUE"""),"https://universidade.pipelovers.net/m/lessons/programa-de-afiliados-primeiros-passos-para-criar-um-novo-canal-de-aquisicao1769552445920?classId=3176")</f>
        <v>https://universidade.pipelovers.net/m/lessons/programa-de-afiliados-primeiros-passos-para-criar-um-novo-canal-de-aquisicao1769552445920?classId=3176</v>
      </c>
      <c r="M743" s="379" t="str">
        <f>IFERROR(__xludf.DUMMYFUNCTION("""COMPUTED_VALUE"""),"4,43")</f>
        <v>4,43</v>
      </c>
      <c r="N743" s="1177" t="str">
        <f>IFERROR(__xludf.DUMMYFUNCTION("""COMPUTED_VALUE"""),"https://drive.google.com/file/d/1ZOjLy1QJh_KRjWa7GjUInLvfX4bN2AlU/view?usp=drive_link")</f>
        <v>https://drive.google.com/file/d/1ZOjLy1QJh_KRjWa7GjUInLvfX4bN2AlU/view?usp=drive_link</v>
      </c>
      <c r="O743" s="228" t="str">
        <f>IFERROR(__xludf.DUMMYFUNCTION("""COMPUTED_VALUE"""),"")</f>
        <v/>
      </c>
      <c r="P743" s="1138" t="str">
        <f>IFERROR(__xludf.DUMMYFUNCTION("""COMPUTED_VALUE"""),"30/01/2025")</f>
        <v>30/01/2025</v>
      </c>
      <c r="Q743" s="228"/>
    </row>
    <row r="744">
      <c r="A744" s="73"/>
      <c r="B744" s="1129" t="str">
        <f>IFERROR(__xludf.DUMMYFUNCTION("""COMPUTED_VALUE"""),"Canais e Parcerias")</f>
        <v>Canais e Parcerias</v>
      </c>
      <c r="C744" s="501" t="str">
        <f>IFERROR(__xludf.DUMMYFUNCTION("""COMPUTED_VALUE"""),"Parcerias de Valor Adicionado (Value-Added Partnerships) para crescimento sustentável")</f>
        <v>Parcerias de Valor Adicionado (Value-Added Partnerships) para crescimento sustentável</v>
      </c>
      <c r="D744" s="529" t="str">
        <f>IFERROR(__xludf.DUMMYFUNCTION("""COMPUTED_VALUE"""),"Kalina Renno")</f>
        <v>Kalina Renno</v>
      </c>
      <c r="E744" s="105" t="str">
        <f>IFERROR(__xludf.DUMMYFUNCTION("""COMPUTED_VALUE"""),"Chief Marketing Office")</f>
        <v>Chief Marketing Office</v>
      </c>
      <c r="F744" s="448" t="str">
        <f>IFERROR(__xludf.DUMMYFUNCTION("""COMPUTED_VALUE"""),"Configr e Cloudez")</f>
        <v>Configr e Cloudez</v>
      </c>
      <c r="G744" s="449" t="str">
        <f>IFERROR(__xludf.DUMMYFUNCTION("""COMPUTED_VALUE"""),"https://www.linkedin.com/in/kalina-renno/?utm_source=share&amp;utm_campaign=share_via&amp;utm_content=profile&amp;utm_medium=ios_app")</f>
        <v>https://www.linkedin.com/in/kalina-renno/?utm_source=share&amp;utm_campaign=share_via&amp;utm_content=profile&amp;utm_medium=ios_app</v>
      </c>
      <c r="H744" s="448" t="str">
        <f>IFERROR(__xludf.DUMMYFUNCTION("""COMPUTED_VALUE"""),"Visão de Negócios")</f>
        <v>Visão de Negócios</v>
      </c>
      <c r="I744" s="448" t="str">
        <f>IFERROR(__xludf.DUMMYFUNCTION("""COMPUTED_VALUE"""),"Conhecimento de Produto e Negócio")</f>
        <v>Conhecimento de Produto e Negócio</v>
      </c>
      <c r="J744" s="642" t="str">
        <f>IFERROR(__xludf.DUMMYFUNCTION("""COMPUTED_VALUE"""),"Posicionamento de Produto")</f>
        <v>Posicionamento de Produto</v>
      </c>
      <c r="K744" s="473" t="str">
        <f>IFERROR(__xludf.DUMMYFUNCTION("""COMPUTED_VALUE"""),"https://universidade.pipelovers.net/m/lessons/parcerias-de-valor-adicionado-value-added-partnerships-para-crescimento-sustentavel1769552445999?classId=3177")</f>
        <v>https://universidade.pipelovers.net/m/lessons/parcerias-de-valor-adicionado-value-added-partnerships-para-crescimento-sustentavel1769552445999?classId=3177</v>
      </c>
      <c r="L744" s="474" t="str">
        <f>IFERROR(__xludf.DUMMYFUNCTION("""COMPUTED_VALUE"""),"https://universidade.pipelovers.net/m/lessons/parcerias-de-valor-adicionado-value-added-partnerships-para-crescimento-sustentavel1769552445999?classId=3177")</f>
        <v>https://universidade.pipelovers.net/m/lessons/parcerias-de-valor-adicionado-value-added-partnerships-para-crescimento-sustentavel1769552445999?classId=3177</v>
      </c>
      <c r="M744" s="379" t="str">
        <f>IFERROR(__xludf.DUMMYFUNCTION("""COMPUTED_VALUE"""),"2")</f>
        <v>2</v>
      </c>
      <c r="N744" s="1177" t="str">
        <f>IFERROR(__xludf.DUMMYFUNCTION("""COMPUTED_VALUE"""),"https://drive.google.com/file/d/1bUWFIrllxugzmZgIjVwwXyFIVtnpDZqO/view?usp=drive_link")</f>
        <v>https://drive.google.com/file/d/1bUWFIrllxugzmZgIjVwwXyFIVtnpDZqO/view?usp=drive_link</v>
      </c>
      <c r="O744" s="151" t="str">
        <f>IFERROR(__xludf.DUMMYFUNCTION("""COMPUTED_VALUE"""),"")</f>
        <v/>
      </c>
      <c r="P744" s="1138" t="str">
        <f>IFERROR(__xludf.DUMMYFUNCTION("""COMPUTED_VALUE"""),"06/02/2025")</f>
        <v>06/02/2025</v>
      </c>
      <c r="Q744" s="151"/>
    </row>
    <row r="745">
      <c r="A745" s="73"/>
      <c r="B745" s="1129" t="str">
        <f>IFERROR(__xludf.DUMMYFUNCTION("""COMPUTED_VALUE"""),"Canais e Parcerias")</f>
        <v>Canais e Parcerias</v>
      </c>
      <c r="C745" s="382" t="str">
        <f>IFERROR(__xludf.DUMMYFUNCTION("""COMPUTED_VALUE"""),"Primeiros passos para criar um playbook de canais")</f>
        <v>Primeiros passos para criar um playbook de canais</v>
      </c>
      <c r="D745" s="268" t="str">
        <f>IFERROR(__xludf.DUMMYFUNCTION("""COMPUTED_VALUE"""),"Antonio Forte")</f>
        <v>Antonio Forte</v>
      </c>
      <c r="E745" s="110" t="str">
        <f>IFERROR(__xludf.DUMMYFUNCTION("""COMPUTED_VALUE"""),"Director, Business Development &amp; Partner’s Ecosystem")</f>
        <v>Director, Business Development &amp; Partner’s Ecosystem</v>
      </c>
      <c r="F745" s="446" t="str">
        <f>IFERROR(__xludf.DUMMYFUNCTION("""COMPUTED_VALUE"""),"Qualtrics")</f>
        <v>Qualtrics</v>
      </c>
      <c r="G745" s="447" t="str">
        <f>IFERROR(__xludf.DUMMYFUNCTION("""COMPUTED_VALUE"""),"https://www.linkedin.com/in/antonio-forte-9211762/")</f>
        <v>https://www.linkedin.com/in/antonio-forte-9211762/</v>
      </c>
      <c r="H745" s="446" t="str">
        <f>IFERROR(__xludf.DUMMYFUNCTION("""COMPUTED_VALUE"""),"Conhecimento Técnico")</f>
        <v>Conhecimento Técnico</v>
      </c>
      <c r="I745" s="446" t="str">
        <f>IFERROR(__xludf.DUMMYFUNCTION("""COMPUTED_VALUE"""),"Gestão de Vendas")</f>
        <v>Gestão de Vendas</v>
      </c>
      <c r="J745" s="642" t="str">
        <f>IFERROR(__xludf.DUMMYFUNCTION("""COMPUTED_VALUE"""),"Ferramentas de Vendas")</f>
        <v>Ferramentas de Vendas</v>
      </c>
      <c r="K745" s="473" t="str">
        <f>IFERROR(__xludf.DUMMYFUNCTION("""COMPUTED_VALUE"""),"https://universidade.pipelovers.net/m/lessons/primeiros-passos-para-criar-um-playbook-de-canais1769552446074?classId=3178")</f>
        <v>https://universidade.pipelovers.net/m/lessons/primeiros-passos-para-criar-um-playbook-de-canais1769552446074?classId=3178</v>
      </c>
      <c r="L745" s="474" t="str">
        <f>IFERROR(__xludf.DUMMYFUNCTION("""COMPUTED_VALUE"""),"https://universidade.pipelovers.net/m/lessons/primeiros-passos-para-criar-um-playbook-de-canais1769552446074?classId=3178")</f>
        <v>https://universidade.pipelovers.net/m/lessons/primeiros-passos-para-criar-um-playbook-de-canais1769552446074?classId=3178</v>
      </c>
      <c r="M745" s="379" t="str">
        <f>IFERROR(__xludf.DUMMYFUNCTION("""COMPUTED_VALUE"""),"2")</f>
        <v>2</v>
      </c>
      <c r="N745" s="1177" t="str">
        <f>IFERROR(__xludf.DUMMYFUNCTION("""COMPUTED_VALUE"""),"https://drive.google.com/file/d/1f8DYkTvSkZ-QIyqiYnbPXFS21n1dg_PE/view?usp=drive_link")</f>
        <v>https://drive.google.com/file/d/1f8DYkTvSkZ-QIyqiYnbPXFS21n1dg_PE/view?usp=drive_link</v>
      </c>
      <c r="O745" s="228" t="str">
        <f>IFERROR(__xludf.DUMMYFUNCTION("""COMPUTED_VALUE"""),"")</f>
        <v/>
      </c>
      <c r="P745" s="1138" t="str">
        <f>IFERROR(__xludf.DUMMYFUNCTION("""COMPUTED_VALUE"""),"13/02/2025")</f>
        <v>13/02/2025</v>
      </c>
      <c r="Q745" s="228"/>
    </row>
    <row r="746">
      <c r="A746" s="73"/>
      <c r="B746" s="1129" t="str">
        <f>IFERROR(__xludf.DUMMYFUNCTION("""COMPUTED_VALUE"""),"Canais e Parcerias")</f>
        <v>Canais e Parcerias</v>
      </c>
      <c r="C746" s="529" t="str">
        <f>IFERROR(__xludf.DUMMYFUNCTION("""COMPUTED_VALUE"""),"Planejando o ano com canais franqueado")</f>
        <v>Planejando o ano com canais franqueado</v>
      </c>
      <c r="D746" s="529" t="str">
        <f>IFERROR(__xludf.DUMMYFUNCTION("""COMPUTED_VALUE"""),"Ricardo Tanaka")</f>
        <v>Ricardo Tanaka</v>
      </c>
      <c r="E746" s="110" t="str">
        <f>IFERROR(__xludf.DUMMYFUNCTION("""COMPUTED_VALUE"""),"Regional Sales Manager")</f>
        <v>Regional Sales Manager</v>
      </c>
      <c r="F746" s="446" t="str">
        <f>IFERROR(__xludf.DUMMYFUNCTION("""COMPUTED_VALUE"""),"TOTVS")</f>
        <v>TOTVS</v>
      </c>
      <c r="G746" s="447" t="str">
        <f>IFERROR(__xludf.DUMMYFUNCTION("""COMPUTED_VALUE"""),"https://www.linkedin.com/in/ricardomtanaka/")</f>
        <v>https://www.linkedin.com/in/ricardomtanaka/</v>
      </c>
      <c r="H746" s="446" t="str">
        <f>IFERROR(__xludf.DUMMYFUNCTION("""COMPUTED_VALUE"""),"Conhecimento Técnico")</f>
        <v>Conhecimento Técnico</v>
      </c>
      <c r="I746" s="446" t="str">
        <f>IFERROR(__xludf.DUMMYFUNCTION("""COMPUTED_VALUE"""),"Gestão de Vendas")</f>
        <v>Gestão de Vendas</v>
      </c>
      <c r="J746" s="642" t="str">
        <f>IFERROR(__xludf.DUMMYFUNCTION("""COMPUTED_VALUE"""),"Planejamento Comercial")</f>
        <v>Planejamento Comercial</v>
      </c>
      <c r="K746" s="473" t="str">
        <f>IFERROR(__xludf.DUMMYFUNCTION("""COMPUTED_VALUE"""),"https://universidade.pipelovers.net/m/lessons/planejando-o-ano-com-canais-franqueado1769552446135?classId=3179")</f>
        <v>https://universidade.pipelovers.net/m/lessons/planejando-o-ano-com-canais-franqueado1769552446135?classId=3179</v>
      </c>
      <c r="L746" s="474" t="str">
        <f>IFERROR(__xludf.DUMMYFUNCTION("""COMPUTED_VALUE"""),"https://universidade.pipelovers.net/m/lessons/planejando-o-ano-com-canais-franqueado1769552446135?classId=3179")</f>
        <v>https://universidade.pipelovers.net/m/lessons/planejando-o-ano-com-canais-franqueado1769552446135?classId=3179</v>
      </c>
      <c r="M746" s="379" t="str">
        <f>IFERROR(__xludf.DUMMYFUNCTION("""COMPUTED_VALUE"""),"3,71")</f>
        <v>3,71</v>
      </c>
      <c r="N746" s="1177" t="str">
        <f>IFERROR(__xludf.DUMMYFUNCTION("""COMPUTED_VALUE"""),"https://drive.google.com/file/d/1FB-gW09ARnmM9R4DKWxbdh8hAYH76nSw/view?usp=drive_link")</f>
        <v>https://drive.google.com/file/d/1FB-gW09ARnmM9R4DKWxbdh8hAYH76nSw/view?usp=drive_link</v>
      </c>
      <c r="O746" s="151" t="str">
        <f>IFERROR(__xludf.DUMMYFUNCTION("""COMPUTED_VALUE"""),"")</f>
        <v/>
      </c>
      <c r="P746" s="1138" t="str">
        <f>IFERROR(__xludf.DUMMYFUNCTION("""COMPUTED_VALUE"""),"20/02/2025")</f>
        <v>20/02/2025</v>
      </c>
      <c r="Q746" s="151"/>
    </row>
    <row r="747">
      <c r="A747" s="73"/>
      <c r="B747" s="1129" t="str">
        <f>IFERROR(__xludf.DUMMYFUNCTION("""COMPUTED_VALUE"""),"Canais e Parcerias")</f>
        <v>Canais e Parcerias</v>
      </c>
      <c r="C747" s="181" t="str">
        <f>IFERROR(__xludf.DUMMYFUNCTION("""COMPUTED_VALUE"""),"Canais de Distribuição: Estruturando o essencial para crescer")</f>
        <v>Canais de Distribuição: Estruturando o essencial para crescer</v>
      </c>
      <c r="D747" s="268" t="str">
        <f>IFERROR(__xludf.DUMMYFUNCTION("""COMPUTED_VALUE"""),"Douglas Medeiros")</f>
        <v>Douglas Medeiros</v>
      </c>
      <c r="E747" s="110" t="str">
        <f>IFERROR(__xludf.DUMMYFUNCTION("""COMPUTED_VALUE"""),"-")</f>
        <v>-</v>
      </c>
      <c r="F747" s="446"/>
      <c r="G747" s="447" t="str">
        <f>IFERROR(__xludf.DUMMYFUNCTION("""COMPUTED_VALUE"""),"https://www.linkedin.com/in/douglas-a-medeiros/")</f>
        <v>https://www.linkedin.com/in/douglas-a-medeiros/</v>
      </c>
      <c r="H747" s="446" t="str">
        <f>IFERROR(__xludf.DUMMYFUNCTION("""COMPUTED_VALUE"""),"Conhecimento Técnico")</f>
        <v>Conhecimento Técnico</v>
      </c>
      <c r="I747" s="446" t="str">
        <f>IFERROR(__xludf.DUMMYFUNCTION("""COMPUTED_VALUE"""),"Gestão de Vendas")</f>
        <v>Gestão de Vendas</v>
      </c>
      <c r="J747" s="642" t="str">
        <f>IFERROR(__xludf.DUMMYFUNCTION("""COMPUTED_VALUE"""),"Planejamento Comercial")</f>
        <v>Planejamento Comercial</v>
      </c>
      <c r="K747" s="473" t="str">
        <f>IFERROR(__xludf.DUMMYFUNCTION("""COMPUTED_VALUE"""),"https://universidade.pipelovers.net/m/lessons/canais-de-distribuicao-estruturando-o-essencial-para-crescer1769552446221?classId=3180")</f>
        <v>https://universidade.pipelovers.net/m/lessons/canais-de-distribuicao-estruturando-o-essencial-para-crescer1769552446221?classId=3180</v>
      </c>
      <c r="L747" s="474" t="str">
        <f>IFERROR(__xludf.DUMMYFUNCTION("""COMPUTED_VALUE"""),"https://universidade.pipelovers.net/m/lessons/canais-de-distribuicao-estruturando-o-essencial-para-crescer1769552446221?classId=3180")</f>
        <v>https://universidade.pipelovers.net/m/lessons/canais-de-distribuicao-estruturando-o-essencial-para-crescer1769552446221?classId=3180</v>
      </c>
      <c r="M747" s="379" t="str">
        <f>IFERROR(__xludf.DUMMYFUNCTION("""COMPUTED_VALUE"""),"3,57")</f>
        <v>3,57</v>
      </c>
      <c r="N747" s="1177" t="str">
        <f>IFERROR(__xludf.DUMMYFUNCTION("""COMPUTED_VALUE"""),"https://drive.google.com/file/d/18FukbMvOIFORT0sbk7jWq44Y8CYdbwno/view?usp=drive_link")</f>
        <v>https://drive.google.com/file/d/18FukbMvOIFORT0sbk7jWq44Y8CYdbwno/view?usp=drive_link</v>
      </c>
      <c r="O747" s="228" t="str">
        <f>IFERROR(__xludf.DUMMYFUNCTION("""COMPUTED_VALUE"""),"")</f>
        <v/>
      </c>
      <c r="P747" s="1138" t="str">
        <f>IFERROR(__xludf.DUMMYFUNCTION("""COMPUTED_VALUE"""),"27/02/2025")</f>
        <v>27/02/2025</v>
      </c>
      <c r="Q747" s="228"/>
    </row>
    <row r="748">
      <c r="A748" s="73"/>
      <c r="B748" s="1129" t="str">
        <f>IFERROR(__xludf.DUMMYFUNCTION("""COMPUTED_VALUE"""),"Canais e Parcerias")</f>
        <v>Canais e Parcerias</v>
      </c>
      <c r="C748" s="501" t="str">
        <f>IFERROR(__xludf.DUMMYFUNCTION("""COMPUTED_VALUE"""),"A culpa não é do canal: Erros que cometemos e como evitá- los")</f>
        <v>A culpa não é do canal: Erros que cometemos e como evitá- los</v>
      </c>
      <c r="D748" s="529" t="str">
        <f>IFERROR(__xludf.DUMMYFUNCTION("""COMPUTED_VALUE"""),"Denys Vojnovskis")</f>
        <v>Denys Vojnovskis</v>
      </c>
      <c r="E748" s="110" t="str">
        <f>IFERROR(__xludf.DUMMYFUNCTION("""COMPUTED_VALUE"""),"Territory Sales Manager")</f>
        <v>Territory Sales Manager</v>
      </c>
      <c r="F748" s="446" t="str">
        <f>IFERROR(__xludf.DUMMYFUNCTION("""COMPUTED_VALUE"""),"Qlik")</f>
        <v>Qlik</v>
      </c>
      <c r="G748" s="447" t="str">
        <f>IFERROR(__xludf.DUMMYFUNCTION("""COMPUTED_VALUE"""),"https://www.linkedin.com/in/denys-vojnovskis/")</f>
        <v>https://www.linkedin.com/in/denys-vojnovskis/</v>
      </c>
      <c r="H748" s="446" t="str">
        <f>IFERROR(__xludf.DUMMYFUNCTION("""COMPUTED_VALUE"""),"Conhecimento Técnico")</f>
        <v>Conhecimento Técnico</v>
      </c>
      <c r="I748" s="446" t="str">
        <f>IFERROR(__xludf.DUMMYFUNCTION("""COMPUTED_VALUE"""),"Gestão de Vendas")</f>
        <v>Gestão de Vendas</v>
      </c>
      <c r="J748" s="642" t="str">
        <f>IFERROR(__xludf.DUMMYFUNCTION("""COMPUTED_VALUE"""),"Rotinas e Rituais")</f>
        <v>Rotinas e Rituais</v>
      </c>
      <c r="K748" s="473" t="str">
        <f>IFERROR(__xludf.DUMMYFUNCTION("""COMPUTED_VALUE"""),"https://universidade.pipelovers.net/m/lessons/a-culpa-nao-e-do-canal-erros-que-cometemos-e-como-evita-los1769552446280?classId=3181")</f>
        <v>https://universidade.pipelovers.net/m/lessons/a-culpa-nao-e-do-canal-erros-que-cometemos-e-como-evita-los1769552446280?classId=3181</v>
      </c>
      <c r="L748" s="474" t="str">
        <f>IFERROR(__xludf.DUMMYFUNCTION("""COMPUTED_VALUE"""),"https://universidade.pipelovers.net/m/lessons/a-culpa-nao-e-do-canal-erros-que-cometemos-e-como-evita-los1769552446280?classId=3181")</f>
        <v>https://universidade.pipelovers.net/m/lessons/a-culpa-nao-e-do-canal-erros-que-cometemos-e-como-evita-los1769552446280?classId=3181</v>
      </c>
      <c r="M748" s="379" t="str">
        <f>IFERROR(__xludf.DUMMYFUNCTION("""COMPUTED_VALUE"""),"4,29")</f>
        <v>4,29</v>
      </c>
      <c r="N748" s="1177" t="str">
        <f>IFERROR(__xludf.DUMMYFUNCTION("""COMPUTED_VALUE"""),"https://drive.google.com/file/d/1_YefoCUxXQPY7UzgGRljmHiN3QOicOhW/view?usp=drive_link")</f>
        <v>https://drive.google.com/file/d/1_YefoCUxXQPY7UzgGRljmHiN3QOicOhW/view?usp=drive_link</v>
      </c>
      <c r="O748" s="151" t="str">
        <f>IFERROR(__xludf.DUMMYFUNCTION("""COMPUTED_VALUE"""),"")</f>
        <v/>
      </c>
      <c r="P748" s="1138" t="str">
        <f>IFERROR(__xludf.DUMMYFUNCTION("""COMPUTED_VALUE"""),"06/03/2025")</f>
        <v>06/03/2025</v>
      </c>
      <c r="Q748" s="151"/>
    </row>
    <row r="749">
      <c r="A749" s="73"/>
      <c r="B749" s="1129" t="str">
        <f>IFERROR(__xludf.DUMMYFUNCTION("""COMPUTED_VALUE"""),"Canais e Parcerias")</f>
        <v>Canais e Parcerias</v>
      </c>
      <c r="C749" s="268" t="str">
        <f>IFERROR(__xludf.DUMMYFUNCTION("""COMPUTED_VALUE"""),"Plano de Carreira em vendas indiretas")</f>
        <v>Plano de Carreira em vendas indiretas</v>
      </c>
      <c r="D749" s="268" t="str">
        <f>IFERROR(__xludf.DUMMYFUNCTION("""COMPUTED_VALUE"""),"Renata Rico")</f>
        <v>Renata Rico</v>
      </c>
      <c r="E749" s="110" t="str">
        <f>IFERROR(__xludf.DUMMYFUNCTION("""COMPUTED_VALUE"""),"Ex Salesforce, SAP, AWS e Oracle")</f>
        <v>Ex Salesforce, SAP, AWS e Oracle</v>
      </c>
      <c r="F749" s="446"/>
      <c r="G749" s="447" t="str">
        <f>IFERROR(__xludf.DUMMYFUNCTION("""COMPUTED_VALUE"""),"https://www.linkedin.com/in/renatasrico/")</f>
        <v>https://www.linkedin.com/in/renatasrico/</v>
      </c>
      <c r="H749" s="446" t="str">
        <f>IFERROR(__xludf.DUMMYFUNCTION("""COMPUTED_VALUE"""),"Relacionamento Interpessoal")</f>
        <v>Relacionamento Interpessoal</v>
      </c>
      <c r="I749" s="648" t="str">
        <f>IFERROR(__xludf.DUMMYFUNCTION("""COMPUTED_VALUE"""),"Liderança e Influência")</f>
        <v>Liderança e Influência</v>
      </c>
      <c r="J749" s="642" t="str">
        <f>IFERROR(__xludf.DUMMYFUNCTION("""COMPUTED_VALUE"""),"Mentoria e Desenvolvimento de Talentos")</f>
        <v>Mentoria e Desenvolvimento de Talentos</v>
      </c>
      <c r="K749" s="473" t="str">
        <f>IFERROR(__xludf.DUMMYFUNCTION("""COMPUTED_VALUE"""),"https://universidade.pipelovers.net/m/lessons/plano-de-carreira-em-vendas-indiretas1769552446341?classId=3182")</f>
        <v>https://universidade.pipelovers.net/m/lessons/plano-de-carreira-em-vendas-indiretas1769552446341?classId=3182</v>
      </c>
      <c r="L749" s="474" t="str">
        <f>IFERROR(__xludf.DUMMYFUNCTION("""COMPUTED_VALUE"""),"https://universidade.pipelovers.net/m/lessons/plano-de-carreira-em-vendas-indiretas1769552446341?classId=3182")</f>
        <v>https://universidade.pipelovers.net/m/lessons/plano-de-carreira-em-vendas-indiretas1769552446341?classId=3182</v>
      </c>
      <c r="M749" s="1188" t="str">
        <f>IFERROR(__xludf.DUMMYFUNCTION("""COMPUTED_VALUE"""),"4,07")</f>
        <v>4,07</v>
      </c>
      <c r="N749" s="1189" t="str">
        <f>IFERROR(__xludf.DUMMYFUNCTION("""COMPUTED_VALUE"""),"https://drive.google.com/file/d/1RiXrauHOOr9Am5IrvOrQliIqC502Ejt-/view?usp=drive_link")</f>
        <v>https://drive.google.com/file/d/1RiXrauHOOr9Am5IrvOrQliIqC502Ejt-/view?usp=drive_link</v>
      </c>
      <c r="O749" s="228" t="str">
        <f>IFERROR(__xludf.DUMMYFUNCTION("""COMPUTED_VALUE"""),"")</f>
        <v/>
      </c>
      <c r="P749" s="1138" t="str">
        <f>IFERROR(__xludf.DUMMYFUNCTION("""COMPUTED_VALUE"""),"13/03/2025")</f>
        <v>13/03/2025</v>
      </c>
      <c r="Q749" s="228"/>
    </row>
    <row r="750">
      <c r="A750" s="73"/>
      <c r="B750" s="1129" t="str">
        <f>IFERROR(__xludf.DUMMYFUNCTION("""COMPUTED_VALUE"""),"Canais e Parcerias")</f>
        <v>Canais e Parcerias</v>
      </c>
      <c r="C750" s="529" t="str">
        <f>IFERROR(__xludf.DUMMYFUNCTION("""COMPUTED_VALUE"""),"Captação de canais de ticket baixo")</f>
        <v>Captação de canais de ticket baixo</v>
      </c>
      <c r="D750" s="529" t="str">
        <f>IFERROR(__xludf.DUMMYFUNCTION("""COMPUTED_VALUE"""),"Célio Pupo")</f>
        <v>Célio Pupo</v>
      </c>
      <c r="E750" s="110" t="str">
        <f>IFERROR(__xludf.DUMMYFUNCTION("""COMPUTED_VALUE"""),"Gerente Executivo")</f>
        <v>Gerente Executivo</v>
      </c>
      <c r="F750" s="446" t="str">
        <f>IFERROR(__xludf.DUMMYFUNCTION("""COMPUTED_VALUE"""),"Tablet Cloud")</f>
        <v>Tablet Cloud</v>
      </c>
      <c r="G750" s="447" t="str">
        <f>IFERROR(__xludf.DUMMYFUNCTION("""COMPUTED_VALUE"""),"https://www.linkedin.com/in/c%C3%A9lio-pupo-ab745623/")</f>
        <v>https://www.linkedin.com/in/c%C3%A9lio-pupo-ab745623/</v>
      </c>
      <c r="H750" s="446" t="str">
        <f>IFERROR(__xludf.DUMMYFUNCTION("""COMPUTED_VALUE"""),"Conhecimento Técnico")</f>
        <v>Conhecimento Técnico</v>
      </c>
      <c r="I750" s="446" t="str">
        <f>IFERROR(__xludf.DUMMYFUNCTION("""COMPUTED_VALUE"""),"Técnicas de Vendas")</f>
        <v>Técnicas de Vendas</v>
      </c>
      <c r="J750" s="642" t="str">
        <f>IFERROR(__xludf.DUMMYFUNCTION("""COMPUTED_VALUE"""),"Abordagem e Prospecção")</f>
        <v>Abordagem e Prospecção</v>
      </c>
      <c r="K750" s="473" t="str">
        <f>IFERROR(__xludf.DUMMYFUNCTION("""COMPUTED_VALUE"""),"https://universidade.pipelovers.net/m/lessons/captacao-de-canais-de-ticket-baixo1769552446416?classId=3189")</f>
        <v>https://universidade.pipelovers.net/m/lessons/captacao-de-canais-de-ticket-baixo1769552446416?classId=3189</v>
      </c>
      <c r="L750" s="474" t="str">
        <f>IFERROR(__xludf.DUMMYFUNCTION("""COMPUTED_VALUE"""),"https://universidade.pipelovers.net/m/lessons/captacao-de-canais-de-ticket-baixo1769552446416?classId=3189")</f>
        <v>https://universidade.pipelovers.net/m/lessons/captacao-de-canais-de-ticket-baixo1769552446416?classId=3189</v>
      </c>
      <c r="M750" s="1188" t="str">
        <f>IFERROR(__xludf.DUMMYFUNCTION("""COMPUTED_VALUE"""),"2")</f>
        <v>2</v>
      </c>
      <c r="N750" s="1189" t="str">
        <f>IFERROR(__xludf.DUMMYFUNCTION("""COMPUTED_VALUE"""),"https://drive.google.com/file/d/1W7qqINTwUZsdKi394wOuUaiU1_-gRxKl/view?usp=drive_link")</f>
        <v>https://drive.google.com/file/d/1W7qqINTwUZsdKi394wOuUaiU1_-gRxKl/view?usp=drive_link</v>
      </c>
      <c r="O750" s="151" t="str">
        <f>IFERROR(__xludf.DUMMYFUNCTION("""COMPUTED_VALUE"""),"")</f>
        <v/>
      </c>
      <c r="P750" s="1138" t="str">
        <f>IFERROR(__xludf.DUMMYFUNCTION("""COMPUTED_VALUE"""),"20/03/2025")</f>
        <v>20/03/2025</v>
      </c>
      <c r="Q750" s="151"/>
    </row>
    <row r="751">
      <c r="A751" s="73"/>
      <c r="B751" s="1129" t="str">
        <f>IFERROR(__xludf.DUMMYFUNCTION("""COMPUTED_VALUE"""),"Canais e Parcerias")</f>
        <v>Canais e Parcerias</v>
      </c>
      <c r="C751" s="181" t="str">
        <f>IFERROR(__xludf.DUMMYFUNCTION("""COMPUTED_VALUE"""),"KPIs estratégicos para escalar e otimizar canais de vendas")</f>
        <v>KPIs estratégicos para escalar e otimizar canais de vendas</v>
      </c>
      <c r="D751" s="529" t="str">
        <f>IFERROR(__xludf.DUMMYFUNCTION("""COMPUTED_VALUE"""),"Adriano Neves")</f>
        <v>Adriano Neves</v>
      </c>
      <c r="E751" s="105" t="str">
        <f>IFERROR(__xludf.DUMMYFUNCTION("""COMPUTED_VALUE"""),"Senior Ops Manager")</f>
        <v>Senior Ops Manager</v>
      </c>
      <c r="F751" s="448" t="str">
        <f>IFERROR(__xludf.DUMMYFUNCTION("""COMPUTED_VALUE"""),"RD Station")</f>
        <v>RD Station</v>
      </c>
      <c r="G751" s="449" t="str">
        <f>IFERROR(__xludf.DUMMYFUNCTION("""COMPUTED_VALUE"""),"https://www.linkedin.com/in/adrianogan/")</f>
        <v>https://www.linkedin.com/in/adrianogan/</v>
      </c>
      <c r="H751" s="448" t="str">
        <f>IFERROR(__xludf.DUMMYFUNCTION("""COMPUTED_VALUE"""),"Conhecimento Técnico")</f>
        <v>Conhecimento Técnico</v>
      </c>
      <c r="I751" s="446" t="str">
        <f>IFERROR(__xludf.DUMMYFUNCTION("""COMPUTED_VALUE"""),"Pensamento Crítico")</f>
        <v>Pensamento Crítico</v>
      </c>
      <c r="J751" s="642" t="str">
        <f>IFERROR(__xludf.DUMMYFUNCTION("""COMPUTED_VALUE"""),"Métricas de Funil")</f>
        <v>Métricas de Funil</v>
      </c>
      <c r="K751" s="281" t="str">
        <f>IFERROR(__xludf.DUMMYFUNCTION("""COMPUTED_VALUE"""),"https://universidade.pipelovers.net/m/lessons/kpis-estrategicos-para-escalar-e-otimizar-canais-de-vendas1769552446472?classId=3190")</f>
        <v>https://universidade.pipelovers.net/m/lessons/kpis-estrategicos-para-escalar-e-otimizar-canais-de-vendas1769552446472?classId=3190</v>
      </c>
      <c r="L751" s="115" t="str">
        <f>IFERROR(__xludf.DUMMYFUNCTION("""COMPUTED_VALUE"""),"https://universidade.pipelovers.net/m/lessons/kpis-estrategicos-para-escalar-e-otimizar-canais-de-vendas1769552446472?classId=3190")</f>
        <v>https://universidade.pipelovers.net/m/lessons/kpis-estrategicos-para-escalar-e-otimizar-canais-de-vendas1769552446472?classId=3190</v>
      </c>
      <c r="M751" s="379" t="str">
        <f>IFERROR(__xludf.DUMMYFUNCTION("""COMPUTED_VALUE"""),"4,43")</f>
        <v>4,43</v>
      </c>
      <c r="N751" s="1177" t="str">
        <f>IFERROR(__xludf.DUMMYFUNCTION("""COMPUTED_VALUE"""),"https://drive.google.com/file/d/1pM4ZtYtv5NazezZqIUSEH2W57xH2bF__/view?usp=drive_link")</f>
        <v>https://drive.google.com/file/d/1pM4ZtYtv5NazezZqIUSEH2W57xH2bF__/view?usp=drive_link</v>
      </c>
      <c r="O751" s="228" t="str">
        <f>IFERROR(__xludf.DUMMYFUNCTION("""COMPUTED_VALUE"""),"")</f>
        <v/>
      </c>
      <c r="P751" s="1138" t="str">
        <f>IFERROR(__xludf.DUMMYFUNCTION("""COMPUTED_VALUE"""),"27/03/2025")</f>
        <v>27/03/2025</v>
      </c>
      <c r="Q751" s="228"/>
    </row>
    <row r="752">
      <c r="A752" s="73"/>
      <c r="B752" s="1129" t="str">
        <f>IFERROR(__xludf.DUMMYFUNCTION("""COMPUTED_VALUE"""),"Canais e Parcerias")</f>
        <v>Canais e Parcerias</v>
      </c>
      <c r="C752" s="268" t="str">
        <f>IFERROR(__xludf.DUMMYFUNCTION("""COMPUTED_VALUE"""),"Alianças estratégicas para ampliação de portfólio de ofertas")</f>
        <v>Alianças estratégicas para ampliação de portfólio de ofertas</v>
      </c>
      <c r="D752" s="268" t="str">
        <f>IFERROR(__xludf.DUMMYFUNCTION("""COMPUTED_VALUE"""),"Fabio Moreira")</f>
        <v>Fabio Moreira</v>
      </c>
      <c r="E752" s="110" t="str">
        <f>IFERROR(__xludf.DUMMYFUNCTION("""COMPUTED_VALUE"""),"Head of Tech Partnerships LATAM")</f>
        <v>Head of Tech Partnerships LATAM</v>
      </c>
      <c r="F752" s="446" t="str">
        <f>IFERROR(__xludf.DUMMYFUNCTION("""COMPUTED_VALUE"""),"Adyen")</f>
        <v>Adyen</v>
      </c>
      <c r="G752" s="447" t="str">
        <f>IFERROR(__xludf.DUMMYFUNCTION("""COMPUTED_VALUE"""),"https://www.linkedin.com/in/fabio-moreira-0141b121/")</f>
        <v>https://www.linkedin.com/in/fabio-moreira-0141b121/</v>
      </c>
      <c r="H752" s="446" t="str">
        <f>IFERROR(__xludf.DUMMYFUNCTION("""COMPUTED_VALUE"""),"Conhecimento Técnico")</f>
        <v>Conhecimento Técnico</v>
      </c>
      <c r="I752" s="446" t="str">
        <f>IFERROR(__xludf.DUMMYFUNCTION("""COMPUTED_VALUE"""),"Gestão de Vendas")</f>
        <v>Gestão de Vendas</v>
      </c>
      <c r="J752" s="642" t="str">
        <f>IFERROR(__xludf.DUMMYFUNCTION("""COMPUTED_VALUE"""),"UpSell e Cross Sell")</f>
        <v>UpSell e Cross Sell</v>
      </c>
      <c r="K752" s="281" t="str">
        <f>IFERROR(__xludf.DUMMYFUNCTION("""COMPUTED_VALUE"""),"https://universidade.pipelovers.net/m/lessons/aliancas-estrategicas-para-ampliacao-de-portfolio-de-ofertas1769552449341?classId=3191")</f>
        <v>https://universidade.pipelovers.net/m/lessons/aliancas-estrategicas-para-ampliacao-de-portfolio-de-ofertas1769552449341?classId=3191</v>
      </c>
      <c r="L752" s="115" t="str">
        <f>IFERROR(__xludf.DUMMYFUNCTION("""COMPUTED_VALUE"""),"https://universidade.pipelovers.net/m/lessons/aliancas-estrategicas-para-ampliacao-de-portfolio-de-ofertas1769552449341?classId=3191")</f>
        <v>https://universidade.pipelovers.net/m/lessons/aliancas-estrategicas-para-ampliacao-de-portfolio-de-ofertas1769552449341?classId=3191</v>
      </c>
      <c r="M752" s="379" t="str">
        <f>IFERROR(__xludf.DUMMYFUNCTION("""COMPUTED_VALUE"""),"3,71")</f>
        <v>3,71</v>
      </c>
      <c r="N752" s="1177" t="str">
        <f>IFERROR(__xludf.DUMMYFUNCTION("""COMPUTED_VALUE"""),"https://drive.google.com/file/d/1wTQOWYr8YSWAM9X4JJwu_3pkrNQ-BwHh/view?usp=drive_link")</f>
        <v>https://drive.google.com/file/d/1wTQOWYr8YSWAM9X4JJwu_3pkrNQ-BwHh/view?usp=drive_link</v>
      </c>
      <c r="O752" s="151" t="str">
        <f>IFERROR(__xludf.DUMMYFUNCTION("""COMPUTED_VALUE"""),"")</f>
        <v/>
      </c>
      <c r="P752" s="1138" t="str">
        <f>IFERROR(__xludf.DUMMYFUNCTION("""COMPUTED_VALUE"""),"03/04/2025")</f>
        <v>03/04/2025</v>
      </c>
      <c r="Q752" s="151"/>
    </row>
    <row r="753">
      <c r="A753" s="73"/>
      <c r="B753" s="1129" t="str">
        <f>IFERROR(__xludf.DUMMYFUNCTION("""COMPUTED_VALUE"""),"Canais e Parcerias")</f>
        <v>Canais e Parcerias</v>
      </c>
      <c r="C753" s="382" t="str">
        <f>IFERROR(__xludf.DUMMYFUNCTION("""COMPUTED_VALUE"""),"Gerenciando revendas em mercados regulados")</f>
        <v>Gerenciando revendas em mercados regulados</v>
      </c>
      <c r="D753" s="268" t="str">
        <f>IFERROR(__xludf.DUMMYFUNCTION("""COMPUTED_VALUE"""),"Hannah Matos")</f>
        <v>Hannah Matos</v>
      </c>
      <c r="E753" s="1132" t="str">
        <f>IFERROR(__xludf.DUMMYFUNCTION("""COMPUTED_VALUE"""),"Head of Sales | Wholesale")</f>
        <v>Head of Sales | Wholesale</v>
      </c>
      <c r="F753" s="268" t="str">
        <f>IFERROR(__xludf.DUMMYFUNCTION("""COMPUTED_VALUE"""),"ZENVIA")</f>
        <v>ZENVIA</v>
      </c>
      <c r="G753" s="447" t="str">
        <f>IFERROR(__xludf.DUMMYFUNCTION("""COMPUTED_VALUE"""),"https://www.linkedin.com/in/hannahmattos/")</f>
        <v>https://www.linkedin.com/in/hannahmattos/</v>
      </c>
      <c r="H753" s="446" t="str">
        <f>IFERROR(__xludf.DUMMYFUNCTION("""COMPUTED_VALUE"""),"Visão de Negócios")</f>
        <v>Visão de Negócios</v>
      </c>
      <c r="I753" s="446" t="str">
        <f>IFERROR(__xludf.DUMMYFUNCTION("""COMPUTED_VALUE"""),"Conhecimento de Produto e Negócio")</f>
        <v>Conhecimento de Produto e Negócio</v>
      </c>
      <c r="J753" s="446" t="str">
        <f>IFERROR(__xludf.DUMMYFUNCTION("""COMPUTED_VALUE"""),"Segmentação de Mercado")</f>
        <v>Segmentação de Mercado</v>
      </c>
      <c r="K753" s="473" t="str">
        <f>IFERROR(__xludf.DUMMYFUNCTION("""COMPUTED_VALUE"""),"https://universidade.pipelovers.net/m/lessons/gerenciando-revendas-em-mercados-regulados1769552449390?classId=3192")</f>
        <v>https://universidade.pipelovers.net/m/lessons/gerenciando-revendas-em-mercados-regulados1769552449390?classId=3192</v>
      </c>
      <c r="L753" s="474" t="str">
        <f>IFERROR(__xludf.DUMMYFUNCTION("""COMPUTED_VALUE"""),"https://universidade.pipelovers.net/m/lessons/gerenciando-revendas-em-mercados-regulados1769552449390?classId=3192")</f>
        <v>https://universidade.pipelovers.net/m/lessons/gerenciando-revendas-em-mercados-regulados1769552449390?classId=3192</v>
      </c>
      <c r="M753" s="117">
        <f>IFERROR(__xludf.DUMMYFUNCTION("""COMPUTED_VALUE"""),1.0)</f>
        <v>1</v>
      </c>
      <c r="N753" s="1177" t="str">
        <f>IFERROR(__xludf.DUMMYFUNCTION("""COMPUTED_VALUE"""),"https://drive.google.com/file/d/1PIpV-a3ApS4HTNaV_GOVxVdDSBpb38y7/view?usp=drive_link")</f>
        <v>https://drive.google.com/file/d/1PIpV-a3ApS4HTNaV_GOVxVdDSBpb38y7/view?usp=drive_link</v>
      </c>
      <c r="O753" s="151" t="str">
        <f>IFERROR(__xludf.DUMMYFUNCTION("""COMPUTED_VALUE"""),"")</f>
        <v/>
      </c>
      <c r="P753" s="1138">
        <f>IFERROR(__xludf.DUMMYFUNCTION("""COMPUTED_VALUE"""),45757.0)</f>
        <v>45757</v>
      </c>
      <c r="Q753" s="151"/>
    </row>
    <row r="754">
      <c r="A754" s="73"/>
      <c r="B754" s="1129" t="str">
        <f>IFERROR(__xludf.DUMMYFUNCTION("""COMPUTED_VALUE"""),"Canais e Parcerias")</f>
        <v>Canais e Parcerias</v>
      </c>
      <c r="C754" s="268" t="str">
        <f>IFERROR(__xludf.DUMMYFUNCTION("""COMPUTED_VALUE"""),"Estratégia de governança para diferentes canais de vendas")</f>
        <v>Estratégia de governança para diferentes canais de vendas</v>
      </c>
      <c r="D754" s="268" t="str">
        <f>IFERROR(__xludf.DUMMYFUNCTION("""COMPUTED_VALUE"""),"Joice Ferreira")</f>
        <v>Joice Ferreira</v>
      </c>
      <c r="E754" s="105" t="str">
        <f>IFERROR(__xludf.DUMMYFUNCTION("""COMPUTED_VALUE"""),"Innovation Advisor")</f>
        <v>Innovation Advisor</v>
      </c>
      <c r="F754" s="448" t="str">
        <f>IFERROR(__xludf.DUMMYFUNCTION("""COMPUTED_VALUE"""),"Pont Business Club")</f>
        <v>Pont Business Club</v>
      </c>
      <c r="G754" s="449" t="str">
        <f>IFERROR(__xludf.DUMMYFUNCTION("""COMPUTED_VALUE"""),"https://www.linkedin.com/in/joiceferreira2025/")</f>
        <v>https://www.linkedin.com/in/joiceferreira2025/</v>
      </c>
      <c r="H754" s="446" t="str">
        <f>IFERROR(__xludf.DUMMYFUNCTION("""COMPUTED_VALUE"""),"Conhecimento Técnico")</f>
        <v>Conhecimento Técnico</v>
      </c>
      <c r="I754" s="648" t="str">
        <f>IFERROR(__xludf.DUMMYFUNCTION("""COMPUTED_VALUE"""),"Gestão de Vendas")</f>
        <v>Gestão de Vendas</v>
      </c>
      <c r="J754" s="446" t="str">
        <f>IFERROR(__xludf.DUMMYFUNCTION("""COMPUTED_VALUE"""),"Rotinas e Rituais")</f>
        <v>Rotinas e Rituais</v>
      </c>
      <c r="K754" s="281" t="str">
        <f>IFERROR(__xludf.DUMMYFUNCTION("""COMPUTED_VALUE"""),"https://universidade.pipelovers.net/m/lessons/estrategia-de-governanca-para-diferentes-canais-de-vendas1769552449470?classId=3193")</f>
        <v>https://universidade.pipelovers.net/m/lessons/estrategia-de-governanca-para-diferentes-canais-de-vendas1769552449470?classId=3193</v>
      </c>
      <c r="L754" s="115" t="str">
        <f>IFERROR(__xludf.DUMMYFUNCTION("""COMPUTED_VALUE"""),"https://universidade.pipelovers.net/m/lessons/estrategia-de-governanca-para-diferentes-canais-de-vendas1769552449470?classId=3193")</f>
        <v>https://universidade.pipelovers.net/m/lessons/estrategia-de-governanca-para-diferentes-canais-de-vendas1769552449470?classId=3193</v>
      </c>
      <c r="M754" s="1195">
        <f>IFERROR(__xludf.DUMMYFUNCTION("""COMPUTED_VALUE"""),1.0)</f>
        <v>1</v>
      </c>
      <c r="N754" s="1196" t="str">
        <f>IFERROR(__xludf.DUMMYFUNCTION("""COMPUTED_VALUE"""),"https://drive.google.com/file/d/1NDjIWVhI_N42XK4-hGL_fBPopRWEmKZe/view?usp=drive_link")</f>
        <v>https://drive.google.com/file/d/1NDjIWVhI_N42XK4-hGL_fBPopRWEmKZe/view?usp=drive_link</v>
      </c>
      <c r="O754" s="218" t="str">
        <f>IFERROR(__xludf.DUMMYFUNCTION("""COMPUTED_VALUE"""),"")</f>
        <v/>
      </c>
      <c r="P754" s="1138">
        <f>IFERROR(__xludf.DUMMYFUNCTION("""COMPUTED_VALUE"""),45764.0)</f>
        <v>45764</v>
      </c>
      <c r="Q754" s="218"/>
    </row>
    <row r="755">
      <c r="A755" s="73"/>
      <c r="B755" s="1129" t="str">
        <f>IFERROR(__xludf.DUMMYFUNCTION("""COMPUTED_VALUE"""),"Canais e Parcerias")</f>
        <v>Canais e Parcerias</v>
      </c>
      <c r="C755" s="382" t="str">
        <f>IFERROR(__xludf.DUMMYFUNCTION("""COMPUTED_VALUE"""),"Exemplos práticos: Explorando o uso de IA em programas de parcerias")</f>
        <v>Exemplos práticos: Explorando o uso de IA em programas de parcerias</v>
      </c>
      <c r="D755" s="268" t="str">
        <f>IFERROR(__xludf.DUMMYFUNCTION("""COMPUTED_VALUE"""),"Nara Vaz")</f>
        <v>Nara Vaz</v>
      </c>
      <c r="E755" s="105" t="str">
        <f>IFERROR(__xludf.DUMMYFUNCTION("""COMPUTED_VALUE"""),"Founder")</f>
        <v>Founder</v>
      </c>
      <c r="F755" s="448" t="str">
        <f>IFERROR(__xludf.DUMMYFUNCTION("""COMPUTED_VALUE"""),"Plural Sales")</f>
        <v>Plural Sales</v>
      </c>
      <c r="G755" s="447" t="str">
        <f>IFERROR(__xludf.DUMMYFUNCTION("""COMPUTED_VALUE"""),"https://www.linkedin.com/in/naravazguimaraes/")</f>
        <v>https://www.linkedin.com/in/naravazguimaraes/</v>
      </c>
      <c r="H755" s="446" t="str">
        <f>IFERROR(__xludf.DUMMYFUNCTION("""COMPUTED_VALUE"""),"Visão de Negócios")</f>
        <v>Visão de Negócios</v>
      </c>
      <c r="I755" s="446" t="str">
        <f>IFERROR(__xludf.DUMMYFUNCTION("""COMPUTED_VALUE"""),"Tendencias de mercado")</f>
        <v>Tendencias de mercado</v>
      </c>
      <c r="J755" s="642" t="str">
        <f>IFERROR(__xludf.DUMMYFUNCTION("""COMPUTED_VALUE"""),"Inovações Tecnológicas")</f>
        <v>Inovações Tecnológicas</v>
      </c>
      <c r="K755" s="473" t="str">
        <f>IFERROR(__xludf.DUMMYFUNCTION("""COMPUTED_VALUE"""),"https://universidade.pipelovers.net/m/lessons/exemplos-praticos-explorando-o-uso-de-ia-em-programas-de-parcerias1769552449505?classId=3194")</f>
        <v>https://universidade.pipelovers.net/m/lessons/exemplos-praticos-explorando-o-uso-de-ia-em-programas-de-parcerias1769552449505?classId=3194</v>
      </c>
      <c r="L755" s="474" t="str">
        <f>IFERROR(__xludf.DUMMYFUNCTION("""COMPUTED_VALUE"""),"https://universidade.pipelovers.net/m/lessons/exemplos-praticos-explorando-o-uso-de-ia-em-programas-de-parcerias1769552449505?classId=3194")</f>
        <v>https://universidade.pipelovers.net/m/lessons/exemplos-praticos-explorando-o-uso-de-ia-em-programas-de-parcerias1769552449505?classId=3194</v>
      </c>
      <c r="M755" s="379" t="str">
        <f>IFERROR(__xludf.DUMMYFUNCTION("""COMPUTED_VALUE"""),"3,86")</f>
        <v>3,86</v>
      </c>
      <c r="N755" s="1177" t="str">
        <f>IFERROR(__xludf.DUMMYFUNCTION("""COMPUTED_VALUE"""),"https://drive.google.com/file/d/1M1V_Rm2HjIJqRzrflkTSjLPXD2c_Bdxn/view?usp=drive_link")</f>
        <v>https://drive.google.com/file/d/1M1V_Rm2HjIJqRzrflkTSjLPXD2c_Bdxn/view?usp=drive_link</v>
      </c>
      <c r="O755" s="218" t="str">
        <f>IFERROR(__xludf.DUMMYFUNCTION("""COMPUTED_VALUE"""),"")</f>
        <v/>
      </c>
      <c r="P755" s="1138" t="str">
        <f>IFERROR(__xludf.DUMMYFUNCTION("""COMPUTED_VALUE"""),"24/04/2025")</f>
        <v>24/04/2025</v>
      </c>
      <c r="Q755" s="218"/>
    </row>
    <row r="756">
      <c r="A756" s="73"/>
      <c r="B756" s="1129" t="str">
        <f>IFERROR(__xludf.DUMMYFUNCTION("""COMPUTED_VALUE"""),"Canais e Parcerias")</f>
        <v>Canais e Parcerias</v>
      </c>
      <c r="C756" s="307" t="str">
        <f>IFERROR(__xludf.DUMMYFUNCTION("""COMPUTED_VALUE"""),"Arquitetura de Canais: Como construir e escalar um modelo de representação comercial")</f>
        <v>Arquitetura de Canais: Como construir e escalar um modelo de representação comercial</v>
      </c>
      <c r="D756" s="336" t="str">
        <f>IFERROR(__xludf.DUMMYFUNCTION("""COMPUTED_VALUE"""),"Rodrigo Prado")</f>
        <v>Rodrigo Prado</v>
      </c>
      <c r="E756" s="105" t="str">
        <f>IFERROR(__xludf.DUMMYFUNCTION("""COMPUTED_VALUE"""),"Fundador")</f>
        <v>Fundador</v>
      </c>
      <c r="F756" s="448" t="str">
        <f>IFERROR(__xludf.DUMMYFUNCTION("""COMPUTED_VALUE"""),"R8 Treinamentos")</f>
        <v>R8 Treinamentos</v>
      </c>
      <c r="G756" s="447" t="str">
        <f>IFERROR(__xludf.DUMMYFUNCTION("""COMPUTED_VALUE"""),"https://www.linkedin.com/in/managerprado/")</f>
        <v>https://www.linkedin.com/in/managerprado/</v>
      </c>
      <c r="H756" s="446" t="str">
        <f>IFERROR(__xludf.DUMMYFUNCTION("""COMPUTED_VALUE"""),"Conhecimento Técnico")</f>
        <v>Conhecimento Técnico</v>
      </c>
      <c r="I756" s="446" t="str">
        <f>IFERROR(__xludf.DUMMYFUNCTION("""COMPUTED_VALUE"""),"Gestão de Vendas")</f>
        <v>Gestão de Vendas</v>
      </c>
      <c r="J756" s="642" t="str">
        <f>IFERROR(__xludf.DUMMYFUNCTION("""COMPUTED_VALUE"""),"Planejamento Comercial")</f>
        <v>Planejamento Comercial</v>
      </c>
      <c r="K756" s="281" t="str">
        <f>IFERROR(__xludf.DUMMYFUNCTION("""COMPUTED_VALUE"""),"https://universidade.pipelovers.net/m/lessons/arquitetura-de-canais-como-construir-e-escalar-um-modelo-de-representacao-comercial1769552449538?classId=3394")</f>
        <v>https://universidade.pipelovers.net/m/lessons/arquitetura-de-canais-como-construir-e-escalar-um-modelo-de-representacao-comercial1769552449538?classId=3394</v>
      </c>
      <c r="L756" s="115" t="str">
        <f>IFERROR(__xludf.DUMMYFUNCTION("""COMPUTED_VALUE"""),"https://universidade.pipelovers.net/m/lessons/arquitetura-de-canais-como-construir-e-escalar-um-modelo-de-representacao-comercial1769552449538?classId=3394")</f>
        <v>https://universidade.pipelovers.net/m/lessons/arquitetura-de-canais-como-construir-e-escalar-um-modelo-de-representacao-comercial1769552449538?classId=3394</v>
      </c>
      <c r="M756" s="379" t="str">
        <f>IFERROR(__xludf.DUMMYFUNCTION("""COMPUTED_VALUE"""),"2")</f>
        <v>2</v>
      </c>
      <c r="N756" s="1177" t="str">
        <f>IFERROR(__xludf.DUMMYFUNCTION("""COMPUTED_VALUE"""),"https://drive.google.com/file/d/1ThWsYlFESI0pgSORJmOxGTEFu9dbwMiF/view?usp=drive_link")</f>
        <v>https://drive.google.com/file/d/1ThWsYlFESI0pgSORJmOxGTEFu9dbwMiF/view?usp=drive_link</v>
      </c>
      <c r="O756" s="218" t="str">
        <f>IFERROR(__xludf.DUMMYFUNCTION("""COMPUTED_VALUE"""),"")</f>
        <v/>
      </c>
      <c r="P756" s="1138" t="str">
        <f>IFERROR(__xludf.DUMMYFUNCTION("""COMPUTED_VALUE"""),"01/05/2025")</f>
        <v>01/05/2025</v>
      </c>
      <c r="Q756" s="218"/>
    </row>
    <row r="757">
      <c r="A757" s="73"/>
      <c r="B757" s="1129" t="str">
        <f>IFERROR(__xludf.DUMMYFUNCTION("""COMPUTED_VALUE"""),"Canais e Parcerias")</f>
        <v>Canais e Parcerias</v>
      </c>
      <c r="C757" s="302" t="str">
        <f>IFERROR(__xludf.DUMMYFUNCTION("""COMPUTED_VALUE"""),"Dar e receber feedback com clareza")</f>
        <v>Dar e receber feedback com clareza</v>
      </c>
      <c r="D757" s="336" t="str">
        <f>IFERROR(__xludf.DUMMYFUNCTION("""COMPUTED_VALUE"""),"Carol Deberaldini")</f>
        <v>Carol Deberaldini</v>
      </c>
      <c r="E757" s="1132" t="str">
        <f>IFERROR(__xludf.DUMMYFUNCTION("""COMPUTED_VALUE"""),"Head de Produtos")</f>
        <v>Head de Produtos</v>
      </c>
      <c r="F757" s="268" t="str">
        <f>IFERROR(__xludf.DUMMYFUNCTION("""COMPUTED_VALUE"""),"PipeLovers")</f>
        <v>PipeLovers</v>
      </c>
      <c r="G757" s="1197" t="str">
        <f>IFERROR(__xludf.DUMMYFUNCTION("""COMPUTED_VALUE"""),"https://www.linkedin.com/in/carol-deberaldini-21793442/")</f>
        <v>https://www.linkedin.com/in/carol-deberaldini-21793442/</v>
      </c>
      <c r="H757" s="446" t="str">
        <f>IFERROR(__xludf.DUMMYFUNCTION("""COMPUTED_VALUE"""),"Relacionamento Interpessoal")</f>
        <v>Relacionamento Interpessoal</v>
      </c>
      <c r="I757" s="446" t="str">
        <f>IFERROR(__xludf.DUMMYFUNCTION("""COMPUTED_VALUE"""),"Comunicação e Relacionamento")</f>
        <v>Comunicação e Relacionamento</v>
      </c>
      <c r="J757" s="642" t="str">
        <f>IFERROR(__xludf.DUMMYFUNCTION("""COMPUTED_VALUE"""),"Dar e Receber Feedbacks")</f>
        <v>Dar e Receber Feedbacks</v>
      </c>
      <c r="K757" s="281" t="str">
        <f>IFERROR(__xludf.DUMMYFUNCTION("""COMPUTED_VALUE"""),"https://universidade.pipelovers.net/m/lessons/dar-e-receber-feedback-com-clareza1769552060864?classId=3028")</f>
        <v>https://universidade.pipelovers.net/m/lessons/dar-e-receber-feedback-com-clareza1769552060864?classId=3028</v>
      </c>
      <c r="L757" s="115" t="str">
        <f>IFERROR(__xludf.DUMMYFUNCTION("""COMPUTED_VALUE"""),"https://universidade.pipelovers.net/m/lessons/dar-e-receber-feedback-com-clareza1769552060864?classId=3028")</f>
        <v>https://universidade.pipelovers.net/m/lessons/dar-e-receber-feedback-com-clareza1769552060864?classId=3028</v>
      </c>
      <c r="M757" s="379" t="str">
        <f>IFERROR(__xludf.DUMMYFUNCTION("""COMPUTED_VALUE"""),"5")</f>
        <v>5</v>
      </c>
      <c r="N757" s="1177" t="str">
        <f>IFERROR(__xludf.DUMMYFUNCTION("""COMPUTED_VALUE"""),"https://drive.google.com/file/d/1kx3qd-vXwyVj-YX_GdfWRlWuzR2BlrOZ/view?usp=drive_link")</f>
        <v>https://drive.google.com/file/d/1kx3qd-vXwyVj-YX_GdfWRlWuzR2BlrOZ/view?usp=drive_link</v>
      </c>
      <c r="O757" s="218" t="str">
        <f>IFERROR(__xludf.DUMMYFUNCTION("""COMPUTED_VALUE"""),"")</f>
        <v/>
      </c>
      <c r="P757" s="1138" t="str">
        <f>IFERROR(__xludf.DUMMYFUNCTION("""COMPUTED_VALUE"""),"08/05/2025")</f>
        <v>08/05/2025</v>
      </c>
      <c r="Q757" s="218"/>
    </row>
    <row r="758">
      <c r="A758" s="73"/>
      <c r="B758" s="1129" t="str">
        <f>IFERROR(__xludf.DUMMYFUNCTION("""COMPUTED_VALUE"""),"Canais e Parcerias")</f>
        <v>Canais e Parcerias</v>
      </c>
      <c r="C758" s="382" t="str">
        <f>IFERROR(__xludf.DUMMYFUNCTION("""COMPUTED_VALUE"""),"De CPF a CNPJ: O essencial para seu canal virar empresa")</f>
        <v>De CPF a CNPJ: O essencial para seu canal virar empresa</v>
      </c>
      <c r="D758" s="336" t="str">
        <f>IFERROR(__xludf.DUMMYFUNCTION("""COMPUTED_VALUE"""),"José Backes")</f>
        <v>José Backes</v>
      </c>
      <c r="E758" s="1198" t="str">
        <f>IFERROR(__xludf.DUMMYFUNCTION("""COMPUTED_VALUE"""),"Ex Nextel, Spring Wireless e Livelo")</f>
        <v>Ex Nextel, Spring Wireless e Livelo</v>
      </c>
      <c r="F758" s="216" t="str">
        <f>IFERROR(__xludf.DUMMYFUNCTION("""COMPUTED_VALUE"""),"-")</f>
        <v>-</v>
      </c>
      <c r="G758" s="447" t="str">
        <f>IFERROR(__xludf.DUMMYFUNCTION("""COMPUTED_VALUE"""),"https://www.linkedin.com/in/jose-backes/")</f>
        <v>https://www.linkedin.com/in/jose-backes/</v>
      </c>
      <c r="H758" s="446" t="str">
        <f>IFERROR(__xludf.DUMMYFUNCTION("""COMPUTED_VALUE"""),"Visão de Negócios")</f>
        <v>Visão de Negócios</v>
      </c>
      <c r="I758" s="446" t="str">
        <f>IFERROR(__xludf.DUMMYFUNCTION("""COMPUTED_VALUE"""),"Conhecimento de Produto e Negócio")</f>
        <v>Conhecimento de Produto e Negócio</v>
      </c>
      <c r="J758" s="446" t="str">
        <f>IFERROR(__xludf.DUMMYFUNCTION("""COMPUTED_VALUE"""),"Conhecimento de Produto e Negócio")</f>
        <v>Conhecimento de Produto e Negócio</v>
      </c>
      <c r="K758" s="281" t="str">
        <f>IFERROR(__xludf.DUMMYFUNCTION("""COMPUTED_VALUE"""),"https://universidade.pipelovers.net/m/lessons/de-cpf-a-cnpj-o-essencial-para-seu-canal-virar-empresa1769552449628?classId=3398")</f>
        <v>https://universidade.pipelovers.net/m/lessons/de-cpf-a-cnpj-o-essencial-para-seu-canal-virar-empresa1769552449628?classId=3398</v>
      </c>
      <c r="L758" s="115" t="str">
        <f>IFERROR(__xludf.DUMMYFUNCTION("""COMPUTED_VALUE"""),"https://universidade.pipelovers.net/m/lessons/de-cpf-a-cnpj-o-essencial-para-seu-canal-virar-empresa1769552449628?classId=3398")</f>
        <v>https://universidade.pipelovers.net/m/lessons/de-cpf-a-cnpj-o-essencial-para-seu-canal-virar-empresa1769552449628?classId=3398</v>
      </c>
      <c r="M758" s="117">
        <f>IFERROR(__xludf.DUMMYFUNCTION("""COMPUTED_VALUE"""),1.0)</f>
        <v>1</v>
      </c>
      <c r="N758" s="1177" t="str">
        <f>IFERROR(__xludf.DUMMYFUNCTION("""COMPUTED_VALUE"""),"https://drive.google.com/file/d/1IUSkJRxFYNU61XGG-7YrM7LajCR8-kIk/view?usp=drive_link")</f>
        <v>https://drive.google.com/file/d/1IUSkJRxFYNU61XGG-7YrM7LajCR8-kIk/view?usp=drive_link</v>
      </c>
      <c r="O758" s="218" t="str">
        <f>IFERROR(__xludf.DUMMYFUNCTION("""COMPUTED_VALUE"""),"")</f>
        <v/>
      </c>
      <c r="P758" s="1138">
        <f>IFERROR(__xludf.DUMMYFUNCTION("""COMPUTED_VALUE"""),45792.0)</f>
        <v>45792</v>
      </c>
      <c r="Q758" s="218"/>
    </row>
    <row r="759">
      <c r="A759" s="73"/>
      <c r="B759" s="1129" t="str">
        <f>IFERROR(__xludf.DUMMYFUNCTION("""COMPUTED_VALUE"""),"Canais e Parcerias")</f>
        <v>Canais e Parcerias</v>
      </c>
      <c r="C759" s="268" t="str">
        <f>IFERROR(__xludf.DUMMYFUNCTION("""COMPUTED_VALUE"""),"Programa de canais sob a ótica do canal")</f>
        <v>Programa de canais sob a ótica do canal</v>
      </c>
      <c r="D759" s="336" t="str">
        <f>IFERROR(__xludf.DUMMYFUNCTION("""COMPUTED_VALUE"""),"Marcos Biazi")</f>
        <v>Marcos Biazi</v>
      </c>
      <c r="E759" s="110" t="str">
        <f>IFERROR(__xludf.DUMMYFUNCTION("""COMPUTED_VALUE"""),"Diretor Executivo")</f>
        <v>Diretor Executivo</v>
      </c>
      <c r="F759" s="446" t="str">
        <f>IFERROR(__xludf.DUMMYFUNCTION("""COMPUTED_VALUE"""),"Sankhya")</f>
        <v>Sankhya</v>
      </c>
      <c r="G759" s="447" t="str">
        <f>IFERROR(__xludf.DUMMYFUNCTION("""COMPUTED_VALUE"""),"https://www.linkedin.com/in/marcos-biazi-10580a26/")</f>
        <v>https://www.linkedin.com/in/marcos-biazi-10580a26/</v>
      </c>
      <c r="H759" s="446" t="str">
        <f>IFERROR(__xludf.DUMMYFUNCTION("""COMPUTED_VALUE"""),"Relacionamento Interpessoal")</f>
        <v>Relacionamento Interpessoal</v>
      </c>
      <c r="I759" s="446" t="str">
        <f>IFERROR(__xludf.DUMMYFUNCTION("""COMPUTED_VALUE"""),"Liderança e Influência")</f>
        <v>Liderança e Influência</v>
      </c>
      <c r="J759" s="642" t="str">
        <f>IFERROR(__xludf.DUMMYFUNCTION("""COMPUTED_VALUE"""),"Stakeholder Management")</f>
        <v>Stakeholder Management</v>
      </c>
      <c r="K759" s="473" t="str">
        <f>IFERROR(__xludf.DUMMYFUNCTION("""COMPUTED_VALUE"""),"https://universidade.pipelovers.net/m/lessons/programa-de-canais-sob-a-otica-do-canal1769552458437?classId=3399")</f>
        <v>https://universidade.pipelovers.net/m/lessons/programa-de-canais-sob-a-otica-do-canal1769552458437?classId=3399</v>
      </c>
      <c r="L759" s="474" t="str">
        <f>IFERROR(__xludf.DUMMYFUNCTION("""COMPUTED_VALUE"""),"https://universidade.pipelovers.net/m/lessons/programa-de-canais-sob-a-otica-do-canal1769552458437?classId=3399")</f>
        <v>https://universidade.pipelovers.net/m/lessons/programa-de-canais-sob-a-otica-do-canal1769552458437?classId=3399</v>
      </c>
      <c r="M759" s="379" t="str">
        <f>IFERROR(__xludf.DUMMYFUNCTION("""COMPUTED_VALUE"""),"4")</f>
        <v>4</v>
      </c>
      <c r="N759" s="1177" t="str">
        <f>IFERROR(__xludf.DUMMYFUNCTION("""COMPUTED_VALUE"""),"https://drive.google.com/file/d/1Rj4i9i7MgEA4MuiDkuJ904l9z7gPAWIL/view?usp=drive_link")</f>
        <v>https://drive.google.com/file/d/1Rj4i9i7MgEA4MuiDkuJ904l9z7gPAWIL/view?usp=drive_link</v>
      </c>
      <c r="O759" s="151" t="str">
        <f>IFERROR(__xludf.DUMMYFUNCTION("""COMPUTED_VALUE"""),"")</f>
        <v/>
      </c>
      <c r="P759" s="1138" t="str">
        <f>IFERROR(__xludf.DUMMYFUNCTION("""COMPUTED_VALUE"""),"22/05/2025")</f>
        <v>22/05/2025</v>
      </c>
      <c r="Q759" s="151"/>
    </row>
    <row r="760">
      <c r="A760" s="73"/>
      <c r="B760" s="1129" t="str">
        <f>IFERROR(__xludf.DUMMYFUNCTION("""COMPUTED_VALUE"""),"Canais e Parcerias")</f>
        <v>Canais e Parcerias</v>
      </c>
      <c r="C760" s="268" t="str">
        <f>IFERROR(__xludf.DUMMYFUNCTION("""COMPUTED_VALUE"""),"Como estruturar um PRM em um CRM comum")</f>
        <v>Como estruturar um PRM em um CRM comum</v>
      </c>
      <c r="D760" s="336" t="str">
        <f>IFERROR(__xludf.DUMMYFUNCTION("""COMPUTED_VALUE"""),"Gabriel Brasil")</f>
        <v>Gabriel Brasil</v>
      </c>
      <c r="E760" s="110" t="str">
        <f>IFERROR(__xludf.DUMMYFUNCTION("""COMPUTED_VALUE"""),"Head of Revenue")</f>
        <v>Head of Revenue</v>
      </c>
      <c r="F760" s="446" t="str">
        <f>IFERROR(__xludf.DUMMYFUNCTION("""COMPUTED_VALUE"""),"PipeLovers")</f>
        <v>PipeLovers</v>
      </c>
      <c r="G760" s="447" t="str">
        <f>IFERROR(__xludf.DUMMYFUNCTION("""COMPUTED_VALUE"""),"https://www.linkedin.com/in/gabriel-sbrasil/")</f>
        <v>https://www.linkedin.com/in/gabriel-sbrasil/</v>
      </c>
      <c r="H760" s="448" t="str">
        <f>IFERROR(__xludf.DUMMYFUNCTION("""COMPUTED_VALUE"""),"Autodesenvolvimento")</f>
        <v>Autodesenvolvimento</v>
      </c>
      <c r="I760" s="446" t="str">
        <f>IFERROR(__xludf.DUMMYFUNCTION("""COMPUTED_VALUE"""),"Gestão de Tempo e da Informação")</f>
        <v>Gestão de Tempo e da Informação</v>
      </c>
      <c r="J760" s="642" t="str">
        <f>IFERROR(__xludf.DUMMYFUNCTION("""COMPUTED_VALUE"""),"Melhores Práticas de CRM")</f>
        <v>Melhores Práticas de CRM</v>
      </c>
      <c r="K760" s="473" t="str">
        <f>IFERROR(__xludf.DUMMYFUNCTION("""COMPUTED_VALUE"""),"https://universidade.pipelovers.net/m/lessons/como-estruturar-um-prm-em-um-crm-comum1769552458621?classId=3402")</f>
        <v>https://universidade.pipelovers.net/m/lessons/como-estruturar-um-prm-em-um-crm-comum1769552458621?classId=3402</v>
      </c>
      <c r="L760" s="474" t="str">
        <f>IFERROR(__xludf.DUMMYFUNCTION("""COMPUTED_VALUE"""),"https://universidade.pipelovers.net/m/lessons/como-estruturar-um-prm-em-um-crm-comum1769552458621?classId=3402")</f>
        <v>https://universidade.pipelovers.net/m/lessons/como-estruturar-um-prm-em-um-crm-comum1769552458621?classId=3402</v>
      </c>
      <c r="M760" s="379" t="str">
        <f>IFERROR(__xludf.DUMMYFUNCTION("""COMPUTED_VALUE"""),"4,86")</f>
        <v>4,86</v>
      </c>
      <c r="N760" s="1177" t="str">
        <f>IFERROR(__xludf.DUMMYFUNCTION("""COMPUTED_VALUE"""),"https://drive.google.com/file/d/1Yc33YSE283m2rf76hrnsPm-4ftxdZ4x1/view?usp=drive_link")</f>
        <v>https://drive.google.com/file/d/1Yc33YSE283m2rf76hrnsPm-4ftxdZ4x1/view?usp=drive_link</v>
      </c>
      <c r="O760" s="151" t="str">
        <f>IFERROR(__xludf.DUMMYFUNCTION("""COMPUTED_VALUE"""),"")</f>
        <v/>
      </c>
      <c r="P760" s="1138" t="str">
        <f>IFERROR(__xludf.DUMMYFUNCTION("""COMPUTED_VALUE"""),"29/05/2025")</f>
        <v>29/05/2025</v>
      </c>
      <c r="Q760" s="151"/>
    </row>
    <row r="761">
      <c r="A761" s="73"/>
      <c r="B761" s="1129" t="str">
        <f>IFERROR(__xludf.DUMMYFUNCTION("""COMPUTED_VALUE"""),"Canais e Parcerias")</f>
        <v>Canais e Parcerias</v>
      </c>
      <c r="C761" s="216" t="str">
        <f>IFERROR(__xludf.DUMMYFUNCTION("""COMPUTED_VALUE"""),"Como impulsionar o crescimento de receita alavancando canais de distribuição")</f>
        <v>Como impulsionar o crescimento de receita alavancando canais de distribuição</v>
      </c>
      <c r="D761" s="336" t="str">
        <f>IFERROR(__xludf.DUMMYFUNCTION("""COMPUTED_VALUE"""),"Luiz Gustavo Tozo")</f>
        <v>Luiz Gustavo Tozo</v>
      </c>
      <c r="E761" s="110" t="str">
        <f>IFERROR(__xludf.DUMMYFUNCTION("""COMPUTED_VALUE"""),"Founder &amp; Conselheiro Consultivo")</f>
        <v>Founder &amp; Conselheiro Consultivo</v>
      </c>
      <c r="F761" s="446" t="str">
        <f>IFERROR(__xludf.DUMMYFUNCTION("""COMPUTED_VALUE"""),"BS Soluções Empresariais")</f>
        <v>BS Soluções Empresariais</v>
      </c>
      <c r="G761" s="447" t="str">
        <f>IFERROR(__xludf.DUMMYFUNCTION("""COMPUTED_VALUE"""),"https://www.linkedin.com/in/luiz-gustavo-tozo/")</f>
        <v>https://www.linkedin.com/in/luiz-gustavo-tozo/</v>
      </c>
      <c r="H761" s="446" t="str">
        <f>IFERROR(__xludf.DUMMYFUNCTION("""COMPUTED_VALUE"""),"Conhecimento Técnico")</f>
        <v>Conhecimento Técnico</v>
      </c>
      <c r="I761" s="446" t="str">
        <f>IFERROR(__xludf.DUMMYFUNCTION("""COMPUTED_VALUE"""),"Gestão de Vendas")</f>
        <v>Gestão de Vendas</v>
      </c>
      <c r="J761" s="642" t="str">
        <f>IFERROR(__xludf.DUMMYFUNCTION("""COMPUTED_VALUE"""),"Planejamento Comercial")</f>
        <v>Planejamento Comercial</v>
      </c>
      <c r="K761" s="473" t="str">
        <f>IFERROR(__xludf.DUMMYFUNCTION("""COMPUTED_VALUE"""),"https://universidade.pipelovers.net/m/lessons/como-impulsionar-o-crescimento-de-receita-alavancando-canais-de-distribuicao1769552458868?classId=3403")</f>
        <v>https://universidade.pipelovers.net/m/lessons/como-impulsionar-o-crescimento-de-receita-alavancando-canais-de-distribuicao1769552458868?classId=3403</v>
      </c>
      <c r="L761" s="474" t="str">
        <f>IFERROR(__xludf.DUMMYFUNCTION("""COMPUTED_VALUE"""),"https://universidade.pipelovers.net/m/lessons/como-impulsionar-o-crescimento-de-receita-alavancando-canais-de-distribuicao1769552458868?classId=3403")</f>
        <v>https://universidade.pipelovers.net/m/lessons/como-impulsionar-o-crescimento-de-receita-alavancando-canais-de-distribuicao1769552458868?classId=3403</v>
      </c>
      <c r="M761" s="1188" t="str">
        <f>IFERROR(__xludf.DUMMYFUNCTION("""COMPUTED_VALUE"""),"2")</f>
        <v>2</v>
      </c>
      <c r="N761" s="1189" t="str">
        <f>IFERROR(__xludf.DUMMYFUNCTION("""COMPUTED_VALUE"""),"https://drive.google.com/file/d/1qpY0sFmqtihqXASX5qVCc7TNFas3duMp/view?usp=drive_link")</f>
        <v>https://drive.google.com/file/d/1qpY0sFmqtihqXASX5qVCc7TNFas3duMp/view?usp=drive_link</v>
      </c>
      <c r="O761" s="151" t="str">
        <f>IFERROR(__xludf.DUMMYFUNCTION("""COMPUTED_VALUE"""),"")</f>
        <v/>
      </c>
      <c r="P761" s="1138" t="str">
        <f>IFERROR(__xludf.DUMMYFUNCTION("""COMPUTED_VALUE"""),"05/06/2025")</f>
        <v>05/06/2025</v>
      </c>
      <c r="Q761" s="151"/>
    </row>
    <row r="762">
      <c r="A762" s="73"/>
      <c r="B762" s="1129" t="str">
        <f>IFERROR(__xludf.DUMMYFUNCTION("""COMPUTED_VALUE"""),"Canais e Parcerias")</f>
        <v>Canais e Parcerias</v>
      </c>
      <c r="C762" s="382" t="str">
        <f>IFERROR(__xludf.DUMMYFUNCTION("""COMPUTED_VALUE"""),"CS + Canais: A colaboração que transforma base em receita")</f>
        <v>CS + Canais: A colaboração que transforma base em receita</v>
      </c>
      <c r="D762" s="1137" t="str">
        <f>IFERROR(__xludf.DUMMYFUNCTION("""COMPUTED_VALUE"""),"Daniela Neves ")</f>
        <v>Daniela Neves </v>
      </c>
      <c r="E762" s="110" t="str">
        <f>IFERROR(__xludf.DUMMYFUNCTION("""COMPUTED_VALUE"""),"Channel Partners Director")</f>
        <v>Channel Partners Director</v>
      </c>
      <c r="F762" s="446" t="str">
        <f>IFERROR(__xludf.DUMMYFUNCTION("""COMPUTED_VALUE"""),"Wellhub ")</f>
        <v>Wellhub </v>
      </c>
      <c r="G762" s="447" t="str">
        <f>IFERROR(__xludf.DUMMYFUNCTION("""COMPUTED_VALUE"""),"https://www.linkedin.com/in/daniela-dos-santos-cruz-neves/")</f>
        <v>https://www.linkedin.com/in/daniela-dos-santos-cruz-neves/</v>
      </c>
      <c r="H762" s="446" t="str">
        <f>IFERROR(__xludf.DUMMYFUNCTION("""COMPUTED_VALUE"""),"Conhecimento Técnico")</f>
        <v>Conhecimento Técnico</v>
      </c>
      <c r="I762" s="446" t="str">
        <f>IFERROR(__xludf.DUMMYFUNCTION("""COMPUTED_VALUE"""),"Gestão de Vendas")</f>
        <v>Gestão de Vendas</v>
      </c>
      <c r="J762" s="642" t="str">
        <f>IFERROR(__xludf.DUMMYFUNCTION("""COMPUTED_VALUE"""),"UpSell e Cross Sell")</f>
        <v>UpSell e Cross Sell</v>
      </c>
      <c r="K762" s="473" t="str">
        <f>IFERROR(__xludf.DUMMYFUNCTION("""COMPUTED_VALUE"""),"https://universidade.pipelovers.net/m/lessons/cs-canais-a-colaboracao-que-transforma-base-em-receita1769552459068?classId=3404")</f>
        <v>https://universidade.pipelovers.net/m/lessons/cs-canais-a-colaboracao-que-transforma-base-em-receita1769552459068?classId=3404</v>
      </c>
      <c r="L762" s="474" t="str">
        <f>IFERROR(__xludf.DUMMYFUNCTION("""COMPUTED_VALUE"""),"https://universidade.pipelovers.net/m/lessons/cs-canais-a-colaboracao-que-transforma-base-em-receita1769552459068?classId=3404")</f>
        <v>https://universidade.pipelovers.net/m/lessons/cs-canais-a-colaboracao-que-transforma-base-em-receita1769552459068?classId=3404</v>
      </c>
      <c r="M762" s="379" t="str">
        <f>IFERROR(__xludf.DUMMYFUNCTION("""COMPUTED_VALUE"""),"4,64")</f>
        <v>4,64</v>
      </c>
      <c r="N762" s="1177" t="str">
        <f>IFERROR(__xludf.DUMMYFUNCTION("""COMPUTED_VALUE"""),"https://drive.google.com/file/d/1v4mykldKpCgDJ-8GAz9dvBh6fKwglJre/view?usp=drive_link")</f>
        <v>https://drive.google.com/file/d/1v4mykldKpCgDJ-8GAz9dvBh6fKwglJre/view?usp=drive_link</v>
      </c>
      <c r="O762" s="228" t="str">
        <f>IFERROR(__xludf.DUMMYFUNCTION("""COMPUTED_VALUE"""),"")</f>
        <v/>
      </c>
      <c r="P762" s="1138" t="str">
        <f>IFERROR(__xludf.DUMMYFUNCTION("""COMPUTED_VALUE"""),"12/06/2025")</f>
        <v>12/06/2025</v>
      </c>
      <c r="Q762" s="228"/>
    </row>
    <row r="763">
      <c r="A763" s="73"/>
      <c r="B763" s="1129" t="str">
        <f>IFERROR(__xludf.DUMMYFUNCTION("""COMPUTED_VALUE"""),"Canais e Parcerias")</f>
        <v>Canais e Parcerias</v>
      </c>
      <c r="C763" s="382" t="str">
        <f>IFERROR(__xludf.DUMMYFUNCTION("""COMPUTED_VALUE"""),"Estratégias Win-Win: Como construir sinergia real com parceiros")</f>
        <v>Estratégias Win-Win: Como construir sinergia real com parceiros</v>
      </c>
      <c r="D763" s="1137" t="str">
        <f>IFERROR(__xludf.DUMMYFUNCTION("""COMPUTED_VALUE"""),"Gabriella Montini")</f>
        <v>Gabriella Montini</v>
      </c>
      <c r="E763" s="110" t="str">
        <f>IFERROR(__xludf.DUMMYFUNCTION("""COMPUTED_VALUE"""),"Diretora de Ecossistema")</f>
        <v>Diretora de Ecossistema</v>
      </c>
      <c r="F763" s="446" t="str">
        <f>IFERROR(__xludf.DUMMYFUNCTION("""COMPUTED_VALUE"""),"Grupo FCamara")</f>
        <v>Grupo FCamara</v>
      </c>
      <c r="G763" s="447" t="str">
        <f>IFERROR(__xludf.DUMMYFUNCTION("""COMPUTED_VALUE"""),"https://www.linkedin.com/in/gabriella-montini/")</f>
        <v>https://www.linkedin.com/in/gabriella-montini/</v>
      </c>
      <c r="H763" s="446" t="str">
        <f>IFERROR(__xludf.DUMMYFUNCTION("""COMPUTED_VALUE"""),"Relacionamento Interpessoal")</f>
        <v>Relacionamento Interpessoal</v>
      </c>
      <c r="I763" s="446" t="str">
        <f>IFERROR(__xludf.DUMMYFUNCTION("""COMPUTED_VALUE"""),"Liderança e Influência")</f>
        <v>Liderança e Influência</v>
      </c>
      <c r="J763" s="642" t="str">
        <f>IFERROR(__xludf.DUMMYFUNCTION("""COMPUTED_VALUE"""),"Stakeholder Management")</f>
        <v>Stakeholder Management</v>
      </c>
      <c r="K763" s="473" t="str">
        <f>IFERROR(__xludf.DUMMYFUNCTION("""COMPUTED_VALUE"""),"https://universidade.pipelovers.net/m/lessons/estrategias-win-win-como-construir-sinergia-real-com-parceiros1769552459120?classId=3406")</f>
        <v>https://universidade.pipelovers.net/m/lessons/estrategias-win-win-como-construir-sinergia-real-com-parceiros1769552459120?classId=3406</v>
      </c>
      <c r="L763" s="474" t="str">
        <f>IFERROR(__xludf.DUMMYFUNCTION("""COMPUTED_VALUE"""),"https://universidade.pipelovers.net/m/lessons/estrategias-win-win-como-construir-sinergia-real-com-parceiros1769552459120?classId=3406")</f>
        <v>https://universidade.pipelovers.net/m/lessons/estrategias-win-win-como-construir-sinergia-real-com-parceiros1769552459120?classId=3406</v>
      </c>
      <c r="M763" s="1188" t="str">
        <f>IFERROR(__xludf.DUMMYFUNCTION("""COMPUTED_VALUE"""),"2")</f>
        <v>2</v>
      </c>
      <c r="N763" s="1189" t="str">
        <f>IFERROR(__xludf.DUMMYFUNCTION("""COMPUTED_VALUE"""),"https://drive.google.com/file/d/1duYmG7JyDvpm2S_NCTyzrxOXChuUJHlv/view?usp=drive_link")</f>
        <v>https://drive.google.com/file/d/1duYmG7JyDvpm2S_NCTyzrxOXChuUJHlv/view?usp=drive_link</v>
      </c>
      <c r="O763" s="151" t="str">
        <f>IFERROR(__xludf.DUMMYFUNCTION("""COMPUTED_VALUE"""),"")</f>
        <v/>
      </c>
      <c r="P763" s="1138" t="str">
        <f>IFERROR(__xludf.DUMMYFUNCTION("""COMPUTED_VALUE"""),"19/06/2025")</f>
        <v>19/06/2025</v>
      </c>
      <c r="Q763" s="151"/>
    </row>
    <row r="764">
      <c r="A764" s="73"/>
      <c r="B764" s="1129" t="str">
        <f>IFERROR(__xludf.DUMMYFUNCTION("""COMPUTED_VALUE"""),"Canais e Parcerias")</f>
        <v>Canais e Parcerias</v>
      </c>
      <c r="C764" s="1199" t="str">
        <f>IFERROR(__xludf.DUMMYFUNCTION("""COMPUTED_VALUE"""),"Avaliação de expansão de canais na América Latina - diferenças e traços culturais a observar")</f>
        <v>Avaliação de expansão de canais na América Latina - diferenças e traços culturais a observar</v>
      </c>
      <c r="D764" s="1137" t="str">
        <f>IFERROR(__xludf.DUMMYFUNCTION("""COMPUTED_VALUE"""),"Jorge Fernando Bayá")</f>
        <v>Jorge Fernando Bayá</v>
      </c>
      <c r="E764" s="110" t="str">
        <f>IFERROR(__xludf.DUMMYFUNCTION("""COMPUTED_VALUE"""),"Director General Latam")</f>
        <v>Director General Latam</v>
      </c>
      <c r="F764" s="446" t="str">
        <f>IFERROR(__xludf.DUMMYFUNCTION("""COMPUTED_VALUE"""),"Napse.Global ")</f>
        <v>Napse.Global </v>
      </c>
      <c r="G764" s="447" t="str">
        <f>IFERROR(__xludf.DUMMYFUNCTION("""COMPUTED_VALUE"""),"https://www.linkedin.com/in/jorge-fernando-baya/")</f>
        <v>https://www.linkedin.com/in/jorge-fernando-baya/</v>
      </c>
      <c r="H764" s="446" t="str">
        <f>IFERROR(__xludf.DUMMYFUNCTION("""COMPUTED_VALUE"""),"Visão de Negócios")</f>
        <v>Visão de Negócios</v>
      </c>
      <c r="I764" s="446" t="str">
        <f>IFERROR(__xludf.DUMMYFUNCTION("""COMPUTED_VALUE"""),"Tendencias de mercado")</f>
        <v>Tendencias de mercado</v>
      </c>
      <c r="J764" s="642" t="str">
        <f>IFERROR(__xludf.DUMMYFUNCTION("""COMPUTED_VALUE"""),"Cenário Internacional")</f>
        <v>Cenário Internacional</v>
      </c>
      <c r="K764" s="473" t="str">
        <f>IFERROR(__xludf.DUMMYFUNCTION("""COMPUTED_VALUE"""),"https://universidade.pipelovers.net/m/lessons/avaliacao-de-expansao-de-canais-na-america-latina-diferencas-e-tracos-culturais-a-observar1769552459320?classId=3407")</f>
        <v>https://universidade.pipelovers.net/m/lessons/avaliacao-de-expansao-de-canais-na-america-latina-diferencas-e-tracos-culturais-a-observar1769552459320?classId=3407</v>
      </c>
      <c r="L764" s="474" t="str">
        <f>IFERROR(__xludf.DUMMYFUNCTION("""COMPUTED_VALUE"""),"https://universidade.pipelovers.net/m/lessons/avaliacao-de-expansao-de-canais-na-america-latina-diferencas-e-tracos-culturais-a-observar1769552459320?classId=3407")</f>
        <v>https://universidade.pipelovers.net/m/lessons/avaliacao-de-expansao-de-canais-na-america-latina-diferencas-e-tracos-culturais-a-observar1769552459320?classId=3407</v>
      </c>
      <c r="M764" s="379" t="str">
        <f>IFERROR(__xludf.DUMMYFUNCTION("""COMPUTED_VALUE"""),"2")</f>
        <v>2</v>
      </c>
      <c r="N764" s="1177" t="str">
        <f>IFERROR(__xludf.DUMMYFUNCTION("""COMPUTED_VALUE"""),"https://drive.google.com/file/d/1yeRnABUw-R4j9J2yvM5qBde-WyskMoW-/view?usp=drive_link")</f>
        <v>https://drive.google.com/file/d/1yeRnABUw-R4j9J2yvM5qBde-WyskMoW-/view?usp=drive_link</v>
      </c>
      <c r="O764" s="228" t="str">
        <f>IFERROR(__xludf.DUMMYFUNCTION("""COMPUTED_VALUE"""),"")</f>
        <v/>
      </c>
      <c r="P764" s="1138" t="str">
        <f>IFERROR(__xludf.DUMMYFUNCTION("""COMPUTED_VALUE"""),"26/06/2025")</f>
        <v>26/06/2025</v>
      </c>
      <c r="Q764" s="228"/>
    </row>
    <row r="765">
      <c r="A765" s="73"/>
      <c r="B765" s="1129" t="str">
        <f>IFERROR(__xludf.DUMMYFUNCTION("""COMPUTED_VALUE"""),"Canais e Parcerias")</f>
        <v>Canais e Parcerias</v>
      </c>
      <c r="C765" s="1137" t="str">
        <f>IFERROR(__xludf.DUMMYFUNCTION("""COMPUTED_VALUE"""),"Como liderar projetos e pessoas sem ser gestor direto")</f>
        <v>Como liderar projetos e pessoas sem ser gestor direto</v>
      </c>
      <c r="D765" s="1137" t="str">
        <f>IFERROR(__xludf.DUMMYFUNCTION("""COMPUTED_VALUE"""),"Janaina Rost ")</f>
        <v>Janaina Rost </v>
      </c>
      <c r="E765" s="110" t="str">
        <f>IFERROR(__xludf.DUMMYFUNCTION("""COMPUTED_VALUE"""),"Mentora de Carreira ")</f>
        <v>Mentora de Carreira </v>
      </c>
      <c r="F765" s="446"/>
      <c r="G765" s="447" t="str">
        <f>IFERROR(__xludf.DUMMYFUNCTION("""COMPUTED_VALUE"""),"https://www.linkedin.com/in/janainarost/")</f>
        <v>https://www.linkedin.com/in/janainarost/</v>
      </c>
      <c r="H765" s="446" t="str">
        <f>IFERROR(__xludf.DUMMYFUNCTION("""COMPUTED_VALUE"""),"Relacionamento Interpessoal")</f>
        <v>Relacionamento Interpessoal</v>
      </c>
      <c r="I765" s="446" t="str">
        <f>IFERROR(__xludf.DUMMYFUNCTION("""COMPUTED_VALUE"""),"Liderança e Influência")</f>
        <v>Liderança e Influência</v>
      </c>
      <c r="J765" s="446" t="str">
        <f>IFERROR(__xludf.DUMMYFUNCTION("""COMPUTED_VALUE"""),"Stakeholder Management")</f>
        <v>Stakeholder Management</v>
      </c>
      <c r="K765" s="473" t="str">
        <f>IFERROR(__xludf.DUMMYFUNCTION("""COMPUTED_VALUE"""),"https://universidade.pipelovers.net/m/lessons/como-liderar-projetos-e-pessoas-sem-ser-gestor-direto1769552459959?classId=3408")</f>
        <v>https://universidade.pipelovers.net/m/lessons/como-liderar-projetos-e-pessoas-sem-ser-gestor-direto1769552459959?classId=3408</v>
      </c>
      <c r="L765" s="474" t="str">
        <f>IFERROR(__xludf.DUMMYFUNCTION("""COMPUTED_VALUE"""),"https://universidade.pipelovers.net/m/lessons/como-liderar-projetos-e-pessoas-sem-ser-gestor-direto1769552459959?classId=3408")</f>
        <v>https://universidade.pipelovers.net/m/lessons/como-liderar-projetos-e-pessoas-sem-ser-gestor-direto1769552459959?classId=3408</v>
      </c>
      <c r="M765" s="379">
        <f>IFERROR(__xludf.DUMMYFUNCTION("""COMPUTED_VALUE"""),1.0)</f>
        <v>1</v>
      </c>
      <c r="N765" s="1177" t="str">
        <f>IFERROR(__xludf.DUMMYFUNCTION("""COMPUTED_VALUE"""),"https://drive.google.com/file/d/1Qih9JNqBK5vGx9meumA_Y2HIinamo_od/view?usp=drive_link")</f>
        <v>https://drive.google.com/file/d/1Qih9JNqBK5vGx9meumA_Y2HIinamo_od/view?usp=drive_link</v>
      </c>
      <c r="O765" s="151" t="str">
        <f>IFERROR(__xludf.DUMMYFUNCTION("""COMPUTED_VALUE"""),"")</f>
        <v/>
      </c>
      <c r="P765" s="1138">
        <f>IFERROR(__xludf.DUMMYFUNCTION("""COMPUTED_VALUE"""),45841.0)</f>
        <v>45841</v>
      </c>
      <c r="Q765" s="151"/>
    </row>
    <row r="766">
      <c r="A766" s="73"/>
      <c r="B766" s="1129" t="str">
        <f>IFERROR(__xludf.DUMMYFUNCTION("""COMPUTED_VALUE"""),"Canais e Parcerias")</f>
        <v>Canais e Parcerias</v>
      </c>
      <c r="C766" s="1137" t="str">
        <f>IFERROR(__xludf.DUMMYFUNCTION("""COMPUTED_VALUE"""),"Gestão do tempo - Técnicas de organização e produtividade")</f>
        <v>Gestão do tempo - Técnicas de organização e produtividade</v>
      </c>
      <c r="D766" s="1137" t="str">
        <f>IFERROR(__xludf.DUMMYFUNCTION("""COMPUTED_VALUE"""),"Carol Deberaldini")</f>
        <v>Carol Deberaldini</v>
      </c>
      <c r="E766" s="110" t="str">
        <f>IFERROR(__xludf.DUMMYFUNCTION("""COMPUTED_VALUE"""),"Head de Produtos")</f>
        <v>Head de Produtos</v>
      </c>
      <c r="F766" s="446" t="str">
        <f>IFERROR(__xludf.DUMMYFUNCTION("""COMPUTED_VALUE"""),"PipeLovers")</f>
        <v>PipeLovers</v>
      </c>
      <c r="G766" s="447" t="str">
        <f>IFERROR(__xludf.DUMMYFUNCTION("""COMPUTED_VALUE"""),"https://www.linkedin.com/in/carol-deberaldini-21793442/")</f>
        <v>https://www.linkedin.com/in/carol-deberaldini-21793442/</v>
      </c>
      <c r="H766" s="446" t="str">
        <f>IFERROR(__xludf.DUMMYFUNCTION("""COMPUTED_VALUE"""),"Autodesenvolvimento")</f>
        <v>Autodesenvolvimento</v>
      </c>
      <c r="I766" s="446" t="str">
        <f>IFERROR(__xludf.DUMMYFUNCTION("""COMPUTED_VALUE"""),"Gestão de Tempo e da Informação")</f>
        <v>Gestão de Tempo e da Informação</v>
      </c>
      <c r="J766" s="642" t="str">
        <f>IFERROR(__xludf.DUMMYFUNCTION("""COMPUTED_VALUE"""),"Técnicas de Organização e Rotina")</f>
        <v>Técnicas de Organização e Rotina</v>
      </c>
      <c r="K766" s="473" t="str">
        <f>IFERROR(__xludf.DUMMYFUNCTION("""COMPUTED_VALUE"""),"https://universidade.pipelovers.net/m/lessons/gestao-do-tempo-tecnicas-de-organizacao-e-produtividade1769552460040?classId=3409")</f>
        <v>https://universidade.pipelovers.net/m/lessons/gestao-do-tempo-tecnicas-de-organizacao-e-produtividade1769552460040?classId=3409</v>
      </c>
      <c r="L766" s="474" t="str">
        <f>IFERROR(__xludf.DUMMYFUNCTION("""COMPUTED_VALUE"""),"https://universidade.pipelovers.net/m/lessons/gestao-do-tempo-tecnicas-de-organizacao-e-produtividade1769552460040?classId=3409")</f>
        <v>https://universidade.pipelovers.net/m/lessons/gestao-do-tempo-tecnicas-de-organizacao-e-produtividade1769552460040?classId=3409</v>
      </c>
      <c r="M766" s="379" t="str">
        <f>IFERROR(__xludf.DUMMYFUNCTION("""COMPUTED_VALUE"""),"5")</f>
        <v>5</v>
      </c>
      <c r="N766" s="1177" t="str">
        <f>IFERROR(__xludf.DUMMYFUNCTION("""COMPUTED_VALUE"""),"https://drive.google.com/file/d/1rgDmA5fFA_diuTZZti9fGzPeVfKGuHRq/view?usp=drive_link")</f>
        <v>https://drive.google.com/file/d/1rgDmA5fFA_diuTZZti9fGzPeVfKGuHRq/view?usp=drive_link</v>
      </c>
      <c r="O766" s="228" t="str">
        <f>IFERROR(__xludf.DUMMYFUNCTION("""COMPUTED_VALUE"""),"")</f>
        <v/>
      </c>
      <c r="P766" s="1138" t="str">
        <f>IFERROR(__xludf.DUMMYFUNCTION("""COMPUTED_VALUE"""),"10/07/2025")</f>
        <v>10/07/2025</v>
      </c>
      <c r="Q766" s="228"/>
    </row>
    <row r="767">
      <c r="A767" s="73"/>
      <c r="B767" s="1129" t="str">
        <f>IFERROR(__xludf.DUMMYFUNCTION("""COMPUTED_VALUE"""),"Canais e Parcerias")</f>
        <v>Canais e Parcerias</v>
      </c>
      <c r="C767" s="1137" t="str">
        <f>IFERROR(__xludf.DUMMYFUNCTION("""COMPUTED_VALUE"""),"RevOps para canais: como desenhar uma operação que ajuda o parceiro a vender mais")</f>
        <v>RevOps para canais: como desenhar uma operação que ajuda o parceiro a vender mais</v>
      </c>
      <c r="D767" s="1137" t="str">
        <f>IFERROR(__xludf.DUMMYFUNCTION("""COMPUTED_VALUE"""),"Maria Eduarda Kumlehn")</f>
        <v>Maria Eduarda Kumlehn</v>
      </c>
      <c r="E767" s="110" t="str">
        <f>IFERROR(__xludf.DUMMYFUNCTION("""COMPUTED_VALUE"""),"Co-founder")</f>
        <v>Co-founder</v>
      </c>
      <c r="F767" s="446" t="str">
        <f>IFERROR(__xludf.DUMMYFUNCTION("""COMPUTED_VALUE"""),"Salvy")</f>
        <v>Salvy</v>
      </c>
      <c r="G767" s="447" t="str">
        <f>IFERROR(__xludf.DUMMYFUNCTION("""COMPUTED_VALUE"""),"https://www.linkedin.com/in/duda-salvy/")</f>
        <v>https://www.linkedin.com/in/duda-salvy/</v>
      </c>
      <c r="H767" s="446" t="str">
        <f>IFERROR(__xludf.DUMMYFUNCTION("""COMPUTED_VALUE"""),"Conhecimento Técnico")</f>
        <v>Conhecimento Técnico</v>
      </c>
      <c r="I767" s="446" t="str">
        <f>IFERROR(__xludf.DUMMYFUNCTION("""COMPUTED_VALUE"""),"Gestão de Vendas")</f>
        <v>Gestão de Vendas</v>
      </c>
      <c r="J767" s="446" t="str">
        <f>IFERROR(__xludf.DUMMYFUNCTION("""COMPUTED_VALUE"""),"Planejamento Comercial")</f>
        <v>Planejamento Comercial</v>
      </c>
      <c r="K767" s="473" t="str">
        <f>IFERROR(__xludf.DUMMYFUNCTION("""COMPUTED_VALUE"""),"https://universidade.pipelovers.net/m/lessons/revops-para-canais-como-desenhar-uma-operacao-que-ajuda-o-parceiro-a-vender-mais1769552460187?classId=3410")</f>
        <v>https://universidade.pipelovers.net/m/lessons/revops-para-canais-como-desenhar-uma-operacao-que-ajuda-o-parceiro-a-vender-mais1769552460187?classId=3410</v>
      </c>
      <c r="L767" s="474" t="str">
        <f>IFERROR(__xludf.DUMMYFUNCTION("""COMPUTED_VALUE"""),"https://universidade.pipelovers.net/m/lessons/revops-para-canais-como-desenhar-uma-operacao-que-ajuda-o-parceiro-a-vender-mais1769552460187?classId=3410")</f>
        <v>https://universidade.pipelovers.net/m/lessons/revops-para-canais-como-desenhar-uma-operacao-que-ajuda-o-parceiro-a-vender-mais1769552460187?classId=3410</v>
      </c>
      <c r="M767" s="1195">
        <f>IFERROR(__xludf.DUMMYFUNCTION("""COMPUTED_VALUE"""),4.29)</f>
        <v>4.29</v>
      </c>
      <c r="N767" s="1196" t="str">
        <f>IFERROR(__xludf.DUMMYFUNCTION("""COMPUTED_VALUE"""),"https://drive.google.com/file/d/1JikgCVfhVaBCXP0V2M67NGiSksb-T3qi/view?usp=drive_link")</f>
        <v>https://drive.google.com/file/d/1JikgCVfhVaBCXP0V2M67NGiSksb-T3qi/view?usp=drive_link</v>
      </c>
      <c r="O767" s="151" t="str">
        <f>IFERROR(__xludf.DUMMYFUNCTION("""COMPUTED_VALUE"""),"")</f>
        <v/>
      </c>
      <c r="P767" s="1138">
        <f>IFERROR(__xludf.DUMMYFUNCTION("""COMPUTED_VALUE"""),45855.0)</f>
        <v>45855</v>
      </c>
      <c r="Q767" s="151"/>
    </row>
    <row r="768">
      <c r="A768" s="73"/>
      <c r="B768" s="1129" t="str">
        <f>IFERROR(__xludf.DUMMYFUNCTION("""COMPUTED_VALUE"""),"Canais e Parcerias")</f>
        <v>Canais e Parcerias</v>
      </c>
      <c r="C768" s="302" t="str">
        <f>IFERROR(__xludf.DUMMYFUNCTION("""COMPUTED_VALUE"""),"Como estabelecer parcerias estratégicas para impulsionar sua receita")</f>
        <v>Como estabelecer parcerias estratégicas para impulsionar sua receita</v>
      </c>
      <c r="D768" s="1137" t="str">
        <f>IFERROR(__xludf.DUMMYFUNCTION("""COMPUTED_VALUE"""),"Gabriel Brasil")</f>
        <v>Gabriel Brasil</v>
      </c>
      <c r="E768" s="110" t="str">
        <f>IFERROR(__xludf.DUMMYFUNCTION("""COMPUTED_VALUE"""),"Head of Revenue")</f>
        <v>Head of Revenue</v>
      </c>
      <c r="F768" s="446" t="str">
        <f>IFERROR(__xludf.DUMMYFUNCTION("""COMPUTED_VALUE"""),"PipeLovers")</f>
        <v>PipeLovers</v>
      </c>
      <c r="G768" s="447" t="str">
        <f>IFERROR(__xludf.DUMMYFUNCTION("""COMPUTED_VALUE"""),"https://www.linkedin.com/in/gabriel-sbrasil/")</f>
        <v>https://www.linkedin.com/in/gabriel-sbrasil/</v>
      </c>
      <c r="H768" s="446" t="str">
        <f>IFERROR(__xludf.DUMMYFUNCTION("""COMPUTED_VALUE"""),"Relacionamento Interpessoal")</f>
        <v>Relacionamento Interpessoal</v>
      </c>
      <c r="I768" s="648" t="str">
        <f>IFERROR(__xludf.DUMMYFUNCTION("""COMPUTED_VALUE"""),"Liderança e Influência")</f>
        <v>Liderança e Influência</v>
      </c>
      <c r="J768" s="642" t="str">
        <f>IFERROR(__xludf.DUMMYFUNCTION("""COMPUTED_VALUE"""),"Stakeholder Management")</f>
        <v>Stakeholder Management</v>
      </c>
      <c r="K768" s="282" t="str">
        <f>IFERROR(__xludf.DUMMYFUNCTION("""COMPUTED_VALUE"""),"https://universidade.pipelovers.net/m/lessons/como-estabelecer-parcerias-estrategicas-para-impulsionar-sua-receita1769552460239?classId=3411")</f>
        <v>https://universidade.pipelovers.net/m/lessons/como-estabelecer-parcerias-estrategicas-para-impulsionar-sua-receita1769552460239?classId=3411</v>
      </c>
      <c r="L768" s="500" t="str">
        <f>IFERROR(__xludf.DUMMYFUNCTION("""COMPUTED_VALUE"""),"https://universidade.pipelovers.net/m/lessons/como-estabelecer-parcerias-estrategicas-para-impulsionar-sua-receita1769552460239?classId=3411")</f>
        <v>https://universidade.pipelovers.net/m/lessons/como-estabelecer-parcerias-estrategicas-para-impulsionar-sua-receita1769552460239?classId=3411</v>
      </c>
      <c r="M768" s="379" t="str">
        <f>IFERROR(__xludf.DUMMYFUNCTION("""COMPUTED_VALUE"""),"5")</f>
        <v>5</v>
      </c>
      <c r="N768" s="1177" t="str">
        <f>IFERROR(__xludf.DUMMYFUNCTION("""COMPUTED_VALUE"""),"https://drive.google.com/file/d/1Qj67PR9ewi0uPMU6Sbz-FzQc36Neqgl3/view?usp=drive_link")</f>
        <v>https://drive.google.com/file/d/1Qj67PR9ewi0uPMU6Sbz-FzQc36Neqgl3/view?usp=drive_link</v>
      </c>
      <c r="O768" s="228" t="str">
        <f>IFERROR(__xludf.DUMMYFUNCTION("""COMPUTED_VALUE"""),"")</f>
        <v/>
      </c>
      <c r="P768" s="1138" t="str">
        <f>IFERROR(__xludf.DUMMYFUNCTION("""COMPUTED_VALUE"""),"24/07/2025")</f>
        <v>24/07/2025</v>
      </c>
      <c r="Q768" s="228"/>
    </row>
    <row r="769">
      <c r="A769" s="73"/>
      <c r="B769" s="1129" t="str">
        <f>IFERROR(__xludf.DUMMYFUNCTION("""COMPUTED_VALUE"""),"Canais e Parcerias")</f>
        <v>Canais e Parcerias</v>
      </c>
      <c r="C769" s="1199" t="str">
        <f>IFERROR(__xludf.DUMMYFUNCTION("""COMPUTED_VALUE"""),"Como fazer seu canal refletir sua cultura para o mercado")</f>
        <v>Como fazer seu canal refletir sua cultura para o mercado</v>
      </c>
      <c r="D769" s="1137" t="str">
        <f>IFERROR(__xludf.DUMMYFUNCTION("""COMPUTED_VALUE"""),"Marcelo de Andrade")</f>
        <v>Marcelo de Andrade</v>
      </c>
      <c r="E769" s="110" t="str">
        <f>IFERROR(__xludf.DUMMYFUNCTION("""COMPUTED_VALUE"""),"Channels &amp; Ecosystem Director")</f>
        <v>Channels &amp; Ecosystem Director</v>
      </c>
      <c r="F769" s="446" t="str">
        <f>IFERROR(__xludf.DUMMYFUNCTION("""COMPUTED_VALUE"""),"Sankhya")</f>
        <v>Sankhya</v>
      </c>
      <c r="G769" s="447" t="str">
        <f>IFERROR(__xludf.DUMMYFUNCTION("""COMPUTED_VALUE"""),"https://www.linkedin.com/in/marceloandradeb/")</f>
        <v>https://www.linkedin.com/in/marceloandradeb/</v>
      </c>
      <c r="H769" s="446" t="str">
        <f>IFERROR(__xludf.DUMMYFUNCTION("""COMPUTED_VALUE"""),"Relacionamento Interpessoal")</f>
        <v>Relacionamento Interpessoal</v>
      </c>
      <c r="I769" s="446" t="str">
        <f>IFERROR(__xludf.DUMMYFUNCTION("""COMPUTED_VALUE"""),"Liderança e Influência")</f>
        <v>Liderança e Influência</v>
      </c>
      <c r="J769" s="642" t="str">
        <f>IFERROR(__xludf.DUMMYFUNCTION("""COMPUTED_VALUE"""),"Credibilidade e Reputação")</f>
        <v>Credibilidade e Reputação</v>
      </c>
      <c r="K769" s="473" t="str">
        <f>IFERROR(__xludf.DUMMYFUNCTION("""COMPUTED_VALUE"""),"https://universidade.pipelovers.net/m/lessons/como-fazer-seu-canal-refletir-sua-cultura-para-o-mercado1769552460290?classId=3412")</f>
        <v>https://universidade.pipelovers.net/m/lessons/como-fazer-seu-canal-refletir-sua-cultura-para-o-mercado1769552460290?classId=3412</v>
      </c>
      <c r="L769" s="474" t="str">
        <f>IFERROR(__xludf.DUMMYFUNCTION("""COMPUTED_VALUE"""),"https://universidade.pipelovers.net/m/lessons/como-fazer-seu-canal-refletir-sua-cultura-para-o-mercado1769552460290?classId=3412")</f>
        <v>https://universidade.pipelovers.net/m/lessons/como-fazer-seu-canal-refletir-sua-cultura-para-o-mercado1769552460290?classId=3412</v>
      </c>
      <c r="M769" s="379" t="str">
        <f>IFERROR(__xludf.DUMMYFUNCTION("""COMPUTED_VALUE"""),"2")</f>
        <v>2</v>
      </c>
      <c r="N769" s="1177" t="str">
        <f>IFERROR(__xludf.DUMMYFUNCTION("""COMPUTED_VALUE"""),"https://drive.google.com/file/d/1F1KfLOJfiX0_4DAMN3jLTuilLQUm3vCc/view?usp=drive_link")</f>
        <v>https://drive.google.com/file/d/1F1KfLOJfiX0_4DAMN3jLTuilLQUm3vCc/view?usp=drive_link</v>
      </c>
      <c r="O769" s="151" t="str">
        <f>IFERROR(__xludf.DUMMYFUNCTION("""COMPUTED_VALUE"""),"")</f>
        <v/>
      </c>
      <c r="P769" s="1138" t="str">
        <f>IFERROR(__xludf.DUMMYFUNCTION("""COMPUTED_VALUE"""),"31/07/2025")</f>
        <v>31/07/2025</v>
      </c>
      <c r="Q769" s="151"/>
    </row>
    <row r="770">
      <c r="A770" s="73"/>
      <c r="B770" s="1129" t="str">
        <f>IFERROR(__xludf.DUMMYFUNCTION("""COMPUTED_VALUE"""),"Canais e Parcerias")</f>
        <v>Canais e Parcerias</v>
      </c>
      <c r="C770" s="1137" t="str">
        <f>IFERROR(__xludf.DUMMYFUNCTION("""COMPUTED_VALUE"""),"Afiliados que vendem: como criar um programa de parcerias com escala")</f>
        <v>Afiliados que vendem: como criar um programa de parcerias com escala</v>
      </c>
      <c r="D770" s="1137" t="str">
        <f>IFERROR(__xludf.DUMMYFUNCTION("""COMPUTED_VALUE"""),"Flavia Paula")</f>
        <v>Flavia Paula</v>
      </c>
      <c r="E770" s="110" t="str">
        <f>IFERROR(__xludf.DUMMYFUNCTION("""COMPUTED_VALUE"""),"Head de Canais e Parcerias")</f>
        <v>Head de Canais e Parcerias</v>
      </c>
      <c r="F770" s="446" t="str">
        <f>IFERROR(__xludf.DUMMYFUNCTION("""COMPUTED_VALUE"""),"Swile Brasil")</f>
        <v>Swile Brasil</v>
      </c>
      <c r="G770" s="447" t="str">
        <f>IFERROR(__xludf.DUMMYFUNCTION("""COMPUTED_VALUE"""),"https://www.linkedin.com/in/fl%C3%A1via-paula-442a5a100/")</f>
        <v>https://www.linkedin.com/in/fl%C3%A1via-paula-442a5a100/</v>
      </c>
      <c r="H770" s="446" t="str">
        <f>IFERROR(__xludf.DUMMYFUNCTION("""COMPUTED_VALUE"""),"Conhecimento Técnico")</f>
        <v>Conhecimento Técnico</v>
      </c>
      <c r="I770" s="446" t="str">
        <f>IFERROR(__xludf.DUMMYFUNCTION("""COMPUTED_VALUE"""),"Gestão de Vendas")</f>
        <v>Gestão de Vendas</v>
      </c>
      <c r="J770" s="642" t="str">
        <f>IFERROR(__xludf.DUMMYFUNCTION("""COMPUTED_VALUE"""),"Planejamento Comercial")</f>
        <v>Planejamento Comercial</v>
      </c>
      <c r="K770" s="473" t="str">
        <f>IFERROR(__xludf.DUMMYFUNCTION("""COMPUTED_VALUE"""),"https://universidade.pipelovers.net/m/lessons/afiliados-que-vendem-como-criar-um-programa-de-parcerias-com-escala1769552460435?classId=3413")</f>
        <v>https://universidade.pipelovers.net/m/lessons/afiliados-que-vendem-como-criar-um-programa-de-parcerias-com-escala1769552460435?classId=3413</v>
      </c>
      <c r="L770" s="474" t="str">
        <f>IFERROR(__xludf.DUMMYFUNCTION("""COMPUTED_VALUE"""),"https://universidade.pipelovers.net/m/lessons/afiliados-que-vendem-como-criar-um-programa-de-parcerias-com-escala1769552460435?classId=3413")</f>
        <v>https://universidade.pipelovers.net/m/lessons/afiliados-que-vendem-como-criar-um-programa-de-parcerias-com-escala1769552460435?classId=3413</v>
      </c>
      <c r="M770" s="1188" t="str">
        <f>IFERROR(__xludf.DUMMYFUNCTION("""COMPUTED_VALUE"""),"2")</f>
        <v>2</v>
      </c>
      <c r="N770" s="1189" t="str">
        <f>IFERROR(__xludf.DUMMYFUNCTION("""COMPUTED_VALUE"""),"https://drive.google.com/file/d/1b4zdRSXQIAsSZ48mPKY-E_BSoYZ5YBvb/view?usp=drive_link")</f>
        <v>https://drive.google.com/file/d/1b4zdRSXQIAsSZ48mPKY-E_BSoYZ5YBvb/view?usp=drive_link</v>
      </c>
      <c r="O770" s="228" t="str">
        <f>IFERROR(__xludf.DUMMYFUNCTION("""COMPUTED_VALUE"""),"")</f>
        <v/>
      </c>
      <c r="P770" s="1138" t="str">
        <f>IFERROR(__xludf.DUMMYFUNCTION("""COMPUTED_VALUE"""),"07/08/2025")</f>
        <v>07/08/2025</v>
      </c>
      <c r="Q770" s="228"/>
    </row>
    <row r="771">
      <c r="A771" s="73"/>
      <c r="B771" s="1129" t="str">
        <f>IFERROR(__xludf.DUMMYFUNCTION("""COMPUTED_VALUE"""),"Canais e Parcerias")</f>
        <v>Canais e Parcerias</v>
      </c>
      <c r="C771" s="1199" t="str">
        <f>IFERROR(__xludf.DUMMYFUNCTION("""COMPUTED_VALUE"""),"Construção de confiança na relação com parceiros")</f>
        <v>Construção de confiança na relação com parceiros</v>
      </c>
      <c r="D771" s="1137" t="str">
        <f>IFERROR(__xludf.DUMMYFUNCTION("""COMPUTED_VALUE"""),"Mario de Morais")</f>
        <v>Mario de Morais</v>
      </c>
      <c r="E771" s="110" t="str">
        <f>IFERROR(__xludf.DUMMYFUNCTION("""COMPUTED_VALUE"""),"Partner Development Manager")</f>
        <v>Partner Development Manager</v>
      </c>
      <c r="F771" s="1200" t="str">
        <f>IFERROR(__xludf.DUMMYFUNCTION("""COMPUTED_VALUE"""),"Microsoft")</f>
        <v>Microsoft</v>
      </c>
      <c r="G771" s="447" t="str">
        <f>IFERROR(__xludf.DUMMYFUNCTION("""COMPUTED_VALUE"""),"https://www.linkedin.com/in/mariomorais/")</f>
        <v>https://www.linkedin.com/in/mariomorais/</v>
      </c>
      <c r="H771" s="446" t="str">
        <f>IFERROR(__xludf.DUMMYFUNCTION("""COMPUTED_VALUE"""),"Relacionamento Interpessoal")</f>
        <v>Relacionamento Interpessoal</v>
      </c>
      <c r="I771" s="446" t="str">
        <f>IFERROR(__xludf.DUMMYFUNCTION("""COMPUTED_VALUE"""),"Liderança e Influência")</f>
        <v>Liderança e Influência</v>
      </c>
      <c r="J771" s="446" t="str">
        <f>IFERROR(__xludf.DUMMYFUNCTION("""COMPUTED_VALUE"""),"Stakeholder Management")</f>
        <v>Stakeholder Management</v>
      </c>
      <c r="K771" s="473" t="str">
        <f>IFERROR(__xludf.DUMMYFUNCTION("""COMPUTED_VALUE"""),"https://universidade.pipelovers.net/m/lessons/construcao-de-confianca-na-relacao-com-parceiros1769552460488?classId=3414")</f>
        <v>https://universidade.pipelovers.net/m/lessons/construcao-de-confianca-na-relacao-com-parceiros1769552460488?classId=3414</v>
      </c>
      <c r="L771" s="474" t="str">
        <f>IFERROR(__xludf.DUMMYFUNCTION("""COMPUTED_VALUE"""),"https://universidade.pipelovers.net/m/lessons/construcao-de-confianca-na-relacao-com-parceiros1769552460488?classId=3414")</f>
        <v>https://universidade.pipelovers.net/m/lessons/construcao-de-confianca-na-relacao-com-parceiros1769552460488?classId=3414</v>
      </c>
      <c r="M771" s="117">
        <f>IFERROR(__xludf.DUMMYFUNCTION("""COMPUTED_VALUE"""),1.0)</f>
        <v>1</v>
      </c>
      <c r="N771" s="1177" t="str">
        <f>IFERROR(__xludf.DUMMYFUNCTION("""COMPUTED_VALUE"""),"https://drive.google.com/file/d/1upBl9rFASOUgnYVFCrCAY2dJq49-A83u/view?usp=drive_link")</f>
        <v>https://drive.google.com/file/d/1upBl9rFASOUgnYVFCrCAY2dJq49-A83u/view?usp=drive_link</v>
      </c>
      <c r="O771" s="151" t="str">
        <f>IFERROR(__xludf.DUMMYFUNCTION("""COMPUTED_VALUE"""),"")</f>
        <v/>
      </c>
      <c r="P771" s="1138">
        <f>IFERROR(__xludf.DUMMYFUNCTION("""COMPUTED_VALUE"""),45883.0)</f>
        <v>45883</v>
      </c>
      <c r="Q771" s="151"/>
    </row>
    <row r="772">
      <c r="A772" s="73"/>
      <c r="B772" s="1129" t="str">
        <f>IFERROR(__xludf.DUMMYFUNCTION("""COMPUTED_VALUE"""),"Canais e Parcerias")</f>
        <v>Canais e Parcerias</v>
      </c>
      <c r="C772" s="382" t="str">
        <f>IFERROR(__xludf.DUMMYFUNCTION("""COMPUTED_VALUE"""),"Como identificar o IPP (Perfil de Parceiro Ideal) ")</f>
        <v>Como identificar o IPP (Perfil de Parceiro Ideal) </v>
      </c>
      <c r="D772" s="268" t="str">
        <f>IFERROR(__xludf.DUMMYFUNCTION("""COMPUTED_VALUE"""),"David Souza")</f>
        <v>David Souza</v>
      </c>
      <c r="E772" s="110" t="str">
        <f>IFERROR(__xludf.DUMMYFUNCTION("""COMPUTED_VALUE"""),"Coordenador de parcerias")</f>
        <v>Coordenador de parcerias</v>
      </c>
      <c r="F772" s="1200" t="str">
        <f>IFERROR(__xludf.DUMMYFUNCTION("""COMPUTED_VALUE"""),"Mercos")</f>
        <v>Mercos</v>
      </c>
      <c r="G772" s="447" t="str">
        <f>IFERROR(__xludf.DUMMYFUNCTION("""COMPUTED_VALUE"""),"https://www.linkedin.com/in/david-souza-32064a50/")</f>
        <v>https://www.linkedin.com/in/david-souza-32064a50/</v>
      </c>
      <c r="H772" s="446" t="str">
        <f>IFERROR(__xludf.DUMMYFUNCTION("""COMPUTED_VALUE"""),"Visão de Negócios")</f>
        <v>Visão de Negócios</v>
      </c>
      <c r="I772" s="648" t="str">
        <f>IFERROR(__xludf.DUMMYFUNCTION("""COMPUTED_VALUE"""),"Conhecimento de Produto e Negócio")</f>
        <v>Conhecimento de Produto e Negócio</v>
      </c>
      <c r="J772" s="642" t="str">
        <f>IFERROR(__xludf.DUMMYFUNCTION("""COMPUTED_VALUE"""),"ICP (Perfil de Cliente Ideal)")</f>
        <v>ICP (Perfil de Cliente Ideal)</v>
      </c>
      <c r="K772" s="473" t="str">
        <f>IFERROR(__xludf.DUMMYFUNCTION("""COMPUTED_VALUE"""),"https://universidade.pipelovers.net/aulas/como-identificar-o-ipp-perfil-de-parceiro-ideal-1775812602394")</f>
        <v>https://universidade.pipelovers.net/aulas/como-identificar-o-ipp-perfil-de-parceiro-ideal-1775812602394</v>
      </c>
      <c r="L772" s="474" t="str">
        <f>IFERROR(__xludf.DUMMYFUNCTION("""COMPUTED_VALUE"""),"https://universidade.pipelovers.net/aulas/como-identificar-o-ipp-perfil-de-parceiro-ideal-1775812602394")</f>
        <v>https://universidade.pipelovers.net/aulas/como-identificar-o-ipp-perfil-de-parceiro-ideal-1775812602394</v>
      </c>
      <c r="M772" s="379" t="str">
        <f>IFERROR(__xludf.DUMMYFUNCTION("""COMPUTED_VALUE"""),"2")</f>
        <v>2</v>
      </c>
      <c r="N772" s="1177" t="str">
        <f>IFERROR(__xludf.DUMMYFUNCTION("""COMPUTED_VALUE"""),"https://drive.google.com/file/d/1LdxOaMCQyF-IX7pEeJNqCmmomOvZ2JM6/view?usp=drive_link")</f>
        <v>https://drive.google.com/file/d/1LdxOaMCQyF-IX7pEeJNqCmmomOvZ2JM6/view?usp=drive_link</v>
      </c>
      <c r="O772" s="228" t="str">
        <f>IFERROR(__xludf.DUMMYFUNCTION("""COMPUTED_VALUE"""),"")</f>
        <v/>
      </c>
      <c r="P772" s="1138" t="str">
        <f>IFERROR(__xludf.DUMMYFUNCTION("""COMPUTED_VALUE"""),"21/08/2025")</f>
        <v>21/08/2025</v>
      </c>
      <c r="Q772" s="228"/>
    </row>
    <row r="773">
      <c r="A773" s="73"/>
      <c r="B773" s="1129" t="str">
        <f>IFERROR(__xludf.DUMMYFUNCTION("""COMPUTED_VALUE"""),"Canais e Parcerias")</f>
        <v>Canais e Parcerias</v>
      </c>
      <c r="C773" s="1199" t="str">
        <f>IFERROR(__xludf.DUMMYFUNCTION("""COMPUTED_VALUE"""),"Como criar consistência no canal: o papel da disciplina no dia a dia da venda")</f>
        <v>Como criar consistência no canal: o papel da disciplina no dia a dia da venda</v>
      </c>
      <c r="D773" s="1137" t="str">
        <f>IFERROR(__xludf.DUMMYFUNCTION("""COMPUTED_VALUE"""),"Richard Zimermann")</f>
        <v>Richard Zimermann</v>
      </c>
      <c r="E773" s="110" t="str">
        <f>IFERROR(__xludf.DUMMYFUNCTION("""COMPUTED_VALUE"""),"Cloud Sales Director")</f>
        <v>Cloud Sales Director</v>
      </c>
      <c r="F773" s="478" t="str">
        <f>IFERROR(__xludf.DUMMYFUNCTION("""COMPUTED_VALUE"""),"Microsoft")</f>
        <v>Microsoft</v>
      </c>
      <c r="G773" s="447" t="str">
        <f>IFERROR(__xludf.DUMMYFUNCTION("""COMPUTED_VALUE"""),"https://www.linkedin.com/in/rzimermann/")</f>
        <v>https://www.linkedin.com/in/rzimermann/</v>
      </c>
      <c r="H773" s="446" t="str">
        <f>IFERROR(__xludf.DUMMYFUNCTION("""COMPUTED_VALUE"""),"Conhecimento Técnico")</f>
        <v>Conhecimento Técnico</v>
      </c>
      <c r="I773" s="446" t="str">
        <f>IFERROR(__xludf.DUMMYFUNCTION("""COMPUTED_VALUE"""),"Gestão de vendas")</f>
        <v>Gestão de vendas</v>
      </c>
      <c r="J773" s="642" t="str">
        <f>IFERROR(__xludf.DUMMYFUNCTION("""COMPUTED_VALUE"""),"Rotinas e Rituais")</f>
        <v>Rotinas e Rituais</v>
      </c>
      <c r="K773" s="473" t="str">
        <f>IFERROR(__xludf.DUMMYFUNCTION("""COMPUTED_VALUE"""),"https://universidade.pipelovers.net/m/lessons/como-criar-consistencia-no-canal-o-papel-da-disciplina-no-dia-a-dia-da-venda1769552460909?classId=3416")</f>
        <v>https://universidade.pipelovers.net/m/lessons/como-criar-consistencia-no-canal-o-papel-da-disciplina-no-dia-a-dia-da-venda1769552460909?classId=3416</v>
      </c>
      <c r="L773" s="474" t="str">
        <f>IFERROR(__xludf.DUMMYFUNCTION("""COMPUTED_VALUE"""),"https://universidade.pipelovers.net/m/lessons/como-criar-consistencia-no-canal-o-papel-da-disciplina-no-dia-a-dia-da-venda1769552460909?classId=3416")</f>
        <v>https://universidade.pipelovers.net/m/lessons/como-criar-consistencia-no-canal-o-papel-da-disciplina-no-dia-a-dia-da-venda1769552460909?classId=3416</v>
      </c>
      <c r="M773" s="379" t="str">
        <f>IFERROR(__xludf.DUMMYFUNCTION("""COMPUTED_VALUE"""),"4,57")</f>
        <v>4,57</v>
      </c>
      <c r="N773" s="1177" t="str">
        <f>IFERROR(__xludf.DUMMYFUNCTION("""COMPUTED_VALUE"""),"https://drive.google.com/file/d/1a8xbwUUOj5N_wX2iQsywszLIDPtupZwg/view?usp=drive_link")</f>
        <v>https://drive.google.com/file/d/1a8xbwUUOj5N_wX2iQsywszLIDPtupZwg/view?usp=drive_link</v>
      </c>
      <c r="O773" s="151" t="str">
        <f>IFERROR(__xludf.DUMMYFUNCTION("""COMPUTED_VALUE"""),"")</f>
        <v/>
      </c>
      <c r="P773" s="1138" t="str">
        <f>IFERROR(__xludf.DUMMYFUNCTION("""COMPUTED_VALUE"""),"28/08/2025")</f>
        <v>28/08/2025</v>
      </c>
      <c r="Q773" s="151"/>
    </row>
    <row r="774">
      <c r="A774" s="73"/>
      <c r="B774" s="1129" t="str">
        <f>IFERROR(__xludf.DUMMYFUNCTION("""COMPUTED_VALUE"""),"Canais e Parcerias")</f>
        <v>Canais e Parcerias</v>
      </c>
      <c r="C774" s="302" t="str">
        <f>IFERROR(__xludf.DUMMYFUNCTION("""COMPUTED_VALUE"""),"Estratégia de onboarding e rampagem de novos canais indiretos")</f>
        <v>Estratégia de onboarding e rampagem de novos canais indiretos</v>
      </c>
      <c r="D774" s="1137" t="str">
        <f>IFERROR(__xludf.DUMMYFUNCTION("""COMPUTED_VALUE"""),"Leonardo Neves")</f>
        <v>Leonardo Neves</v>
      </c>
      <c r="E774" s="110" t="str">
        <f>IFERROR(__xludf.DUMMYFUNCTION("""COMPUTED_VALUE"""),"Vice-presidente")</f>
        <v>Vice-presidente</v>
      </c>
      <c r="F774" s="478" t="str">
        <f>IFERROR(__xludf.DUMMYFUNCTION("""COMPUTED_VALUE"""),"ABRAVIT")</f>
        <v>ABRAVIT</v>
      </c>
      <c r="G774" s="447" t="str">
        <f>IFERROR(__xludf.DUMMYFUNCTION("""COMPUTED_VALUE"""),"https://www.linkedin.com/in/l%C3%A9o-neves-030a1a33/")</f>
        <v>https://www.linkedin.com/in/l%C3%A9o-neves-030a1a33/</v>
      </c>
      <c r="H774" s="446" t="str">
        <f>IFERROR(__xludf.DUMMYFUNCTION("""COMPUTED_VALUE"""),"Conhecimento Técnico")</f>
        <v>Conhecimento Técnico</v>
      </c>
      <c r="I774" s="446" t="str">
        <f>IFERROR(__xludf.DUMMYFUNCTION("""COMPUTED_VALUE"""),"Gestão de vendas")</f>
        <v>Gestão de vendas</v>
      </c>
      <c r="J774" s="446" t="str">
        <f>IFERROR(__xludf.DUMMYFUNCTION("""COMPUTED_VALUE"""),"Rotinas e Rituais")</f>
        <v>Rotinas e Rituais</v>
      </c>
      <c r="K774" s="473" t="str">
        <f>IFERROR(__xludf.DUMMYFUNCTION("""COMPUTED_VALUE"""),"https://universidade.pipelovers.net/m/lessons/estrategia-de-onboarding-e-rampagem-de-novos-canais-indiretos1769552461093?classId=3417")</f>
        <v>https://universidade.pipelovers.net/m/lessons/estrategia-de-onboarding-e-rampagem-de-novos-canais-indiretos1769552461093?classId=3417</v>
      </c>
      <c r="L774" s="474" t="str">
        <f>IFERROR(__xludf.DUMMYFUNCTION("""COMPUTED_VALUE"""),"https://universidade.pipelovers.net/m/lessons/estrategia-de-onboarding-e-rampagem-de-novos-canais-indiretos1769552461093?classId=3417")</f>
        <v>https://universidade.pipelovers.net/m/lessons/estrategia-de-onboarding-e-rampagem-de-novos-canais-indiretos1769552461093?classId=3417</v>
      </c>
      <c r="M774" s="379">
        <f>IFERROR(__xludf.DUMMYFUNCTION("""COMPUTED_VALUE"""),1.0)</f>
        <v>1</v>
      </c>
      <c r="N774" s="1177" t="str">
        <f>IFERROR(__xludf.DUMMYFUNCTION("""COMPUTED_VALUE"""),"https://drive.google.com/file/d/13szKRNgjDwdHAZAII9trZL1Ov4reV0rI/view?usp=drive_link")</f>
        <v>https://drive.google.com/file/d/13szKRNgjDwdHAZAII9trZL1Ov4reV0rI/view?usp=drive_link</v>
      </c>
      <c r="O774" s="228" t="str">
        <f>IFERROR(__xludf.DUMMYFUNCTION("""COMPUTED_VALUE"""),"")</f>
        <v/>
      </c>
      <c r="P774" s="1138">
        <f>IFERROR(__xludf.DUMMYFUNCTION("""COMPUTED_VALUE"""),45904.0)</f>
        <v>45904</v>
      </c>
      <c r="Q774" s="228"/>
    </row>
    <row r="775">
      <c r="A775" s="73"/>
      <c r="B775" s="1129" t="str">
        <f>IFERROR(__xludf.DUMMYFUNCTION("""COMPUTED_VALUE"""),"Canais e Parcerias")</f>
        <v>Canais e Parcerias</v>
      </c>
      <c r="C775" s="1137" t="str">
        <f>IFERROR(__xludf.DUMMYFUNCTION("""COMPUTED_VALUE"""),"Gestão de relacionamento com parceiros estratégicos")</f>
        <v>Gestão de relacionamento com parceiros estratégicos</v>
      </c>
      <c r="D775" s="1137" t="str">
        <f>IFERROR(__xludf.DUMMYFUNCTION("""COMPUTED_VALUE"""),"Andreia Vavassori")</f>
        <v>Andreia Vavassori</v>
      </c>
      <c r="E775" s="110" t="str">
        <f>IFERROR(__xludf.DUMMYFUNCTION("""COMPUTED_VALUE"""),"Especialista em canais indiretos")</f>
        <v>Especialista em canais indiretos</v>
      </c>
      <c r="F775" s="446"/>
      <c r="G775" s="447" t="str">
        <f>IFERROR(__xludf.DUMMYFUNCTION("""COMPUTED_VALUE"""),"https://www.linkedin.com/in/andreiavavassorigerentecomercial/")</f>
        <v>https://www.linkedin.com/in/andreiavavassorigerentecomercial/</v>
      </c>
      <c r="H775" s="446" t="str">
        <f>IFERROR(__xludf.DUMMYFUNCTION("""COMPUTED_VALUE"""),"Relacionamento Interpessoal")</f>
        <v>Relacionamento Interpessoal</v>
      </c>
      <c r="I775" s="446" t="str">
        <f>IFERROR(__xludf.DUMMYFUNCTION("""COMPUTED_VALUE"""),"Liderança e Influência")</f>
        <v>Liderança e Influência</v>
      </c>
      <c r="J775" s="642" t="str">
        <f>IFERROR(__xludf.DUMMYFUNCTION("""COMPUTED_VALUE"""),"Stakeholder Management")</f>
        <v>Stakeholder Management</v>
      </c>
      <c r="K775" s="473" t="str">
        <f>IFERROR(__xludf.DUMMYFUNCTION("""COMPUTED_VALUE"""),"https://universidade.pipelovers.net/m/lessons/gestao-de-relacionamento-com-parceiros-estrategicos1769552461242?classId=3023")</f>
        <v>https://universidade.pipelovers.net/m/lessons/gestao-de-relacionamento-com-parceiros-estrategicos1769552461242?classId=3023</v>
      </c>
      <c r="L775" s="474" t="str">
        <f>IFERROR(__xludf.DUMMYFUNCTION("""COMPUTED_VALUE"""),"https://universidade.pipelovers.net/m/lessons/gestao-de-relacionamento-com-parceiros-estrategicos1769552461242?classId=3023")</f>
        <v>https://universidade.pipelovers.net/m/lessons/gestao-de-relacionamento-com-parceiros-estrategicos1769552461242?classId=3023</v>
      </c>
      <c r="M775" s="379" t="str">
        <f>IFERROR(__xludf.DUMMYFUNCTION("""COMPUTED_VALUE"""),"4,36")</f>
        <v>4,36</v>
      </c>
      <c r="N775" s="1177" t="str">
        <f>IFERROR(__xludf.DUMMYFUNCTION("""COMPUTED_VALUE"""),"https://drive.google.com/file/d/1MqbTMk57dAhwzmzao-ebAUX7TVEx06KZ/view?usp=drive_link")</f>
        <v>https://drive.google.com/file/d/1MqbTMk57dAhwzmzao-ebAUX7TVEx06KZ/view?usp=drive_link</v>
      </c>
      <c r="O775" s="151" t="str">
        <f>IFERROR(__xludf.DUMMYFUNCTION("""COMPUTED_VALUE"""),"")</f>
        <v/>
      </c>
      <c r="P775" s="1138" t="str">
        <f>IFERROR(__xludf.DUMMYFUNCTION("""COMPUTED_VALUE"""),"11/09/2025")</f>
        <v>11/09/2025</v>
      </c>
      <c r="Q775" s="151"/>
    </row>
    <row r="776">
      <c r="A776" s="73"/>
      <c r="B776" s="1129" t="str">
        <f>IFERROR(__xludf.DUMMYFUNCTION("""COMPUTED_VALUE"""),"Canais e Parcerias")</f>
        <v>Canais e Parcerias</v>
      </c>
      <c r="C776" s="268" t="str">
        <f>IFERROR(__xludf.DUMMYFUNCTION("""COMPUTED_VALUE"""),"TAM, SAM, SOM para canais")</f>
        <v>TAM, SAM, SOM para canais</v>
      </c>
      <c r="D776" s="268" t="str">
        <f>IFERROR(__xludf.DUMMYFUNCTION("""COMPUTED_VALUE"""),"Marcus Vinicius Saraiva")</f>
        <v>Marcus Vinicius Saraiva</v>
      </c>
      <c r="E776" s="110" t="str">
        <f>IFERROR(__xludf.DUMMYFUNCTION("""COMPUTED_VALUE"""),"CEO")</f>
        <v>CEO</v>
      </c>
      <c r="F776" s="446" t="str">
        <f>IFERROR(__xludf.DUMMYFUNCTION("""COMPUTED_VALUE"""),"Marwin Ventures")</f>
        <v>Marwin Ventures</v>
      </c>
      <c r="G776" s="447" t="str">
        <f>IFERROR(__xludf.DUMMYFUNCTION("""COMPUTED_VALUE"""),"https://www.linkedin.com/in/marcusvcsaraiva/")</f>
        <v>https://www.linkedin.com/in/marcusvcsaraiva/</v>
      </c>
      <c r="H776" s="446" t="str">
        <f>IFERROR(__xludf.DUMMYFUNCTION("""COMPUTED_VALUE"""),"Visão de Negócios")</f>
        <v>Visão de Negócios</v>
      </c>
      <c r="I776" s="446" t="str">
        <f>IFERROR(__xludf.DUMMYFUNCTION("""COMPUTED_VALUE"""),"Conhecimento de Produto e Negócio")</f>
        <v>Conhecimento de Produto e Negócio</v>
      </c>
      <c r="J776" s="642" t="str">
        <f>IFERROR(__xludf.DUMMYFUNCTION("""COMPUTED_VALUE"""),"Segmentação de Mercado")</f>
        <v>Segmentação de Mercado</v>
      </c>
      <c r="K776" s="473" t="str">
        <f>IFERROR(__xludf.DUMMYFUNCTION("""COMPUTED_VALUE"""),"https://universidade.pipelovers.net/m/lessons/tam-sam-som-para-canais1769552460341?classId=3418")</f>
        <v>https://universidade.pipelovers.net/m/lessons/tam-sam-som-para-canais1769552460341?classId=3418</v>
      </c>
      <c r="L776" s="474" t="str">
        <f>IFERROR(__xludf.DUMMYFUNCTION("""COMPUTED_VALUE"""),"https://universidade.pipelovers.net/m/lessons/tam-sam-som-para-canais1769552460341?classId=3418")</f>
        <v>https://universidade.pipelovers.net/m/lessons/tam-sam-som-para-canais1769552460341?classId=3418</v>
      </c>
      <c r="M776" s="379" t="str">
        <f>IFERROR(__xludf.DUMMYFUNCTION("""COMPUTED_VALUE"""),"4,07")</f>
        <v>4,07</v>
      </c>
      <c r="N776" s="1177" t="str">
        <f>IFERROR(__xludf.DUMMYFUNCTION("""COMPUTED_VALUE"""),"https://drive.google.com/file/d/16qejif0e6VXXcXbqoR81craZpiptoO5b/view?usp=drive_link")</f>
        <v>https://drive.google.com/file/d/16qejif0e6VXXcXbqoR81craZpiptoO5b/view?usp=drive_link</v>
      </c>
      <c r="O776" s="228" t="str">
        <f>IFERROR(__xludf.DUMMYFUNCTION("""COMPUTED_VALUE"""),"")</f>
        <v/>
      </c>
      <c r="P776" s="1138" t="str">
        <f>IFERROR(__xludf.DUMMYFUNCTION("""COMPUTED_VALUE"""),"18/09/2025")</f>
        <v>18/09/2025</v>
      </c>
      <c r="Q776" s="228"/>
    </row>
    <row r="777">
      <c r="A777" s="73"/>
      <c r="B777" s="1129" t="str">
        <f>IFERROR(__xludf.DUMMYFUNCTION("""COMPUTED_VALUE"""),"Canais e Parcerias")</f>
        <v>Canais e Parcerias</v>
      </c>
      <c r="C777" s="216" t="str">
        <f>IFERROR(__xludf.DUMMYFUNCTION("""COMPUTED_VALUE"""),"Gestão de expectativa com stakeholders em canais")</f>
        <v>Gestão de expectativa com stakeholders em canais</v>
      </c>
      <c r="D777" s="216" t="str">
        <f>IFERROR(__xludf.DUMMYFUNCTION("""COMPUTED_VALUE"""),"Cristiano Gregorius")</f>
        <v>Cristiano Gregorius</v>
      </c>
      <c r="E777" s="110" t="str">
        <f>IFERROR(__xludf.DUMMYFUNCTION("""COMPUTED_VALUE"""),"Diretor Executivo")</f>
        <v>Diretor Executivo</v>
      </c>
      <c r="F777" s="446" t="str">
        <f>IFERROR(__xludf.DUMMYFUNCTION("""COMPUTED_VALUE"""),"Starian")</f>
        <v>Starian</v>
      </c>
      <c r="G777" s="447" t="str">
        <f>IFERROR(__xludf.DUMMYFUNCTION("""COMPUTED_VALUE"""),"https://www.linkedin.com/in/cristiano-gregorius-b73bb7/")</f>
        <v>https://www.linkedin.com/in/cristiano-gregorius-b73bb7/</v>
      </c>
      <c r="H777" s="446" t="str">
        <f>IFERROR(__xludf.DUMMYFUNCTION("""COMPUTED_VALUE"""),"Relacionamento Interpessoal")</f>
        <v>Relacionamento Interpessoal</v>
      </c>
      <c r="I777" s="446" t="str">
        <f>IFERROR(__xludf.DUMMYFUNCTION("""COMPUTED_VALUE"""),"Liderança e Influência")</f>
        <v>Liderança e Influência</v>
      </c>
      <c r="J777" s="642" t="str">
        <f>IFERROR(__xludf.DUMMYFUNCTION("""COMPUTED_VALUE"""),"Stakeholder Management")</f>
        <v>Stakeholder Management</v>
      </c>
      <c r="K777" s="473" t="str">
        <f>IFERROR(__xludf.DUMMYFUNCTION("""COMPUTED_VALUE"""),"https://universidade.pipelovers.net/m/lessons/gestao-de-expectativa-com-stakeholders-em-canais1769552466005?classId=3419")</f>
        <v>https://universidade.pipelovers.net/m/lessons/gestao-de-expectativa-com-stakeholders-em-canais1769552466005?classId=3419</v>
      </c>
      <c r="L777" s="474" t="str">
        <f>IFERROR(__xludf.DUMMYFUNCTION("""COMPUTED_VALUE"""),"https://universidade.pipelovers.net/m/lessons/gestao-de-expectativa-com-stakeholders-em-canais1769552466005?classId=3419")</f>
        <v>https://universidade.pipelovers.net/m/lessons/gestao-de-expectativa-com-stakeholders-em-canais1769552466005?classId=3419</v>
      </c>
      <c r="M777" s="379" t="str">
        <f>IFERROR(__xludf.DUMMYFUNCTION("""COMPUTED_VALUE"""),"4,57")</f>
        <v>4,57</v>
      </c>
      <c r="N777" s="1177" t="str">
        <f>IFERROR(__xludf.DUMMYFUNCTION("""COMPUTED_VALUE"""),"https://drive.google.com/file/d/1e2kAP3Lvq9mltU2LMmfWPLUVXpALe-Ol/view?usp=drive_link")</f>
        <v>https://drive.google.com/file/d/1e2kAP3Lvq9mltU2LMmfWPLUVXpALe-Ol/view?usp=drive_link</v>
      </c>
      <c r="O777" s="151" t="str">
        <f>IFERROR(__xludf.DUMMYFUNCTION("""COMPUTED_VALUE"""),"")</f>
        <v/>
      </c>
      <c r="P777" s="1138" t="str">
        <f>IFERROR(__xludf.DUMMYFUNCTION("""COMPUTED_VALUE"""),"25/09/2025")</f>
        <v>25/09/2025</v>
      </c>
      <c r="Q777" s="151"/>
    </row>
    <row r="778">
      <c r="A778" s="73"/>
      <c r="B778" s="1129" t="str">
        <f>IFERROR(__xludf.DUMMYFUNCTION("""COMPUTED_VALUE"""),"Canais e Parcerias")</f>
        <v>Canais e Parcerias</v>
      </c>
      <c r="C778" s="216" t="str">
        <f>IFERROR(__xludf.DUMMYFUNCTION("""COMPUTED_VALUE"""),"Como estruturar um programa de canais do zero")</f>
        <v>Como estruturar um programa de canais do zero</v>
      </c>
      <c r="D778" s="268" t="str">
        <f>IFERROR(__xludf.DUMMYFUNCTION("""COMPUTED_VALUE"""),"Adriano Santos")</f>
        <v>Adriano Santos</v>
      </c>
      <c r="E778" s="110" t="str">
        <f>IFERROR(__xludf.DUMMYFUNCTION("""COMPUTED_VALUE"""),"Head de Canais e Parcerias")</f>
        <v>Head de Canais e Parcerias</v>
      </c>
      <c r="F778" s="446" t="str">
        <f>IFERROR(__xludf.DUMMYFUNCTION("""COMPUTED_VALUE"""),"Cloudfy Tecnologia")</f>
        <v>Cloudfy Tecnologia</v>
      </c>
      <c r="G778" s="447" t="str">
        <f>IFERROR(__xludf.DUMMYFUNCTION("""COMPUTED_VALUE"""),"https://www.linkedin.com/in/adrianoluizdossantos/")</f>
        <v>https://www.linkedin.com/in/adrianoluizdossantos/</v>
      </c>
      <c r="H778" s="446" t="str">
        <f>IFERROR(__xludf.DUMMYFUNCTION("""COMPUTED_VALUE"""),"Conhecimento Técnico")</f>
        <v>Conhecimento Técnico</v>
      </c>
      <c r="I778" s="446" t="str">
        <f>IFERROR(__xludf.DUMMYFUNCTION("""COMPUTED_VALUE"""),"Gestão de Vendas")</f>
        <v>Gestão de Vendas</v>
      </c>
      <c r="J778" s="642" t="str">
        <f>IFERROR(__xludf.DUMMYFUNCTION("""COMPUTED_VALUE"""),"Planejamento Comercial")</f>
        <v>Planejamento Comercial</v>
      </c>
      <c r="K778" s="473" t="str">
        <f>IFERROR(__xludf.DUMMYFUNCTION("""COMPUTED_VALUE"""),"https://universidade.pipelovers.net/m/lessons/como-estruturar-um-programa-de-canais-do-zero1769552466069?classId=3420")</f>
        <v>https://universidade.pipelovers.net/m/lessons/como-estruturar-um-programa-de-canais-do-zero1769552466069?classId=3420</v>
      </c>
      <c r="L778" s="474" t="str">
        <f>IFERROR(__xludf.DUMMYFUNCTION("""COMPUTED_VALUE"""),"https://universidade.pipelovers.net/m/lessons/como-estruturar-um-programa-de-canais-do-zero1769552466069?classId=3420")</f>
        <v>https://universidade.pipelovers.net/m/lessons/como-estruturar-um-programa-de-canais-do-zero1769552466069?classId=3420</v>
      </c>
      <c r="M778" s="379" t="str">
        <f>IFERROR(__xludf.DUMMYFUNCTION("""COMPUTED_VALUE"""),"2")</f>
        <v>2</v>
      </c>
      <c r="N778" s="644" t="str">
        <f>IFERROR(__xludf.DUMMYFUNCTION("""COMPUTED_VALUE"""),"https://drive.google.com/file/d/1AaTlY8l_ObFxD_gm5T7N7xJFlRW_vcze/view?usp=drive_link")</f>
        <v>https://drive.google.com/file/d/1AaTlY8l_ObFxD_gm5T7N7xJFlRW_vcze/view?usp=drive_link</v>
      </c>
      <c r="O778" s="228" t="str">
        <f>IFERROR(__xludf.DUMMYFUNCTION("""COMPUTED_VALUE"""),"")</f>
        <v/>
      </c>
      <c r="P778" s="1138" t="str">
        <f>IFERROR(__xludf.DUMMYFUNCTION("""COMPUTED_VALUE"""),"02/10/2025")</f>
        <v>02/10/2025</v>
      </c>
      <c r="Q778" s="228"/>
    </row>
    <row r="779">
      <c r="A779" s="73"/>
      <c r="B779" s="1129" t="str">
        <f>IFERROR(__xludf.DUMMYFUNCTION("""COMPUTED_VALUE"""),"Canais e Parcerias")</f>
        <v>Canais e Parcerias</v>
      </c>
      <c r="C779" s="1137" t="str">
        <f>IFERROR(__xludf.DUMMYFUNCTION("""COMPUTED_VALUE"""),"Gestão estratégica na era de IA : automação e o novo papel do parceiro")</f>
        <v>Gestão estratégica na era de IA : automação e o novo papel do parceiro</v>
      </c>
      <c r="D779" s="1137" t="str">
        <f>IFERROR(__xludf.DUMMYFUNCTION("""COMPUTED_VALUE"""),"Antonio Custódio")</f>
        <v>Antonio Custódio</v>
      </c>
      <c r="E779" s="151" t="str">
        <f>IFERROR(__xludf.DUMMYFUNCTION("""COMPUTED_VALUE"""),"Gestão de Vendas Nacionais")</f>
        <v>Gestão de Vendas Nacionais</v>
      </c>
      <c r="F779" s="648" t="str">
        <f>IFERROR(__xludf.DUMMYFUNCTION("""COMPUTED_VALUE"""),"CIGAM")</f>
        <v>CIGAM</v>
      </c>
      <c r="G779" s="647" t="str">
        <f>IFERROR(__xludf.DUMMYFUNCTION("""COMPUTED_VALUE"""),"https://www.linkedin.com/in/antoniocustodiog/")</f>
        <v>https://www.linkedin.com/in/antoniocustodiog/</v>
      </c>
      <c r="H779" s="648" t="str">
        <f>IFERROR(__xludf.DUMMYFUNCTION("""COMPUTED_VALUE"""),"Visão de Negócios")</f>
        <v>Visão de Negócios</v>
      </c>
      <c r="I779" s="648" t="str">
        <f>IFERROR(__xludf.DUMMYFUNCTION("""COMPUTED_VALUE"""),"Tendencias de mercado")</f>
        <v>Tendencias de mercado</v>
      </c>
      <c r="J779" s="649" t="str">
        <f>IFERROR(__xludf.DUMMYFUNCTION("""COMPUTED_VALUE"""),"Inovações Tecnológicas")</f>
        <v>Inovações Tecnológicas</v>
      </c>
      <c r="K779" s="473" t="str">
        <f>IFERROR(__xludf.DUMMYFUNCTION("""COMPUTED_VALUE"""),"https://universidade.pipelovers.net/m/lessons/gestao-estrategica-na-era-de-ia-automacao-e-o-novo-papel-do-parceiro1769552466319?classId=3421")</f>
        <v>https://universidade.pipelovers.net/m/lessons/gestao-estrategica-na-era-de-ia-automacao-e-o-novo-papel-do-parceiro1769552466319?classId=3421</v>
      </c>
      <c r="L779" s="474" t="str">
        <f>IFERROR(__xludf.DUMMYFUNCTION("""COMPUTED_VALUE"""),"https://universidade.pipelovers.net/m/lessons/gestao-estrategica-na-era-de-ia-automacao-e-o-novo-papel-do-parceiro1769552466319?classId=3421")</f>
        <v>https://universidade.pipelovers.net/m/lessons/gestao-estrategica-na-era-de-ia-automacao-e-o-novo-papel-do-parceiro1769552466319?classId=3421</v>
      </c>
      <c r="M779" s="379" t="str">
        <f>IFERROR(__xludf.DUMMYFUNCTION("""COMPUTED_VALUE"""),"2")</f>
        <v>2</v>
      </c>
      <c r="N779" s="644" t="str">
        <f>IFERROR(__xludf.DUMMYFUNCTION("""COMPUTED_VALUE"""),"https://drive.google.com/file/d/17a2R7U9BkbTv3RGXTiEvyZCM0ywCWz4p/view?usp=drive_link")</f>
        <v>https://drive.google.com/file/d/17a2R7U9BkbTv3RGXTiEvyZCM0ywCWz4p/view?usp=drive_link</v>
      </c>
      <c r="O779" s="151" t="str">
        <f>IFERROR(__xludf.DUMMYFUNCTION("""COMPUTED_VALUE"""),"")</f>
        <v/>
      </c>
      <c r="P779" s="1138" t="str">
        <f>IFERROR(__xludf.DUMMYFUNCTION("""COMPUTED_VALUE"""),"09/10/2025")</f>
        <v>09/10/2025</v>
      </c>
      <c r="Q779" s="151"/>
    </row>
    <row r="780">
      <c r="A780" s="73"/>
      <c r="B780" s="1129" t="str">
        <f>IFERROR(__xludf.DUMMYFUNCTION("""COMPUTED_VALUE"""),"Canais e Parcerias")</f>
        <v>Canais e Parcerias</v>
      </c>
      <c r="C780" s="268" t="str">
        <f>IFERROR(__xludf.DUMMYFUNCTION("""COMPUTED_VALUE"""),"KPIs de canais: como medir engajamento e performance")</f>
        <v>KPIs de canais: como medir engajamento e performance</v>
      </c>
      <c r="D780" s="268" t="str">
        <f>IFERROR(__xludf.DUMMYFUNCTION("""COMPUTED_VALUE"""),"Gabriela Agapito")</f>
        <v>Gabriela Agapito</v>
      </c>
      <c r="E780" s="151" t="str">
        <f>IFERROR(__xludf.DUMMYFUNCTION("""COMPUTED_VALUE"""),"Diretora de Relacionamento e Canais")</f>
        <v>Diretora de Relacionamento e Canais</v>
      </c>
      <c r="F780" s="648" t="str">
        <f>IFERROR(__xludf.DUMMYFUNCTION("""COMPUTED_VALUE"""),"Fiibo")</f>
        <v>Fiibo</v>
      </c>
      <c r="G780" s="647" t="str">
        <f>IFERROR(__xludf.DUMMYFUNCTION("""COMPUTED_VALUE"""),"https://www.linkedin.com/in/gabrielagapito/")</f>
        <v>https://www.linkedin.com/in/gabrielagapito/</v>
      </c>
      <c r="H780" s="648" t="str">
        <f>IFERROR(__xludf.DUMMYFUNCTION("""COMPUTED_VALUE"""),"Conhecimento Técnico")</f>
        <v>Conhecimento Técnico</v>
      </c>
      <c r="I780" s="648" t="str">
        <f>IFERROR(__xludf.DUMMYFUNCTION("""COMPUTED_VALUE"""),"Pensamento Crítico")</f>
        <v>Pensamento Crítico</v>
      </c>
      <c r="J780" s="649" t="str">
        <f>IFERROR(__xludf.DUMMYFUNCTION("""COMPUTED_VALUE"""),"Métricas de Funil")</f>
        <v>Métricas de Funil</v>
      </c>
      <c r="K780" s="473" t="str">
        <f>IFERROR(__xludf.DUMMYFUNCTION("""COMPUTED_VALUE"""),"https://universidade.pipelovers.net/m/lessons/kpis-de-canais-como-medir-engajamento-e-performance1769552466132?classId=3018")</f>
        <v>https://universidade.pipelovers.net/m/lessons/kpis-de-canais-como-medir-engajamento-e-performance1769552466132?classId=3018</v>
      </c>
      <c r="L780" s="474" t="str">
        <f>IFERROR(__xludf.DUMMYFUNCTION("""COMPUTED_VALUE"""),"https://universidade.pipelovers.net/m/lessons/kpis-de-canais-como-medir-engajamento-e-performance1769552466132?classId=3018")</f>
        <v>https://universidade.pipelovers.net/m/lessons/kpis-de-canais-como-medir-engajamento-e-performance1769552466132?classId=3018</v>
      </c>
      <c r="M780" s="379" t="str">
        <f>IFERROR(__xludf.DUMMYFUNCTION("""COMPUTED_VALUE"""),"2")</f>
        <v>2</v>
      </c>
      <c r="N780" s="644" t="str">
        <f>IFERROR(__xludf.DUMMYFUNCTION("""COMPUTED_VALUE"""),"https://drive.google.com/file/d/1Qsz_FJsKWbSG-rQhKTHs0wlY4xgPHShj/view?usp=drive_link")</f>
        <v>https://drive.google.com/file/d/1Qsz_FJsKWbSG-rQhKTHs0wlY4xgPHShj/view?usp=drive_link</v>
      </c>
      <c r="O780" s="228" t="str">
        <f>IFERROR(__xludf.DUMMYFUNCTION("""COMPUTED_VALUE"""),"")</f>
        <v/>
      </c>
      <c r="P780" s="1138" t="str">
        <f>IFERROR(__xludf.DUMMYFUNCTION("""COMPUTED_VALUE"""),"16/10/2025")</f>
        <v>16/10/2025</v>
      </c>
      <c r="Q780" s="228"/>
    </row>
    <row r="781">
      <c r="A781" s="73"/>
      <c r="B781" s="1129" t="str">
        <f>IFERROR(__xludf.DUMMYFUNCTION("""COMPUTED_VALUE"""),"Canais e Parcerias")</f>
        <v>Canais e Parcerias</v>
      </c>
      <c r="C781" s="216" t="str">
        <f>IFERROR(__xludf.DUMMYFUNCTION("""COMPUTED_VALUE"""),"Gestão de funil de vendas de canais indiretos")</f>
        <v>Gestão de funil de vendas de canais indiretos</v>
      </c>
      <c r="D781" s="216" t="str">
        <f>IFERROR(__xludf.DUMMYFUNCTION("""COMPUTED_VALUE"""),"Carlos Hernandez")</f>
        <v>Carlos Hernandez</v>
      </c>
      <c r="E781" s="151" t="str">
        <f>IFERROR(__xludf.DUMMYFUNCTION("""COMPUTED_VALUE"""),"Head de Canais e Alianças")</f>
        <v>Head de Canais e Alianças</v>
      </c>
      <c r="F781" s="648" t="str">
        <f>IFERROR(__xludf.DUMMYFUNCTION("""COMPUTED_VALUE"""),"Blip")</f>
        <v>Blip</v>
      </c>
      <c r="G781" s="647" t="str">
        <f>IFERROR(__xludf.DUMMYFUNCTION("""COMPUTED_VALUE"""),"https://www.linkedin.com/in/carlos-d-hernandez-m/")</f>
        <v>https://www.linkedin.com/in/carlos-d-hernandez-m/</v>
      </c>
      <c r="H781" s="648" t="str">
        <f>IFERROR(__xludf.DUMMYFUNCTION("""COMPUTED_VALUE"""),"Conhecimento Técnico")</f>
        <v>Conhecimento Técnico</v>
      </c>
      <c r="I781" s="648" t="str">
        <f>IFERROR(__xludf.DUMMYFUNCTION("""COMPUTED_VALUE"""),"Gestão de vendas")</f>
        <v>Gestão de vendas</v>
      </c>
      <c r="J781" s="649" t="str">
        <f>IFERROR(__xludf.DUMMYFUNCTION("""COMPUTED_VALUE"""),"Rotinas e Rituais")</f>
        <v>Rotinas e Rituais</v>
      </c>
      <c r="K781" s="473" t="str">
        <f>IFERROR(__xludf.DUMMYFUNCTION("""COMPUTED_VALUE"""),"https://universidade.pipelovers.net/m/lessons/gestao-de-funil-de-vendas-de-canais-indiretos1769552466194?classId=3425")</f>
        <v>https://universidade.pipelovers.net/m/lessons/gestao-de-funil-de-vendas-de-canais-indiretos1769552466194?classId=3425</v>
      </c>
      <c r="L781" s="474" t="str">
        <f>IFERROR(__xludf.DUMMYFUNCTION("""COMPUTED_VALUE"""),"https://universidade.pipelovers.net/m/lessons/gestao-de-funil-de-vendas-de-canais-indiretos1769552466194?classId=3425")</f>
        <v>https://universidade.pipelovers.net/m/lessons/gestao-de-funil-de-vendas-de-canais-indiretos1769552466194?classId=3425</v>
      </c>
      <c r="M781" s="379" t="str">
        <f>IFERROR(__xludf.DUMMYFUNCTION("""COMPUTED_VALUE"""),"2")</f>
        <v>2</v>
      </c>
      <c r="N781" s="644" t="str">
        <f>IFERROR(__xludf.DUMMYFUNCTION("""COMPUTED_VALUE"""),"https://drive.google.com/file/d/1CJXsvuZ3QZf-HcS7lhS_HNUunANcSGgQ/view?usp=drive_link")</f>
        <v>https://drive.google.com/file/d/1CJXsvuZ3QZf-HcS7lhS_HNUunANcSGgQ/view?usp=drive_link</v>
      </c>
      <c r="O781" s="151" t="str">
        <f>IFERROR(__xludf.DUMMYFUNCTION("""COMPUTED_VALUE"""),"")</f>
        <v/>
      </c>
      <c r="P781" s="1138" t="str">
        <f>IFERROR(__xludf.DUMMYFUNCTION("""COMPUTED_VALUE"""),"23/10/2025")</f>
        <v>23/10/2025</v>
      </c>
      <c r="Q781" s="151"/>
    </row>
    <row r="782">
      <c r="A782" s="73"/>
      <c r="B782" s="1129" t="str">
        <f>IFERROR(__xludf.DUMMYFUNCTION("""COMPUTED_VALUE"""),"Canais e Parcerias")</f>
        <v>Canais e Parcerias</v>
      </c>
      <c r="C782" s="382" t="str">
        <f>IFERROR(__xludf.DUMMYFUNCTION("""COMPUTED_VALUE"""),"Estrutura de um pitch de aquisição de novos parceiros")</f>
        <v>Estrutura de um pitch de aquisição de novos parceiros</v>
      </c>
      <c r="D782" s="268" t="str">
        <f>IFERROR(__xludf.DUMMYFUNCTION("""COMPUTED_VALUE"""),"Felipe de Carvalho")</f>
        <v>Felipe de Carvalho</v>
      </c>
      <c r="E782" s="208" t="str">
        <f>IFERROR(__xludf.DUMMYFUNCTION("""COMPUTED_VALUE"""),"Diretor de filial")</f>
        <v>Diretor de filial</v>
      </c>
      <c r="F782" s="655" t="str">
        <f>IFERROR(__xludf.DUMMYFUNCTION("""COMPUTED_VALUE"""),"Alper Seguros")</f>
        <v>Alper Seguros</v>
      </c>
      <c r="G782" s="656" t="str">
        <f>IFERROR(__xludf.DUMMYFUNCTION("""COMPUTED_VALUE"""),"https://www.linkedin.com/in/felipedecarvalho1982/")</f>
        <v>https://www.linkedin.com/in/felipedecarvalho1982/</v>
      </c>
      <c r="H782" s="655" t="str">
        <f>IFERROR(__xludf.DUMMYFUNCTION("""COMPUTED_VALUE"""),"Conhecimento Técnico")</f>
        <v>Conhecimento Técnico</v>
      </c>
      <c r="I782" s="655" t="str">
        <f>IFERROR(__xludf.DUMMYFUNCTION("""COMPUTED_VALUE"""),"Técnicas de Vendas")</f>
        <v>Técnicas de Vendas</v>
      </c>
      <c r="J782" s="655" t="str">
        <f>IFERROR(__xludf.DUMMYFUNCTION("""COMPUTED_VALUE"""),"Pitch Comercial")</f>
        <v>Pitch Comercial</v>
      </c>
      <c r="K782" s="473" t="str">
        <f>IFERROR(__xludf.DUMMYFUNCTION("""COMPUTED_VALUE"""),"https://universidade.pipelovers.net/m/lessons/estrutura-de-um-pitch-de-aquisicao-de-novos-parceiros1769552466257?classId=3426")</f>
        <v>https://universidade.pipelovers.net/m/lessons/estrutura-de-um-pitch-de-aquisicao-de-novos-parceiros1769552466257?classId=3426</v>
      </c>
      <c r="L782" s="474" t="str">
        <f>IFERROR(__xludf.DUMMYFUNCTION("""COMPUTED_VALUE"""),"https://universidade.pipelovers.net/m/lessons/estrutura-de-um-pitch-de-aquisicao-de-novos-parceiros1769552466257?classId=3426")</f>
        <v>https://universidade.pipelovers.net/m/lessons/estrutura-de-um-pitch-de-aquisicao-de-novos-parceiros1769552466257?classId=3426</v>
      </c>
      <c r="M782" s="117">
        <f>IFERROR(__xludf.DUMMYFUNCTION("""COMPUTED_VALUE"""),1.0)</f>
        <v>1</v>
      </c>
      <c r="N782" s="1201" t="str">
        <f>IFERROR(__xludf.DUMMYFUNCTION("""COMPUTED_VALUE"""),"https://drive.google.com/file/d/12Bl_6laIoe2WOGwM9CN2MJ46ba7foC65/view?usp=drive_link")</f>
        <v>https://drive.google.com/file/d/12Bl_6laIoe2WOGwM9CN2MJ46ba7foC65/view?usp=drive_link</v>
      </c>
      <c r="O782" s="228" t="str">
        <f>IFERROR(__xludf.DUMMYFUNCTION("""COMPUTED_VALUE"""),"")</f>
        <v/>
      </c>
      <c r="P782" s="1138">
        <f>IFERROR(__xludf.DUMMYFUNCTION("""COMPUTED_VALUE"""),45960.0)</f>
        <v>45960</v>
      </c>
      <c r="Q782" s="228"/>
    </row>
    <row r="783">
      <c r="A783" s="73"/>
      <c r="B783" s="1129" t="str">
        <f>IFERROR(__xludf.DUMMYFUNCTION("""COMPUTED_VALUE"""),"Canais e Parcerias")</f>
        <v>Canais e Parcerias</v>
      </c>
      <c r="C783" s="302" t="str">
        <f>IFERROR(__xludf.DUMMYFUNCTION("""COMPUTED_VALUE"""),"Segmentação de parceiros para desenvolver canais com eficiência")</f>
        <v>Segmentação de parceiros para desenvolver canais com eficiência</v>
      </c>
      <c r="D783" s="1137" t="str">
        <f>IFERROR(__xludf.DUMMYFUNCTION("""COMPUTED_VALUE"""),"Daniel Hollander")</f>
        <v>Daniel Hollander</v>
      </c>
      <c r="E783" s="218" t="str">
        <f>IFERROR(__xludf.DUMMYFUNCTION("""COMPUTED_VALUE"""),"Founder")</f>
        <v>Founder</v>
      </c>
      <c r="F783" s="667" t="str">
        <f>IFERROR(__xludf.DUMMYFUNCTION("""COMPUTED_VALUE"""),"BasicX")</f>
        <v>BasicX</v>
      </c>
      <c r="G783" s="668" t="str">
        <f>IFERROR(__xludf.DUMMYFUNCTION("""COMPUTED_VALUE"""),"https://www.linkedin.com/in/danielhollander/")</f>
        <v>https://www.linkedin.com/in/danielhollander/</v>
      </c>
      <c r="H783" s="667" t="str">
        <f>IFERROR(__xludf.DUMMYFUNCTION("""COMPUTED_VALUE"""),"Visão de Negócios")</f>
        <v>Visão de Negócios</v>
      </c>
      <c r="I783" s="667" t="str">
        <f>IFERROR(__xludf.DUMMYFUNCTION("""COMPUTED_VALUE"""),"Conhecimento de Produto e Negócio")</f>
        <v>Conhecimento de Produto e Negócio</v>
      </c>
      <c r="J783" s="667" t="str">
        <f>IFERROR(__xludf.DUMMYFUNCTION("""COMPUTED_VALUE"""),"Segmentação de Mercado")</f>
        <v>Segmentação de Mercado</v>
      </c>
      <c r="K783" s="282" t="str">
        <f>IFERROR(__xludf.DUMMYFUNCTION("""COMPUTED_VALUE"""),"https://universidade.pipelovers.net/m/lessons/segmentacao-de-parceiros-para-desenvolver-canais-com-eficiencia1769552465755?classId=3430")</f>
        <v>https://universidade.pipelovers.net/m/lessons/segmentacao-de-parceiros-para-desenvolver-canais-com-eficiencia1769552465755?classId=3430</v>
      </c>
      <c r="L783" s="500" t="str">
        <f>IFERROR(__xludf.DUMMYFUNCTION("""COMPUTED_VALUE"""),"https://universidade.pipelovers.net/m/lessons/segmentacao-de-parceiros-para-desenvolver-canais-com-eficiencia1769552465755?classId=3430")</f>
        <v>https://universidade.pipelovers.net/m/lessons/segmentacao-de-parceiros-para-desenvolver-canais-com-eficiencia1769552465755?classId=3430</v>
      </c>
      <c r="M783" s="117">
        <f>IFERROR(__xludf.DUMMYFUNCTION("""COMPUTED_VALUE"""),2.0)</f>
        <v>2</v>
      </c>
      <c r="N783" s="1201" t="str">
        <f>IFERROR(__xludf.DUMMYFUNCTION("""COMPUTED_VALUE"""),"https://drive.google.com/file/d/1XWsvcAqb3CHVwpDmgk8t0_87t93_x99P/view?usp=drive_link")</f>
        <v>https://drive.google.com/file/d/1XWsvcAqb3CHVwpDmgk8t0_87t93_x99P/view?usp=drive_link</v>
      </c>
      <c r="O783" s="151" t="str">
        <f>IFERROR(__xludf.DUMMYFUNCTION("""COMPUTED_VALUE"""),"")</f>
        <v/>
      </c>
      <c r="P783" s="1138">
        <f>IFERROR(__xludf.DUMMYFUNCTION("""COMPUTED_VALUE"""),45967.0)</f>
        <v>45967</v>
      </c>
      <c r="Q783" s="151"/>
    </row>
    <row r="784">
      <c r="A784" s="73"/>
      <c r="B784" s="1129" t="str">
        <f>IFERROR(__xludf.DUMMYFUNCTION("""COMPUTED_VALUE"""),"Canais e Parcerias")</f>
        <v>Canais e Parcerias</v>
      </c>
      <c r="C784" s="157" t="str">
        <f>IFERROR(__xludf.DUMMYFUNCTION("""COMPUTED_VALUE"""),"Aprendizado em rede: como escalar conhecimento entre representantes")</f>
        <v>Aprendizado em rede: como escalar conhecimento entre representantes</v>
      </c>
      <c r="D784" s="104" t="str">
        <f>IFERROR(__xludf.DUMMYFUNCTION("""COMPUTED_VALUE"""),"Eduardo Lara")</f>
        <v>Eduardo Lara</v>
      </c>
      <c r="E784" s="218" t="str">
        <f>IFERROR(__xludf.DUMMYFUNCTION("""COMPUTED_VALUE"""),"Head of Sales")</f>
        <v>Head of Sales</v>
      </c>
      <c r="F784" s="667" t="str">
        <f>IFERROR(__xludf.DUMMYFUNCTION("""COMPUTED_VALUE"""),"Forma")</f>
        <v>Forma</v>
      </c>
      <c r="G784" s="668" t="str">
        <f>IFERROR(__xludf.DUMMYFUNCTION("""COMPUTED_VALUE"""),"https://www.linkedin.com/in/eduardo-lara-weigert-789a3a143/")</f>
        <v>https://www.linkedin.com/in/eduardo-lara-weigert-789a3a143/</v>
      </c>
      <c r="H784" s="667" t="str">
        <f>IFERROR(__xludf.DUMMYFUNCTION("""COMPUTED_VALUE"""),"Autodesenvolvimento")</f>
        <v>Autodesenvolvimento</v>
      </c>
      <c r="I784" s="667" t="str">
        <f>IFERROR(__xludf.DUMMYFUNCTION("""COMPUTED_VALUE"""),"Aprendizado Ativo")</f>
        <v>Aprendizado Ativo</v>
      </c>
      <c r="J784" s="667" t="str">
        <f>IFERROR(__xludf.DUMMYFUNCTION("""COMPUTED_VALUE"""),"Benchmarking")</f>
        <v>Benchmarking</v>
      </c>
      <c r="K784" s="473" t="str">
        <f>IFERROR(__xludf.DUMMYFUNCTION("""COMPUTED_VALUE"""),"https://universidade.pipelovers.net/m/lessons/aprendizado-em-rede-como-escalar-conhecimento-entre-representantes1769552465872?classId=3431")</f>
        <v>https://universidade.pipelovers.net/m/lessons/aprendizado-em-rede-como-escalar-conhecimento-entre-representantes1769552465872?classId=3431</v>
      </c>
      <c r="L784" s="474" t="str">
        <f>IFERROR(__xludf.DUMMYFUNCTION("""COMPUTED_VALUE"""),"https://universidade.pipelovers.net/m/lessons/aprendizado-em-rede-como-escalar-conhecimento-entre-representantes1769552465872?classId=3431")</f>
        <v>https://universidade.pipelovers.net/m/lessons/aprendizado-em-rede-como-escalar-conhecimento-entre-representantes1769552465872?classId=3431</v>
      </c>
      <c r="M784" s="117">
        <f>IFERROR(__xludf.DUMMYFUNCTION("""COMPUTED_VALUE"""),2.0)</f>
        <v>2</v>
      </c>
      <c r="N784" s="1201" t="str">
        <f>IFERROR(__xludf.DUMMYFUNCTION("""COMPUTED_VALUE"""),"https://drive.google.com/file/d/1JbRFMRMr_RW1P_rUoxIybHEJIRTgOwKL/view?usp=drive_link")</f>
        <v>https://drive.google.com/file/d/1JbRFMRMr_RW1P_rUoxIybHEJIRTgOwKL/view?usp=drive_link</v>
      </c>
      <c r="O784" s="228" t="str">
        <f>IFERROR(__xludf.DUMMYFUNCTION("""COMPUTED_VALUE"""),"")</f>
        <v/>
      </c>
      <c r="P784" s="1138">
        <f>IFERROR(__xludf.DUMMYFUNCTION("""COMPUTED_VALUE"""),45974.0)</f>
        <v>45974</v>
      </c>
      <c r="Q784" s="228"/>
    </row>
    <row r="785">
      <c r="A785" s="73"/>
      <c r="B785" s="1129" t="str">
        <f>IFERROR(__xludf.DUMMYFUNCTION("""COMPUTED_VALUE"""),"Canais e Parcerias")</f>
        <v>Canais e Parcerias</v>
      </c>
      <c r="C785" s="104" t="str">
        <f>IFERROR(__xludf.DUMMYFUNCTION("""COMPUTED_VALUE"""),"Como engajar canais à distância de forma eficaz")</f>
        <v>Como engajar canais à distância de forma eficaz</v>
      </c>
      <c r="D785" s="104" t="str">
        <f>IFERROR(__xludf.DUMMYFUNCTION("""COMPUTED_VALUE"""),"Lucas Pinto")</f>
        <v>Lucas Pinto</v>
      </c>
      <c r="E785" s="104" t="str">
        <f>IFERROR(__xludf.DUMMYFUNCTION("""COMPUTED_VALUE"""),"Head Comercial Parcerias")</f>
        <v>Head Comercial Parcerias</v>
      </c>
      <c r="F785" s="667" t="str">
        <f>IFERROR(__xludf.DUMMYFUNCTION("""COMPUTED_VALUE"""),"HubLocal")</f>
        <v>HubLocal</v>
      </c>
      <c r="G785" s="668" t="str">
        <f>IFERROR(__xludf.DUMMYFUNCTION("""COMPUTED_VALUE"""),"https://www.linkedin.com/in/lucasbezerrapinto/")</f>
        <v>https://www.linkedin.com/in/lucasbezerrapinto/</v>
      </c>
      <c r="H785" s="667" t="str">
        <f>IFERROR(__xludf.DUMMYFUNCTION("""COMPUTED_VALUE"""),"Relacionamento Interpessoal")</f>
        <v>Relacionamento Interpessoal</v>
      </c>
      <c r="I785" s="667" t="str">
        <f>IFERROR(__xludf.DUMMYFUNCTION("""COMPUTED_VALUE"""),"Comunicação e Relacionamento")</f>
        <v>Comunicação e Relacionamento</v>
      </c>
      <c r="J785" s="667" t="str">
        <f>IFERROR(__xludf.DUMMYFUNCTION("""COMPUTED_VALUE"""),"Comunicação Virtual")</f>
        <v>Comunicação Virtual</v>
      </c>
      <c r="K785" s="473" t="str">
        <f>IFERROR(__xludf.DUMMYFUNCTION("""COMPUTED_VALUE"""),"https://universidade.pipelovers.net/m/lessons/como-engajar-canais-a-distancia-de-forma-eficaz1769552465935?classId=3432")</f>
        <v>https://universidade.pipelovers.net/m/lessons/como-engajar-canais-a-distancia-de-forma-eficaz1769552465935?classId=3432</v>
      </c>
      <c r="L785" s="474" t="str">
        <f>IFERROR(__xludf.DUMMYFUNCTION("""COMPUTED_VALUE"""),"https://universidade.pipelovers.net/m/lessons/como-engajar-canais-a-distancia-de-forma-eficaz1769552465935?classId=3432")</f>
        <v>https://universidade.pipelovers.net/m/lessons/como-engajar-canais-a-distancia-de-forma-eficaz1769552465935?classId=3432</v>
      </c>
      <c r="M785" s="1202">
        <f>IFERROR(__xludf.DUMMYFUNCTION("""COMPUTED_VALUE"""),2.0)</f>
        <v>2</v>
      </c>
      <c r="N785" s="219" t="str">
        <f>IFERROR(__xludf.DUMMYFUNCTION("""COMPUTED_VALUE"""),"https://drive.google.com/file/d/1rIAeV6z_tEvAaxt3txl82Si9KmjA3uTS/view?usp=drive_link")</f>
        <v>https://drive.google.com/file/d/1rIAeV6z_tEvAaxt3txl82Si9KmjA3uTS/view?usp=drive_link</v>
      </c>
      <c r="O785" s="228" t="str">
        <f>IFERROR(__xludf.DUMMYFUNCTION("""COMPUTED_VALUE"""),"")</f>
        <v/>
      </c>
      <c r="P785" s="1138">
        <f>IFERROR(__xludf.DUMMYFUNCTION("""COMPUTED_VALUE"""),45981.0)</f>
        <v>45981</v>
      </c>
      <c r="Q785" s="228"/>
    </row>
    <row r="786">
      <c r="A786" s="73"/>
      <c r="B786" s="1129" t="str">
        <f>IFERROR(__xludf.DUMMYFUNCTION("""COMPUTED_VALUE"""),"Canais e Parcerias")</f>
        <v>Canais e Parcerias</v>
      </c>
      <c r="C786" s="104" t="str">
        <f>IFERROR(__xludf.DUMMYFUNCTION("""COMPUTED_VALUE"""),"Posicionamento conjunto: como alinhar proposta de valor com o parceiro")</f>
        <v>Posicionamento conjunto: como alinhar proposta de valor com o parceiro</v>
      </c>
      <c r="D786" s="104" t="str">
        <f>IFERROR(__xludf.DUMMYFUNCTION("""COMPUTED_VALUE"""),"Vincent Parachini")</f>
        <v>Vincent Parachini</v>
      </c>
      <c r="E786" s="104" t="str">
        <f>IFERROR(__xludf.DUMMYFUNCTION("""COMPUTED_VALUE"""),"LATAM Managing Partner")</f>
        <v>LATAM Managing Partner</v>
      </c>
      <c r="F786" s="667" t="str">
        <f>IFERROR(__xludf.DUMMYFUNCTION("""COMPUTED_VALUE"""),"Halifax Consulting Brasil")</f>
        <v>Halifax Consulting Brasil</v>
      </c>
      <c r="G786" s="668" t="str">
        <f>IFERROR(__xludf.DUMMYFUNCTION("""COMPUTED_VALUE"""),"https://www.linkedin.com/in/vincent-parachini/")</f>
        <v>https://www.linkedin.com/in/vincent-parachini/</v>
      </c>
      <c r="H786" s="667" t="str">
        <f>IFERROR(__xludf.DUMMYFUNCTION("""COMPUTED_VALUE"""),"Visão de Negócios")</f>
        <v>Visão de Negócios</v>
      </c>
      <c r="I786" s="667" t="str">
        <f>IFERROR(__xludf.DUMMYFUNCTION("""COMPUTED_VALUE"""),"Conhecimento de Produto e Negócio")</f>
        <v>Conhecimento de Produto e Negócio</v>
      </c>
      <c r="J786" s="667" t="str">
        <f>IFERROR(__xludf.DUMMYFUNCTION("""COMPUTED_VALUE"""),"Posicionamento de Produto")</f>
        <v>Posicionamento de Produto</v>
      </c>
      <c r="K786" s="282" t="str">
        <f>IFERROR(__xludf.DUMMYFUNCTION("""COMPUTED_VALUE"""),"https://universidade.pipelovers.net/m/lessons/posicionamento-conjunto-como-alinhar-proposta-de-valor-com-o-parceiro1769552465815?classId=3016")</f>
        <v>https://universidade.pipelovers.net/m/lessons/posicionamento-conjunto-como-alinhar-proposta-de-valor-com-o-parceiro1769552465815?classId=3016</v>
      </c>
      <c r="L786" s="500" t="str">
        <f>IFERROR(__xludf.DUMMYFUNCTION("""COMPUTED_VALUE"""),"https://universidade.pipelovers.net/m/lessons/posicionamento-conjunto-como-alinhar-proposta-de-valor-com-o-parceiro1769552465815?classId=3016")</f>
        <v>https://universidade.pipelovers.net/m/lessons/posicionamento-conjunto-como-alinhar-proposta-de-valor-com-o-parceiro1769552465815?classId=3016</v>
      </c>
      <c r="M786" s="1202">
        <f>IFERROR(__xludf.DUMMYFUNCTION("""COMPUTED_VALUE"""),4.71)</f>
        <v>4.71</v>
      </c>
      <c r="N786" s="219" t="str">
        <f>IFERROR(__xludf.DUMMYFUNCTION("""COMPUTED_VALUE"""),"https://drive.google.com/file/d/1VDo-GaJRRUXCNfpssv7JFijS33_mfMMr/view?usp=drive_link")</f>
        <v>https://drive.google.com/file/d/1VDo-GaJRRUXCNfpssv7JFijS33_mfMMr/view?usp=drive_link</v>
      </c>
      <c r="O786" s="151" t="str">
        <f>IFERROR(__xludf.DUMMYFUNCTION("""COMPUTED_VALUE"""),"")</f>
        <v/>
      </c>
      <c r="P786" s="1138">
        <f>IFERROR(__xludf.DUMMYFUNCTION("""COMPUTED_VALUE"""),45988.0)</f>
        <v>45988</v>
      </c>
      <c r="Q786" s="151"/>
    </row>
    <row r="787">
      <c r="A787" s="73"/>
      <c r="B787" s="1129" t="str">
        <f>IFERROR(__xludf.DUMMYFUNCTION("""COMPUTED_VALUE"""),"Canais e Parcerias")</f>
        <v>Canais e Parcerias</v>
      </c>
      <c r="C787" s="104" t="str">
        <f>IFERROR(__xludf.DUMMYFUNCTION("""COMPUTED_VALUE"""),"Escuta ativa com parceiros: como gerar alinhamento e oportunidades")</f>
        <v>Escuta ativa com parceiros: como gerar alinhamento e oportunidades</v>
      </c>
      <c r="D787" s="104" t="str">
        <f>IFERROR(__xludf.DUMMYFUNCTION("""COMPUTED_VALUE"""),"Rachel Paranhos")</f>
        <v>Rachel Paranhos</v>
      </c>
      <c r="E787" s="104" t="str">
        <f>IFERROR(__xludf.DUMMYFUNCTION("""COMPUTED_VALUE"""),"Chief Revenue Officer (CRO)")</f>
        <v>Chief Revenue Officer (CRO)</v>
      </c>
      <c r="F787" s="667" t="str">
        <f>IFERROR(__xludf.DUMMYFUNCTION("""COMPUTED_VALUE"""),"Sambatech")</f>
        <v>Sambatech</v>
      </c>
      <c r="G787" s="668" t="str">
        <f>IFERROR(__xludf.DUMMYFUNCTION("""COMPUTED_VALUE"""),"https://www.linkedin.com/in/rachelparanhos/")</f>
        <v>https://www.linkedin.com/in/rachelparanhos/</v>
      </c>
      <c r="H787" s="667" t="str">
        <f>IFERROR(__xludf.DUMMYFUNCTION("""COMPUTED_VALUE"""),"Relacionamento Interpessoal")</f>
        <v>Relacionamento Interpessoal</v>
      </c>
      <c r="I787" s="667" t="str">
        <f>IFERROR(__xludf.DUMMYFUNCTION("""COMPUTED_VALUE"""),"Comunicação e Relacionamento")</f>
        <v>Comunicação e Relacionamento</v>
      </c>
      <c r="J787" s="667" t="str">
        <f>IFERROR(__xludf.DUMMYFUNCTION("""COMPUTED_VALUE"""),"Escuta Ativa")</f>
        <v>Escuta Ativa</v>
      </c>
      <c r="K787" s="473" t="str">
        <f>IFERROR(__xludf.DUMMYFUNCTION("""COMPUTED_VALUE"""),"https://universidade.pipelovers.net/aulas/escuta-ativa-com-parceiros-como-gerar-alinhamento-e-oportunidades-1775813044717")</f>
        <v>https://universidade.pipelovers.net/aulas/escuta-ativa-com-parceiros-como-gerar-alinhamento-e-oportunidades-1775813044717</v>
      </c>
      <c r="L787" s="474" t="str">
        <f>IFERROR(__xludf.DUMMYFUNCTION("""COMPUTED_VALUE"""),"https://universidade.pipelovers.net/aulas/escuta-ativa-com-parceiros-como-gerar-alinhamento-e-oportunidades-1775813044717")</f>
        <v>https://universidade.pipelovers.net/aulas/escuta-ativa-com-parceiros-como-gerar-alinhamento-e-oportunidades-1775813044717</v>
      </c>
      <c r="M787" s="1202">
        <f>IFERROR(__xludf.DUMMYFUNCTION("""COMPUTED_VALUE"""),2.0)</f>
        <v>2</v>
      </c>
      <c r="N787" s="219" t="str">
        <f>IFERROR(__xludf.DUMMYFUNCTION("""COMPUTED_VALUE"""),"https://drive.google.com/file/d/1wQU73B5rt5BvPAhN3jvZO48iEr2N5P3k/view?usp=drive_link")</f>
        <v>https://drive.google.com/file/d/1wQU73B5rt5BvPAhN3jvZO48iEr2N5P3k/view?usp=drive_link</v>
      </c>
      <c r="O787" s="151" t="str">
        <f>IFERROR(__xludf.DUMMYFUNCTION("""COMPUTED_VALUE"""),"")</f>
        <v/>
      </c>
      <c r="P787" s="1138">
        <f>IFERROR(__xludf.DUMMYFUNCTION("""COMPUTED_VALUE"""),45995.0)</f>
        <v>45995</v>
      </c>
      <c r="Q787" s="151"/>
    </row>
    <row r="788">
      <c r="A788" s="528"/>
      <c r="B788" s="1129" t="str">
        <f>IFERROR(__xludf.DUMMYFUNCTION("""COMPUTED_VALUE"""),"Canais e Parcerias")</f>
        <v>Canais e Parcerias</v>
      </c>
      <c r="C788" s="181" t="str">
        <f>IFERROR(__xludf.DUMMYFUNCTION("""COMPUTED_VALUE"""),"Priorização de canais com base em ROI e potencial de receita")</f>
        <v>Priorização de canais com base em ROI e potencial de receita</v>
      </c>
      <c r="D788" s="104" t="str">
        <f>IFERROR(__xludf.DUMMYFUNCTION("""COMPUTED_VALUE"""),"João Palhares")</f>
        <v>João Palhares</v>
      </c>
      <c r="E788" s="104" t="str">
        <f>IFERROR(__xludf.DUMMYFUNCTION("""COMPUTED_VALUE"""),"Fundador e CEO")</f>
        <v>Fundador e CEO</v>
      </c>
      <c r="F788" s="104" t="str">
        <f>IFERROR(__xludf.DUMMYFUNCTION("""COMPUTED_VALUE"""),"Cashgo")</f>
        <v>Cashgo</v>
      </c>
      <c r="G788" s="1203" t="str">
        <f>IFERROR(__xludf.DUMMYFUNCTION("""COMPUTED_VALUE"""),"https://www.linkedin.com/in/jvpalhares/")</f>
        <v>https://www.linkedin.com/in/jvpalhares/</v>
      </c>
      <c r="H788" s="104" t="str">
        <f>IFERROR(__xludf.DUMMYFUNCTION("""COMPUTED_VALUE"""),"Conhecimento Técnico")</f>
        <v>Conhecimento Técnico</v>
      </c>
      <c r="I788" s="157" t="str">
        <f>IFERROR(__xludf.DUMMYFUNCTION("""COMPUTED_VALUE"""),"Pensamento Crítico")</f>
        <v>Pensamento Crítico</v>
      </c>
      <c r="J788" s="655" t="str">
        <f>IFERROR(__xludf.DUMMYFUNCTION("""COMPUTED_VALUE"""),"ROI")</f>
        <v>ROI</v>
      </c>
      <c r="K788" s="275" t="str">
        <f>IFERROR(__xludf.DUMMYFUNCTION("""COMPUTED_VALUE"""),"https://universidade.pipelovers.net/aulas/priorizacao-de-canais-com-base-em-roi-e-potencial-de-receita-1775075945715")</f>
        <v>https://universidade.pipelovers.net/aulas/priorizacao-de-canais-com-base-em-roi-e-potencial-de-receita-1775075945715</v>
      </c>
      <c r="L788" s="535" t="str">
        <f>IFERROR(__xludf.DUMMYFUNCTION("""COMPUTED_VALUE"""),"https://universidade.pipelovers.net/aulas/priorizacao-de-canais-com-base-em-roi-e-potencial-de-receita-1775075945715")</f>
        <v>https://universidade.pipelovers.net/aulas/priorizacao-de-canais-com-base-em-roi-e-potencial-de-receita-1775075945715</v>
      </c>
      <c r="M788" s="1202">
        <f>IFERROR(__xludf.DUMMYFUNCTION("""COMPUTED_VALUE"""),5.0)</f>
        <v>5</v>
      </c>
      <c r="N788" s="218" t="str">
        <f>IFERROR(__xludf.DUMMYFUNCTION("""COMPUTED_VALUE"""),"139.  PipeLovers💜 Canais &amp; Parcerias Priorização de canais com base em ROI e potencial de receita com João Palhares - descript.mp4")</f>
        <v>139.  PipeLovers💜 Canais &amp; Parcerias Priorização de canais com base em ROI e potencial de receita com João Palhares - descript.mp4</v>
      </c>
      <c r="O788" s="151" t="str">
        <f>IFERROR(__xludf.DUMMYFUNCTION("""COMPUTED_VALUE"""),"")</f>
        <v/>
      </c>
      <c r="P788" s="1138">
        <f>IFERROR(__xludf.DUMMYFUNCTION("""COMPUTED_VALUE"""),46002.0)</f>
        <v>46002</v>
      </c>
      <c r="Q788" s="151"/>
    </row>
    <row r="789">
      <c r="A789" s="528"/>
      <c r="B789" s="1129" t="str">
        <f>IFERROR(__xludf.DUMMYFUNCTION("""COMPUTED_VALUE"""),"Canais e Parcerias")</f>
        <v>Canais e Parcerias</v>
      </c>
      <c r="C789" s="145" t="str">
        <f>IFERROR(__xludf.DUMMYFUNCTION("""COMPUTED_VALUE"""),"Certificações para canais e parcerias")</f>
        <v>Certificações para canais e parcerias</v>
      </c>
      <c r="D789" s="119" t="str">
        <f>IFERROR(__xludf.DUMMYFUNCTION("""COMPUTED_VALUE"""),"Julio Cunha")</f>
        <v>Julio Cunha</v>
      </c>
      <c r="E789" s="119" t="str">
        <f>IFERROR(__xludf.DUMMYFUNCTION("""COMPUTED_VALUE"""),"Founder")</f>
        <v>Founder</v>
      </c>
      <c r="F789" s="119" t="str">
        <f>IFERROR(__xludf.DUMMYFUNCTION("""COMPUTED_VALUE"""),"EDUBRIX")</f>
        <v>EDUBRIX</v>
      </c>
      <c r="G789" s="1204" t="str">
        <f>IFERROR(__xludf.DUMMYFUNCTION("""COMPUTED_VALUE"""),"https://www.linkedin.com/in/juliocunha/")</f>
        <v>https://www.linkedin.com/in/juliocunha/</v>
      </c>
      <c r="H789" s="145" t="str">
        <f>IFERROR(__xludf.DUMMYFUNCTION("""COMPUTED_VALUE"""),"Conhecimento Técnico")</f>
        <v>Conhecimento Técnico</v>
      </c>
      <c r="I789" s="145" t="str">
        <f>IFERROR(__xludf.DUMMYFUNCTION("""COMPUTED_VALUE"""),"Gestão de vendas")</f>
        <v>Gestão de vendas</v>
      </c>
      <c r="J789" s="655" t="str">
        <f>IFERROR(__xludf.DUMMYFUNCTION("""COMPUTED_VALUE"""),"Ferramentas de Vendas")</f>
        <v>Ferramentas de Vendas</v>
      </c>
      <c r="K789" s="275" t="str">
        <f>IFERROR(__xludf.DUMMYFUNCTION("""COMPUTED_VALUE"""),"https://universidade.pipelovers.net/m/lessons/certificacoes-para-canais-e-parcerias1769552466443?classId=3737")</f>
        <v>https://universidade.pipelovers.net/m/lessons/certificacoes-para-canais-e-parcerias1769552466443?classId=3737</v>
      </c>
      <c r="L789" s="535" t="str">
        <f>IFERROR(__xludf.DUMMYFUNCTION("""COMPUTED_VALUE"""),"https://universidade.pipelovers.net/m/lessons/certificacoes-para-canais-e-parcerias1769552466443?classId=3737")</f>
        <v>https://universidade.pipelovers.net/m/lessons/certificacoes-para-canais-e-parcerias1769552466443?classId=3737</v>
      </c>
      <c r="M789" s="1202">
        <f>IFERROR(__xludf.DUMMYFUNCTION("""COMPUTED_VALUE"""),1.0)</f>
        <v>1</v>
      </c>
      <c r="N789" s="218" t="str">
        <f>IFERROR(__xludf.DUMMYFUNCTION("""COMPUTED_VALUE"""),"140.  PipeLovers💜 Canais &amp; Parcerias Certificações para canais e parcerias com Julio Cunha - descript.mp4")</f>
        <v>140.  PipeLovers💜 Canais &amp; Parcerias Certificações para canais e parcerias com Julio Cunha - descript.mp4</v>
      </c>
      <c r="O789" s="151" t="str">
        <f>IFERROR(__xludf.DUMMYFUNCTION("""COMPUTED_VALUE"""),"")</f>
        <v/>
      </c>
      <c r="P789" s="1138">
        <f>IFERROR(__xludf.DUMMYFUNCTION("""COMPUTED_VALUE"""),46009.0)</f>
        <v>46009</v>
      </c>
      <c r="Q789" s="151"/>
    </row>
    <row r="790">
      <c r="A790" s="528"/>
      <c r="B790" s="1129" t="str">
        <f>IFERROR(__xludf.DUMMYFUNCTION("""COMPUTED_VALUE"""),"Canais e Parcerias")</f>
        <v>Canais e Parcerias</v>
      </c>
      <c r="C790" s="104" t="str">
        <f>IFERROR(__xludf.DUMMYFUNCTION("""COMPUTED_VALUE"""),"Modelos de incentivo e recompensa para parceiros")</f>
        <v>Modelos de incentivo e recompensa para parceiros</v>
      </c>
      <c r="D790" s="104" t="str">
        <f>IFERROR(__xludf.DUMMYFUNCTION("""COMPUTED_VALUE"""),"Eliomar Oliveira")</f>
        <v>Eliomar Oliveira</v>
      </c>
      <c r="E790" s="104" t="str">
        <f>IFERROR(__xludf.DUMMYFUNCTION("""COMPUTED_VALUE"""),"Coordenador de Vendas Indiretas")</f>
        <v>Coordenador de Vendas Indiretas</v>
      </c>
      <c r="F790" s="104" t="str">
        <f>IFERROR(__xludf.DUMMYFUNCTION("""COMPUTED_VALUE"""),"HubLocal")</f>
        <v>HubLocal</v>
      </c>
      <c r="G790" s="1203" t="str">
        <f>IFERROR(__xludf.DUMMYFUNCTION("""COMPUTED_VALUE"""),"https://www.linkedin.com/in/eliomarlobogois/")</f>
        <v>https://www.linkedin.com/in/eliomarlobogois/</v>
      </c>
      <c r="H790" s="104" t="str">
        <f>IFERROR(__xludf.DUMMYFUNCTION("""COMPUTED_VALUE"""),"Relacionamento Interpessoal")</f>
        <v>Relacionamento Interpessoal</v>
      </c>
      <c r="I790" s="104" t="str">
        <f>IFERROR(__xludf.DUMMYFUNCTION("""COMPUTED_VALUE"""),"Liderança e Influência")</f>
        <v>Liderança e Influência</v>
      </c>
      <c r="J790" s="655" t="str">
        <f>IFERROR(__xludf.DUMMYFUNCTION("""COMPUTED_VALUE"""),"Reconhecimento e Recompensas")</f>
        <v>Reconhecimento e Recompensas</v>
      </c>
      <c r="K790" s="275" t="str">
        <f>IFERROR(__xludf.DUMMYFUNCTION("""COMPUTED_VALUE"""),"https://universidade.pipelovers.net/aulas/modelos-de-incentivo-e-recompensa-para-parceiros-1775813520218")</f>
        <v>https://universidade.pipelovers.net/aulas/modelos-de-incentivo-e-recompensa-para-parceiros-1775813520218</v>
      </c>
      <c r="L790" s="535" t="str">
        <f>IFERROR(__xludf.DUMMYFUNCTION("""COMPUTED_VALUE"""),"https://universidade.pipelovers.net/aulas/modelos-de-incentivo-e-recompensa-para-parceiros-1775813520218")</f>
        <v>https://universidade.pipelovers.net/aulas/modelos-de-incentivo-e-recompensa-para-parceiros-1775813520218</v>
      </c>
      <c r="M790" s="1202">
        <f>IFERROR(__xludf.DUMMYFUNCTION("""COMPUTED_VALUE"""),2.0)</f>
        <v>2</v>
      </c>
      <c r="N790" s="218" t="str">
        <f>IFERROR(__xludf.DUMMYFUNCTION("""COMPUTED_VALUE"""),"141. PipeLovers💜 Canais &amp; Parcerias Modelos de incentivo e recompensa para parceiros com Eliomar Oliveira - descript.mp4")</f>
        <v>141. PipeLovers💜 Canais &amp; Parcerias Modelos de incentivo e recompensa para parceiros com Eliomar Oliveira - descript.mp4</v>
      </c>
      <c r="O790" s="151" t="str">
        <f>IFERROR(__xludf.DUMMYFUNCTION("""COMPUTED_VALUE"""),"")</f>
        <v/>
      </c>
      <c r="P790" s="1138">
        <f>IFERROR(__xludf.DUMMYFUNCTION("""COMPUTED_VALUE"""),46016.0)</f>
        <v>46016</v>
      </c>
      <c r="Q790" s="151"/>
    </row>
    <row r="791">
      <c r="A791" s="528"/>
      <c r="B791" s="1129" t="str">
        <f>IFERROR(__xludf.DUMMYFUNCTION("""COMPUTED_VALUE"""),"Canais e Parcerias")</f>
        <v>Canais e Parcerias</v>
      </c>
      <c r="C791" s="119" t="str">
        <f>IFERROR(__xludf.DUMMYFUNCTION("""COMPUTED_VALUE"""),"Como fazer Upsell na base de parceiros")</f>
        <v>Como fazer Upsell na base de parceiros</v>
      </c>
      <c r="D791" s="119" t="str">
        <f>IFERROR(__xludf.DUMMYFUNCTION("""COMPUTED_VALUE"""),"Janine Motta")</f>
        <v>Janine Motta</v>
      </c>
      <c r="E791" s="119" t="str">
        <f>IFERROR(__xludf.DUMMYFUNCTION("""COMPUTED_VALUE"""),"Growth Partner Lifecycle Manager SMB")</f>
        <v>Growth Partner Lifecycle Manager SMB</v>
      </c>
      <c r="F791" s="119" t="str">
        <f>IFERROR(__xludf.DUMMYFUNCTION("""COMPUTED_VALUE"""),"Conta Azul")</f>
        <v>Conta Azul</v>
      </c>
      <c r="G791" s="1204" t="str">
        <f>IFERROR(__xludf.DUMMYFUNCTION("""COMPUTED_VALUE"""),"https://www.linkedin.com/in/janinemotta/")</f>
        <v>https://www.linkedin.com/in/janinemotta/</v>
      </c>
      <c r="H791" s="119" t="str">
        <f>IFERROR(__xludf.DUMMYFUNCTION("""COMPUTED_VALUE"""),"Conhecimento Técnico")</f>
        <v>Conhecimento Técnico</v>
      </c>
      <c r="I791" s="119" t="str">
        <f>IFERROR(__xludf.DUMMYFUNCTION("""COMPUTED_VALUE"""),"Gestão de vendas")</f>
        <v>Gestão de vendas</v>
      </c>
      <c r="J791" s="655" t="str">
        <f>IFERROR(__xludf.DUMMYFUNCTION("""COMPUTED_VALUE"""),"UpSell e Cross Sell")</f>
        <v>UpSell e Cross Sell</v>
      </c>
      <c r="K791" s="275" t="str">
        <f>IFERROR(__xludf.DUMMYFUNCTION("""COMPUTED_VALUE"""),"https://universidade.pipelovers.net/m/lessons/como-fazer-upsell-na-base-de-parceiros1769552469419?classId=3020")</f>
        <v>https://universidade.pipelovers.net/m/lessons/como-fazer-upsell-na-base-de-parceiros1769552469419?classId=3020</v>
      </c>
      <c r="L791" s="535" t="str">
        <f>IFERROR(__xludf.DUMMYFUNCTION("""COMPUTED_VALUE"""),"https://universidade.pipelovers.net/m/lessons/como-fazer-upsell-na-base-de-parceiros1769552469419?classId=3020")</f>
        <v>https://universidade.pipelovers.net/m/lessons/como-fazer-upsell-na-base-de-parceiros1769552469419?classId=3020</v>
      </c>
      <c r="M791" s="1202">
        <f>IFERROR(__xludf.DUMMYFUNCTION("""COMPUTED_VALUE"""),1.0)</f>
        <v>1</v>
      </c>
      <c r="N791" s="218" t="str">
        <f>IFERROR(__xludf.DUMMYFUNCTION("""COMPUTED_VALUE"""),"142.  PipeLovers💜 Canais &amp; Parcerias Como fazer Upsell na base de parceiros com Janine Mota - descript.mp4")</f>
        <v>142.  PipeLovers💜 Canais &amp; Parcerias Como fazer Upsell na base de parceiros com Janine Mota - descript.mp4</v>
      </c>
      <c r="O791" s="151" t="str">
        <f>IFERROR(__xludf.DUMMYFUNCTION("""COMPUTED_VALUE"""),"")</f>
        <v/>
      </c>
      <c r="P791" s="1138">
        <f>IFERROR(__xludf.DUMMYFUNCTION("""COMPUTED_VALUE"""),46023.0)</f>
        <v>46023</v>
      </c>
      <c r="Q791" s="151"/>
    </row>
    <row r="792">
      <c r="A792" s="528"/>
      <c r="B792" s="1129" t="str">
        <f>IFERROR(__xludf.DUMMYFUNCTION("""COMPUTED_VALUE"""),"Canais e Parcerias")</f>
        <v>Canais e Parcerias</v>
      </c>
      <c r="C792" s="157" t="str">
        <f>IFERROR(__xludf.DUMMYFUNCTION("""COMPUTED_VALUE"""),"Estruturação de um plano comercial junto ao parceiro")</f>
        <v>Estruturação de um plano comercial junto ao parceiro</v>
      </c>
      <c r="D792" s="104" t="str">
        <f>IFERROR(__xludf.DUMMYFUNCTION("""COMPUTED_VALUE"""),"Douglas Medeiros")</f>
        <v>Douglas Medeiros</v>
      </c>
      <c r="E792" s="104" t="str">
        <f>IFERROR(__xludf.DUMMYFUNCTION("""COMPUTED_VALUE"""),"Mentor")</f>
        <v>Mentor</v>
      </c>
      <c r="F792" s="104" t="str">
        <f>IFERROR(__xludf.DUMMYFUNCTION("""COMPUTED_VALUE"""),"G4 Educação")</f>
        <v>G4 Educação</v>
      </c>
      <c r="G792" s="1203" t="str">
        <f>IFERROR(__xludf.DUMMYFUNCTION("""COMPUTED_VALUE"""),"https://www.linkedin.com/in/douglas-a-medeiros/")</f>
        <v>https://www.linkedin.com/in/douglas-a-medeiros/</v>
      </c>
      <c r="H792" s="104" t="str">
        <f>IFERROR(__xludf.DUMMYFUNCTION("""COMPUTED_VALUE"""),"Conhecimento Técnico")</f>
        <v>Conhecimento Técnico</v>
      </c>
      <c r="I792" s="104" t="str">
        <f>IFERROR(__xludf.DUMMYFUNCTION("""COMPUTED_VALUE"""),"Gestão de Vendas")</f>
        <v>Gestão de Vendas</v>
      </c>
      <c r="J792" s="655" t="str">
        <f>IFERROR(__xludf.DUMMYFUNCTION("""COMPUTED_VALUE"""),"Planejamento Comercial")</f>
        <v>Planejamento Comercial</v>
      </c>
      <c r="K792" s="114" t="str">
        <f>IFERROR(__xludf.DUMMYFUNCTION("""COMPUTED_VALUE"""),"https://universidade.pipelovers.net/m/lessons/estruturacao-de-um-plano-comercial-junto-ao-parceiro1772542642515?classId=3758")</f>
        <v>https://universidade.pipelovers.net/m/lessons/estruturacao-de-um-plano-comercial-junto-ao-parceiro1772542642515?classId=3758</v>
      </c>
      <c r="L792" s="535" t="str">
        <f>IFERROR(__xludf.DUMMYFUNCTION("""COMPUTED_VALUE"""),"https://universidade.pipelovers.net/m/lessons/estruturacao-de-um-plano-comercial-junto-ao-parceiro1772542642515?classId=3758")</f>
        <v>https://universidade.pipelovers.net/m/lessons/estruturacao-de-um-plano-comercial-junto-ao-parceiro1772542642515?classId=3758</v>
      </c>
      <c r="M792" s="1202">
        <f>IFERROR(__xludf.DUMMYFUNCTION("""COMPUTED_VALUE"""),4.57)</f>
        <v>4.57</v>
      </c>
      <c r="N792" s="218" t="str">
        <f>IFERROR(__xludf.DUMMYFUNCTION("""COMPUTED_VALUE"""),"143. PipeLovers💜 Canais &amp; Parcerias Estruturação de um plano comercial junto ao parceiro com Douglas Medeiros - descript.mp4")</f>
        <v>143. PipeLovers💜 Canais &amp; Parcerias Estruturação de um plano comercial junto ao parceiro com Douglas Medeiros - descript.mp4</v>
      </c>
      <c r="O792" s="151" t="str">
        <f>IFERROR(__xludf.DUMMYFUNCTION("""COMPUTED_VALUE"""),"")</f>
        <v/>
      </c>
      <c r="P792" s="1138">
        <f>IFERROR(__xludf.DUMMYFUNCTION("""COMPUTED_VALUE"""),46030.0)</f>
        <v>46030</v>
      </c>
      <c r="Q792" s="151"/>
    </row>
    <row r="793">
      <c r="A793" s="528"/>
      <c r="B793" s="1129" t="str">
        <f>IFERROR(__xludf.DUMMYFUNCTION("""COMPUTED_VALUE"""),"Canais e Parcerias")</f>
        <v>Canais e Parcerias</v>
      </c>
      <c r="C793" s="119" t="str">
        <f>IFERROR(__xludf.DUMMYFUNCTION("""COMPUTED_VALUE"""),"Networking estratégico em canais: como ativar e expandir sua rede de parceiros")</f>
        <v>Networking estratégico em canais: como ativar e expandir sua rede de parceiros</v>
      </c>
      <c r="D793" s="119" t="str">
        <f>IFERROR(__xludf.DUMMYFUNCTION("""COMPUTED_VALUE"""),"Filipe Ivo")</f>
        <v>Filipe Ivo</v>
      </c>
      <c r="E793" s="119" t="str">
        <f>IFERROR(__xludf.DUMMYFUNCTION("""COMPUTED_VALUE"""),"Mentor")</f>
        <v>Mentor</v>
      </c>
      <c r="F793" s="119" t="str">
        <f>IFERROR(__xludf.DUMMYFUNCTION("""COMPUTED_VALUE"""),"Endeavor Brasil")</f>
        <v>Endeavor Brasil</v>
      </c>
      <c r="G793" s="1204" t="str">
        <f>IFERROR(__xludf.DUMMYFUNCTION("""COMPUTED_VALUE"""),"https://www.linkedin.com/in/filipebragaivo/")</f>
        <v>https://www.linkedin.com/in/filipebragaivo/</v>
      </c>
      <c r="H793" s="119" t="str">
        <f>IFERROR(__xludf.DUMMYFUNCTION("""COMPUTED_VALUE"""),"Autodesenvolvimento")</f>
        <v>Autodesenvolvimento</v>
      </c>
      <c r="I793" s="119" t="str">
        <f>IFERROR(__xludf.DUMMYFUNCTION("""COMPUTED_VALUE"""),"Aprendizado Ativo")</f>
        <v>Aprendizado Ativo</v>
      </c>
      <c r="J793" s="1205" t="str">
        <f>IFERROR(__xludf.DUMMYFUNCTION("""COMPUTED_VALUE"""),"Networking")</f>
        <v>Networking</v>
      </c>
      <c r="K793" s="128" t="str">
        <f>IFERROR(__xludf.DUMMYFUNCTION("""COMPUTED_VALUE"""),"https://universidade.pipelovers.net/m/lessons/networking-estrategico-em-canais-como-ativar-e-expandir-sua-rede-de-parceiros1772542642782?classId=3764")</f>
        <v>https://universidade.pipelovers.net/m/lessons/networking-estrategico-em-canais-como-ativar-e-expandir-sua-rede-de-parceiros1772542642782?classId=3764</v>
      </c>
      <c r="L793" s="535" t="str">
        <f>IFERROR(__xludf.DUMMYFUNCTION("""COMPUTED_VALUE"""),"https://universidade.pipelovers.net/m/lessons/networking-estrategico-em-canais-como-ativar-e-expandir-sua-rede-de-parceiros1772542642782?classId=3764")</f>
        <v>https://universidade.pipelovers.net/m/lessons/networking-estrategico-em-canais-como-ativar-e-expandir-sua-rede-de-parceiros1772542642782?classId=3764</v>
      </c>
      <c r="M793" s="117">
        <f>IFERROR(__xludf.DUMMYFUNCTION("""COMPUTED_VALUE"""),4.86)</f>
        <v>4.86</v>
      </c>
      <c r="N793" s="472" t="str">
        <f>IFERROR(__xludf.DUMMYFUNCTION("""COMPUTED_VALUE"""),"144.  PipeLovers💜 Canais &amp; Parcerias Networking estratégico em canais como ativar e expandir sua rede de parceiros com Filipe Ivo - descript.mp4")</f>
        <v>144.  PipeLovers💜 Canais &amp; Parcerias Networking estratégico em canais como ativar e expandir sua rede de parceiros com Filipe Ivo - descript.mp4</v>
      </c>
      <c r="O793" s="218" t="str">
        <f>IFERROR(__xludf.DUMMYFUNCTION("""COMPUTED_VALUE"""),"")</f>
        <v/>
      </c>
      <c r="P793" s="1138">
        <f>IFERROR(__xludf.DUMMYFUNCTION("""COMPUTED_VALUE"""),46037.0)</f>
        <v>46037</v>
      </c>
      <c r="Q793" s="218"/>
    </row>
    <row r="794">
      <c r="A794" s="528"/>
      <c r="B794" s="1129" t="str">
        <f>IFERROR(__xludf.DUMMYFUNCTION("""COMPUTED_VALUE"""),"Canais e Parcerias")</f>
        <v>Canais e Parcerias</v>
      </c>
      <c r="C794" s="104" t="str">
        <f>IFERROR(__xludf.DUMMYFUNCTION("""COMPUTED_VALUE"""),"Campanhas que funcionam no início do ano")</f>
        <v>Campanhas que funcionam no início do ano</v>
      </c>
      <c r="D794" s="104" t="str">
        <f>IFERROR(__xludf.DUMMYFUNCTION("""COMPUTED_VALUE"""),"Livia Lima")</f>
        <v>Livia Lima</v>
      </c>
      <c r="E794" s="104" t="str">
        <f>IFERROR(__xludf.DUMMYFUNCTION("""COMPUTED_VALUE"""),"Marketing Manager - Partnership")</f>
        <v>Marketing Manager - Partnership</v>
      </c>
      <c r="F794" s="104" t="str">
        <f>IFERROR(__xludf.DUMMYFUNCTION("""COMPUTED_VALUE"""),"RD Station")</f>
        <v>RD Station</v>
      </c>
      <c r="G794" s="540" t="str">
        <f>IFERROR(__xludf.DUMMYFUNCTION("""COMPUTED_VALUE"""),"https://www.linkedin.com/in/liviazingallilima/")</f>
        <v>https://www.linkedin.com/in/liviazingallilima/</v>
      </c>
      <c r="H794" s="104" t="str">
        <f>IFERROR(__xludf.DUMMYFUNCTION("""COMPUTED_VALUE"""),"Conhecimento Técnico")</f>
        <v>Conhecimento Técnico</v>
      </c>
      <c r="I794" s="104" t="str">
        <f>IFERROR(__xludf.DUMMYFUNCTION("""COMPUTED_VALUE"""),"Gestão de vendas")</f>
        <v>Gestão de vendas</v>
      </c>
      <c r="J794" s="550" t="str">
        <f>IFERROR(__xludf.DUMMYFUNCTION("""COMPUTED_VALUE"""),"Planejamento Comercial")</f>
        <v>Planejamento Comercial</v>
      </c>
      <c r="K794" s="114" t="str">
        <f>IFERROR(__xludf.DUMMYFUNCTION("""COMPUTED_VALUE"""),"https://universidade.pipelovers.net/m/lessons/campanhas-que-funcionam-no-inicio-do-ano1772542642119?classId=3749")</f>
        <v>https://universidade.pipelovers.net/m/lessons/campanhas-que-funcionam-no-inicio-do-ano1772542642119?classId=3749</v>
      </c>
      <c r="L794" s="535" t="str">
        <f>IFERROR(__xludf.DUMMYFUNCTION("""COMPUTED_VALUE"""),"https://universidade.pipelovers.net/m/lessons/campanhas-que-funcionam-no-inicio-do-ano1772542642119?classId=3749")</f>
        <v>https://universidade.pipelovers.net/m/lessons/campanhas-que-funcionam-no-inicio-do-ano1772542642119?classId=3749</v>
      </c>
      <c r="M794" s="117">
        <f>IFERROR(__xludf.DUMMYFUNCTION("""COMPUTED_VALUE"""),2.0)</f>
        <v>2</v>
      </c>
      <c r="N794" s="472" t="str">
        <f>IFERROR(__xludf.DUMMYFUNCTION("""COMPUTED_VALUE"""),"145.  PipeLovers💜 Canais &amp; Parcerias Campanhas que funcionam no início do ano com Livia Lima - descript.mp4")</f>
        <v>145.  PipeLovers💜 Canais &amp; Parcerias Campanhas que funcionam no início do ano com Livia Lima - descript.mp4</v>
      </c>
      <c r="O794" s="218" t="str">
        <f>IFERROR(__xludf.DUMMYFUNCTION("""COMPUTED_VALUE"""),"")</f>
        <v/>
      </c>
      <c r="P794" s="1138">
        <f>IFERROR(__xludf.DUMMYFUNCTION("""COMPUTED_VALUE"""),46044.0)</f>
        <v>46044</v>
      </c>
      <c r="Q794" s="218"/>
    </row>
    <row r="795">
      <c r="A795" s="528"/>
      <c r="B795" s="1129" t="str">
        <f>IFERROR(__xludf.DUMMYFUNCTION("""COMPUTED_VALUE"""),"Canais e Parcerias")</f>
        <v>Canais e Parcerias</v>
      </c>
      <c r="C795" s="119" t="str">
        <f>IFERROR(__xludf.DUMMYFUNCTION("""COMPUTED_VALUE"""),"Boas práticas de relacionamento para parcerias duradouras")</f>
        <v>Boas práticas de relacionamento para parcerias duradouras</v>
      </c>
      <c r="D795" s="119" t="str">
        <f>IFERROR(__xludf.DUMMYFUNCTION("""COMPUTED_VALUE"""),"Vinícius Saldivia")</f>
        <v>Vinícius Saldivia</v>
      </c>
      <c r="E795" s="119" t="str">
        <f>IFERROR(__xludf.DUMMYFUNCTION("""COMPUTED_VALUE"""),"Head de Parcerias")</f>
        <v>Head de Parcerias</v>
      </c>
      <c r="F795" s="119" t="str">
        <f>IFERROR(__xludf.DUMMYFUNCTION("""COMPUTED_VALUE"""),"AltoQi")</f>
        <v>AltoQi</v>
      </c>
      <c r="G795" s="532" t="str">
        <f>IFERROR(__xludf.DUMMYFUNCTION("""COMPUTED_VALUE"""),"https://www.linkedin.com/in/senhorvinicius/")</f>
        <v>https://www.linkedin.com/in/senhorvinicius/</v>
      </c>
      <c r="H795" s="119" t="str">
        <f>IFERROR(__xludf.DUMMYFUNCTION("""COMPUTED_VALUE"""),"Relacionamento Interpessoal")</f>
        <v>Relacionamento Interpessoal</v>
      </c>
      <c r="I795" s="119" t="str">
        <f>IFERROR(__xludf.DUMMYFUNCTION("""COMPUTED_VALUE"""),"Comunicação e relacionamento")</f>
        <v>Comunicação e relacionamento</v>
      </c>
      <c r="J795" s="550" t="str">
        <f>IFERROR(__xludf.DUMMYFUNCTION("""COMPUTED_VALUE"""),"Técnicas de Rapport")</f>
        <v>Técnicas de Rapport</v>
      </c>
      <c r="K795" s="167" t="str">
        <f>IFERROR(__xludf.DUMMYFUNCTION("""COMPUTED_VALUE"""),"https://universidade.pipelovers.net/m/lessons/boas-praticas-de-relacionamento-para-parcerias-duradouras1772542642031?classId=3747")</f>
        <v>https://universidade.pipelovers.net/m/lessons/boas-praticas-de-relacionamento-para-parcerias-duradouras1772542642031?classId=3747</v>
      </c>
      <c r="L795" s="500" t="str">
        <f>IFERROR(__xludf.DUMMYFUNCTION("""COMPUTED_VALUE"""),"https://universidade.pipelovers.net/m/lessons/boas-praticas-de-relacionamento-para-parcerias-duradouras1772542642031?classId=3747")</f>
        <v>https://universidade.pipelovers.net/m/lessons/boas-praticas-de-relacionamento-para-parcerias-duradouras1772542642031?classId=3747</v>
      </c>
      <c r="M795" s="117">
        <f>IFERROR(__xludf.DUMMYFUNCTION("""COMPUTED_VALUE"""),2.0)</f>
        <v>2</v>
      </c>
      <c r="N795" s="472" t="str">
        <f>IFERROR(__xludf.DUMMYFUNCTION("""COMPUTED_VALUE"""),"146.  PipeLovers💜 Canais &amp; Parcerias Boas práticas de relacionamento para parcerias duradouras com Vinícius Saldivia - descript.mp4")</f>
        <v>146.  PipeLovers💜 Canais &amp; Parcerias Boas práticas de relacionamento para parcerias duradouras com Vinícius Saldivia - descript.mp4</v>
      </c>
      <c r="O795" s="218" t="str">
        <f>IFERROR(__xludf.DUMMYFUNCTION("""COMPUTED_VALUE"""),"")</f>
        <v/>
      </c>
      <c r="P795" s="1138">
        <f>IFERROR(__xludf.DUMMYFUNCTION("""COMPUTED_VALUE"""),46051.0)</f>
        <v>46051</v>
      </c>
      <c r="Q795" s="218"/>
    </row>
    <row r="796">
      <c r="A796" s="528"/>
      <c r="B796" s="1129" t="str">
        <f>IFERROR(__xludf.DUMMYFUNCTION("""COMPUTED_VALUE"""),"Canais e Parcerias")</f>
        <v>Canais e Parcerias</v>
      </c>
      <c r="C796" s="104" t="str">
        <f>IFERROR(__xludf.DUMMYFUNCTION("""COMPUTED_VALUE"""),"Onboarding e Customer Success do parceiro")</f>
        <v>Onboarding e Customer Success do parceiro</v>
      </c>
      <c r="D796" s="104" t="str">
        <f>IFERROR(__xludf.DUMMYFUNCTION("""COMPUTED_VALUE"""),"Mariana Magalhães")</f>
        <v>Mariana Magalhães</v>
      </c>
      <c r="E796" s="104" t="str">
        <f>IFERROR(__xludf.DUMMYFUNCTION("""COMPUTED_VALUE"""),"Head de Canais e Parcerias")</f>
        <v>Head de Canais e Parcerias</v>
      </c>
      <c r="F796" s="104" t="str">
        <f>IFERROR(__xludf.DUMMYFUNCTION("""COMPUTED_VALUE"""),"TOTVS")</f>
        <v>TOTVS</v>
      </c>
      <c r="G796" s="558" t="str">
        <f>IFERROR(__xludf.DUMMYFUNCTION("""COMPUTED_VALUE"""),"https://www.linkedin.com/in/mariana-gomes-magalh%C3%A3es/")</f>
        <v>https://www.linkedin.com/in/mariana-gomes-magalh%C3%A3es/</v>
      </c>
      <c r="H796" s="104" t="str">
        <f>IFERROR(__xludf.DUMMYFUNCTION("""COMPUTED_VALUE"""),"Conhecimento Técnico")</f>
        <v>Conhecimento Técnico</v>
      </c>
      <c r="I796" s="104" t="str">
        <f>IFERROR(__xludf.DUMMYFUNCTION("""COMPUTED_VALUE"""),"Gestão de vendas")</f>
        <v>Gestão de vendas</v>
      </c>
      <c r="J796" s="550" t="str">
        <f>IFERROR(__xludf.DUMMYFUNCTION("""COMPUTED_VALUE"""),"Rotinas e Rituais")</f>
        <v>Rotinas e Rituais</v>
      </c>
      <c r="K796" s="945" t="str">
        <f>IFERROR(__xludf.DUMMYFUNCTION("""COMPUTED_VALUE"""),"https://universidade.pipelovers.net/m/lessons/onboarding-e-customer-success-do-parceiro1772542642829?classId=3765")</f>
        <v>https://universidade.pipelovers.net/m/lessons/onboarding-e-customer-success-do-parceiro1772542642829?classId=3765</v>
      </c>
      <c r="L796" s="562" t="str">
        <f>IFERROR(__xludf.DUMMYFUNCTION("""COMPUTED_VALUE"""),"https://universidade.pipelovers.net/m/lessons/onboarding-e-customer-success-do-parceiro1772542642829?classId=3765")</f>
        <v>https://universidade.pipelovers.net/m/lessons/onboarding-e-customer-success-do-parceiro1772542642829?classId=3765</v>
      </c>
      <c r="M796" s="117">
        <f>IFERROR(__xludf.DUMMYFUNCTION("""COMPUTED_VALUE"""),4.0)</f>
        <v>4</v>
      </c>
      <c r="N796" s="472" t="str">
        <f>IFERROR(__xludf.DUMMYFUNCTION("""COMPUTED_VALUE"""),"147. PipeLovers💜 Canais &amp; Parcerias Onboarding e Customer Success do parceiro com Mariana Magalhães - descript.mp4")</f>
        <v>147. PipeLovers💜 Canais &amp; Parcerias Onboarding e Customer Success do parceiro com Mariana Magalhães - descript.mp4</v>
      </c>
      <c r="O796" s="218" t="str">
        <f>IFERROR(__xludf.DUMMYFUNCTION("""COMPUTED_VALUE"""),"")</f>
        <v/>
      </c>
      <c r="P796" s="1138">
        <f>IFERROR(__xludf.DUMMYFUNCTION("""COMPUTED_VALUE"""),46058.0)</f>
        <v>46058</v>
      </c>
      <c r="Q796" s="218"/>
    </row>
    <row r="797">
      <c r="A797" s="528"/>
      <c r="B797" s="1129" t="str">
        <f>IFERROR(__xludf.DUMMYFUNCTION("""COMPUTED_VALUE"""),"Canais e Parcerias")</f>
        <v>Canais e Parcerias</v>
      </c>
      <c r="C797" s="119" t="str">
        <f>IFERROR(__xludf.DUMMYFUNCTION("""COMPUTED_VALUE"""),"Definição de metas internas para a área de canais")</f>
        <v>Definição de metas internas para a área de canais</v>
      </c>
      <c r="D797" s="119" t="str">
        <f>IFERROR(__xludf.DUMMYFUNCTION("""COMPUTED_VALUE"""),"Nara Guimarães")</f>
        <v>Nara Guimarães</v>
      </c>
      <c r="E797" s="119" t="str">
        <f>IFERROR(__xludf.DUMMYFUNCTION("""COMPUTED_VALUE"""),"Fundadora")</f>
        <v>Fundadora</v>
      </c>
      <c r="F797" s="119" t="str">
        <f>IFERROR(__xludf.DUMMYFUNCTION("""COMPUTED_VALUE"""),"Plural Sales")</f>
        <v>Plural Sales</v>
      </c>
      <c r="G797" s="573" t="str">
        <f>IFERROR(__xludf.DUMMYFUNCTION("""COMPUTED_VALUE"""),"https://www.linkedin.com/in/naravazguimaraes/")</f>
        <v>https://www.linkedin.com/in/naravazguimaraes/</v>
      </c>
      <c r="H797" s="119" t="str">
        <f>IFERROR(__xludf.DUMMYFUNCTION("""COMPUTED_VALUE"""),"Conhecimento Técnico")</f>
        <v>Conhecimento Técnico</v>
      </c>
      <c r="I797" s="119" t="str">
        <f>IFERROR(__xludf.DUMMYFUNCTION("""COMPUTED_VALUE"""),"Gestão de vendas")</f>
        <v>Gestão de vendas</v>
      </c>
      <c r="J797" s="550" t="str">
        <f>IFERROR(__xludf.DUMMYFUNCTION("""COMPUTED_VALUE"""),"Planejamento Comercial")</f>
        <v>Planejamento Comercial</v>
      </c>
      <c r="K797" s="578" t="str">
        <f>IFERROR(__xludf.DUMMYFUNCTION("""COMPUTED_VALUE"""),"https://universidade.pipelovers.net/m/lessons/definicao-de-metas-internas-para-a-area-de-canais-1773152095428?classId=3778")</f>
        <v>https://universidade.pipelovers.net/m/lessons/definicao-de-metas-internas-para-a-area-de-canais-1773152095428?classId=3778</v>
      </c>
      <c r="L797" s="562" t="str">
        <f>IFERROR(__xludf.DUMMYFUNCTION("""COMPUTED_VALUE"""),"https://universidade.pipelovers.net/m/lessons/definicao-de-metas-internas-para-a-area-de-canais-1773152095428?classId=3778")</f>
        <v>https://universidade.pipelovers.net/m/lessons/definicao-de-metas-internas-para-a-area-de-canais-1773152095428?classId=3778</v>
      </c>
      <c r="M797" s="117">
        <f>IFERROR(__xludf.DUMMYFUNCTION("""COMPUTED_VALUE"""),4.57)</f>
        <v>4.57</v>
      </c>
      <c r="N797" s="472" t="str">
        <f>IFERROR(__xludf.DUMMYFUNCTION("""COMPUTED_VALUE"""),"148. PipeLovers💜 Canais &amp; Parcerias Definição de metas internas para a área de canais com Nara Guimarães- descript.mp4")</f>
        <v>148. PipeLovers💜 Canais &amp; Parcerias Definição de metas internas para a área de canais com Nara Guimarães- descript.mp4</v>
      </c>
      <c r="O797" s="218" t="str">
        <f>IFERROR(__xludf.DUMMYFUNCTION("""COMPUTED_VALUE"""),"")</f>
        <v/>
      </c>
      <c r="P797" s="1138">
        <f>IFERROR(__xludf.DUMMYFUNCTION("""COMPUTED_VALUE"""),46065.0)</f>
        <v>46065</v>
      </c>
      <c r="Q797" s="218"/>
    </row>
    <row r="798">
      <c r="A798" s="528"/>
      <c r="B798" s="1129" t="str">
        <f>IFERROR(__xludf.DUMMYFUNCTION("""COMPUTED_VALUE"""),"Canais e Parcerias")</f>
        <v>Canais e Parcerias</v>
      </c>
      <c r="C798" s="104" t="str">
        <f>IFERROR(__xludf.DUMMYFUNCTION("""COMPUTED_VALUE"""),"Como manter o relacionamento quando o parceiro vende para concorrentes")</f>
        <v>Como manter o relacionamento quando o parceiro vende para concorrentes</v>
      </c>
      <c r="D798" s="104" t="str">
        <f>IFERROR(__xludf.DUMMYFUNCTION("""COMPUTED_VALUE"""),"Henrique Rezende")</f>
        <v>Henrique Rezende</v>
      </c>
      <c r="E798" s="104" t="str">
        <f>IFERROR(__xludf.DUMMYFUNCTION("""COMPUTED_VALUE"""),"Senior Channel Account Manager")</f>
        <v>Senior Channel Account Manager</v>
      </c>
      <c r="F798" s="104" t="str">
        <f>IFERROR(__xludf.DUMMYFUNCTION("""COMPUTED_VALUE"""),"Nuvemshop")</f>
        <v>Nuvemshop</v>
      </c>
      <c r="G798" s="1203" t="str">
        <f>IFERROR(__xludf.DUMMYFUNCTION("""COMPUTED_VALUE"""),"https://www.linkedin.com/in/henriquerrezende/")</f>
        <v>https://www.linkedin.com/in/henriquerrezende/</v>
      </c>
      <c r="H798" s="104" t="str">
        <f>IFERROR(__xludf.DUMMYFUNCTION("""COMPUTED_VALUE"""),"Relacionamento Interpessoal")</f>
        <v>Relacionamento Interpessoal</v>
      </c>
      <c r="I798" s="104" t="str">
        <f>IFERROR(__xludf.DUMMYFUNCTION("""COMPUTED_VALUE"""),"Comunicação e relacionamento")</f>
        <v>Comunicação e relacionamento</v>
      </c>
      <c r="J798" s="550" t="str">
        <f>IFERROR(__xludf.DUMMYFUNCTION("""COMPUTED_VALUE"""),"Gestão de Conflitos e Resolução de Problemas")</f>
        <v>Gestão de Conflitos e Resolução de Problemas</v>
      </c>
      <c r="K798" s="114" t="str">
        <f>IFERROR(__xludf.DUMMYFUNCTION("""COMPUTED_VALUE"""),"https://universidade.pipelovers.net/m/lessons/como-manter-o-relacionamento-quando-o-parceiro-vende-para-concorrentes-1771879881462?classId=3837")</f>
        <v>https://universidade.pipelovers.net/m/lessons/como-manter-o-relacionamento-quando-o-parceiro-vende-para-concorrentes-1771879881462?classId=3837</v>
      </c>
      <c r="L798" s="535" t="str">
        <f>IFERROR(__xludf.DUMMYFUNCTION("""COMPUTED_VALUE"""),"https://universidade.pipelovers.net/m/lessons/como-manter-o-relacionamento-quando-o-parceiro-vende-para-concorrentes-1771879881462?classId=3837")</f>
        <v>https://universidade.pipelovers.net/m/lessons/como-manter-o-relacionamento-quando-o-parceiro-vende-para-concorrentes-1771879881462?classId=3837</v>
      </c>
      <c r="M798" s="117">
        <f>IFERROR(__xludf.DUMMYFUNCTION("""COMPUTED_VALUE"""),4.71)</f>
        <v>4.71</v>
      </c>
      <c r="N798" s="472" t="str">
        <f>IFERROR(__xludf.DUMMYFUNCTION("""COMPUTED_VALUE"""),"149. PipeLovers💜 Canais &amp; Parcerias Como manter o relacionamento quando o parceiro vende concorrentes com Henrique Rezende- descript.mp4")</f>
        <v>149. PipeLovers💜 Canais &amp; Parcerias Como manter o relacionamento quando o parceiro vende concorrentes com Henrique Rezende- descript.mp4</v>
      </c>
      <c r="O798" s="218" t="str">
        <f>IFERROR(__xludf.DUMMYFUNCTION("""COMPUTED_VALUE"""),"")</f>
        <v/>
      </c>
      <c r="P798" s="1138">
        <f>IFERROR(__xludf.DUMMYFUNCTION("""COMPUTED_VALUE"""),46072.0)</f>
        <v>46072</v>
      </c>
      <c r="Q798" s="218"/>
    </row>
    <row r="799">
      <c r="A799" s="73"/>
      <c r="B799" s="1129" t="str">
        <f>IFERROR(__xludf.DUMMYFUNCTION("""COMPUTED_VALUE"""),"Canais e Parcerias")</f>
        <v>Canais e Parcerias</v>
      </c>
      <c r="C799" s="210" t="str">
        <f>IFERROR(__xludf.DUMMYFUNCTION("""COMPUTED_VALUE"""),"Como manter a motivação quando o canal não performa")</f>
        <v>Como manter a motivação quando o canal não performa</v>
      </c>
      <c r="D799" s="210" t="str">
        <f>IFERROR(__xludf.DUMMYFUNCTION("""COMPUTED_VALUE"""),"Geovanna Lara")</f>
        <v>Geovanna Lara</v>
      </c>
      <c r="E799" s="210" t="str">
        <f>IFERROR(__xludf.DUMMYFUNCTION("""COMPUTED_VALUE"""),"Chanel Manager")</f>
        <v>Chanel Manager</v>
      </c>
      <c r="F799" s="210" t="str">
        <f>IFERROR(__xludf.DUMMYFUNCTION("""COMPUTED_VALUE"""),"Neogrid")</f>
        <v>Neogrid</v>
      </c>
      <c r="G799" s="463" t="str">
        <f>IFERROR(__xludf.DUMMYFUNCTION("""COMPUTED_VALUE"""),"https://www.linkedin.com/in/geovannalara/")</f>
        <v>https://www.linkedin.com/in/geovannalara/</v>
      </c>
      <c r="H799" s="406" t="str">
        <f>IFERROR(__xludf.DUMMYFUNCTION("""COMPUTED_VALUE"""),"Autodesenvolvimento")</f>
        <v>Autodesenvolvimento</v>
      </c>
      <c r="I799" s="406" t="str">
        <f>IFERROR(__xludf.DUMMYFUNCTION("""COMPUTED_VALUE"""),"Inteligência emocional")</f>
        <v>Inteligência emocional</v>
      </c>
      <c r="J799" s="655" t="str">
        <f>IFERROR(__xludf.DUMMYFUNCTION("""COMPUTED_VALUE"""),"Motivação")</f>
        <v>Motivação</v>
      </c>
      <c r="K799" s="473" t="str">
        <f>IFERROR(__xludf.DUMMYFUNCTION("""COMPUTED_VALUE"""),"https://universidade.pipelovers.net/aulas/como-manter-a-motivacao-quando-o-canal-nao-performa-1775814316323")</f>
        <v>https://universidade.pipelovers.net/aulas/como-manter-a-motivacao-quando-o-canal-nao-performa-1775814316323</v>
      </c>
      <c r="L799" s="281" t="str">
        <f>IFERROR(__xludf.DUMMYFUNCTION("""COMPUTED_VALUE"""),"https://universidade.pipelovers.net/aulas/como-manter-a-motivacao-quando-o-canal-nao-performa-1775814316323")</f>
        <v>https://universidade.pipelovers.net/aulas/como-manter-a-motivacao-quando-o-canal-nao-performa-1775814316323</v>
      </c>
      <c r="M799" s="1202">
        <f>IFERROR(__xludf.DUMMYFUNCTION("""COMPUTED_VALUE"""),4.0)</f>
        <v>4</v>
      </c>
      <c r="N799" s="218" t="str">
        <f>IFERROR(__xludf.DUMMYFUNCTION("""COMPUTED_VALUE"""),"150. PipeLovers💜 Canais &amp; Parcerias Como manter a motivação quando o canal não performa com Geovanna Lara - descript.mp4")</f>
        <v>150. PipeLovers💜 Canais &amp; Parcerias Como manter a motivação quando o canal não performa com Geovanna Lara - descript.mp4</v>
      </c>
      <c r="O799" s="151" t="str">
        <f>IFERROR(__xludf.DUMMYFUNCTION("""COMPUTED_VALUE"""),"")</f>
        <v/>
      </c>
      <c r="P799" s="1138">
        <f>IFERROR(__xludf.DUMMYFUNCTION("""COMPUTED_VALUE"""),46079.0)</f>
        <v>46079</v>
      </c>
      <c r="Q799" s="151"/>
    </row>
    <row r="800">
      <c r="A800" s="73"/>
      <c r="B800" s="1129" t="str">
        <f>IFERROR(__xludf.DUMMYFUNCTION("""COMPUTED_VALUE"""),"Canais e Parcerias")</f>
        <v>Canais e Parcerias</v>
      </c>
      <c r="C800" s="212" t="str">
        <f>IFERROR(__xludf.DUMMYFUNCTION("""COMPUTED_VALUE"""),"Inteligência artificial para engajar parceiros")</f>
        <v>Inteligência artificial para engajar parceiros</v>
      </c>
      <c r="D800" s="212" t="str">
        <f>IFERROR(__xludf.DUMMYFUNCTION("""COMPUTED_VALUE"""),"Bruno Maia")</f>
        <v>Bruno Maia</v>
      </c>
      <c r="E800" s="212" t="str">
        <f>IFERROR(__xludf.DUMMYFUNCTION("""COMPUTED_VALUE"""),"Head Dados e IA")</f>
        <v>Head Dados e IA</v>
      </c>
      <c r="F800" s="212" t="str">
        <f>IFERROR(__xludf.DUMMYFUNCTION("""COMPUTED_VALUE"""),"Ifood")</f>
        <v>Ifood</v>
      </c>
      <c r="G800" s="881" t="str">
        <f>IFERROR(__xludf.DUMMYFUNCTION("""COMPUTED_VALUE"""),"https://www.linkedin.com/in/brunodanielmaia/")</f>
        <v>https://www.linkedin.com/in/brunodanielmaia/</v>
      </c>
      <c r="H800" s="575" t="str">
        <f>IFERROR(__xludf.DUMMYFUNCTION("""COMPUTED_VALUE"""),"Visão de Negócios")</f>
        <v>Visão de Negócios</v>
      </c>
      <c r="I800" s="575" t="str">
        <f>IFERROR(__xludf.DUMMYFUNCTION("""COMPUTED_VALUE"""),"Tendências de Mercado")</f>
        <v>Tendências de Mercado</v>
      </c>
      <c r="J800" s="655" t="str">
        <f>IFERROR(__xludf.DUMMYFUNCTION("""COMPUTED_VALUE"""),"Inovações Tecnológicas")</f>
        <v>Inovações Tecnológicas</v>
      </c>
      <c r="K800" s="473" t="str">
        <f>IFERROR(__xludf.DUMMYFUNCTION("""COMPUTED_VALUE"""),"https://universidade.pipelovers.net/m/lessons/inteligencia-artificial-para-engajar-parceiros-1773780201180?classId=3840")</f>
        <v>https://universidade.pipelovers.net/m/lessons/inteligencia-artificial-para-engajar-parceiros-1773780201180?classId=3840</v>
      </c>
      <c r="L800" s="281" t="str">
        <f>IFERROR(__xludf.DUMMYFUNCTION("""COMPUTED_VALUE"""),"https://universidade.pipelovers.net/m/lessons/inteligencia-artificial-para-engajar-parceiros-1773780201180?classId=3840")</f>
        <v>https://universidade.pipelovers.net/m/lessons/inteligencia-artificial-para-engajar-parceiros-1773780201180?classId=3840</v>
      </c>
      <c r="M800" s="1202">
        <f>IFERROR(__xludf.DUMMYFUNCTION("""COMPUTED_VALUE"""),5.0)</f>
        <v>5</v>
      </c>
      <c r="N800" s="218" t="str">
        <f>IFERROR(__xludf.DUMMYFUNCTION("""COMPUTED_VALUE"""),"151. PipeLovers💜 Canais &amp; Parcerias Inteligência artificial para engajar parceiros com Bruno Maia.mp4")</f>
        <v>151. PipeLovers💜 Canais &amp; Parcerias Inteligência artificial para engajar parceiros com Bruno Maia.mp4</v>
      </c>
      <c r="O800" s="151" t="str">
        <f>IFERROR(__xludf.DUMMYFUNCTION("""COMPUTED_VALUE"""),"")</f>
        <v/>
      </c>
      <c r="P800" s="1138">
        <f>IFERROR(__xludf.DUMMYFUNCTION("""COMPUTED_VALUE"""),46086.0)</f>
        <v>46086</v>
      </c>
      <c r="Q800" s="151"/>
    </row>
    <row r="801">
      <c r="A801" s="73"/>
      <c r="B801" s="1129" t="str">
        <f>IFERROR(__xludf.DUMMYFUNCTION("""COMPUTED_VALUE"""),"Canais e Parcerias")</f>
        <v>Canais e Parcerias</v>
      </c>
      <c r="C801" s="210" t="str">
        <f>IFERROR(__xludf.DUMMYFUNCTION("""COMPUTED_VALUE"""),"Estruturação e gestão de Co-Marketing com parceiros")</f>
        <v>Estruturação e gestão de Co-Marketing com parceiros</v>
      </c>
      <c r="D801" s="210" t="str">
        <f>IFERROR(__xludf.DUMMYFUNCTION("""COMPUTED_VALUE"""),"Vinicius Aguiar")</f>
        <v>Vinicius Aguiar</v>
      </c>
      <c r="E801" s="210" t="str">
        <f>IFERROR(__xludf.DUMMYFUNCTION("""COMPUTED_VALUE"""),"Commercial Partner Manager")</f>
        <v>Commercial Partner Manager</v>
      </c>
      <c r="F801" s="210" t="str">
        <f>IFERROR(__xludf.DUMMYFUNCTION("""COMPUTED_VALUE"""),"Kobe Apps")</f>
        <v>Kobe Apps</v>
      </c>
      <c r="G801" s="881" t="str">
        <f>IFERROR(__xludf.DUMMYFUNCTION("""COMPUTED_VALUE"""),"https://www.linkedin.com/in/viniciusaguiarmorais/")</f>
        <v>https://www.linkedin.com/in/viniciusaguiarmorais/</v>
      </c>
      <c r="H801" s="575" t="str">
        <f>IFERROR(__xludf.DUMMYFUNCTION("""COMPUTED_VALUE"""),"Conhecimento Técnico")</f>
        <v>Conhecimento Técnico</v>
      </c>
      <c r="I801" s="575" t="str">
        <f>IFERROR(__xludf.DUMMYFUNCTION("""COMPUTED_VALUE"""),"Gestão de vendas")</f>
        <v>Gestão de vendas</v>
      </c>
      <c r="J801" s="655" t="str">
        <f>IFERROR(__xludf.DUMMYFUNCTION("""COMPUTED_VALUE"""),"Planejamento Comercial")</f>
        <v>Planejamento Comercial</v>
      </c>
      <c r="K801" s="473" t="str">
        <f>IFERROR(__xludf.DUMMYFUNCTION("""COMPUTED_VALUE"""),"https://universidade.pipelovers.net/m/lessons/estruturacao-e-gestao-de-co-marketing-com-parceiros-1773694700752?classId=3824")</f>
        <v>https://universidade.pipelovers.net/m/lessons/estruturacao-e-gestao-de-co-marketing-com-parceiros-1773694700752?classId=3824</v>
      </c>
      <c r="L801" s="281" t="str">
        <f>IFERROR(__xludf.DUMMYFUNCTION("""COMPUTED_VALUE"""),"https://universidade.pipelovers.net/m/lessons/estruturacao-e-gestao-de-co-marketing-com-parceiros-1773694700752?classId=3824")</f>
        <v>https://universidade.pipelovers.net/m/lessons/estruturacao-e-gestao-de-co-marketing-com-parceiros-1773694700752?classId=3824</v>
      </c>
      <c r="M801" s="1202">
        <f>IFERROR(__xludf.DUMMYFUNCTION("""COMPUTED_VALUE"""),4.0)</f>
        <v>4</v>
      </c>
      <c r="N801" s="218" t="str">
        <f>IFERROR(__xludf.DUMMYFUNCTION("""COMPUTED_VALUE"""),"152. PipeLovers💜 Canais &amp; Parcerias Estruturação e gestão de Co-Marketing com parceiros com Vinicius Aguiar.mp4")</f>
        <v>152. PipeLovers💜 Canais &amp; Parcerias Estruturação e gestão de Co-Marketing com parceiros com Vinicius Aguiar.mp4</v>
      </c>
      <c r="O801" s="151" t="str">
        <f>IFERROR(__xludf.DUMMYFUNCTION("""COMPUTED_VALUE"""),"")</f>
        <v/>
      </c>
      <c r="P801" s="1138">
        <f>IFERROR(__xludf.DUMMYFUNCTION("""COMPUTED_VALUE"""),46093.0)</f>
        <v>46093</v>
      </c>
      <c r="Q801" s="151"/>
    </row>
    <row r="802">
      <c r="A802" s="73"/>
      <c r="B802" s="1129" t="str">
        <f>IFERROR(__xludf.DUMMYFUNCTION("""COMPUTED_VALUE"""),"Canais e Parcerias")</f>
        <v>Canais e Parcerias</v>
      </c>
      <c r="C802" s="157" t="str">
        <f>IFERROR(__xludf.DUMMYFUNCTION("""COMPUTED_VALUE"""),"Forecast em canais: como montar, acompanhar e corrigir a rota")</f>
        <v>Forecast em canais: como montar, acompanhar e corrigir a rota</v>
      </c>
      <c r="D802" s="157" t="str">
        <f>IFERROR(__xludf.DUMMYFUNCTION("""COMPUTED_VALUE"""),"Caio Vidal")</f>
        <v>Caio Vidal</v>
      </c>
      <c r="E802" s="157" t="str">
        <f>IFERROR(__xludf.DUMMYFUNCTION("""COMPUTED_VALUE"""),"CEO")</f>
        <v>CEO</v>
      </c>
      <c r="F802" s="667" t="str">
        <f>IFERROR(__xludf.DUMMYFUNCTION("""COMPUTED_VALUE"""),"Academia de Metas")</f>
        <v>Academia de Metas</v>
      </c>
      <c r="G802" s="668" t="str">
        <f>IFERROR(__xludf.DUMMYFUNCTION("""COMPUTED_VALUE"""),"https://www.linkedin.com/in/caiovidalsoares/")</f>
        <v>https://www.linkedin.com/in/caiovidalsoares/</v>
      </c>
      <c r="H802" s="667" t="str">
        <f>IFERROR(__xludf.DUMMYFUNCTION("""COMPUTED_VALUE"""),"Conhecimento Técnico")</f>
        <v>Conhecimento Técnico</v>
      </c>
      <c r="I802" s="667" t="str">
        <f>IFERROR(__xludf.DUMMYFUNCTION("""COMPUTED_VALUE"""),"Gestão de vendas")</f>
        <v>Gestão de vendas</v>
      </c>
      <c r="J802" s="655" t="str">
        <f>IFERROR(__xludf.DUMMYFUNCTION("""COMPUTED_VALUE"""),"Planejamento Comercial")</f>
        <v>Planejamento Comercial</v>
      </c>
      <c r="K802" s="473" t="str">
        <f>IFERROR(__xludf.DUMMYFUNCTION("""COMPUTED_VALUE"""),"https://universidade.pipelovers.net/m/lessons/forecast-em-canais-como-montar-acompanhar-e-corrigir-a-rota-1773764797243?classId=3825")</f>
        <v>https://universidade.pipelovers.net/m/lessons/forecast-em-canais-como-montar-acompanhar-e-corrigir-a-rota-1773764797243?classId=3825</v>
      </c>
      <c r="L802" s="281" t="str">
        <f>IFERROR(__xludf.DUMMYFUNCTION("""COMPUTED_VALUE"""),"https://universidade.pipelovers.net/m/lessons/forecast-em-canais-como-montar-acompanhar-e-corrigir-a-rota-1773764797243?classId=3825")</f>
        <v>https://universidade.pipelovers.net/m/lessons/forecast-em-canais-como-montar-acompanhar-e-corrigir-a-rota-1773764797243?classId=3825</v>
      </c>
      <c r="M802" s="1202">
        <f>IFERROR(__xludf.DUMMYFUNCTION("""COMPUTED_VALUE"""),4.14)</f>
        <v>4.14</v>
      </c>
      <c r="N802" s="218" t="str">
        <f>IFERROR(__xludf.DUMMYFUNCTION("""COMPUTED_VALUE"""),"153. PipeLovers💜 Canais &amp; Parcerias Forecast em canais como montar, acompanhar e corrigir a rota com Caio Vidal - descript.mp4")</f>
        <v>153. PipeLovers💜 Canais &amp; Parcerias Forecast em canais como montar, acompanhar e corrigir a rota com Caio Vidal - descript.mp4</v>
      </c>
      <c r="O802" s="151" t="str">
        <f>IFERROR(__xludf.DUMMYFUNCTION("""COMPUTED_VALUE"""),"")</f>
        <v/>
      </c>
      <c r="P802" s="1138">
        <f>IFERROR(__xludf.DUMMYFUNCTION("""COMPUTED_VALUE"""),46100.0)</f>
        <v>46100</v>
      </c>
      <c r="Q802" s="151"/>
    </row>
    <row r="803">
      <c r="A803" s="73"/>
      <c r="B803" s="1129" t="str">
        <f>IFERROR(__xludf.DUMMYFUNCTION("""COMPUTED_VALUE"""),"Canais e Parcerias")</f>
        <v>Canais e Parcerias</v>
      </c>
      <c r="C803" s="157" t="str">
        <f>IFERROR(__xludf.DUMMYFUNCTION("""COMPUTED_VALUE"""),"Como construir um pipeline confiável em vendas indiretas")</f>
        <v>Como construir um pipeline confiável em vendas indiretas</v>
      </c>
      <c r="D803" s="157" t="str">
        <f>IFERROR(__xludf.DUMMYFUNCTION("""COMPUTED_VALUE"""),"José Hunzicker")</f>
        <v>José Hunzicker</v>
      </c>
      <c r="E803" s="218" t="str">
        <f>IFERROR(__xludf.DUMMYFUNCTION("""COMPUTED_VALUE"""),"Channel Sales Manager")</f>
        <v>Channel Sales Manager</v>
      </c>
      <c r="F803" s="667" t="str">
        <f>IFERROR(__xludf.DUMMYFUNCTION("""COMPUTED_VALUE"""),"Flash")</f>
        <v>Flash</v>
      </c>
      <c r="G803" s="668" t="str">
        <f>IFERROR(__xludf.DUMMYFUNCTION("""COMPUTED_VALUE"""),"https://www.linkedin.com/in/jos%C3%A9-eduardo-hunzicker-antunes/")</f>
        <v>https://www.linkedin.com/in/jos%C3%A9-eduardo-hunzicker-antunes/</v>
      </c>
      <c r="H803" s="667" t="str">
        <f>IFERROR(__xludf.DUMMYFUNCTION("""COMPUTED_VALUE"""),"Conhecimento Técnico")</f>
        <v>Conhecimento Técnico</v>
      </c>
      <c r="I803" s="667" t="str">
        <f>IFERROR(__xludf.DUMMYFUNCTION("""COMPUTED_VALUE"""),"Gestão de vendas")</f>
        <v>Gestão de vendas</v>
      </c>
      <c r="J803" s="667" t="str">
        <f>IFERROR(__xludf.DUMMYFUNCTION("""COMPUTED_VALUE"""),"Planejamento Comercial")</f>
        <v>Planejamento Comercial</v>
      </c>
      <c r="K803" s="1206" t="str">
        <f>IFERROR(__xludf.DUMMYFUNCTION("""COMPUTED_VALUE"""),"https://universidade.pipelovers.net/m/lessons/como-construir-um-pipeline-confiavel-em-vendas-indiretas-1773765565839?classId=3826")</f>
        <v>https://universidade.pipelovers.net/m/lessons/como-construir-um-pipeline-confiavel-em-vendas-indiretas-1773765565839?classId=3826</v>
      </c>
      <c r="L803" s="1196" t="str">
        <f>IFERROR(__xludf.DUMMYFUNCTION("""COMPUTED_VALUE"""),"https://universidade.pipelovers.net/m/lessons/como-construir-um-pipeline-confiavel-em-vendas-indiretas-1773765565839?classId=3826")</f>
        <v>https://universidade.pipelovers.net/m/lessons/como-construir-um-pipeline-confiavel-em-vendas-indiretas-1773765565839?classId=3826</v>
      </c>
      <c r="M803" s="1202">
        <f>IFERROR(__xludf.DUMMYFUNCTION("""COMPUTED_VALUE"""),4.36)</f>
        <v>4.36</v>
      </c>
      <c r="N803" s="218" t="str">
        <f>IFERROR(__xludf.DUMMYFUNCTION("""COMPUTED_VALUE"""),"154. PipeLovers💜 Canais &amp; Parcerias Como construir um pipeline confiável em vendas indiretas com José Hunzicker - descript.mp4")</f>
        <v>154. PipeLovers💜 Canais &amp; Parcerias Como construir um pipeline confiável em vendas indiretas com José Hunzicker - descript.mp4</v>
      </c>
      <c r="O803" s="151" t="str">
        <f>IFERROR(__xludf.DUMMYFUNCTION("""COMPUTED_VALUE"""),"")</f>
        <v/>
      </c>
      <c r="P803" s="1138"/>
      <c r="Q803" s="151"/>
    </row>
    <row r="804">
      <c r="A804" s="73"/>
      <c r="B804" s="1129" t="str">
        <f>IFERROR(__xludf.DUMMYFUNCTION("""COMPUTED_VALUE"""),"Canais e Parcerias")</f>
        <v>Canais e Parcerias</v>
      </c>
      <c r="C804" s="165" t="str">
        <f>IFERROR(__xludf.DUMMYFUNCTION("""COMPUTED_VALUE"""),"Vendas via canal: como negociar sem comprometer a margem")</f>
        <v>Vendas via canal: como negociar sem comprometer a margem</v>
      </c>
      <c r="D804" s="165" t="str">
        <f>IFERROR(__xludf.DUMMYFUNCTION("""COMPUTED_VALUE"""),"Stephan Calandrino")</f>
        <v>Stephan Calandrino</v>
      </c>
      <c r="E804" s="165" t="str">
        <f>IFERROR(__xludf.DUMMYFUNCTION("""COMPUTED_VALUE"""),"Gerente de canais")</f>
        <v>Gerente de canais</v>
      </c>
      <c r="F804" s="165" t="str">
        <f>IFERROR(__xludf.DUMMYFUNCTION("""COMPUTED_VALUE"""),"Onvox")</f>
        <v>Onvox</v>
      </c>
      <c r="G804" s="876" t="str">
        <f>IFERROR(__xludf.DUMMYFUNCTION("""COMPUTED_VALUE"""),"https://www.linkedin.com/in/stephan-calandrino-16649bb/")</f>
        <v>https://www.linkedin.com/in/stephan-calandrino-16649bb/</v>
      </c>
      <c r="H804" s="290" t="str">
        <f>IFERROR(__xludf.DUMMYFUNCTION("""COMPUTED_VALUE"""),"Conhecimento Técnico")</f>
        <v>Conhecimento Técnico</v>
      </c>
      <c r="I804" s="290" t="str">
        <f>IFERROR(__xludf.DUMMYFUNCTION("""COMPUTED_VALUE"""),"Técnicas de Vendas")</f>
        <v>Técnicas de Vendas</v>
      </c>
      <c r="J804" s="667" t="str">
        <f>IFERROR(__xludf.DUMMYFUNCTION("""COMPUTED_VALUE"""),"Negociação e Fechamento de Vendas")</f>
        <v>Negociação e Fechamento de Vendas</v>
      </c>
      <c r="K804" s="1206" t="str">
        <f>IFERROR(__xludf.DUMMYFUNCTION("""COMPUTED_VALUE"""),"https://universidade.pipelovers.net/m/lessons/vendas-via-canal-como-negociar-sem-comprometer-a-margem-1773767978019?classId=3830")</f>
        <v>https://universidade.pipelovers.net/m/lessons/vendas-via-canal-como-negociar-sem-comprometer-a-margem-1773767978019?classId=3830</v>
      </c>
      <c r="L804" s="1196" t="str">
        <f>IFERROR(__xludf.DUMMYFUNCTION("""COMPUTED_VALUE"""),"https://universidade.pipelovers.net/m/lessons/vendas-via-canal-como-negociar-sem-comprometer-a-margem-1773767978019?classId=3830")</f>
        <v>https://universidade.pipelovers.net/m/lessons/vendas-via-canal-como-negociar-sem-comprometer-a-margem-1773767978019?classId=3830</v>
      </c>
      <c r="M804" s="1202">
        <f>IFERROR(__xludf.DUMMYFUNCTION("""COMPUTED_VALUE"""),4.36)</f>
        <v>4.36</v>
      </c>
      <c r="N804" s="218" t="str">
        <f>IFERROR(__xludf.DUMMYFUNCTION("""COMPUTED_VALUE"""),"155. PipeLovers💜 Canais &amp; Parcerias Vendas via canal como negociar sem comprometer a margem com Stephan Calandrino - descript.mp4")</f>
        <v>155. PipeLovers💜 Canais &amp; Parcerias Vendas via canal como negociar sem comprometer a margem com Stephan Calandrino - descript.mp4</v>
      </c>
      <c r="O804" s="151" t="str">
        <f>IFERROR(__xludf.DUMMYFUNCTION("""COMPUTED_VALUE"""),"")</f>
        <v/>
      </c>
      <c r="P804" s="1138"/>
      <c r="Q804" s="151"/>
    </row>
    <row r="805">
      <c r="A805" s="73"/>
      <c r="B805" s="1129" t="str">
        <f>IFERROR(__xludf.DUMMYFUNCTION("""COMPUTED_VALUE"""),"Canais e Parcerias")</f>
        <v>Canais e Parcerias</v>
      </c>
      <c r="C805" s="162" t="str">
        <f>IFERROR(__xludf.DUMMYFUNCTION("""COMPUTED_VALUE"""),"Channel marketing: estratégias de Aquisição, engajamento e geração de demanda com parceiros")</f>
        <v>Channel marketing: estratégias de Aquisição, engajamento e geração de demanda com parceiros</v>
      </c>
      <c r="D805" s="162" t="str">
        <f>IFERROR(__xludf.DUMMYFUNCTION("""COMPUTED_VALUE"""),"Deize Schetz")</f>
        <v>Deize Schetz</v>
      </c>
      <c r="E805" s="162" t="str">
        <f>IFERROR(__xludf.DUMMYFUNCTION("""COMPUTED_VALUE"""),"Gerente de Marketing de Canais")</f>
        <v>Gerente de Marketing de Canais</v>
      </c>
      <c r="F805" s="162" t="str">
        <f>IFERROR(__xludf.DUMMYFUNCTION("""COMPUTED_VALUE"""),"Zoho Brasil")</f>
        <v>Zoho Brasil</v>
      </c>
      <c r="G805" s="876" t="str">
        <f>IFERROR(__xludf.DUMMYFUNCTION("""COMPUTED_VALUE"""),"https://www.linkedin.com/in/deizeschetz/")</f>
        <v>https://www.linkedin.com/in/deizeschetz/</v>
      </c>
      <c r="H805" s="290" t="str">
        <f>IFERROR(__xludf.DUMMYFUNCTION("""COMPUTED_VALUE"""),"Visão de Negócios")</f>
        <v>Visão de Negócios</v>
      </c>
      <c r="I805" s="290" t="str">
        <f>IFERROR(__xludf.DUMMYFUNCTION("""COMPUTED_VALUE"""),"Tendências de Mercado")</f>
        <v>Tendências de Mercado</v>
      </c>
      <c r="J805" s="667" t="str">
        <f>IFERROR(__xludf.DUMMYFUNCTION("""COMPUTED_VALUE"""),"Tendências do Setor")</f>
        <v>Tendências do Setor</v>
      </c>
      <c r="K805" s="1207" t="str">
        <f>IFERROR(__xludf.DUMMYFUNCTION("""COMPUTED_VALUE"""),"https://universidade.pipelovers.net/m/lessons/channel-marketing-estrategias-de-aquisicao-engajamento-e-geracao-de-demanda-com-parceiros-1776197546039?classId=3955")</f>
        <v>https://universidade.pipelovers.net/m/lessons/channel-marketing-estrategias-de-aquisicao-engajamento-e-geracao-de-demanda-com-parceiros-1776197546039?classId=3955</v>
      </c>
      <c r="L805" s="1196" t="str">
        <f>IFERROR(__xludf.DUMMYFUNCTION("""COMPUTED_VALUE"""),"https://universidade.pipelovers.net/m/lessons/channel-marketing-estrategias-de-aquisicao-engajamento-e-geracao-de-demanda-com-parceiros-1776197546039?classId=3955")</f>
        <v>https://universidade.pipelovers.net/m/lessons/channel-marketing-estrategias-de-aquisicao-engajamento-e-geracao-de-demanda-com-parceiros-1776197546039?classId=3955</v>
      </c>
      <c r="M805" s="1202">
        <f>IFERROR(__xludf.DUMMYFUNCTION("""COMPUTED_VALUE"""),3.71)</f>
        <v>3.71</v>
      </c>
      <c r="N805" s="218" t="str">
        <f>IFERROR(__xludf.DUMMYFUNCTION("""COMPUTED_VALUE"""),"156. PipeLovers💜 Canais &amp; Parcerias Channel marketing estratégias de Aquisição, engajamento e geração de demanda com parceiros com Deize Schetz - descript.mp4")</f>
        <v>156. PipeLovers💜 Canais &amp; Parcerias Channel marketing estratégias de Aquisição, engajamento e geração de demanda com parceiros com Deize Schetz - descript.mp4</v>
      </c>
      <c r="O805" s="151" t="str">
        <f>IFERROR(__xludf.DUMMYFUNCTION("""COMPUTED_VALUE"""),"")</f>
        <v/>
      </c>
      <c r="P805" s="1138"/>
      <c r="Q805" s="151"/>
    </row>
    <row r="806">
      <c r="A806" s="73"/>
      <c r="B806" s="1129" t="str">
        <f>IFERROR(__xludf.DUMMYFUNCTION("""COMPUTED_VALUE"""),"Canais e Parcerias")</f>
        <v>Canais e Parcerias</v>
      </c>
      <c r="C806" s="162" t="str">
        <f>IFERROR(__xludf.DUMMYFUNCTION("""COMPUTED_VALUE"""),"Co-sell na prática: como escalar vendas com parceiros através da tecnologia")</f>
        <v>Co-sell na prática: como escalar vendas com parceiros através da tecnologia</v>
      </c>
      <c r="D806" s="162" t="str">
        <f>IFERROR(__xludf.DUMMYFUNCTION("""COMPUTED_VALUE"""),"Bruno Xavier")</f>
        <v>Bruno Xavier</v>
      </c>
      <c r="E806" s="218" t="str">
        <f>IFERROR(__xludf.DUMMYFUNCTION("""COMPUTED_VALUE"""),"Head of Partnerships")</f>
        <v>Head of Partnerships</v>
      </c>
      <c r="F806" s="667" t="str">
        <f>IFERROR(__xludf.DUMMYFUNCTION("""COMPUTED_VALUE"""),"Onfly")</f>
        <v>Onfly</v>
      </c>
      <c r="G806" s="668" t="str">
        <f>IFERROR(__xludf.DUMMYFUNCTION("""COMPUTED_VALUE"""),"https://www.linkedin.com/in/bruno-xavier-11096514/")</f>
        <v>https://www.linkedin.com/in/bruno-xavier-11096514/</v>
      </c>
      <c r="H806" s="667" t="str">
        <f>IFERROR(__xludf.DUMMYFUNCTION("""COMPUTED_VALUE"""),"Conhecimento Técnico")</f>
        <v>Conhecimento Técnico</v>
      </c>
      <c r="I806" s="667" t="str">
        <f>IFERROR(__xludf.DUMMYFUNCTION("""COMPUTED_VALUE"""),"Gestão de vendas")</f>
        <v>Gestão de vendas</v>
      </c>
      <c r="J806" s="667" t="str">
        <f>IFERROR(__xludf.DUMMYFUNCTION("""COMPUTED_VALUE"""),"Planejamento Comercial")</f>
        <v>Planejamento Comercial</v>
      </c>
      <c r="K806" s="1206" t="str">
        <f>IFERROR(__xludf.DUMMYFUNCTION("""COMPUTED_VALUE"""),"https://universidade.pipelovers.net/m/lessons/co-sell-na-pratica-como-escalar-vendas-com-parceiros-atraves-da-tecnologia-1773766947918?classId=3828")</f>
        <v>https://universidade.pipelovers.net/m/lessons/co-sell-na-pratica-como-escalar-vendas-com-parceiros-atraves-da-tecnologia-1773766947918?classId=3828</v>
      </c>
      <c r="L806" s="1196" t="str">
        <f>IFERROR(__xludf.DUMMYFUNCTION("""COMPUTED_VALUE"""),"https://universidade.pipelovers.net/m/lessons/co-sell-na-pratica-como-escalar-vendas-com-parceiros-atraves-da-tecnologia-1773766947918?classId=3828")</f>
        <v>https://universidade.pipelovers.net/m/lessons/co-sell-na-pratica-como-escalar-vendas-com-parceiros-atraves-da-tecnologia-1773766947918?classId=3828</v>
      </c>
      <c r="M806" s="1202">
        <f>IFERROR(__xludf.DUMMYFUNCTION("""COMPUTED_VALUE"""),4.79)</f>
        <v>4.79</v>
      </c>
      <c r="N806" s="218" t="str">
        <f>IFERROR(__xludf.DUMMYFUNCTION("""COMPUTED_VALUE"""),"157. PipeLovers💜 Canais &amp; Parcerias Co-sell na prática como escalar vendas com parceiros através da tecnologia com Bruno Xavier - descript.mp4")</f>
        <v>157. PipeLovers💜 Canais &amp; Parcerias Co-sell na prática como escalar vendas com parceiros através da tecnologia com Bruno Xavier - descript.mp4</v>
      </c>
      <c r="O806" s="151" t="str">
        <f>IFERROR(__xludf.DUMMYFUNCTION("""COMPUTED_VALUE"""),"")</f>
        <v/>
      </c>
      <c r="P806" s="1138"/>
      <c r="Q806" s="151"/>
    </row>
    <row r="807">
      <c r="A807" s="73"/>
      <c r="B807" s="1129" t="str">
        <f>IFERROR(__xludf.DUMMYFUNCTION("""COMPUTED_VALUE"""),"Canais e Parcerias")</f>
        <v>Canais e Parcerias</v>
      </c>
      <c r="C807" s="1199" t="str">
        <f>IFERROR(__xludf.DUMMYFUNCTION("""COMPUTED_VALUE"""),"Como adaptar sua comunicação para diferentes perfis de parceiros")</f>
        <v>Como adaptar sua comunicação para diferentes perfis de parceiros</v>
      </c>
      <c r="D807" s="1199" t="str">
        <f>IFERROR(__xludf.DUMMYFUNCTION("""COMPUTED_VALUE"""),"Bruno Romera")</f>
        <v>Bruno Romera</v>
      </c>
      <c r="E807" s="218" t="str">
        <f>IFERROR(__xludf.DUMMYFUNCTION("""COMPUTED_VALUE"""),"Head de Canais e Parcerias")</f>
        <v>Head de Canais e Parcerias</v>
      </c>
      <c r="F807" s="667" t="str">
        <f>IFERROR(__xludf.DUMMYFUNCTION("""COMPUTED_VALUE"""),"Revi")</f>
        <v>Revi</v>
      </c>
      <c r="G807" s="668" t="str">
        <f>IFERROR(__xludf.DUMMYFUNCTION("""COMPUTED_VALUE"""),"https://www.linkedin.com/in/bruno-colpaert-romera-335128134/")</f>
        <v>https://www.linkedin.com/in/bruno-colpaert-romera-335128134/</v>
      </c>
      <c r="H807" s="667" t="str">
        <f>IFERROR(__xludf.DUMMYFUNCTION("""COMPUTED_VALUE"""),"Relacionamento Interpessoal")</f>
        <v>Relacionamento Interpessoal</v>
      </c>
      <c r="I807" s="667" t="str">
        <f>IFERROR(__xludf.DUMMYFUNCTION("""COMPUTED_VALUE"""),"Comunicação e Relacionamento")</f>
        <v>Comunicação e Relacionamento</v>
      </c>
      <c r="J807" s="667" t="str">
        <f>IFERROR(__xludf.DUMMYFUNCTION("""COMPUTED_VALUE"""),"Técnicas de Rapport")</f>
        <v>Técnicas de Rapport</v>
      </c>
      <c r="K807" s="1206" t="str">
        <f>IFERROR(__xludf.DUMMYFUNCTION("""COMPUTED_VALUE"""),"https://universidade.pipelovers.net/m/lessons/como-adaptar-sua-comunicacao-para-diferentes-perfis-de-parceiros-1773767302165?classId=3829")</f>
        <v>https://universidade.pipelovers.net/m/lessons/como-adaptar-sua-comunicacao-para-diferentes-perfis-de-parceiros-1773767302165?classId=3829</v>
      </c>
      <c r="L807" s="1196" t="str">
        <f>IFERROR(__xludf.DUMMYFUNCTION("""COMPUTED_VALUE"""),"https://universidade.pipelovers.net/m/lessons/como-adaptar-sua-comunicacao-para-diferentes-perfis-de-parceiros-1773767302165?classId=3829")</f>
        <v>https://universidade.pipelovers.net/m/lessons/como-adaptar-sua-comunicacao-para-diferentes-perfis-de-parceiros-1773767302165?classId=3829</v>
      </c>
      <c r="M807" s="1202">
        <f>IFERROR(__xludf.DUMMYFUNCTION("""COMPUTED_VALUE"""),3.64)</f>
        <v>3.64</v>
      </c>
      <c r="N807" s="218" t="str">
        <f>IFERROR(__xludf.DUMMYFUNCTION("""COMPUTED_VALUE"""),"158. PipeLovers💜 Canais &amp; Parcerias Como adaptar sua comunicação para diferentes perfis de parceiros com Bruno Romera - descript.mp4")</f>
        <v>158. PipeLovers💜 Canais &amp; Parcerias Como adaptar sua comunicação para diferentes perfis de parceiros com Bruno Romera - descript.mp4</v>
      </c>
      <c r="O807" s="151" t="str">
        <f>IFERROR(__xludf.DUMMYFUNCTION("""COMPUTED_VALUE"""),"")</f>
        <v/>
      </c>
      <c r="P807" s="1138"/>
      <c r="Q807" s="151"/>
    </row>
    <row r="808">
      <c r="A808" s="73"/>
      <c r="B808" s="1129" t="str">
        <f>IFERROR(__xludf.DUMMYFUNCTION("""COMPUTED_VALUE"""),"Canais e Parcerias")</f>
        <v>Canais e Parcerias</v>
      </c>
      <c r="C808" s="1199" t="str">
        <f>IFERROR(__xludf.DUMMYFUNCTION("""COMPUTED_VALUE"""),"O peso de ecossistemas na tese de investimento e valuation de empresas SaaS")</f>
        <v>O peso de ecossistemas na tese de investimento e valuation de empresas SaaS</v>
      </c>
      <c r="D808" s="1199" t="str">
        <f>IFERROR(__xludf.DUMMYFUNCTION("""COMPUTED_VALUE"""),"Edson Rigonatti")</f>
        <v>Edson Rigonatti</v>
      </c>
      <c r="E808" s="218" t="str">
        <f>IFERROR(__xludf.DUMMYFUNCTION("""COMPUTED_VALUE"""),"Partner")</f>
        <v>Partner</v>
      </c>
      <c r="F808" s="667" t="str">
        <f>IFERROR(__xludf.DUMMYFUNCTION("""COMPUTED_VALUE"""),"Astella")</f>
        <v>Astella</v>
      </c>
      <c r="G808" s="668" t="str">
        <f>IFERROR(__xludf.DUMMYFUNCTION("""COMPUTED_VALUE"""),"https://www.linkedin.com/in/edsonrigonatti/")</f>
        <v>https://www.linkedin.com/in/edsonrigonatti/</v>
      </c>
      <c r="H808" s="667" t="str">
        <f>IFERROR(__xludf.DUMMYFUNCTION("""COMPUTED_VALUE"""),"Visão de Negócios")</f>
        <v>Visão de Negócios</v>
      </c>
      <c r="I808" s="667" t="str">
        <f>IFERROR(__xludf.DUMMYFUNCTION("""COMPUTED_VALUE"""),"Conhecimento de Produto e Negócio")</f>
        <v>Conhecimento de Produto e Negócio</v>
      </c>
      <c r="J808" s="589" t="str">
        <f>IFERROR(__xludf.DUMMYFUNCTION("""COMPUTED_VALUE"""),"Unit Economics")</f>
        <v>Unit Economics</v>
      </c>
      <c r="K808" s="1206" t="str">
        <f>IFERROR(__xludf.DUMMYFUNCTION("""COMPUTED_VALUE"""),"https://universidade.pipelovers.net/m/lessons/o-peso-de-ecossistemas-na-tese-de-investimento-e-valuation-de-empresas-saas-1773766136629?classId=3827")</f>
        <v>https://universidade.pipelovers.net/m/lessons/o-peso-de-ecossistemas-na-tese-de-investimento-e-valuation-de-empresas-saas-1773766136629?classId=3827</v>
      </c>
      <c r="L808" s="1206" t="str">
        <f>IFERROR(__xludf.DUMMYFUNCTION("""COMPUTED_VALUE"""),"https://universidade.pipelovers.net/m/lessons/o-peso-de-ecossistemas-na-tese-de-investimento-e-valuation-de-empresas-saas-1773766136629?classId=3827")</f>
        <v>https://universidade.pipelovers.net/m/lessons/o-peso-de-ecossistemas-na-tese-de-investimento-e-valuation-de-empresas-saas-1773766136629?classId=3827</v>
      </c>
      <c r="M808" s="1202">
        <f>IFERROR(__xludf.DUMMYFUNCTION("""COMPUTED_VALUE"""),4.71)</f>
        <v>4.71</v>
      </c>
      <c r="N808" s="218" t="str">
        <f>IFERROR(__xludf.DUMMYFUNCTION("""COMPUTED_VALUE"""),"159. PipeLovers💜 Canais &amp; Parcerias O peso de ecossistemas na tese de investimento e valuation de empresas SaaS com Edson Rigonatti - descript.mp4")</f>
        <v>159. PipeLovers💜 Canais &amp; Parcerias O peso de ecossistemas na tese de investimento e valuation de empresas SaaS com Edson Rigonatti - descript.mp4</v>
      </c>
      <c r="O808" s="151" t="str">
        <f>IFERROR(__xludf.DUMMYFUNCTION("""COMPUTED_VALUE"""),"")</f>
        <v/>
      </c>
      <c r="P808" s="1138"/>
      <c r="Q808" s="151"/>
    </row>
    <row r="809">
      <c r="A809" s="73"/>
      <c r="B809" s="1129" t="str">
        <f>IFERROR(__xludf.DUMMYFUNCTION("""COMPUTED_VALUE"""),"Canais e Parcerias")</f>
        <v>Canais e Parcerias</v>
      </c>
      <c r="C809" s="1199" t="str">
        <f>IFERROR(__xludf.DUMMYFUNCTION("""COMPUTED_VALUE"""),"Gestão de carteira de parceiros com a Matriz RFM")</f>
        <v>Gestão de carteira de parceiros com a Matriz RFM</v>
      </c>
      <c r="D809" s="1199" t="str">
        <f>IFERROR(__xludf.DUMMYFUNCTION("""COMPUTED_VALUE"""),"Douglas Silva")</f>
        <v>Douglas Silva</v>
      </c>
      <c r="E809" s="218" t="str">
        <f>IFERROR(__xludf.DUMMYFUNCTION("""COMPUTED_VALUE"""),"Fundador")</f>
        <v>Fundador</v>
      </c>
      <c r="F809" s="667" t="str">
        <f>IFERROR(__xludf.DUMMYFUNCTION("""COMPUTED_VALUE"""),"Parceria Labs")</f>
        <v>Parceria Labs</v>
      </c>
      <c r="G809" s="668" t="str">
        <f>IFERROR(__xludf.DUMMYFUNCTION("""COMPUTED_VALUE"""),"https://www.linkedin.com/in/odouglassilva/")</f>
        <v>https://www.linkedin.com/in/odouglassilva/</v>
      </c>
      <c r="H809" s="667" t="str">
        <f>IFERROR(__xludf.DUMMYFUNCTION("""COMPUTED_VALUE"""),"Conhecimento Técnico")</f>
        <v>Conhecimento Técnico</v>
      </c>
      <c r="I809" s="667" t="str">
        <f>IFERROR(__xludf.DUMMYFUNCTION("""COMPUTED_VALUE"""),"Gestão de vendas")</f>
        <v>Gestão de vendas</v>
      </c>
      <c r="J809" s="737" t="str">
        <f>IFERROR(__xludf.DUMMYFUNCTION("""COMPUTED_VALUE"""),"Gestão de Carteira de Clientes")</f>
        <v>Gestão de Carteira de Clientes</v>
      </c>
      <c r="K809" s="1206" t="str">
        <f>IFERROR(__xludf.DUMMYFUNCTION("""COMPUTED_VALUE"""),"https://universidade.pipelovers.net/m/lessons/gestao-de-carteira-de-parceiros-com-a-matriz-rfm-1778012020540?classId=3990")</f>
        <v>https://universidade.pipelovers.net/m/lessons/gestao-de-carteira-de-parceiros-com-a-matriz-rfm-1778012020540?classId=3990</v>
      </c>
      <c r="L809" s="1196" t="str">
        <f>IFERROR(__xludf.DUMMYFUNCTION("""COMPUTED_VALUE"""),"https://universidade.pipelovers.net/m/lessons/gestao-de-carteira-de-parceiros-com-a-matriz-rfm-1778012020540?classId=3990")</f>
        <v>https://universidade.pipelovers.net/m/lessons/gestao-de-carteira-de-parceiros-com-a-matriz-rfm-1778012020540?classId=3990</v>
      </c>
      <c r="M809" s="1202">
        <f>IFERROR(__xludf.DUMMYFUNCTION("""COMPUTED_VALUE"""),4.71)</f>
        <v>4.71</v>
      </c>
      <c r="N809" s="218"/>
      <c r="O809" s="151" t="str">
        <f>IFERROR(__xludf.DUMMYFUNCTION("""COMPUTED_VALUE"""),"")</f>
        <v/>
      </c>
      <c r="P809" s="1138"/>
      <c r="Q809" s="151"/>
    </row>
    <row r="810">
      <c r="A810" s="73"/>
      <c r="B810" s="1129" t="str">
        <f>IFERROR(__xludf.DUMMYFUNCTION("""COMPUTED_VALUE"""),"Canais e Parcerias")</f>
        <v>Canais e Parcerias</v>
      </c>
      <c r="C810" s="1199" t="str">
        <f>IFERROR(__xludf.DUMMYFUNCTION("""COMPUTED_VALUE"""),"Quando faz sentido criar uma área de canais na sua empresa")</f>
        <v>Quando faz sentido criar uma área de canais na sua empresa</v>
      </c>
      <c r="D810" s="1199" t="str">
        <f>IFERROR(__xludf.DUMMYFUNCTION("""COMPUTED_VALUE"""),"Beatriz Schittino")</f>
        <v>Beatriz Schittino</v>
      </c>
      <c r="E810" s="218" t="str">
        <f>IFERROR(__xludf.DUMMYFUNCTION("""COMPUTED_VALUE"""),"Gerente de Parcerias Estratégicas")</f>
        <v>Gerente de Parcerias Estratégicas</v>
      </c>
      <c r="F810" s="667" t="str">
        <f>IFERROR(__xludf.DUMMYFUNCTION("""COMPUTED_VALUE"""),"TOTVS")</f>
        <v>TOTVS</v>
      </c>
      <c r="G810" s="668" t="str">
        <f>IFERROR(__xludf.DUMMYFUNCTION("""COMPUTED_VALUE"""),"https://www.linkedin.com/in/beatrizschittino/")</f>
        <v>https://www.linkedin.com/in/beatrizschittino/</v>
      </c>
      <c r="H810" s="667" t="str">
        <f>IFERROR(__xludf.DUMMYFUNCTION("""COMPUTED_VALUE"""),"Autodesenvolvimento")</f>
        <v>Autodesenvolvimento</v>
      </c>
      <c r="I810" s="667" t="str">
        <f>IFERROR(__xludf.DUMMYFUNCTION("""COMPUTED_VALUE"""),"Aprendizado Ativo")</f>
        <v>Aprendizado Ativo</v>
      </c>
      <c r="J810" s="737" t="str">
        <f>IFERROR(__xludf.DUMMYFUNCTION("""COMPUTED_VALUE"""),"Networking")</f>
        <v>Networking</v>
      </c>
      <c r="K810" s="1206" t="str">
        <f>IFERROR(__xludf.DUMMYFUNCTION("""COMPUTED_VALUE"""),"https://universidade.pipelovers.net/m/lessons/como-aprender-com-vitorias-e-derrotas-para-melhorar-a-atuacao-dos-canais-1773772176498?classId=3831")</f>
        <v>https://universidade.pipelovers.net/m/lessons/como-aprender-com-vitorias-e-derrotas-para-melhorar-a-atuacao-dos-canais-1773772176498?classId=3831</v>
      </c>
      <c r="L810" s="1196" t="str">
        <f>IFERROR(__xludf.DUMMYFUNCTION("""COMPUTED_VALUE"""),"https://universidade.pipelovers.net/m/lessons/como-aprender-com-vitorias-e-derrotas-para-melhorar-a-atuacao-dos-canais-1773772176498?classId=3831")</f>
        <v>https://universidade.pipelovers.net/m/lessons/como-aprender-com-vitorias-e-derrotas-para-melhorar-a-atuacao-dos-canais-1773772176498?classId=3831</v>
      </c>
      <c r="M810" s="1202">
        <f>IFERROR(__xludf.DUMMYFUNCTION("""COMPUTED_VALUE"""),4.36)</f>
        <v>4.36</v>
      </c>
      <c r="N810" s="218"/>
      <c r="O810" s="151" t="str">
        <f>IFERROR(__xludf.DUMMYFUNCTION("""COMPUTED_VALUE"""),"")</f>
        <v/>
      </c>
      <c r="P810" s="1138"/>
      <c r="Q810" s="151"/>
    </row>
    <row r="811">
      <c r="A811" s="73"/>
      <c r="B811" s="1129" t="str">
        <f>IFERROR(__xludf.DUMMYFUNCTION("""COMPUTED_VALUE"""),"Canais e Parcerias")</f>
        <v>Canais e Parcerias</v>
      </c>
      <c r="C811" s="210" t="str">
        <f>IFERROR(__xludf.DUMMYFUNCTION("""COMPUTED_VALUE"""),"Como usar casos de sucesso para engajar e ativar novos canais")</f>
        <v>Como usar casos de sucesso para engajar e ativar novos canais</v>
      </c>
      <c r="D811" s="210" t="str">
        <f>IFERROR(__xludf.DUMMYFUNCTION("""COMPUTED_VALUE"""),"Claudio Martins")</f>
        <v>Claudio Martins</v>
      </c>
      <c r="E811" s="210" t="str">
        <f>IFERROR(__xludf.DUMMYFUNCTION("""COMPUTED_VALUE"""),"Head de Canais &amp; Parcerias")</f>
        <v>Head de Canais &amp; Parcerias</v>
      </c>
      <c r="F811" s="210" t="str">
        <f>IFERROR(__xludf.DUMMYFUNCTION("""COMPUTED_VALUE"""),"Frenet")</f>
        <v>Frenet</v>
      </c>
      <c r="G811" s="881" t="str">
        <f>IFERROR(__xludf.DUMMYFUNCTION("""COMPUTED_VALUE"""),"https://www.linkedin.com/in/claudiofernandomartins/")</f>
        <v>https://www.linkedin.com/in/claudiofernandomartins/</v>
      </c>
      <c r="H811" s="575" t="str">
        <f>IFERROR(__xludf.DUMMYFUNCTION("""COMPUTED_VALUE"""),"Conhecimento Técnico")</f>
        <v>Conhecimento Técnico</v>
      </c>
      <c r="I811" s="575" t="str">
        <f>IFERROR(__xludf.DUMMYFUNCTION("""COMPUTED_VALUE"""),"Gestão de vendas")</f>
        <v>Gestão de vendas</v>
      </c>
      <c r="J811" s="589" t="str">
        <f>IFERROR(__xludf.DUMMYFUNCTION("""COMPUTED_VALUE"""),"Planejamento Comercial")</f>
        <v>Planejamento Comercial</v>
      </c>
      <c r="K811" s="1208" t="str">
        <f>IFERROR(__xludf.DUMMYFUNCTION("""COMPUTED_VALUE"""),"https://universidade.pipelovers.net/m/lessons/como-usar-casos-de-sucesso-para-engajar-e-ativar-novos-canais-1778788290511?classId=4002")</f>
        <v>https://universidade.pipelovers.net/m/lessons/como-usar-casos-de-sucesso-para-engajar-e-ativar-novos-canais-1778788290511?classId=4002</v>
      </c>
      <c r="L811" s="219" t="str">
        <f>IFERROR(__xludf.DUMMYFUNCTION("""COMPUTED_VALUE"""),"https://universidade.pipelovers.net/m/lessons/como-usar-casos-de-sucesso-para-engajar-e-ativar-novos-canais-1778788290511?classId=4002")</f>
        <v>https://universidade.pipelovers.net/m/lessons/como-usar-casos-de-sucesso-para-engajar-e-ativar-novos-canais-1778788290511?classId=4002</v>
      </c>
      <c r="M811" s="1202">
        <f>IFERROR(__xludf.DUMMYFUNCTION("""COMPUTED_VALUE"""),3.93)</f>
        <v>3.93</v>
      </c>
      <c r="N811" s="218"/>
      <c r="O811" s="151" t="str">
        <f>IFERROR(__xludf.DUMMYFUNCTION("""COMPUTED_VALUE"""),"")</f>
        <v/>
      </c>
      <c r="P811" s="1138"/>
      <c r="Q811" s="151"/>
    </row>
    <row r="812">
      <c r="A812" s="73"/>
      <c r="B812" s="1129" t="str">
        <f>IFERROR(__xludf.DUMMYFUNCTION("""COMPUTED_VALUE"""),"Canais e Parcerias")</f>
        <v>Canais e Parcerias</v>
      </c>
      <c r="C812" s="1209" t="str">
        <f>IFERROR(__xludf.DUMMYFUNCTION("""COMPUTED_VALUE"""),"Case Senior: Ecossistema que gera receita")</f>
        <v>Case Senior: Ecossistema que gera receita</v>
      </c>
      <c r="D812" s="1209" t="str">
        <f>IFERROR(__xludf.DUMMYFUNCTION("""COMPUTED_VALUE"""),"Heber Silva")</f>
        <v>Heber Silva</v>
      </c>
      <c r="E812" s="335" t="str">
        <f>IFERROR(__xludf.DUMMYFUNCTION("""COMPUTED_VALUE"""),"Coordenador de Negócios")</f>
        <v>Coordenador de Negócios</v>
      </c>
      <c r="F812" s="335" t="str">
        <f>IFERROR(__xludf.DUMMYFUNCTION("""COMPUTED_VALUE"""),"Senior")</f>
        <v>Senior</v>
      </c>
      <c r="G812" s="1210" t="str">
        <f>IFERROR(__xludf.DUMMYFUNCTION("""COMPUTED_VALUE"""),"https://www.linkedin.com/in/heberlaet/")</f>
        <v>https://www.linkedin.com/in/heberlaet/</v>
      </c>
      <c r="H812" s="596" t="str">
        <f>IFERROR(__xludf.DUMMYFUNCTION("""COMPUTED_VALUE"""),"Conhecimento Técnico")</f>
        <v>Conhecimento Técnico</v>
      </c>
      <c r="I812" s="596" t="str">
        <f>IFERROR(__xludf.DUMMYFUNCTION("""COMPUTED_VALUE"""),"Gestão de vendas")</f>
        <v>Gestão de vendas</v>
      </c>
      <c r="J812" s="589" t="str">
        <f>IFERROR(__xludf.DUMMYFUNCTION("""COMPUTED_VALUE"""),"Planejamento Comercial")</f>
        <v>Planejamento Comercial</v>
      </c>
      <c r="K812" s="916" t="str">
        <f>IFERROR(__xludf.DUMMYFUNCTION("""COMPUTED_VALUE"""),"https://universidade.pipelovers.net/m/lessons/case-senior-ecossistema-que-gera-receita-1780517096282?moduleId=1433&amp;classId=4021")</f>
        <v>https://universidade.pipelovers.net/m/lessons/case-senior-ecossistema-que-gera-receita-1780517096282?moduleId=1433&amp;classId=4021</v>
      </c>
      <c r="L812" s="396" t="str">
        <f>IFERROR(__xludf.DUMMYFUNCTION("""COMPUTED_VALUE"""),"https://universidade.pipelovers.net/m/lessons/case-senior-ecossistema-que-gera-receita-1780517096282?moduleId=1433&amp;classId=4021")</f>
        <v>https://universidade.pipelovers.net/m/lessons/case-senior-ecossistema-que-gera-receita-1780517096282?moduleId=1433&amp;classId=4021</v>
      </c>
      <c r="M812" s="1211">
        <f>IFERROR(__xludf.DUMMYFUNCTION("""COMPUTED_VALUE"""),3.79)</f>
        <v>3.79</v>
      </c>
      <c r="N812" s="218"/>
      <c r="O812" s="151" t="str">
        <f>IFERROR(__xludf.DUMMYFUNCTION("""COMPUTED_VALUE"""),"")</f>
        <v/>
      </c>
      <c r="P812" s="1138"/>
      <c r="Q812" s="151"/>
    </row>
    <row r="813">
      <c r="A813" s="73"/>
      <c r="B813" s="1129" t="str">
        <f>IFERROR(__xludf.DUMMYFUNCTION("""COMPUTED_VALUE"""),"Canais e Parcerias")</f>
        <v>Canais e Parcerias</v>
      </c>
      <c r="C813" s="893" t="str">
        <f>IFERROR(__xludf.DUMMYFUNCTION("""COMPUTED_VALUE"""),"Como planejar a entrada em novos mercados via canais")</f>
        <v>Como planejar a entrada em novos mercados via canais</v>
      </c>
      <c r="D813" s="1212" t="str">
        <f>IFERROR(__xludf.DUMMYFUNCTION("""COMPUTED_VALUE"""),"Thiago Rotondo")</f>
        <v>Thiago Rotondo</v>
      </c>
      <c r="E813" s="1212" t="str">
        <f>IFERROR(__xludf.DUMMYFUNCTION("""COMPUTED_VALUE"""),"Gerente de parcerias")</f>
        <v>Gerente de parcerias</v>
      </c>
      <c r="F813" s="1212" t="str">
        <f>IFERROR(__xludf.DUMMYFUNCTION("""COMPUTED_VALUE"""),"Loja Integrada")</f>
        <v>Loja Integrada</v>
      </c>
      <c r="G813" s="999" t="str">
        <f>IFERROR(__xludf.DUMMYFUNCTION("""COMPUTED_VALUE"""),"https://www.linkedin.com/in/thiagorotondo/")</f>
        <v>https://www.linkedin.com/in/thiagorotondo/</v>
      </c>
      <c r="H813" s="579" t="str">
        <f>IFERROR(__xludf.DUMMYFUNCTION("""COMPUTED_VALUE"""),"Visão de Negócios")</f>
        <v>Visão de Negócios</v>
      </c>
      <c r="I813" s="579" t="str">
        <f>IFERROR(__xludf.DUMMYFUNCTION("""COMPUTED_VALUE"""),"Tendências de Mercado")</f>
        <v>Tendências de Mercado</v>
      </c>
      <c r="J813" s="589" t="str">
        <f>IFERROR(__xludf.DUMMYFUNCTION("""COMPUTED_VALUE"""),"Expansão de Mercado")</f>
        <v>Expansão de Mercado</v>
      </c>
      <c r="K813" s="1213" t="str">
        <f>IFERROR(__xludf.DUMMYFUNCTION("""COMPUTED_VALUE"""),"https://universidade.pipelovers.net/m/lessons/como-planejar-a-entrada-em-novos-mercados-via-canais-1778865833832?moduleId=1417&amp;classId=4003")</f>
        <v>https://universidade.pipelovers.net/m/lessons/como-planejar-a-entrada-em-novos-mercados-via-canais-1778865833832?moduleId=1417&amp;classId=4003</v>
      </c>
      <c r="L813" s="396" t="str">
        <f>IFERROR(__xludf.DUMMYFUNCTION("""COMPUTED_VALUE"""),"https://universidade.pipelovers.net/m/lessons/como-planejar-a-entrada-em-novos-mercados-via-canais-1778865833832?moduleId=1417&amp;classId=4003")</f>
        <v>https://universidade.pipelovers.net/m/lessons/como-planejar-a-entrada-em-novos-mercados-via-canais-1778865833832?moduleId=1417&amp;classId=4003</v>
      </c>
      <c r="M813" s="1211">
        <f>IFERROR(__xludf.DUMMYFUNCTION("""COMPUTED_VALUE"""),3.29)</f>
        <v>3.29</v>
      </c>
      <c r="N813" s="218"/>
      <c r="O813" s="151" t="str">
        <f>IFERROR(__xludf.DUMMYFUNCTION("""COMPUTED_VALUE"""),"")</f>
        <v/>
      </c>
      <c r="P813" s="1138"/>
      <c r="Q813" s="151"/>
    </row>
    <row r="814">
      <c r="A814" s="73"/>
      <c r="B814" s="1129" t="str">
        <f>IFERROR(__xludf.DUMMYFUNCTION("""COMPUTED_VALUE"""),"Canais e Parcerias")</f>
        <v>Canais e Parcerias</v>
      </c>
      <c r="C814" s="893" t="str">
        <f>IFERROR(__xludf.DUMMYFUNCTION("""COMPUTED_VALUE"""),"Jornada do IPP: como descobrir seus parceiros ideais")</f>
        <v>Jornada do IPP: como descobrir seus parceiros ideais</v>
      </c>
      <c r="D814" s="893" t="str">
        <f>IFERROR(__xludf.DUMMYFUNCTION("""COMPUTED_VALUE"""),"Valerio Budke")</f>
        <v>Valerio Budke</v>
      </c>
      <c r="E814" s="736" t="str">
        <f>IFERROR(__xludf.DUMMYFUNCTION("""COMPUTED_VALUE"""),"Fundador")</f>
        <v>Fundador</v>
      </c>
      <c r="F814" s="737" t="str">
        <f>IFERROR(__xludf.DUMMYFUNCTION("""COMPUTED_VALUE"""),"BestPartner")</f>
        <v>BestPartner</v>
      </c>
      <c r="G814" s="999" t="str">
        <f>IFERROR(__xludf.DUMMYFUNCTION("""COMPUTED_VALUE"""),"https://www.linkedin.com/in/valerio-ricardo-budke/")</f>
        <v>https://www.linkedin.com/in/valerio-ricardo-budke/</v>
      </c>
      <c r="H814" s="737" t="str">
        <f>IFERROR(__xludf.DUMMYFUNCTION("""COMPUTED_VALUE"""),"Conhecimento Técnico")</f>
        <v>Conhecimento Técnico</v>
      </c>
      <c r="I814" s="737" t="str">
        <f>IFERROR(__xludf.DUMMYFUNCTION("""COMPUTED_VALUE"""),"Gestão de Vendas")</f>
        <v>Gestão de Vendas</v>
      </c>
      <c r="J814" s="589" t="str">
        <f>IFERROR(__xludf.DUMMYFUNCTION("""COMPUTED_VALUE"""),"Perfil do Comprador B2B")</f>
        <v>Perfil do Comprador B2B</v>
      </c>
      <c r="K814" s="738" t="str">
        <f>IFERROR(__xludf.DUMMYFUNCTION("""COMPUTED_VALUE"""),"https://universidade.pipelovers.net/m/lessons/jornada-do-ipp-como-descobrir-seus-parceiros-ideais-1778870346141?moduleId=1418&amp;classId=4004")</f>
        <v>https://universidade.pipelovers.net/m/lessons/jornada-do-ipp-como-descobrir-seus-parceiros-ideais-1778870346141?moduleId=1418&amp;classId=4004</v>
      </c>
      <c r="L814" s="396" t="str">
        <f>IFERROR(__xludf.DUMMYFUNCTION("""COMPUTED_VALUE"""),"https://universidade.pipelovers.net/m/lessons/jornada-do-ipp-como-descobrir-seus-parceiros-ideais-1778870346141?moduleId=1418&amp;classId=4004")</f>
        <v>https://universidade.pipelovers.net/m/lessons/jornada-do-ipp-como-descobrir-seus-parceiros-ideais-1778870346141?moduleId=1418&amp;classId=4004</v>
      </c>
      <c r="M814" s="1211">
        <f>IFERROR(__xludf.DUMMYFUNCTION("""COMPUTED_VALUE"""),3.43)</f>
        <v>3.43</v>
      </c>
      <c r="N814" s="218"/>
      <c r="O814" s="151" t="str">
        <f>IFERROR(__xludf.DUMMYFUNCTION("""COMPUTED_VALUE"""),"")</f>
        <v/>
      </c>
      <c r="P814" s="1138"/>
      <c r="Q814" s="151"/>
    </row>
    <row r="815">
      <c r="A815" s="73"/>
      <c r="B815" s="1129" t="str">
        <f>IFERROR(__xludf.DUMMYFUNCTION("""COMPUTED_VALUE"""),"Canais e Parcerias")</f>
        <v>Canais e Parcerias</v>
      </c>
      <c r="C815" s="893" t="str">
        <f>IFERROR(__xludf.DUMMYFUNCTION("""COMPUTED_VALUE"""),"Processos e rituais para gestão eficaz de parceiros-chave")</f>
        <v>Processos e rituais para gestão eficaz de parceiros-chave</v>
      </c>
      <c r="D815" s="893" t="str">
        <f>IFERROR(__xludf.DUMMYFUNCTION("""COMPUTED_VALUE"""),"Gustavo Valle")</f>
        <v>Gustavo Valle</v>
      </c>
      <c r="E815" s="736" t="str">
        <f>IFERROR(__xludf.DUMMYFUNCTION("""COMPUTED_VALUE"""),"Co-Founder")</f>
        <v>Co-Founder</v>
      </c>
      <c r="F815" s="737" t="str">
        <f>IFERROR(__xludf.DUMMYFUNCTION("""COMPUTED_VALUE"""),"EVOLVE")</f>
        <v>EVOLVE</v>
      </c>
      <c r="G815" s="999" t="str">
        <f>IFERROR(__xludf.DUMMYFUNCTION("""COMPUTED_VALUE"""),"https://www.linkedin.com/in/gusvalle/")</f>
        <v>https://www.linkedin.com/in/gusvalle/</v>
      </c>
      <c r="H815" s="737" t="str">
        <f>IFERROR(__xludf.DUMMYFUNCTION("""COMPUTED_VALUE"""),"Conhecimento Técnico")</f>
        <v>Conhecimento Técnico</v>
      </c>
      <c r="I815" s="737" t="str">
        <f>IFERROR(__xludf.DUMMYFUNCTION("""COMPUTED_VALUE"""),"Gestão de Vendas")</f>
        <v>Gestão de Vendas</v>
      </c>
      <c r="J815" s="589" t="str">
        <f>IFERROR(__xludf.DUMMYFUNCTION("""COMPUTED_VALUE"""),"Rotinas e Rituais")</f>
        <v>Rotinas e Rituais</v>
      </c>
      <c r="K815" s="738" t="str">
        <f>IFERROR(__xludf.DUMMYFUNCTION("""COMPUTED_VALUE"""),"https://universidade.pipelovers.net/m/lessons/processos-e-rituais-para-gestao-eficaz-de-parceiros-chave-1782390566932?moduleId=1458&amp;classId=4042")</f>
        <v>https://universidade.pipelovers.net/m/lessons/processos-e-rituais-para-gestao-eficaz-de-parceiros-chave-1782390566932?moduleId=1458&amp;classId=4042</v>
      </c>
      <c r="L815" s="395"/>
      <c r="M815" s="1211">
        <f>IFERROR(__xludf.DUMMYFUNCTION("""COMPUTED_VALUE"""),3.43)</f>
        <v>3.43</v>
      </c>
      <c r="N815" s="218"/>
      <c r="O815" s="151" t="str">
        <f>IFERROR(__xludf.DUMMYFUNCTION("""COMPUTED_VALUE"""),"")</f>
        <v/>
      </c>
      <c r="P815" s="1138"/>
      <c r="Q815" s="151"/>
    </row>
    <row r="816">
      <c r="A816" s="73"/>
      <c r="B816" s="1129" t="str">
        <f>IFERROR(__xludf.DUMMYFUNCTION("""COMPUTED_VALUE"""),"Canais e Parcerias")</f>
        <v>Canais e Parcerias</v>
      </c>
      <c r="C816" s="893" t="str">
        <f>IFERROR(__xludf.DUMMYFUNCTION("""COMPUTED_VALUE"""),"Como estruturar uma estratégia de prospecção de parceiros que gera resultados.")</f>
        <v>Como estruturar uma estratégia de prospecção de parceiros que gera resultados.</v>
      </c>
      <c r="D816" s="893" t="str">
        <f>IFERROR(__xludf.DUMMYFUNCTION("""COMPUTED_VALUE"""),"Roberta Timboni Kuzolitz")</f>
        <v>Roberta Timboni Kuzolitz</v>
      </c>
      <c r="E816" s="736" t="str">
        <f>IFERROR(__xludf.DUMMYFUNCTION("""COMPUTED_VALUE"""),"Fundadora")</f>
        <v>Fundadora</v>
      </c>
      <c r="F816" s="737" t="str">
        <f>IFERROR(__xludf.DUMMYFUNCTION("""COMPUTED_VALUE"""),"RTK - Mentoria &amp; Consultoria Estratégica")</f>
        <v>RTK - Mentoria &amp; Consultoria Estratégica</v>
      </c>
      <c r="G816" s="999" t="str">
        <f>IFERROR(__xludf.DUMMYFUNCTION("""COMPUTED_VALUE"""),"https://www.linkedin.com/in/robertakuzolitz/")</f>
        <v>https://www.linkedin.com/in/robertakuzolitz/</v>
      </c>
      <c r="H816" s="737" t="str">
        <f>IFERROR(__xludf.DUMMYFUNCTION("""COMPUTED_VALUE"""),"Conhecimento Técnico")</f>
        <v>Conhecimento Técnico</v>
      </c>
      <c r="I816" s="737" t="str">
        <f>IFERROR(__xludf.DUMMYFUNCTION("""COMPUTED_VALUE"""),"Técnicas de Vendas")</f>
        <v>Técnicas de Vendas</v>
      </c>
      <c r="J816" s="737" t="str">
        <f>IFERROR(__xludf.DUMMYFUNCTION("""COMPUTED_VALUE"""),"Prospecção")</f>
        <v>Prospecção</v>
      </c>
      <c r="K816" s="219" t="str">
        <f>IFERROR(__xludf.DUMMYFUNCTION("""COMPUTED_VALUE"""),"https://universidade.pipelovers.net/m/lessons/como-estruturar-uma-estrategia-de-prospeccao-de-parceiros-que-gera-resultados-1783085692519?moduleId=1526&amp;classId=4227")</f>
        <v>https://universidade.pipelovers.net/m/lessons/como-estruturar-uma-estrategia-de-prospeccao-de-parceiros-que-gera-resultados-1783085692519?moduleId=1526&amp;classId=4227</v>
      </c>
      <c r="L816" s="294"/>
      <c r="M816" s="1202">
        <f>IFERROR(__xludf.DUMMYFUNCTION("""COMPUTED_VALUE"""),3.79)</f>
        <v>3.79</v>
      </c>
      <c r="N816" s="218"/>
      <c r="O816" s="151" t="str">
        <f>IFERROR(__xludf.DUMMYFUNCTION("""COMPUTED_VALUE"""),"")</f>
        <v/>
      </c>
      <c r="P816" s="1138"/>
      <c r="Q816" s="151"/>
    </row>
    <row r="817">
      <c r="A817" s="73"/>
      <c r="B817" s="1129" t="str">
        <f>IFERROR(__xludf.DUMMYFUNCTION("""COMPUTED_VALUE"""),"Canais e Parcerias")</f>
        <v>Canais e Parcerias</v>
      </c>
      <c r="C817" s="893" t="str">
        <f>IFERROR(__xludf.DUMMYFUNCTION("""COMPUTED_VALUE"""),"Case CIMED: Como construíram um time de representantes de alta performance")</f>
        <v>Case CIMED: Como construíram um time de representantes de alta performance</v>
      </c>
      <c r="D817" s="893" t="str">
        <f>IFERROR(__xludf.DUMMYFUNCTION("""COMPUTED_VALUE"""),"Elaine Guzzo")</f>
        <v>Elaine Guzzo</v>
      </c>
      <c r="E817" s="736" t="str">
        <f>IFERROR(__xludf.DUMMYFUNCTION("""COMPUTED_VALUE"""),"Educadora executiva da força de vendas")</f>
        <v>Educadora executiva da força de vendas</v>
      </c>
      <c r="F817" s="737" t="str">
        <f>IFERROR(__xludf.DUMMYFUNCTION("""COMPUTED_VALUE"""),"CIMED")</f>
        <v>CIMED</v>
      </c>
      <c r="G817" s="999" t="str">
        <f>IFERROR(__xludf.DUMMYFUNCTION("""COMPUTED_VALUE"""),"https://www.linkedin.com/in/elaine-guzzo-ba08078b/")</f>
        <v>https://www.linkedin.com/in/elaine-guzzo-ba08078b/</v>
      </c>
      <c r="H817" s="737" t="str">
        <f>IFERROR(__xludf.DUMMYFUNCTION("""COMPUTED_VALUE"""),"Relacionamento Interpessoal")</f>
        <v>Relacionamento Interpessoal</v>
      </c>
      <c r="I817" s="737" t="str">
        <f>IFERROR(__xludf.DUMMYFUNCTION("""COMPUTED_VALUE"""),"Liderança e Influência")</f>
        <v>Liderança e Influência</v>
      </c>
      <c r="J817" s="737" t="str">
        <f>IFERROR(__xludf.DUMMYFUNCTION("""COMPUTED_VALUE"""),"Desenvolvimento de Pessoas")</f>
        <v>Desenvolvimento de Pessoas</v>
      </c>
      <c r="K817" s="999" t="str">
        <f>IFERROR(__xludf.DUMMYFUNCTION("""COMPUTED_VALUE"""),"https://universidade.pipelovers.net/m/lessons/case-cimed-como-construiram-um-time-de-representantes-de-alta-performance-1783100217231?moduleId=1525&amp;classId=4226")</f>
        <v>https://universidade.pipelovers.net/m/lessons/case-cimed-como-construiram-um-time-de-representantes-de-alta-performance-1783100217231?moduleId=1525&amp;classId=4226</v>
      </c>
      <c r="L817" s="218"/>
      <c r="M817" s="1202">
        <f>IFERROR(__xludf.DUMMYFUNCTION("""COMPUTED_VALUE"""),3.29)</f>
        <v>3.29</v>
      </c>
      <c r="N817" s="218"/>
      <c r="O817" s="151" t="str">
        <f>IFERROR(__xludf.DUMMYFUNCTION("""COMPUTED_VALUE"""),"")</f>
        <v/>
      </c>
      <c r="P817" s="1138"/>
      <c r="Q817" s="151"/>
    </row>
    <row r="818">
      <c r="A818" s="73"/>
      <c r="B818" s="1129" t="str">
        <f>IFERROR(__xludf.DUMMYFUNCTION("""COMPUTED_VALUE"""),"Canais e Parcerias")</f>
        <v>Canais e Parcerias</v>
      </c>
      <c r="C818" s="893" t="str">
        <f>IFERROR(__xludf.DUMMYFUNCTION("""COMPUTED_VALUE"""),"Como conduzir conversas difíceis com parceiros estratégicos")</f>
        <v>Como conduzir conversas difíceis com parceiros estratégicos</v>
      </c>
      <c r="D818" s="893" t="str">
        <f>IFERROR(__xludf.DUMMYFUNCTION("""COMPUTED_VALUE"""),"Lucas Lopan")</f>
        <v>Lucas Lopan</v>
      </c>
      <c r="E818" s="736" t="str">
        <f>IFERROR(__xludf.DUMMYFUNCTION("""COMPUTED_VALUE"""),"Head de Parcerias")</f>
        <v>Head de Parcerias</v>
      </c>
      <c r="F818" s="737" t="str">
        <f>IFERROR(__xludf.DUMMYFUNCTION("""COMPUTED_VALUE"""),"Yampi")</f>
        <v>Yampi</v>
      </c>
      <c r="G818" s="999" t="str">
        <f>IFERROR(__xludf.DUMMYFUNCTION("""COMPUTED_VALUE"""),"https://www.linkedin.com/in/lucaslopan/")</f>
        <v>https://www.linkedin.com/in/lucaslopan/</v>
      </c>
      <c r="H818" s="737" t="str">
        <f>IFERROR(__xludf.DUMMYFUNCTION("""COMPUTED_VALUE"""),"Relacionamento Interpessoal")</f>
        <v>Relacionamento Interpessoal</v>
      </c>
      <c r="I818" s="737" t="str">
        <f>IFERROR(__xludf.DUMMYFUNCTION("""COMPUTED_VALUE"""),"Liderança e Influência")</f>
        <v>Liderança e Influência</v>
      </c>
      <c r="J818" s="737" t="str">
        <f>IFERROR(__xludf.DUMMYFUNCTION("""COMPUTED_VALUE"""),"Gestão de Conflitos e Resolução de Problemas")</f>
        <v>Gestão de Conflitos e Resolução de Problemas</v>
      </c>
      <c r="K818" s="219" t="str">
        <f>IFERROR(__xludf.DUMMYFUNCTION("""COMPUTED_VALUE"""),"https://universidade.pipelovers.net/m/lessons/como-conduzir-conversas-dificeis-com-parceiros-estrategicos-1778592900163?moduleId=1411&amp;classId=3997")</f>
        <v>https://universidade.pipelovers.net/m/lessons/como-conduzir-conversas-dificeis-com-parceiros-estrategicos-1778592900163?moduleId=1411&amp;classId=3997</v>
      </c>
      <c r="L818" s="615"/>
      <c r="M818" s="1202">
        <f>IFERROR(__xludf.DUMMYFUNCTION("""COMPUTED_VALUE"""),3.29)</f>
        <v>3.29</v>
      </c>
      <c r="N818" s="218"/>
      <c r="O818" s="151" t="str">
        <f>IFERROR(__xludf.DUMMYFUNCTION("""COMPUTED_VALUE"""),"")</f>
        <v/>
      </c>
      <c r="P818" s="1138"/>
      <c r="Q818" s="151"/>
    </row>
    <row r="819">
      <c r="A819" s="73"/>
      <c r="B819" s="1129" t="str">
        <f>IFERROR(__xludf.DUMMYFUNCTION("""COMPUTED_VALUE"""),"Canais e Parcerias")</f>
        <v>Canais e Parcerias</v>
      </c>
      <c r="C819" s="893" t="str">
        <f>IFERROR(__xludf.DUMMYFUNCTION("""COMPUTED_VALUE"""),"Boas práticas para alinhamento entre marketing, vendas e canais")</f>
        <v>Boas práticas para alinhamento entre marketing, vendas e canais</v>
      </c>
      <c r="D819" s="893" t="str">
        <f>IFERROR(__xludf.DUMMYFUNCTION("""COMPUTED_VALUE"""),"Victor Schultz")</f>
        <v>Victor Schultz</v>
      </c>
      <c r="E819" s="736" t="str">
        <f>IFERROR(__xludf.DUMMYFUNCTION("""COMPUTED_VALUE"""),"Gestor de Parcerias")</f>
        <v>Gestor de Parcerias</v>
      </c>
      <c r="F819" s="737" t="str">
        <f>IFERROR(__xludf.DUMMYFUNCTION("""COMPUTED_VALUE"""),"Umbler")</f>
        <v>Umbler</v>
      </c>
      <c r="G819" s="999" t="str">
        <f>IFERROR(__xludf.DUMMYFUNCTION("""COMPUTED_VALUE"""),"https://www.linkedin.com/in/victor-schultz/")</f>
        <v>https://www.linkedin.com/in/victor-schultz/</v>
      </c>
      <c r="H819" s="737" t="str">
        <f>IFERROR(__xludf.DUMMYFUNCTION("""COMPUTED_VALUE"""),"Conhecimento Técnico")</f>
        <v>Conhecimento Técnico</v>
      </c>
      <c r="I819" s="737" t="str">
        <f>IFERROR(__xludf.DUMMYFUNCTION("""COMPUTED_VALUE"""),"Gestão de Vendas")</f>
        <v>Gestão de Vendas</v>
      </c>
      <c r="J819" s="737" t="str">
        <f>IFERROR(__xludf.DUMMYFUNCTION("""COMPUTED_VALUE"""),"Rotinas e Rituais")</f>
        <v>Rotinas e Rituais</v>
      </c>
      <c r="K819" s="1214" t="str">
        <f>IFERROR(__xludf.DUMMYFUNCTION("""COMPUTED_VALUE"""),"https://universidade.pipelovers.net/m/lessons/boas-praticas-para-alinhamento-entre-marketing-vendas-e-canais-1783100686212?moduleId=1472&amp;classId=4054")</f>
        <v>https://universidade.pipelovers.net/m/lessons/boas-praticas-para-alinhamento-entre-marketing-vendas-e-canais-1783100686212?moduleId=1472&amp;classId=4054</v>
      </c>
      <c r="L819" s="615"/>
      <c r="M819" s="1202">
        <f>IFERROR(__xludf.DUMMYFUNCTION("""COMPUTED_VALUE"""),3.79)</f>
        <v>3.79</v>
      </c>
      <c r="N819" s="218"/>
      <c r="O819" s="151" t="str">
        <f>IFERROR(__xludf.DUMMYFUNCTION("""COMPUTED_VALUE"""),"")</f>
        <v/>
      </c>
      <c r="P819" s="1138"/>
      <c r="Q819" s="151"/>
    </row>
    <row r="820">
      <c r="A820" s="73"/>
      <c r="B820" s="1129" t="str">
        <f>IFERROR(__xludf.DUMMYFUNCTION("""COMPUTED_VALUE"""),"Canais e Parcerias")</f>
        <v>Canais e Parcerias</v>
      </c>
      <c r="C820" s="893" t="str">
        <f>IFERROR(__xludf.DUMMYFUNCTION("""COMPUTED_VALUE"""),"Treinamento de Parceiros: Como transformar conhecimento em resultados")</f>
        <v>Treinamento de Parceiros: Como transformar conhecimento em resultados</v>
      </c>
      <c r="D820" s="893" t="str">
        <f>IFERROR(__xludf.DUMMYFUNCTION("""COMPUTED_VALUE"""),"Nathalia Leichsnering")</f>
        <v>Nathalia Leichsnering</v>
      </c>
      <c r="E820" s="736" t="str">
        <f>IFERROR(__xludf.DUMMYFUNCTION("""COMPUTED_VALUE"""),"Gestora de Parcerias")</f>
        <v>Gestora de Parcerias</v>
      </c>
      <c r="F820" s="737" t="str">
        <f>IFERROR(__xludf.DUMMYFUNCTION("""COMPUTED_VALUE"""),"Auvo")</f>
        <v>Auvo</v>
      </c>
      <c r="G820" s="999" t="str">
        <f>IFERROR(__xludf.DUMMYFUNCTION("""COMPUTED_VALUE"""),"https://www.linkedin.com/in/nathalia-leichsnering/")</f>
        <v>https://www.linkedin.com/in/nathalia-leichsnering/</v>
      </c>
      <c r="H820" s="737" t="str">
        <f>IFERROR(__xludf.DUMMYFUNCTION("""COMPUTED_VALUE"""),"Conhecimento Técnico")</f>
        <v>Conhecimento Técnico</v>
      </c>
      <c r="I820" s="737" t="str">
        <f>IFERROR(__xludf.DUMMYFUNCTION("""COMPUTED_VALUE"""),"Técnicas de Vendas")</f>
        <v>Técnicas de Vendas</v>
      </c>
      <c r="J820" s="1215" t="str">
        <f>IFERROR(__xludf.DUMMYFUNCTION("""COMPUTED_VALUE"""),"Pitch Comercial")</f>
        <v>Pitch Comercial</v>
      </c>
      <c r="K820" s="999" t="str">
        <f>IFERROR(__xludf.DUMMYFUNCTION("""COMPUTED_VALUE"""),"https://universidade.pipelovers.net/m/lessons/certificacao-e-treinamento-de-parceiros-em-novos-produtos-1785350680902?moduleId=1574&amp;classId=4449")</f>
        <v>https://universidade.pipelovers.net/m/lessons/certificacao-e-treinamento-de-parceiros-em-novos-produtos-1785350680902?moduleId=1574&amp;classId=4449</v>
      </c>
      <c r="L820" s="615"/>
      <c r="M820" s="1202">
        <f>IFERROR(__xludf.DUMMYFUNCTION("""COMPUTED_VALUE"""),3.0)</f>
        <v>3</v>
      </c>
      <c r="N820" s="218"/>
      <c r="O820" s="151" t="str">
        <f>IFERROR(__xludf.DUMMYFUNCTION("""COMPUTED_VALUE"""),"")</f>
        <v/>
      </c>
      <c r="P820" s="1138"/>
      <c r="Q820" s="151"/>
    </row>
    <row r="821">
      <c r="A821" s="73"/>
      <c r="B821" s="1129" t="str">
        <f>IFERROR(__xludf.DUMMYFUNCTION("""COMPUTED_VALUE"""),"Canais e Parcerias")</f>
        <v>Canais e Parcerias</v>
      </c>
      <c r="C821" s="893" t="str">
        <f>IFERROR(__xludf.DUMMYFUNCTION("""COMPUTED_VALUE"""),"Canais que geram resultados de MRR")</f>
        <v>Canais que geram resultados de MRR</v>
      </c>
      <c r="D821" s="893" t="str">
        <f>IFERROR(__xludf.DUMMYFUNCTION("""COMPUTED_VALUE"""),"Tiago Teixeira")</f>
        <v>Tiago Teixeira</v>
      </c>
      <c r="E821" s="736" t="str">
        <f>IFERROR(__xludf.DUMMYFUNCTION("""COMPUTED_VALUE"""),"Diretor de Vendas")</f>
        <v>Diretor de Vendas</v>
      </c>
      <c r="F821" s="737" t="str">
        <f>IFERROR(__xludf.DUMMYFUNCTION("""COMPUTED_VALUE"""),"Sankhya")</f>
        <v>Sankhya</v>
      </c>
      <c r="G821" s="999" t="str">
        <f>IFERROR(__xludf.DUMMYFUNCTION("""COMPUTED_VALUE"""),"https://www.linkedin.com/in/tiagoteixeiraoficial/")</f>
        <v>https://www.linkedin.com/in/tiagoteixeiraoficial/</v>
      </c>
      <c r="H821" s="737" t="str">
        <f>IFERROR(__xludf.DUMMYFUNCTION("""COMPUTED_VALUE"""),"Visão de Negócios")</f>
        <v>Visão de Negócios</v>
      </c>
      <c r="I821" s="737" t="str">
        <f>IFERROR(__xludf.DUMMYFUNCTION("""COMPUTED_VALUE"""),"Pensamento Crítico")</f>
        <v>Pensamento Crítico</v>
      </c>
      <c r="J821" s="615" t="str">
        <f>IFERROR(__xludf.DUMMYFUNCTION("""COMPUTED_VALUE"""),"Métricas de Funil")</f>
        <v>Métricas de Funil</v>
      </c>
      <c r="K821" s="999" t="str">
        <f>IFERROR(__xludf.DUMMYFUNCTION("""COMPUTED_VALUE"""),"https://universidade.pipelovers.net/m/lessons/canais-que-geram-resultados-de-mrr-1785434867780?moduleId=1577&amp;classId=4452")</f>
        <v>https://universidade.pipelovers.net/m/lessons/canais-que-geram-resultados-de-mrr-1785434867780?moduleId=1577&amp;classId=4452</v>
      </c>
      <c r="L821" s="736"/>
      <c r="M821" s="1202">
        <f>IFERROR(__xludf.DUMMYFUNCTION("""COMPUTED_VALUE"""),4.07)</f>
        <v>4.07</v>
      </c>
      <c r="N821" s="218"/>
      <c r="O821" s="151" t="str">
        <f>IFERROR(__xludf.DUMMYFUNCTION("""COMPUTED_VALUE"""),"")</f>
        <v/>
      </c>
      <c r="P821" s="1138"/>
      <c r="Q821" s="151"/>
    </row>
    <row r="822">
      <c r="A822" s="73"/>
      <c r="B822" s="1129" t="str">
        <f>IFERROR(__xludf.DUMMYFUNCTION("""COMPUTED_VALUE"""),"Canais e Parcerias")</f>
        <v>Canais e Parcerias</v>
      </c>
      <c r="C822" s="1216" t="str">
        <f>IFERROR(__xludf.DUMMYFUNCTION("""COMPUTED_VALUE"""),"Gestão de mudanças em programas de canais")</f>
        <v>Gestão de mudanças em programas de canais</v>
      </c>
      <c r="D822" s="1216" t="str">
        <f>IFERROR(__xludf.DUMMYFUNCTION("""COMPUTED_VALUE"""),"Diego Almada")</f>
        <v>Diego Almada</v>
      </c>
      <c r="E822" s="736" t="str">
        <f>IFERROR(__xludf.DUMMYFUNCTION("""COMPUTED_VALUE"""),"Diretor de expansão")</f>
        <v>Diretor de expansão</v>
      </c>
      <c r="F822" s="737" t="str">
        <f>IFERROR(__xludf.DUMMYFUNCTION("""COMPUTED_VALUE"""),"Blow")</f>
        <v>Blow</v>
      </c>
      <c r="G822" s="999" t="str">
        <f>IFERROR(__xludf.DUMMYFUNCTION("""COMPUTED_VALUE"""),"https://www.linkedin.com/in/diego-almada-92122056/")</f>
        <v>https://www.linkedin.com/in/diego-almada-92122056/</v>
      </c>
      <c r="H822" s="737" t="str">
        <f>IFERROR(__xludf.DUMMYFUNCTION("""COMPUTED_VALUE"""),"Relacionamento Interpessoal")</f>
        <v>Relacionamento Interpessoal</v>
      </c>
      <c r="I822" s="737" t="str">
        <f>IFERROR(__xludf.DUMMYFUNCTION("""COMPUTED_VALUE"""),"Comunicação e Relacionamento")</f>
        <v>Comunicação e Relacionamento</v>
      </c>
      <c r="J822" s="737" t="str">
        <f>IFERROR(__xludf.DUMMYFUNCTION("""COMPUTED_VALUE"""),"Comunicação Virtual")</f>
        <v>Comunicação Virtual</v>
      </c>
      <c r="K822" s="999" t="str">
        <f>IFERROR(__xludf.DUMMYFUNCTION("""COMPUTED_VALUE"""),"https://universidade.pipelovers.net/m/lessons/gestao-de-mudancas-em-programas-de-canais-1786046457426?moduleId=1582&amp;classId=4471")</f>
        <v>https://universidade.pipelovers.net/m/lessons/gestao-de-mudancas-em-programas-de-canais-1786046457426?moduleId=1582&amp;classId=4471</v>
      </c>
      <c r="L822" s="736"/>
      <c r="M822" s="1202">
        <f>IFERROR(__xludf.DUMMYFUNCTION("""COMPUTED_VALUE"""),3.71)</f>
        <v>3.71</v>
      </c>
      <c r="N822" s="218"/>
      <c r="O822" s="151" t="str">
        <f>IFERROR(__xludf.DUMMYFUNCTION("""COMPUTED_VALUE"""),"")</f>
        <v/>
      </c>
      <c r="P822" s="1138"/>
      <c r="Q822" s="151"/>
    </row>
    <row r="823">
      <c r="A823" s="73"/>
      <c r="B823" s="1129" t="str">
        <f>IFERROR(__xludf.DUMMYFUNCTION("""COMPUTED_VALUE"""),"Canais e Parcerias")</f>
        <v>Canais e Parcerias</v>
      </c>
      <c r="C823" s="1137" t="str">
        <f>IFERROR(__xludf.DUMMYFUNCTION("""COMPUTED_VALUE"""),"IA aplicada na gestão de vendas indiretas")</f>
        <v>IA aplicada na gestão de vendas indiretas</v>
      </c>
      <c r="D823" s="1137" t="str">
        <f>IFERROR(__xludf.DUMMYFUNCTION("""COMPUTED_VALUE"""),"Yago Baia")</f>
        <v>Yago Baia</v>
      </c>
      <c r="E823" s="218" t="str">
        <f>IFERROR(__xludf.DUMMYFUNCTION("""COMPUTED_VALUE"""),"Founder")</f>
        <v>Founder</v>
      </c>
      <c r="F823" s="667" t="str">
        <f>IFERROR(__xludf.DUMMYFUNCTION("""COMPUTED_VALUE"""),"You Closer")</f>
        <v>You Closer</v>
      </c>
      <c r="G823" s="668" t="str">
        <f>IFERROR(__xludf.DUMMYFUNCTION("""COMPUTED_VALUE"""),"https://www.linkedin.com/in/oyagobaia/")</f>
        <v>https://www.linkedin.com/in/oyagobaia/</v>
      </c>
      <c r="H823" s="667" t="str">
        <f>IFERROR(__xludf.DUMMYFUNCTION("""COMPUTED_VALUE"""),"Autodesenvolvimento")</f>
        <v>Autodesenvolvimento</v>
      </c>
      <c r="I823" s="667" t="str">
        <f>IFERROR(__xludf.DUMMYFUNCTION("""COMPUTED_VALUE"""),"Gestão de Tempo e da Informação")</f>
        <v>Gestão de Tempo e da Informação</v>
      </c>
      <c r="J823" s="667" t="str">
        <f>IFERROR(__xludf.DUMMYFUNCTION("""COMPUTED_VALUE"""),"Melhores Práticas de CRM")</f>
        <v>Melhores Práticas de CRM</v>
      </c>
      <c r="K823" s="668" t="str">
        <f>IFERROR(__xludf.DUMMYFUNCTION("""COMPUTED_VALUE"""),"https://universidade.pipelovers.net/m/lessons/ia-aplicada-na-gestao-de-vendas-indiretas-1787066815356?moduleId=1592&amp;classId=4483")</f>
        <v>https://universidade.pipelovers.net/m/lessons/ia-aplicada-na-gestao-de-vendas-indiretas-1787066815356?moduleId=1592&amp;classId=4483</v>
      </c>
      <c r="L823" s="218"/>
      <c r="M823" s="1202">
        <f>IFERROR(__xludf.DUMMYFUNCTION("""COMPUTED_VALUE"""),3.64)</f>
        <v>3.64</v>
      </c>
      <c r="N823" s="218"/>
      <c r="O823" s="151" t="str">
        <f>IFERROR(__xludf.DUMMYFUNCTION("""COMPUTED_VALUE"""),"")</f>
        <v/>
      </c>
      <c r="P823" s="1138"/>
      <c r="Q823" s="151"/>
    </row>
    <row r="824">
      <c r="A824" s="73"/>
      <c r="B824" s="1129" t="str">
        <f>IFERROR(__xludf.DUMMYFUNCTION("""COMPUTED_VALUE"""),"Canais e Parcerias")</f>
        <v>Canais e Parcerias</v>
      </c>
      <c r="C824" s="302" t="str">
        <f>IFERROR(__xludf.DUMMYFUNCTION("""COMPUTED_VALUE"""),"Case Mercos: de 0 a 60 como construimos um canal do zero")</f>
        <v>Case Mercos: de 0 a 60 como construimos um canal do zero</v>
      </c>
      <c r="D824" s="296" t="str">
        <f>IFERROR(__xludf.DUMMYFUNCTION("""COMPUTED_VALUE"""),"Andrea Kaestner")</f>
        <v>Andrea Kaestner</v>
      </c>
      <c r="E824" s="218" t="str">
        <f>IFERROR(__xludf.DUMMYFUNCTION("""COMPUTED_VALUE"""),"Head de Canais")</f>
        <v>Head de Canais</v>
      </c>
      <c r="F824" s="667" t="str">
        <f>IFERROR(__xludf.DUMMYFUNCTION("""COMPUTED_VALUE"""),"Mercos")</f>
        <v>Mercos</v>
      </c>
      <c r="G824" s="668" t="str">
        <f>IFERROR(__xludf.DUMMYFUNCTION("""COMPUTED_VALUE"""),"https://www.linkedin.com/in/andr%C3%A9a-kaestner-03410621/")</f>
        <v>https://www.linkedin.com/in/andr%C3%A9a-kaestner-03410621/</v>
      </c>
      <c r="H824" s="667" t="str">
        <f>IFERROR(__xludf.DUMMYFUNCTION("""COMPUTED_VALUE"""),"Visão de Negócios")</f>
        <v>Visão de Negócios</v>
      </c>
      <c r="I824" s="667" t="str">
        <f>IFERROR(__xludf.DUMMYFUNCTION("""COMPUTED_VALUE"""),"Tendências de Mercado")</f>
        <v>Tendências de Mercado</v>
      </c>
      <c r="J824" s="667" t="str">
        <f>IFERROR(__xludf.DUMMYFUNCTION("""COMPUTED_VALUE"""),"Tendências do Setor")</f>
        <v>Tendências do Setor</v>
      </c>
      <c r="K824" s="535" t="str">
        <f>IFERROR(__xludf.DUMMYFUNCTION("""COMPUTED_VALUE"""),"https://universidade.pipelovers.net/m/lessons/case-mercos-de-0-a-60-como-construimos-um-canal-do-zero-1787066991400?moduleId=1593&amp;classId=4484")</f>
        <v>https://universidade.pipelovers.net/m/lessons/case-mercos-de-0-a-60-como-construimos-um-canal-do-zero-1787066991400?moduleId=1593&amp;classId=4484</v>
      </c>
      <c r="L824" s="535"/>
      <c r="M824" s="117">
        <f>IFERROR(__xludf.DUMMYFUNCTION("""COMPUTED_VALUE"""),4.43)</f>
        <v>4.43</v>
      </c>
      <c r="N824" s="110"/>
      <c r="O824" s="228" t="str">
        <f>IFERROR(__xludf.DUMMYFUNCTION("""COMPUTED_VALUE"""),"")</f>
        <v/>
      </c>
      <c r="P824" s="1217"/>
      <c r="Q824" s="228"/>
    </row>
    <row r="825">
      <c r="A825" s="73"/>
      <c r="B825" s="1129" t="str">
        <f>IFERROR(__xludf.DUMMYFUNCTION("""COMPUTED_VALUE"""),"Canais e Parcerias")</f>
        <v>Canais e Parcerias</v>
      </c>
      <c r="C825" s="216" t="str">
        <f>IFERROR(__xludf.DUMMYFUNCTION("""COMPUTED_VALUE"""),"Rituais de Gestão de performance com canais indiretos")</f>
        <v>Rituais de Gestão de performance com canais indiretos</v>
      </c>
      <c r="D825" s="119" t="str">
        <f>IFERROR(__xludf.DUMMYFUNCTION("""COMPUTED_VALUE"""),"Andreia Vavassori")</f>
        <v>Andreia Vavassori</v>
      </c>
      <c r="E825" s="218" t="str">
        <f>IFERROR(__xludf.DUMMYFUNCTION("""COMPUTED_VALUE"""),"Gestora de Canais")</f>
        <v>Gestora de Canais</v>
      </c>
      <c r="F825" s="667" t="str">
        <f>IFERROR(__xludf.DUMMYFUNCTION("""COMPUTED_VALUE"""),"Goomer")</f>
        <v>Goomer</v>
      </c>
      <c r="G825" s="668" t="str">
        <f>IFERROR(__xludf.DUMMYFUNCTION("""COMPUTED_VALUE"""),"https://www.linkedin.com/in/andreiavavassorigerentecomercial/")</f>
        <v>https://www.linkedin.com/in/andreiavavassorigerentecomercial/</v>
      </c>
      <c r="H825" s="667" t="str">
        <f>IFERROR(__xludf.DUMMYFUNCTION("""COMPUTED_VALUE"""),"Autodesenvolvimento")</f>
        <v>Autodesenvolvimento</v>
      </c>
      <c r="I825" s="667" t="str">
        <f>IFERROR(__xludf.DUMMYFUNCTION("""COMPUTED_VALUE"""),"Inteligência Emocional")</f>
        <v>Inteligência Emocional</v>
      </c>
      <c r="J825" s="667" t="str">
        <f>IFERROR(__xludf.DUMMYFUNCTION("""COMPUTED_VALUE"""),"Motivação")</f>
        <v>Motivação</v>
      </c>
      <c r="K825" s="535" t="str">
        <f>IFERROR(__xludf.DUMMYFUNCTION("""COMPUTED_VALUE"""),"https://universidade.pipelovers.net/m/lessons/rituais-de-gestao-de-performance-com-canais-indiretos-1788463008810?moduleId=1642&amp;classId=4549")</f>
        <v>https://universidade.pipelovers.net/m/lessons/rituais-de-gestao-de-performance-com-canais-indiretos-1788463008810?moduleId=1642&amp;classId=4549</v>
      </c>
      <c r="L825" s="535"/>
      <c r="M825" s="117"/>
      <c r="N825" s="472"/>
      <c r="O825" s="151" t="str">
        <f>IFERROR(__xludf.DUMMYFUNCTION("""COMPUTED_VALUE"""),"")</f>
        <v/>
      </c>
      <c r="P825" s="1217"/>
      <c r="Q825" s="151"/>
    </row>
    <row r="826">
      <c r="A826" s="73"/>
      <c r="B826" s="1129" t="str">
        <f>IFERROR(__xludf.DUMMYFUNCTION("""COMPUTED_VALUE"""),"Canais e Parcerias")</f>
        <v>Canais e Parcerias</v>
      </c>
      <c r="C826" s="181" t="str">
        <f>IFERROR(__xludf.DUMMYFUNCTION("""COMPUTED_VALUE"""),"Técnicas de engajamento de vendedores de parceiros")</f>
        <v>Técnicas de engajamento de vendedores de parceiros</v>
      </c>
      <c r="D826" s="104" t="str">
        <f>IFERROR(__xludf.DUMMYFUNCTION("""COMPUTED_VALUE"""),"Ellen Alexandra")</f>
        <v>Ellen Alexandra</v>
      </c>
      <c r="E826" s="208" t="str">
        <f>IFERROR(__xludf.DUMMYFUNCTION("""COMPUTED_VALUE"""),"Especialista em Conteúdo")</f>
        <v>Especialista em Conteúdo</v>
      </c>
      <c r="F826" s="655" t="str">
        <f>IFERROR(__xludf.DUMMYFUNCTION("""COMPUTED_VALUE"""),"Pipelovers")</f>
        <v>Pipelovers</v>
      </c>
      <c r="G826" s="656" t="str">
        <f>IFERROR(__xludf.DUMMYFUNCTION("""COMPUTED_VALUE"""),"https://www.linkedin.com/in/ellenalexsandra/?isSelfProfile=false")</f>
        <v>https://www.linkedin.com/in/ellenalexsandra/?isSelfProfile=false</v>
      </c>
      <c r="H826" s="655" t="str">
        <f>IFERROR(__xludf.DUMMYFUNCTION("""COMPUTED_VALUE"""),"Relacionamento Interpessoal")</f>
        <v>Relacionamento Interpessoal</v>
      </c>
      <c r="I826" s="655" t="str">
        <f>IFERROR(__xludf.DUMMYFUNCTION("""COMPUTED_VALUE"""),"Liderança e Influência")</f>
        <v>Liderança e Influência</v>
      </c>
      <c r="J826" s="655" t="str">
        <f>IFERROR(__xludf.DUMMYFUNCTION("""COMPUTED_VALUE"""),"Stakeholder Management")</f>
        <v>Stakeholder Management</v>
      </c>
      <c r="K826" s="167" t="str">
        <f>IFERROR(__xludf.DUMMYFUNCTION("""COMPUTED_VALUE"""),"https://universidade.pipelovers.net/m/lessons/tecnicas-de-engajamento-de-vendedores-de-parceiros-1787067289106?moduleId=1594&amp;classId=4485")</f>
        <v>https://universidade.pipelovers.net/m/lessons/tecnicas-de-engajamento-de-vendedores-de-parceiros-1787067289106?moduleId=1594&amp;classId=4485</v>
      </c>
      <c r="L826" s="167"/>
      <c r="M826" s="117"/>
      <c r="N826" s="472"/>
      <c r="O826" s="151" t="str">
        <f>IFERROR(__xludf.DUMMYFUNCTION("""COMPUTED_VALUE"""),"")</f>
        <v/>
      </c>
      <c r="P826" s="1217"/>
      <c r="Q826" s="151"/>
    </row>
    <row r="827">
      <c r="A827" s="73"/>
      <c r="B827" s="1129" t="str">
        <f>IFERROR(__xludf.DUMMYFUNCTION("""COMPUTED_VALUE"""),"")</f>
        <v/>
      </c>
      <c r="C827" s="529" t="str">
        <f>IFERROR(__xludf.DUMMYFUNCTION("""COMPUTED_VALUE"""),"")</f>
        <v/>
      </c>
      <c r="D827" s="119" t="str">
        <f>IFERROR(__xludf.DUMMYFUNCTION("""COMPUTED_VALUE"""),"")</f>
        <v/>
      </c>
      <c r="E827" s="208" t="str">
        <f>IFERROR(__xludf.DUMMYFUNCTION("""COMPUTED_VALUE"""),"")</f>
        <v/>
      </c>
      <c r="F827" s="1218" t="str">
        <f>IFERROR(__xludf.DUMMYFUNCTION("""COMPUTED_VALUE"""),"")</f>
        <v/>
      </c>
      <c r="G827" s="1218" t="str">
        <f>IFERROR(__xludf.DUMMYFUNCTION("""COMPUTED_VALUE"""),"")</f>
        <v/>
      </c>
      <c r="H827" s="655" t="str">
        <f>IFERROR(__xludf.DUMMYFUNCTION("""COMPUTED_VALUE"""),"")</f>
        <v/>
      </c>
      <c r="I827" s="655" t="str">
        <f>IFERROR(__xludf.DUMMYFUNCTION("""COMPUTED_VALUE"""),"")</f>
        <v/>
      </c>
      <c r="J827" s="655" t="str">
        <f>IFERROR(__xludf.DUMMYFUNCTION("""COMPUTED_VALUE"""),"")</f>
        <v/>
      </c>
      <c r="K827" s="535" t="str">
        <f>IFERROR(__xludf.DUMMYFUNCTION("""COMPUTED_VALUE"""),"")</f>
        <v/>
      </c>
      <c r="L827" s="535" t="str">
        <f>IFERROR(__xludf.DUMMYFUNCTION("""COMPUTED_VALUE"""),"")</f>
        <v/>
      </c>
      <c r="M827" s="117" t="str">
        <f>IFERROR(__xludf.DUMMYFUNCTION("""COMPUTED_VALUE"""),"")</f>
        <v/>
      </c>
      <c r="N827" s="472" t="str">
        <f>IFERROR(__xludf.DUMMYFUNCTION("""COMPUTED_VALUE"""),"")</f>
        <v/>
      </c>
      <c r="O827" s="228" t="str">
        <f>IFERROR(__xludf.DUMMYFUNCTION("""COMPUTED_VALUE"""),"")</f>
        <v/>
      </c>
      <c r="P827" s="1217" t="str">
        <f>IFERROR(__xludf.DUMMYFUNCTION("""COMPUTED_VALUE"""),"")</f>
        <v/>
      </c>
      <c r="Q827" s="228"/>
    </row>
    <row r="828">
      <c r="A828" s="73"/>
      <c r="B828" s="1129" t="str">
        <f>IFERROR(__xludf.DUMMYFUNCTION("""COMPUTED_VALUE"""),"Class")</f>
        <v>Class</v>
      </c>
      <c r="C828" s="529" t="str">
        <f>IFERROR(__xludf.DUMMYFUNCTION("""COMPUTED_VALUE"""),"CRM como aliado e não como inimigo")</f>
        <v>CRM como aliado e não como inimigo</v>
      </c>
      <c r="D828" s="104" t="str">
        <f>IFERROR(__xludf.DUMMYFUNCTION("""COMPUTED_VALUE"""),"Marcelo Guimarães")</f>
        <v>Marcelo Guimarães</v>
      </c>
      <c r="E828" s="218" t="str">
        <f>IFERROR(__xludf.DUMMYFUNCTION("""COMPUTED_VALUE"""),"Co-fundador")</f>
        <v>Co-fundador</v>
      </c>
      <c r="F828" s="858" t="str">
        <f>IFERROR(__xludf.DUMMYFUNCTION("""COMPUTED_VALUE"""),"Bucks Solutions")</f>
        <v>Bucks Solutions</v>
      </c>
      <c r="G828" s="860" t="str">
        <f>IFERROR(__xludf.DUMMYFUNCTION("""COMPUTED_VALUE"""),"https://www.linkedin.com/in/marcelo-guimar%C3%A3es-037b70160/")</f>
        <v>https://www.linkedin.com/in/marcelo-guimar%C3%A3es-037b70160/</v>
      </c>
      <c r="H828" s="667" t="str">
        <f>IFERROR(__xludf.DUMMYFUNCTION("""COMPUTED_VALUE"""),"Autodesenvolvimento")</f>
        <v>Autodesenvolvimento</v>
      </c>
      <c r="I828" s="667" t="str">
        <f>IFERROR(__xludf.DUMMYFUNCTION("""COMPUTED_VALUE"""),"Gestão de Tempo e da Informação")</f>
        <v>Gestão de Tempo e da Informação</v>
      </c>
      <c r="J828" s="667" t="str">
        <f>IFERROR(__xludf.DUMMYFUNCTION("""COMPUTED_VALUE"""),"Melhores Práticas de CRM")</f>
        <v>Melhores Práticas de CRM</v>
      </c>
      <c r="K828" s="535" t="str">
        <f>IFERROR(__xludf.DUMMYFUNCTION("""COMPUTED_VALUE"""),"https://universidade.pipelovers.net/m/lessons/crm-como-aliado-e-nao-como-inimigo1769550039731?classId=3301")</f>
        <v>https://universidade.pipelovers.net/m/lessons/crm-como-aliado-e-nao-como-inimigo1769550039731?classId=3301</v>
      </c>
      <c r="L828" s="535" t="str">
        <f>IFERROR(__xludf.DUMMYFUNCTION("""COMPUTED_VALUE"""),"https://universidade.pipelovers.net/m/lessons/crm-como-aliado-e-nao-como-inimigo1769550039731?classId=3301")</f>
        <v>https://universidade.pipelovers.net/m/lessons/crm-como-aliado-e-nao-como-inimigo1769550039731?classId=3301</v>
      </c>
      <c r="M828" s="117">
        <f>IFERROR(__xludf.DUMMYFUNCTION("""COMPUTED_VALUE"""),1.0)</f>
        <v>1</v>
      </c>
      <c r="N828" s="472" t="str">
        <f>IFERROR(__xludf.DUMMYFUNCTION("""COMPUTED_VALUE"""),"1. PipeLovers Class 🤍: ""CRM como aliado e não como inimigo"" com Marcelo Guimarães (2024-07-19 11:05 GMT-3)")</f>
        <v>1. PipeLovers Class 🤍: "CRM como aliado e não como inimigo" com Marcelo Guimarães (2024-07-19 11:05 GMT-3)</v>
      </c>
      <c r="O828" s="218" t="str">
        <f>IFERROR(__xludf.DUMMYFUNCTION("""COMPUTED_VALUE"""),"")</f>
        <v/>
      </c>
      <c r="P828" s="1217">
        <f>IFERROR(__xludf.DUMMYFUNCTION("""COMPUTED_VALUE"""),45555.0)</f>
        <v>45555</v>
      </c>
      <c r="Q828" s="218"/>
    </row>
    <row r="829">
      <c r="A829" s="73"/>
      <c r="B829" s="1129" t="str">
        <f>IFERROR(__xludf.DUMMYFUNCTION("""COMPUTED_VALUE"""),"Class")</f>
        <v>Class</v>
      </c>
      <c r="C829" s="544" t="str">
        <f>IFERROR(__xludf.DUMMYFUNCTION("""COMPUTED_VALUE"""),"Como vender para diferentes perfis comportamentais (DISC)")</f>
        <v>Como vender para diferentes perfis comportamentais (DISC)</v>
      </c>
      <c r="D829" s="119" t="str">
        <f>IFERROR(__xludf.DUMMYFUNCTION("""COMPUTED_VALUE"""),"Igor Batista")</f>
        <v>Igor Batista</v>
      </c>
      <c r="E829" s="218" t="str">
        <f>IFERROR(__xludf.DUMMYFUNCTION("""COMPUTED_VALUE"""),"Fundador")</f>
        <v>Fundador</v>
      </c>
      <c r="F829" s="667" t="str">
        <f>IFERROR(__xludf.DUMMYFUNCTION("""COMPUTED_VALUE"""),"iBusiness")</f>
        <v>iBusiness</v>
      </c>
      <c r="G829" s="668" t="str">
        <f>IFERROR(__xludf.DUMMYFUNCTION("""COMPUTED_VALUE"""),"https://www.linkedin.com/in/igorbatista/")</f>
        <v>https://www.linkedin.com/in/igorbatista/</v>
      </c>
      <c r="H829" s="667" t="str">
        <f>IFERROR(__xludf.DUMMYFUNCTION("""COMPUTED_VALUE"""),"Conhecimento Técnico")</f>
        <v>Conhecimento Técnico</v>
      </c>
      <c r="I829" s="667" t="str">
        <f>IFERROR(__xludf.DUMMYFUNCTION("""COMPUTED_VALUE"""),"Técnicas de Vendas")</f>
        <v>Técnicas de Vendas</v>
      </c>
      <c r="J829" s="667" t="str">
        <f>IFERROR(__xludf.DUMMYFUNCTION("""COMPUTED_VALUE"""),"Qualificação e Entendimento da Dor")</f>
        <v>Qualificação e Entendimento da Dor</v>
      </c>
      <c r="K829" s="167" t="str">
        <f>IFERROR(__xludf.DUMMYFUNCTION("""COMPUTED_VALUE"""),"https://universidade.pipelovers.net/m/lessons/como-vender-para-diferentes-perfis-comportamentais-disc1769550039702?classId=3723")</f>
        <v>https://universidade.pipelovers.net/m/lessons/como-vender-para-diferentes-perfis-comportamentais-disc1769550039702?classId=3723</v>
      </c>
      <c r="L829" s="167" t="str">
        <f>IFERROR(__xludf.DUMMYFUNCTION("""COMPUTED_VALUE"""),"https://universidade.pipelovers.net/m/lessons/como-vender-para-diferentes-perfis-comportamentais-disc1769550039702?classId=3723")</f>
        <v>https://universidade.pipelovers.net/m/lessons/como-vender-para-diferentes-perfis-comportamentais-disc1769550039702?classId=3723</v>
      </c>
      <c r="M829" s="117">
        <f>IFERROR(__xludf.DUMMYFUNCTION("""COMPUTED_VALUE"""),1.0)</f>
        <v>1</v>
      </c>
      <c r="N829" s="472" t="str">
        <f>IFERROR(__xludf.DUMMYFUNCTION("""COMPUTED_VALUE"""),"2. PipeLovers Class 🤍: ""Como vender para diferentes perfis comportamentais (DISC)"" com Igor Batista (2024-07-26 11:07 GMT-3)")</f>
        <v>2. PipeLovers Class 🤍: "Como vender para diferentes perfis comportamentais (DISC)" com Igor Batista (2024-07-26 11:07 GMT-3)</v>
      </c>
      <c r="O829" s="218" t="str">
        <f>IFERROR(__xludf.DUMMYFUNCTION("""COMPUTED_VALUE"""),"")</f>
        <v/>
      </c>
      <c r="P829" s="1217">
        <f>IFERROR(__xludf.DUMMYFUNCTION("""COMPUTED_VALUE"""),45562.0)</f>
        <v>45562</v>
      </c>
      <c r="Q829" s="218"/>
    </row>
    <row r="830">
      <c r="A830" s="73"/>
      <c r="B830" s="1129" t="str">
        <f>IFERROR(__xludf.DUMMYFUNCTION("""COMPUTED_VALUE"""),"Class")</f>
        <v>Class</v>
      </c>
      <c r="C830" s="501" t="str">
        <f>IFERROR(__xludf.DUMMYFUNCTION("""COMPUTED_VALUE"""),"Tráfego pago sem bláh bláh bláh")</f>
        <v>Tráfego pago sem bláh bláh bláh</v>
      </c>
      <c r="D830" s="104" t="str">
        <f>IFERROR(__xludf.DUMMYFUNCTION("""COMPUTED_VALUE"""),"Maucir Nascimento")</f>
        <v>Maucir Nascimento</v>
      </c>
      <c r="E830" s="218" t="str">
        <f>IFERROR(__xludf.DUMMYFUNCTION("""COMPUTED_VALUE"""),"Fundador")</f>
        <v>Fundador</v>
      </c>
      <c r="F830" s="667" t="str">
        <f>IFERROR(__xludf.DUMMYFUNCTION("""COMPUTED_VALUE"""),"Noblah")</f>
        <v>Noblah</v>
      </c>
      <c r="G830" s="668" t="str">
        <f>IFERROR(__xludf.DUMMYFUNCTION("""COMPUTED_VALUE"""),"https://www.linkedin.com/in/maucirnascimento/")</f>
        <v>https://www.linkedin.com/in/maucirnascimento/</v>
      </c>
      <c r="H830" s="667" t="str">
        <f>IFERROR(__xludf.DUMMYFUNCTION("""COMPUTED_VALUE"""),"Visão de Negócios")</f>
        <v>Visão de Negócios</v>
      </c>
      <c r="I830" s="667" t="str">
        <f>IFERROR(__xludf.DUMMYFUNCTION("""COMPUTED_VALUE"""),"Tendências de Mercado")</f>
        <v>Tendências de Mercado</v>
      </c>
      <c r="J830" s="667" t="str">
        <f>IFERROR(__xludf.DUMMYFUNCTION("""COMPUTED_VALUE"""),"Inovações Tecnológicas")</f>
        <v>Inovações Tecnológicas</v>
      </c>
      <c r="K830" s="535" t="str">
        <f>IFERROR(__xludf.DUMMYFUNCTION("""COMPUTED_VALUE"""),"https://universidade.pipelovers.net/aulas/trafego-pago-com-vendas-sem-blah-blah-blah-1775814611965")</f>
        <v>https://universidade.pipelovers.net/aulas/trafego-pago-com-vendas-sem-blah-blah-blah-1775814611965</v>
      </c>
      <c r="L830" s="535" t="str">
        <f>IFERROR(__xludf.DUMMYFUNCTION("""COMPUTED_VALUE"""),"https://universidade.pipelovers.net/aulas/trafego-pago-com-vendas-sem-blah-blah-blah-1775814611965")</f>
        <v>https://universidade.pipelovers.net/aulas/trafego-pago-com-vendas-sem-blah-blah-blah-1775814611965</v>
      </c>
      <c r="M830" s="117">
        <f>IFERROR(__xludf.DUMMYFUNCTION("""COMPUTED_VALUE"""),1.0)</f>
        <v>1</v>
      </c>
      <c r="N830" s="472" t="str">
        <f>IFERROR(__xludf.DUMMYFUNCTION("""COMPUTED_VALUE"""),"3.PipeLovers Class 🤍: ""Tráfego Pago com Vendas sem Blah Blah Blah"" com Maucir Nascimento (2024-08-02 11:06 GMT-3)")</f>
        <v>3.PipeLovers Class 🤍: "Tráfego Pago com Vendas sem Blah Blah Blah" com Maucir Nascimento (2024-08-02 11:06 GMT-3)</v>
      </c>
      <c r="O830" s="218" t="str">
        <f>IFERROR(__xludf.DUMMYFUNCTION("""COMPUTED_VALUE"""),"")</f>
        <v/>
      </c>
      <c r="P830" s="1217">
        <f>IFERROR(__xludf.DUMMYFUNCTION("""COMPUTED_VALUE"""),45569.0)</f>
        <v>45569</v>
      </c>
      <c r="Q830" s="218"/>
    </row>
    <row r="831">
      <c r="A831" s="73"/>
      <c r="B831" s="1129" t="str">
        <f>IFERROR(__xludf.DUMMYFUNCTION("""COMPUTED_VALUE"""),"Class")</f>
        <v>Class</v>
      </c>
      <c r="C831" s="529" t="str">
        <f>IFERROR(__xludf.DUMMYFUNCTION("""COMPUTED_VALUE"""),"Negociação faixa preta: técnicas e habilidades para vender mais e superar os desafios atuais")</f>
        <v>Negociação faixa preta: técnicas e habilidades para vender mais e superar os desafios atuais</v>
      </c>
      <c r="D831" s="119" t="str">
        <f>IFERROR(__xludf.DUMMYFUNCTION("""COMPUTED_VALUE"""),"Ronaldo Nunes")</f>
        <v>Ronaldo Nunes</v>
      </c>
      <c r="E831" s="218" t="str">
        <f>IFERROR(__xludf.DUMMYFUNCTION("""COMPUTED_VALUE"""),"Sócio")</f>
        <v>Sócio</v>
      </c>
      <c r="F831" s="667" t="str">
        <f>IFERROR(__xludf.DUMMYFUNCTION("""COMPUTED_VALUE"""),"Vector Soluções")</f>
        <v>Vector Soluções</v>
      </c>
      <c r="G831" s="668" t="str">
        <f>IFERROR(__xludf.DUMMYFUNCTION("""COMPUTED_VALUE"""),"https://linkedin.com/in/RonaldoNunes")</f>
        <v>https://linkedin.com/in/RonaldoNunes</v>
      </c>
      <c r="H831" s="667" t="str">
        <f>IFERROR(__xludf.DUMMYFUNCTION("""COMPUTED_VALUE"""),"Conhecimento Técnico")</f>
        <v>Conhecimento Técnico</v>
      </c>
      <c r="I831" s="667" t="str">
        <f>IFERROR(__xludf.DUMMYFUNCTION("""COMPUTED_VALUE"""),"Técnicas de Vendas")</f>
        <v>Técnicas de Vendas</v>
      </c>
      <c r="J831" s="667" t="str">
        <f>IFERROR(__xludf.DUMMYFUNCTION("""COMPUTED_VALUE"""),"Negociação e Fechamento de Vendas")</f>
        <v>Negociação e Fechamento de Vendas</v>
      </c>
      <c r="K831" s="535" t="str">
        <f>IFERROR(__xludf.DUMMYFUNCTION("""COMPUTED_VALUE"""),"https://universidade.pipelovers.net/m/lessons/negociacao-faixa-preta-tecnicas-e-habilidades-para-vender-mais-e-superar-os-desafios-atuais1769550039490?classId=3725")</f>
        <v>https://universidade.pipelovers.net/m/lessons/negociacao-faixa-preta-tecnicas-e-habilidades-para-vender-mais-e-superar-os-desafios-atuais1769550039490?classId=3725</v>
      </c>
      <c r="L831" s="535" t="str">
        <f>IFERROR(__xludf.DUMMYFUNCTION("""COMPUTED_VALUE"""),"https://universidade.pipelovers.net/m/lessons/negociacao-faixa-preta-tecnicas-e-habilidades-para-vender-mais-e-superar-os-desafios-atuais1769550039490?classId=3725")</f>
        <v>https://universidade.pipelovers.net/m/lessons/negociacao-faixa-preta-tecnicas-e-habilidades-para-vender-mais-e-superar-os-desafios-atuais1769550039490?classId=3725</v>
      </c>
      <c r="M831" s="117">
        <f>IFERROR(__xludf.DUMMYFUNCTION("""COMPUTED_VALUE"""),2.0)</f>
        <v>2</v>
      </c>
      <c r="N831" s="472" t="str">
        <f>IFERROR(__xludf.DUMMYFUNCTION("""COMPUTED_VALUE"""),"4. PipeLovers Class 🤍: ""Negociação faixa preta: técnicas e habilidades para vender mais e superar os  (2024-08-09 11:07 GMT-3)")</f>
        <v>4. PipeLovers Class 🤍: "Negociação faixa preta: técnicas e habilidades para vender mais e superar os  (2024-08-09 11:07 GMT-3)</v>
      </c>
      <c r="O831" s="218" t="str">
        <f>IFERROR(__xludf.DUMMYFUNCTION("""COMPUTED_VALUE"""),"")</f>
        <v/>
      </c>
      <c r="P831" s="1217">
        <f>IFERROR(__xludf.DUMMYFUNCTION("""COMPUTED_VALUE"""),45576.0)</f>
        <v>45576</v>
      </c>
      <c r="Q831" s="218"/>
    </row>
    <row r="832">
      <c r="A832" s="73"/>
      <c r="B832" s="1129" t="str">
        <f>IFERROR(__xludf.DUMMYFUNCTION("""COMPUTED_VALUE"""),"Class")</f>
        <v>Class</v>
      </c>
      <c r="C832" s="501" t="str">
        <f>IFERROR(__xludf.DUMMYFUNCTION("""COMPUTED_VALUE"""),"A tríade da competência em vendas (TCV) - Conhecimento, Habilidade e Atitude")</f>
        <v>A tríade da competência em vendas (TCV) - Conhecimento, Habilidade e Atitude</v>
      </c>
      <c r="D832" s="104" t="str">
        <f>IFERROR(__xludf.DUMMYFUNCTION("""COMPUTED_VALUE"""),"Marcelo Mafra")</f>
        <v>Marcelo Mafra</v>
      </c>
      <c r="E832" s="218" t="str">
        <f>IFERROR(__xludf.DUMMYFUNCTION("""COMPUTED_VALUE"""),"CEO")</f>
        <v>CEO</v>
      </c>
      <c r="F832" s="667" t="str">
        <f>IFERROR(__xludf.DUMMYFUNCTION("""COMPUTED_VALUE"""),"Master Vendas")</f>
        <v>Master Vendas</v>
      </c>
      <c r="G832" s="668" t="str">
        <f>IFERROR(__xludf.DUMMYFUNCTION("""COMPUTED_VALUE"""),"https://www.linkedin.com/in/marcelomafra/")</f>
        <v>https://www.linkedin.com/in/marcelomafra/</v>
      </c>
      <c r="H832" s="667" t="str">
        <f>IFERROR(__xludf.DUMMYFUNCTION("""COMPUTED_VALUE"""),"Relacionamento Interpessoal")</f>
        <v>Relacionamento Interpessoal</v>
      </c>
      <c r="I832" s="667" t="str">
        <f>IFERROR(__xludf.DUMMYFUNCTION("""COMPUTED_VALUE"""),"iderança e Influência")</f>
        <v>iderança e Influência</v>
      </c>
      <c r="J832" s="667" t="str">
        <f>IFERROR(__xludf.DUMMYFUNCTION("""COMPUTED_VALUE"""),"Mentoria e Desenvolvimento de Talentos")</f>
        <v>Mentoria e Desenvolvimento de Talentos</v>
      </c>
      <c r="K832" s="535" t="str">
        <f>IFERROR(__xludf.DUMMYFUNCTION("""COMPUTED_VALUE"""),"https://universidade.pipelovers.net/m/lessons/a-triade-da-competencia-em-vendas-tcv-conhecimento-habilidade-e-atitude1769550039661?classId=3726")</f>
        <v>https://universidade.pipelovers.net/m/lessons/a-triade-da-competencia-em-vendas-tcv-conhecimento-habilidade-e-atitude1769550039661?classId=3726</v>
      </c>
      <c r="L832" s="535" t="str">
        <f>IFERROR(__xludf.DUMMYFUNCTION("""COMPUTED_VALUE"""),"https://universidade.pipelovers.net/m/lessons/a-triade-da-competencia-em-vendas-tcv-conhecimento-habilidade-e-atitude1769550039661?classId=3726")</f>
        <v>https://universidade.pipelovers.net/m/lessons/a-triade-da-competencia-em-vendas-tcv-conhecimento-habilidade-e-atitude1769550039661?classId=3726</v>
      </c>
      <c r="M832" s="117">
        <f>IFERROR(__xludf.DUMMYFUNCTION("""COMPUTED_VALUE"""),1.0)</f>
        <v>1</v>
      </c>
      <c r="N832" s="472" t="str">
        <f>IFERROR(__xludf.DUMMYFUNCTION("""COMPUTED_VALUE"""),"5. PipeLovers Class 🤍: ""A tríade da competência em vendas (TCV)"" com Marcelo Mafra (2024-08-16 11:06 GMT-3)")</f>
        <v>5. PipeLovers Class 🤍: "A tríade da competência em vendas (TCV)" com Marcelo Mafra (2024-08-16 11:06 GMT-3)</v>
      </c>
      <c r="O832" s="218" t="str">
        <f>IFERROR(__xludf.DUMMYFUNCTION("""COMPUTED_VALUE"""),"")</f>
        <v/>
      </c>
      <c r="P832" s="1217">
        <f>IFERROR(__xludf.DUMMYFUNCTION("""COMPUTED_VALUE"""),45583.0)</f>
        <v>45583</v>
      </c>
      <c r="Q832" s="218"/>
    </row>
    <row r="833">
      <c r="A833" s="73"/>
      <c r="B833" s="1129" t="str">
        <f>IFERROR(__xludf.DUMMYFUNCTION("""COMPUTED_VALUE"""),"Class")</f>
        <v>Class</v>
      </c>
      <c r="C833" s="529" t="str">
        <f>IFERROR(__xludf.DUMMYFUNCTION("""COMPUTED_VALUE"""),"Como gerar mais oportunidades de vendas utilizando um fluxo de cadências na prospecção")</f>
        <v>Como gerar mais oportunidades de vendas utilizando um fluxo de cadências na prospecção</v>
      </c>
      <c r="D833" s="119" t="str">
        <f>IFERROR(__xludf.DUMMYFUNCTION("""COMPUTED_VALUE"""),"Felipe Traina")</f>
        <v>Felipe Traina</v>
      </c>
      <c r="E833" s="218" t="str">
        <f>IFERROR(__xludf.DUMMYFUNCTION("""COMPUTED_VALUE"""),"Fundador")</f>
        <v>Fundador</v>
      </c>
      <c r="F833" s="667" t="str">
        <f>IFERROR(__xludf.DUMMYFUNCTION("""COMPUTED_VALUE"""),"Salestime")</f>
        <v>Salestime</v>
      </c>
      <c r="G833" s="668" t="str">
        <f>IFERROR(__xludf.DUMMYFUNCTION("""COMPUTED_VALUE"""),"https://www.linkedin.com/in/felipe-traina/")</f>
        <v>https://www.linkedin.com/in/felipe-traina/</v>
      </c>
      <c r="H833" s="667" t="str">
        <f>IFERROR(__xludf.DUMMYFUNCTION("""COMPUTED_VALUE"""),"Conhecimento Técnico")</f>
        <v>Conhecimento Técnico</v>
      </c>
      <c r="I833" s="667" t="str">
        <f>IFERROR(__xludf.DUMMYFUNCTION("""COMPUTED_VALUE"""),"Técnicas de Vendas")</f>
        <v>Técnicas de Vendas</v>
      </c>
      <c r="J833" s="667" t="str">
        <f>IFERROR(__xludf.DUMMYFUNCTION("""COMPUTED_VALUE"""),"Abordagem e Prospecção")</f>
        <v>Abordagem e Prospecção</v>
      </c>
      <c r="K833" s="535" t="str">
        <f>IFERROR(__xludf.DUMMYFUNCTION("""COMPUTED_VALUE"""),"https://universidade.pipelovers.net/aulas/como-gerar-mais-oportunidades-utilizando-um-fluxo-de-cadencias-na-prospeccao-1775815685794")</f>
        <v>https://universidade.pipelovers.net/aulas/como-gerar-mais-oportunidades-utilizando-um-fluxo-de-cadencias-na-prospeccao-1775815685794</v>
      </c>
      <c r="L833" s="535" t="str">
        <f>IFERROR(__xludf.DUMMYFUNCTION("""COMPUTED_VALUE"""),"https://universidade.pipelovers.net/aulas/como-gerar-mais-oportunidades-utilizando-um-fluxo-de-cadencias-na-prospeccao-1775815685794")</f>
        <v>https://universidade.pipelovers.net/aulas/como-gerar-mais-oportunidades-utilizando-um-fluxo-de-cadencias-na-prospeccao-1775815685794</v>
      </c>
      <c r="M833" s="117">
        <f>IFERROR(__xludf.DUMMYFUNCTION("""COMPUTED_VALUE"""),2.0)</f>
        <v>2</v>
      </c>
      <c r="N833" s="472" t="str">
        <f>IFERROR(__xludf.DUMMYFUNCTION("""COMPUTED_VALUE"""),"6. PipeLovers Class 🤍: ""Como gerar mais oportunidades utilizando um fluxo de cadências na prospecção"" – 2024/08/23 10:45 BRT – Recording")</f>
        <v>6. PipeLovers Class 🤍: "Como gerar mais oportunidades utilizando um fluxo de cadências na prospecção" – 2024/08/23 10:45 BRT – Recording</v>
      </c>
      <c r="O833" s="294" t="str">
        <f>IFERROR(__xludf.DUMMYFUNCTION("""COMPUTED_VALUE"""),"")</f>
        <v/>
      </c>
      <c r="P833" s="1217">
        <f>IFERROR(__xludf.DUMMYFUNCTION("""COMPUTED_VALUE"""),45590.0)</f>
        <v>45590</v>
      </c>
      <c r="Q833" s="294"/>
    </row>
    <row r="834">
      <c r="A834" s="73"/>
      <c r="B834" s="1129" t="str">
        <f>IFERROR(__xludf.DUMMYFUNCTION("""COMPUTED_VALUE"""),"Class")</f>
        <v>Class</v>
      </c>
      <c r="C834" s="544" t="str">
        <f>IFERROR(__xludf.DUMMYFUNCTION("""COMPUTED_VALUE"""),"Vendedorismo: como potencializar a auto performance das suas vendas")</f>
        <v>Vendedorismo: como potencializar a auto performance das suas vendas</v>
      </c>
      <c r="D834" s="104" t="str">
        <f>IFERROR(__xludf.DUMMYFUNCTION("""COMPUTED_VALUE"""),"Marcelo Baratella")</f>
        <v>Marcelo Baratella</v>
      </c>
      <c r="E834" s="857" t="str">
        <f>IFERROR(__xludf.DUMMYFUNCTION("""COMPUTED_VALUE"""),"Fundador")</f>
        <v>Fundador</v>
      </c>
      <c r="F834" s="858" t="str">
        <f>IFERROR(__xludf.DUMMYFUNCTION("""COMPUTED_VALUE"""),"MB Solution")</f>
        <v>MB Solution</v>
      </c>
      <c r="G834" s="860" t="str">
        <f>IFERROR(__xludf.DUMMYFUNCTION("""COMPUTED_VALUE"""),"https://www.linkedin.com/in/marcelobaratella/")</f>
        <v>https://www.linkedin.com/in/marcelobaratella/</v>
      </c>
      <c r="H834" s="858" t="str">
        <f>IFERROR(__xludf.DUMMYFUNCTION("""COMPUTED_VALUE"""),"Autodesenvolvimento")</f>
        <v>Autodesenvolvimento</v>
      </c>
      <c r="I834" s="648" t="str">
        <f>IFERROR(__xludf.DUMMYFUNCTION("""COMPUTED_VALUE"""),"Inteligência emocional")</f>
        <v>Inteligência emocional</v>
      </c>
      <c r="J834" s="667" t="str">
        <f>IFERROR(__xludf.DUMMYFUNCTION("""COMPUTED_VALUE"""),"Motivação")</f>
        <v>Motivação</v>
      </c>
      <c r="K834" s="167" t="str">
        <f>IFERROR(__xludf.DUMMYFUNCTION("""COMPUTED_VALUE"""),"https://universidade.pipelovers.net/m/lessons/vendedorismo-como-potencializar-a-auto-performance-das-suas-vendas1769550039791?classId=3728")</f>
        <v>https://universidade.pipelovers.net/m/lessons/vendedorismo-como-potencializar-a-auto-performance-das-suas-vendas1769550039791?classId=3728</v>
      </c>
      <c r="L834" s="167" t="str">
        <f>IFERROR(__xludf.DUMMYFUNCTION("""COMPUTED_VALUE"""),"https://universidade.pipelovers.net/m/lessons/vendedorismo-como-potencializar-a-auto-performance-das-suas-vendas1769550039791?classId=3728")</f>
        <v>https://universidade.pipelovers.net/m/lessons/vendedorismo-como-potencializar-a-auto-performance-das-suas-vendas1769550039791?classId=3728</v>
      </c>
      <c r="M834" s="117">
        <f>IFERROR(__xludf.DUMMYFUNCTION("""COMPUTED_VALUE"""),5.0)</f>
        <v>5</v>
      </c>
      <c r="N834" s="472" t="str">
        <f>IFERROR(__xludf.DUMMYFUNCTION("""COMPUTED_VALUE"""),"7. PipeLovers Class 🤍: ""Vendedorismo: como potencializar a auto performance das suas vendas"" com Marc – 2024/08/30 10:45 BRT – Recording")</f>
        <v>7. PipeLovers Class 🤍: "Vendedorismo: como potencializar a auto performance das suas vendas" com Marc – 2024/08/30 10:45 BRT – Recording</v>
      </c>
      <c r="O834" s="294" t="str">
        <f>IFERROR(__xludf.DUMMYFUNCTION("""COMPUTED_VALUE"""),"")</f>
        <v/>
      </c>
      <c r="P834" s="1217">
        <f>IFERROR(__xludf.DUMMYFUNCTION("""COMPUTED_VALUE"""),45597.0)</f>
        <v>45597</v>
      </c>
      <c r="Q834" s="294"/>
    </row>
    <row r="835">
      <c r="A835" s="73"/>
      <c r="B835" s="1129" t="str">
        <f>IFERROR(__xludf.DUMMYFUNCTION("""COMPUTED_VALUE"""),"Class")</f>
        <v>Class</v>
      </c>
      <c r="C835" s="529" t="str">
        <f>IFERROR(__xludf.DUMMYFUNCTION("""COMPUTED_VALUE"""),"Estratégias Diferenciadas em Vendas Complexas")</f>
        <v>Estratégias Diferenciadas em Vendas Complexas</v>
      </c>
      <c r="D835" s="119" t="str">
        <f>IFERROR(__xludf.DUMMYFUNCTION("""COMPUTED_VALUE"""),"Gisele Tacchi")</f>
        <v>Gisele Tacchi</v>
      </c>
      <c r="E835" s="857" t="str">
        <f>IFERROR(__xludf.DUMMYFUNCTION("""COMPUTED_VALUE"""),"Fundadora")</f>
        <v>Fundadora</v>
      </c>
      <c r="F835" s="858" t="str">
        <f>IFERROR(__xludf.DUMMYFUNCTION("""COMPUTED_VALUE"""),"Sales 3S")</f>
        <v>Sales 3S</v>
      </c>
      <c r="G835" s="860" t="str">
        <f>IFERROR(__xludf.DUMMYFUNCTION("""COMPUTED_VALUE"""),"https://www.linkedin.com/in/giseletacchi/")</f>
        <v>https://www.linkedin.com/in/giseletacchi/</v>
      </c>
      <c r="H835" s="858" t="str">
        <f>IFERROR(__xludf.DUMMYFUNCTION("""COMPUTED_VALUE"""),"Conhecimento Técnico")</f>
        <v>Conhecimento Técnico</v>
      </c>
      <c r="I835" s="667" t="str">
        <f>IFERROR(__xludf.DUMMYFUNCTION("""COMPUTED_VALUE"""),"Técnicas de Vendas")</f>
        <v>Técnicas de Vendas</v>
      </c>
      <c r="J835" s="667" t="str">
        <f>IFERROR(__xludf.DUMMYFUNCTION("""COMPUTED_VALUE"""),"Qualificação e Entendimento da Dor")</f>
        <v>Qualificação e Entendimento da Dor</v>
      </c>
      <c r="K835" s="535" t="str">
        <f>IFERROR(__xludf.DUMMYFUNCTION("""COMPUTED_VALUE"""),"https://universidade.pipelovers.net/m/lessons/estrategias-diferenciadas-em-vendas-complexas1769550039875?classId=3729")</f>
        <v>https://universidade.pipelovers.net/m/lessons/estrategias-diferenciadas-em-vendas-complexas1769550039875?classId=3729</v>
      </c>
      <c r="L835" s="535" t="str">
        <f>IFERROR(__xludf.DUMMYFUNCTION("""COMPUTED_VALUE"""),"https://universidade.pipelovers.net/m/lessons/estrategias-diferenciadas-em-vendas-complexas1769550039875?classId=3729")</f>
        <v>https://universidade.pipelovers.net/m/lessons/estrategias-diferenciadas-em-vendas-complexas1769550039875?classId=3729</v>
      </c>
      <c r="M835" s="117">
        <f>IFERROR(__xludf.DUMMYFUNCTION("""COMPUTED_VALUE"""),2.0)</f>
        <v>2</v>
      </c>
      <c r="N835" s="472" t="str">
        <f>IFERROR(__xludf.DUMMYFUNCTION("""COMPUTED_VALUE"""),"8.PipeLovers Class 🤍: ""Estratégias Diferenciadas em Vendas Complexas"" com Gisele Tacchi – 2024/09/06 10:46 BRT – Recording")</f>
        <v>8.PipeLovers Class 🤍: "Estratégias Diferenciadas em Vendas Complexas" com Gisele Tacchi – 2024/09/06 10:46 BRT – Recording</v>
      </c>
      <c r="O835" s="294" t="str">
        <f>IFERROR(__xludf.DUMMYFUNCTION("""COMPUTED_VALUE"""),"")</f>
        <v/>
      </c>
      <c r="P835" s="1217">
        <f>IFERROR(__xludf.DUMMYFUNCTION("""COMPUTED_VALUE"""),45604.0)</f>
        <v>45604</v>
      </c>
      <c r="Q835" s="294"/>
    </row>
    <row r="836">
      <c r="A836" s="73"/>
      <c r="B836" s="1129" t="str">
        <f>IFERROR(__xludf.DUMMYFUNCTION("""COMPUTED_VALUE"""),"Class")</f>
        <v>Class</v>
      </c>
      <c r="C836" s="501" t="str">
        <f>IFERROR(__xludf.DUMMYFUNCTION("""COMPUTED_VALUE"""),"Rotinas de Gestão para Líderes de Vendas")</f>
        <v>Rotinas de Gestão para Líderes de Vendas</v>
      </c>
      <c r="D836" s="104" t="str">
        <f>IFERROR(__xludf.DUMMYFUNCTION("""COMPUTED_VALUE"""),"Ricardo Okino")</f>
        <v>Ricardo Okino</v>
      </c>
      <c r="E836" s="857" t="str">
        <f>IFERROR(__xludf.DUMMYFUNCTION("""COMPUTED_VALUE"""),"Co-Fundador")</f>
        <v>Co-Fundador</v>
      </c>
      <c r="F836" s="858" t="str">
        <f>IFERROR(__xludf.DUMMYFUNCTION("""COMPUTED_VALUE"""),"Escola Exchange")</f>
        <v>Escola Exchange</v>
      </c>
      <c r="G836" s="860" t="str">
        <f>IFERROR(__xludf.DUMMYFUNCTION("""COMPUTED_VALUE"""),"https://www.linkedin.com/in/ricardookino/")</f>
        <v>https://www.linkedin.com/in/ricardookino/</v>
      </c>
      <c r="H836" s="858" t="str">
        <f>IFERROR(__xludf.DUMMYFUNCTION("""COMPUTED_VALUE"""),"Conhecimento Técnico")</f>
        <v>Conhecimento Técnico</v>
      </c>
      <c r="I836" s="667" t="str">
        <f>IFERROR(__xludf.DUMMYFUNCTION("""COMPUTED_VALUE"""),"Gestão de Vendas")</f>
        <v>Gestão de Vendas</v>
      </c>
      <c r="J836" s="667" t="str">
        <f>IFERROR(__xludf.DUMMYFUNCTION("""COMPUTED_VALUE"""),"Rotinas e Rituais")</f>
        <v>Rotinas e Rituais</v>
      </c>
      <c r="K836" s="535" t="str">
        <f>IFERROR(__xludf.DUMMYFUNCTION("""COMPUTED_VALUE"""),"https://universidade.pipelovers.net/m/lessons/rotinas-de-gestao-para-lideres-de-vendas1769550039834?classId=3730")</f>
        <v>https://universidade.pipelovers.net/m/lessons/rotinas-de-gestao-para-lideres-de-vendas1769550039834?classId=3730</v>
      </c>
      <c r="L836" s="535" t="str">
        <f>IFERROR(__xludf.DUMMYFUNCTION("""COMPUTED_VALUE"""),"https://universidade.pipelovers.net/m/lessons/rotinas-de-gestao-para-lideres-de-vendas1769550039834?classId=3730")</f>
        <v>https://universidade.pipelovers.net/m/lessons/rotinas-de-gestao-para-lideres-de-vendas1769550039834?classId=3730</v>
      </c>
      <c r="M836" s="117">
        <f>IFERROR(__xludf.DUMMYFUNCTION("""COMPUTED_VALUE"""),4.57)</f>
        <v>4.57</v>
      </c>
      <c r="N836" s="472" t="str">
        <f>IFERROR(__xludf.DUMMYFUNCTION("""COMPUTED_VALUE"""),"9. PipeLovers Class 🤍: ""Rotinas de Gestão para Líderes de Vendas"" com Ricardo Okino")</f>
        <v>9. PipeLovers Class 🤍: "Rotinas de Gestão para Líderes de Vendas" com Ricardo Okino</v>
      </c>
      <c r="O836" s="294" t="str">
        <f>IFERROR(__xludf.DUMMYFUNCTION("""COMPUTED_VALUE"""),"")</f>
        <v/>
      </c>
      <c r="P836" s="1217">
        <f>IFERROR(__xludf.DUMMYFUNCTION("""COMPUTED_VALUE"""),45611.0)</f>
        <v>45611</v>
      </c>
      <c r="Q836" s="294"/>
    </row>
    <row r="837">
      <c r="A837" s="73"/>
      <c r="B837" s="1129" t="str">
        <f>IFERROR(__xludf.DUMMYFUNCTION("""COMPUTED_VALUE"""),"Class")</f>
        <v>Class</v>
      </c>
      <c r="C837" s="507" t="str">
        <f>IFERROR(__xludf.DUMMYFUNCTION("""COMPUTED_VALUE"""),"Como montar um ecossistema de canais orgânicos e vender mais via indicação")</f>
        <v>Como montar um ecossistema de canais orgânicos e vender mais via indicação</v>
      </c>
      <c r="D837" s="173" t="str">
        <f>IFERROR(__xludf.DUMMYFUNCTION("""COMPUTED_VALUE"""),"Rodrigo Noll")</f>
        <v>Rodrigo Noll</v>
      </c>
      <c r="E837" s="395" t="str">
        <f>IFERROR(__xludf.DUMMYFUNCTION("""COMPUTED_VALUE"""),"Fundador")</f>
        <v>Fundador</v>
      </c>
      <c r="F837" s="872" t="str">
        <f>IFERROR(__xludf.DUMMYFUNCTION("""COMPUTED_VALUE"""),"Base Viral")</f>
        <v>Base Viral</v>
      </c>
      <c r="G837" s="873" t="str">
        <f>IFERROR(__xludf.DUMMYFUNCTION("""COMPUTED_VALUE"""),"https://www.linkedin.com/in/nollrodrigo/")</f>
        <v>https://www.linkedin.com/in/nollrodrigo/</v>
      </c>
      <c r="H837" s="667" t="str">
        <f>IFERROR(__xludf.DUMMYFUNCTION("""COMPUTED_VALUE"""),"Conhecimento Técnico")</f>
        <v>Conhecimento Técnico</v>
      </c>
      <c r="I837" s="667" t="str">
        <f>IFERROR(__xludf.DUMMYFUNCTION("""COMPUTED_VALUE"""),"Gestão de Vendas")</f>
        <v>Gestão de Vendas</v>
      </c>
      <c r="J837" s="667" t="str">
        <f>IFERROR(__xludf.DUMMYFUNCTION("""COMPUTED_VALUE"""),"Planejamento Comercial")</f>
        <v>Planejamento Comercial</v>
      </c>
      <c r="K837" s="535" t="str">
        <f>IFERROR(__xludf.DUMMYFUNCTION("""COMPUTED_VALUE"""),"https://universidade.pipelovers.net/m/lessons/como-montar-um-ecossistema-de-canais-organicos-e-vender-mais-via-indicacao1769550039904?classId=3731")</f>
        <v>https://universidade.pipelovers.net/m/lessons/como-montar-um-ecossistema-de-canais-organicos-e-vender-mais-via-indicacao1769550039904?classId=3731</v>
      </c>
      <c r="L837" s="535" t="str">
        <f>IFERROR(__xludf.DUMMYFUNCTION("""COMPUTED_VALUE"""),"https://universidade.pipelovers.net/m/lessons/como-montar-um-ecossistema-de-canais-organicos-e-vender-mais-via-indicacao1769550039904?classId=3731")</f>
        <v>https://universidade.pipelovers.net/m/lessons/como-montar-um-ecossistema-de-canais-organicos-e-vender-mais-via-indicacao1769550039904?classId=3731</v>
      </c>
      <c r="M837" s="117">
        <f>IFERROR(__xludf.DUMMYFUNCTION("""COMPUTED_VALUE"""),2.0)</f>
        <v>2</v>
      </c>
      <c r="N837" s="472" t="str">
        <f>IFERROR(__xludf.DUMMYFUNCTION("""COMPUTED_VALUE"""),"10. PipeLovers Class 🤍: ""Como montar um ecossistema de canais orgânicos e vender mais via indicação, p – 2024/09/20 10:53 BRT – Recording")</f>
        <v>10. PipeLovers Class 🤍: "Como montar um ecossistema de canais orgânicos e vender mais via indicação, p – 2024/09/20 10:53 BRT – Recording</v>
      </c>
      <c r="O837" s="294" t="str">
        <f>IFERROR(__xludf.DUMMYFUNCTION("""COMPUTED_VALUE"""),"")</f>
        <v/>
      </c>
      <c r="P837" s="1217">
        <f>IFERROR(__xludf.DUMMYFUNCTION("""COMPUTED_VALUE"""),45618.0)</f>
        <v>45618</v>
      </c>
      <c r="Q837" s="294"/>
    </row>
    <row r="838">
      <c r="A838" s="73"/>
      <c r="B838" s="1129" t="str">
        <f>IFERROR(__xludf.DUMMYFUNCTION("""COMPUTED_VALUE"""),"Class")</f>
        <v>Class</v>
      </c>
      <c r="C838" s="507" t="str">
        <f>IFERROR(__xludf.DUMMYFUNCTION("""COMPUTED_VALUE"""),"Como construir percepção de valor a partir de conhecimento do negócio")</f>
        <v>Como construir percepção de valor a partir de conhecimento do negócio</v>
      </c>
      <c r="D838" s="175" t="str">
        <f>IFERROR(__xludf.DUMMYFUNCTION("""COMPUTED_VALUE"""),"Marcelo Pereira")</f>
        <v>Marcelo Pereira</v>
      </c>
      <c r="E838" s="395" t="str">
        <f>IFERROR(__xludf.DUMMYFUNCTION("""COMPUTED_VALUE"""),"Consultor de Vendas")</f>
        <v>Consultor de Vendas</v>
      </c>
      <c r="F838" s="872"/>
      <c r="G838" s="873" t="str">
        <f>IFERROR(__xludf.DUMMYFUNCTION("""COMPUTED_VALUE"""),"https://www.linkedin.com/in/marcelopereira/")</f>
        <v>https://www.linkedin.com/in/marcelopereira/</v>
      </c>
      <c r="H838" s="872" t="str">
        <f>IFERROR(__xludf.DUMMYFUNCTION("""COMPUTED_VALUE"""),"Visão de Negócios")</f>
        <v>Visão de Negócios</v>
      </c>
      <c r="I838" s="872" t="str">
        <f>IFERROR(__xludf.DUMMYFUNCTION("""COMPUTED_VALUE"""),"Conhecimento de Produto e Negócio")</f>
        <v>Conhecimento de Produto e Negócio</v>
      </c>
      <c r="J838" s="667" t="str">
        <f>IFERROR(__xludf.DUMMYFUNCTION("""COMPUTED_VALUE"""),"Posicionamento de Produto")</f>
        <v>Posicionamento de Produto</v>
      </c>
      <c r="K838" s="535" t="str">
        <f>IFERROR(__xludf.DUMMYFUNCTION("""COMPUTED_VALUE"""),"https://universidade.pipelovers.net/aulas/como-construir-percepcao-de-valor-a-partir-do-conhecimento-de-negocio-1775816812445")</f>
        <v>https://universidade.pipelovers.net/aulas/como-construir-percepcao-de-valor-a-partir-do-conhecimento-de-negocio-1775816812445</v>
      </c>
      <c r="L838" s="535" t="str">
        <f>IFERROR(__xludf.DUMMYFUNCTION("""COMPUTED_VALUE"""),"https://universidade.pipelovers.net/aulas/como-construir-percepcao-de-valor-a-partir-do-conhecimento-de-negocio-1775816812445")</f>
        <v>https://universidade.pipelovers.net/aulas/como-construir-percepcao-de-valor-a-partir-do-conhecimento-de-negocio-1775816812445</v>
      </c>
      <c r="M838" s="292">
        <f>IFERROR(__xludf.DUMMYFUNCTION("""COMPUTED_VALUE"""),2.0)</f>
        <v>2</v>
      </c>
      <c r="N838" s="1219" t="str">
        <f>IFERROR(__xludf.DUMMYFUNCTION("""COMPUTED_VALUE"""),"11. PipeLovers Class 🤍: ""Como construir percepção de valor a partir de conhecimento do negócio"" com Ma – 2024/09/27 10:51 BRT – Recording")</f>
        <v>11. PipeLovers Class 🤍: "Como construir percepção de valor a partir de conhecimento do negócio" com Ma – 2024/09/27 10:51 BRT – Recording</v>
      </c>
      <c r="O838" s="294" t="str">
        <f>IFERROR(__xludf.DUMMYFUNCTION("""COMPUTED_VALUE"""),"")</f>
        <v/>
      </c>
      <c r="P838" s="1217">
        <f>IFERROR(__xludf.DUMMYFUNCTION("""COMPUTED_VALUE"""),45625.0)</f>
        <v>45625</v>
      </c>
      <c r="Q838" s="294"/>
    </row>
    <row r="839">
      <c r="A839" s="73"/>
      <c r="B839" s="1129" t="str">
        <f>IFERROR(__xludf.DUMMYFUNCTION("""COMPUTED_VALUE"""),"Class")</f>
        <v>Class</v>
      </c>
      <c r="C839" s="529" t="str">
        <f>IFERROR(__xludf.DUMMYFUNCTION("""COMPUTED_VALUE"""),"Fidelização de Clientes: A chave para alavancar suas vendas")</f>
        <v>Fidelização de Clientes: A chave para alavancar suas vendas</v>
      </c>
      <c r="D839" s="119" t="str">
        <f>IFERROR(__xludf.DUMMYFUNCTION("""COMPUTED_VALUE"""),"Carol Pitarelli")</f>
        <v>Carol Pitarelli</v>
      </c>
      <c r="E839" s="218" t="str">
        <f>IFERROR(__xludf.DUMMYFUNCTION("""COMPUTED_VALUE"""),"Mentora e Palestrante de Empreendedorismo")</f>
        <v>Mentora e Palestrante de Empreendedorismo</v>
      </c>
      <c r="F839" s="667"/>
      <c r="G839" s="668" t="str">
        <f>IFERROR(__xludf.DUMMYFUNCTION("""COMPUTED_VALUE"""),"https://www.linkedin.com/in/carolpitarelli/")</f>
        <v>https://www.linkedin.com/in/carolpitarelli/</v>
      </c>
      <c r="H839" s="667" t="str">
        <f>IFERROR(__xludf.DUMMYFUNCTION("""COMPUTED_VALUE"""),"Conhecimento Técnico")</f>
        <v>Conhecimento Técnico</v>
      </c>
      <c r="I839" s="667" t="str">
        <f>IFERROR(__xludf.DUMMYFUNCTION("""COMPUTED_VALUE"""),"Técnicas de Vendas")</f>
        <v>Técnicas de Vendas</v>
      </c>
      <c r="J839" s="667" t="str">
        <f>IFERROR(__xludf.DUMMYFUNCTION("""COMPUTED_VALUE"""),"Gestão de Carteira de Clientes")</f>
        <v>Gestão de Carteira de Clientes</v>
      </c>
      <c r="K839" s="535" t="str">
        <f>IFERROR(__xludf.DUMMYFUNCTION("""COMPUTED_VALUE"""),"https://universidade.pipelovers.net/m/lessons/fidelizacao-de-clientes-a-chave-para-alavancar-suas-vendas1769550039988?classId=3733")</f>
        <v>https://universidade.pipelovers.net/m/lessons/fidelizacao-de-clientes-a-chave-para-alavancar-suas-vendas1769550039988?classId=3733</v>
      </c>
      <c r="L839" s="535" t="str">
        <f>IFERROR(__xludf.DUMMYFUNCTION("""COMPUTED_VALUE"""),"https://universidade.pipelovers.net/m/lessons/fidelizacao-de-clientes-a-chave-para-alavancar-suas-vendas1769550039988?classId=3733")</f>
        <v>https://universidade.pipelovers.net/m/lessons/fidelizacao-de-clientes-a-chave-para-alavancar-suas-vendas1769550039988?classId=3733</v>
      </c>
      <c r="M839" s="117">
        <f>IFERROR(__xludf.DUMMYFUNCTION("""COMPUTED_VALUE"""),2.0)</f>
        <v>2</v>
      </c>
      <c r="N839" s="472" t="str">
        <f>IFERROR(__xludf.DUMMYFUNCTION("""COMPUTED_VALUE"""),"12. PipeLovers Class 🤍: ""Fidelização de Clientes - A chave para alavancar suas vendas"" com Carol Pitar – 2024/10/04 10:52 BRT – Recording")</f>
        <v>12. PipeLovers Class 🤍: "Fidelização de Clientes - A chave para alavancar suas vendas" com Carol Pitar – 2024/10/04 10:52 BRT – Recording</v>
      </c>
      <c r="O839" s="294" t="str">
        <f>IFERROR(__xludf.DUMMYFUNCTION("""COMPUTED_VALUE"""),"")</f>
        <v/>
      </c>
      <c r="P839" s="1217">
        <f>IFERROR(__xludf.DUMMYFUNCTION("""COMPUTED_VALUE"""),45632.0)</f>
        <v>45632</v>
      </c>
      <c r="Q839" s="294"/>
    </row>
    <row r="840">
      <c r="A840" s="73"/>
      <c r="B840" s="1129" t="str">
        <f>IFERROR(__xludf.DUMMYFUNCTION("""COMPUTED_VALUE"""),"Class")</f>
        <v>Class</v>
      </c>
      <c r="C840" s="529" t="str">
        <f>IFERROR(__xludf.DUMMYFUNCTION("""COMPUTED_VALUE"""),"Arquitetura de Vendas de Alta Performance")</f>
        <v>Arquitetura de Vendas de Alta Performance</v>
      </c>
      <c r="D840" s="104" t="str">
        <f>IFERROR(__xludf.DUMMYFUNCTION("""COMPUTED_VALUE"""),"Hélio Azevedo")</f>
        <v>Hélio Azevedo</v>
      </c>
      <c r="E840" s="218" t="str">
        <f>IFERROR(__xludf.DUMMYFUNCTION("""COMPUTED_VALUE"""),"Fundador")</f>
        <v>Fundador</v>
      </c>
      <c r="F840" s="667" t="str">
        <f>IFERROR(__xludf.DUMMYFUNCTION("""COMPUTED_VALUE"""),"Insider Training")</f>
        <v>Insider Training</v>
      </c>
      <c r="G840" s="668" t="str">
        <f>IFERROR(__xludf.DUMMYFUNCTION("""COMPUTED_VALUE"""),"https://www.linkedin.com/in/helioazevedo/")</f>
        <v>https://www.linkedin.com/in/helioazevedo/</v>
      </c>
      <c r="H840" s="858" t="str">
        <f>IFERROR(__xludf.DUMMYFUNCTION("""COMPUTED_VALUE"""),"Conhecimento Técnico")</f>
        <v>Conhecimento Técnico</v>
      </c>
      <c r="I840" s="648" t="str">
        <f>IFERROR(__xludf.DUMMYFUNCTION("""COMPUTED_VALUE"""),"Gestão de Vendas")</f>
        <v>Gestão de Vendas</v>
      </c>
      <c r="J840" s="667" t="str">
        <f>IFERROR(__xludf.DUMMYFUNCTION("""COMPUTED_VALUE"""),"Planejamento Comercial")</f>
        <v>Planejamento Comercial</v>
      </c>
      <c r="K840" s="535" t="str">
        <f>IFERROR(__xludf.DUMMYFUNCTION("""COMPUTED_VALUE"""),"https://universidade.pipelovers.net/m/lessons/arquitetura-de-vendas-de-alta-performance1769550040047?classId=3734")</f>
        <v>https://universidade.pipelovers.net/m/lessons/arquitetura-de-vendas-de-alta-performance1769550040047?classId=3734</v>
      </c>
      <c r="L840" s="535" t="str">
        <f>IFERROR(__xludf.DUMMYFUNCTION("""COMPUTED_VALUE"""),"https://universidade.pipelovers.net/m/lessons/arquitetura-de-vendas-de-alta-performance1769550040047?classId=3734")</f>
        <v>https://universidade.pipelovers.net/m/lessons/arquitetura-de-vendas-de-alta-performance1769550040047?classId=3734</v>
      </c>
      <c r="M840" s="117">
        <f>IFERROR(__xludf.DUMMYFUNCTION("""COMPUTED_VALUE"""),4.29)</f>
        <v>4.29</v>
      </c>
      <c r="N840" s="472" t="str">
        <f>IFERROR(__xludf.DUMMYFUNCTION("""COMPUTED_VALUE"""),"13. PipeLovers Class 🤍: ""Arquitetura de Vendas de Alta Performance"" com Hélio Azevedo – 2024/10/11 10:53 BRT – Recording")</f>
        <v>13. PipeLovers Class 🤍: "Arquitetura de Vendas de Alta Performance" com Hélio Azevedo – 2024/10/11 10:53 BRT – Recording</v>
      </c>
      <c r="O840" s="294" t="str">
        <f>IFERROR(__xludf.DUMMYFUNCTION("""COMPUTED_VALUE"""),"")</f>
        <v/>
      </c>
      <c r="P840" s="1217">
        <f>IFERROR(__xludf.DUMMYFUNCTION("""COMPUTED_VALUE"""),45639.0)</f>
        <v>45639</v>
      </c>
      <c r="Q840" s="294"/>
    </row>
    <row r="841">
      <c r="A841" s="73"/>
      <c r="B841" s="1129" t="str">
        <f>IFERROR(__xludf.DUMMYFUNCTION("""COMPUTED_VALUE"""),"Class")</f>
        <v>Class</v>
      </c>
      <c r="C841" s="529" t="str">
        <f>IFERROR(__xludf.DUMMYFUNCTION("""COMPUTED_VALUE"""),"CRM na venda consultiva: Dicas práticas para gerenciar processos longos e complexos")</f>
        <v>CRM na venda consultiva: Dicas práticas para gerenciar processos longos e complexos</v>
      </c>
      <c r="D841" s="119" t="str">
        <f>IFERROR(__xludf.DUMMYFUNCTION("""COMPUTED_VALUE"""),"Icaro Iasbeck")</f>
        <v>Icaro Iasbeck</v>
      </c>
      <c r="E841" s="218" t="str">
        <f>IFERROR(__xludf.DUMMYFUNCTION("""COMPUTED_VALUE"""),"Fundador")</f>
        <v>Fundador</v>
      </c>
      <c r="F841" s="667" t="str">
        <f>IFERROR(__xludf.DUMMYFUNCTION("""COMPUTED_VALUE"""),"Iasbeck&amp;Co")</f>
        <v>Iasbeck&amp;Co</v>
      </c>
      <c r="G841" s="668" t="str">
        <f>IFERROR(__xludf.DUMMYFUNCTION("""COMPUTED_VALUE"""),"https://www.linkedin.com/in/icaroiasbeck/")</f>
        <v>https://www.linkedin.com/in/icaroiasbeck/</v>
      </c>
      <c r="H841" s="667" t="str">
        <f>IFERROR(__xludf.DUMMYFUNCTION("""COMPUTED_VALUE"""),"Autodesenvolvimento")</f>
        <v>Autodesenvolvimento</v>
      </c>
      <c r="I841" s="667" t="str">
        <f>IFERROR(__xludf.DUMMYFUNCTION("""COMPUTED_VALUE"""),"Gestão de Tempo e da Informação")</f>
        <v>Gestão de Tempo e da Informação</v>
      </c>
      <c r="J841" s="667" t="str">
        <f>IFERROR(__xludf.DUMMYFUNCTION("""COMPUTED_VALUE"""),"Melhores Práticas de CRM")</f>
        <v>Melhores Práticas de CRM</v>
      </c>
      <c r="K841" s="535" t="str">
        <f>IFERROR(__xludf.DUMMYFUNCTION("""COMPUTED_VALUE"""),"https://universidade.pipelovers.net/m/lessons/crm-na-venda-consultiva-dicas-praticas-para-gerenciar-processos-longos-e-complexos1769550040018?classId=3735")</f>
        <v>https://universidade.pipelovers.net/m/lessons/crm-na-venda-consultiva-dicas-praticas-para-gerenciar-processos-longos-e-complexos1769550040018?classId=3735</v>
      </c>
      <c r="L841" s="535" t="str">
        <f>IFERROR(__xludf.DUMMYFUNCTION("""COMPUTED_VALUE"""),"https://universidade.pipelovers.net/m/lessons/crm-na-venda-consultiva-dicas-praticas-para-gerenciar-processos-longos-e-complexos1769550040018?classId=3735")</f>
        <v>https://universidade.pipelovers.net/m/lessons/crm-na-venda-consultiva-dicas-praticas-para-gerenciar-processos-longos-e-complexos1769550040018?classId=3735</v>
      </c>
      <c r="M841" s="117">
        <f>IFERROR(__xludf.DUMMYFUNCTION("""COMPUTED_VALUE"""),2.0)</f>
        <v>2</v>
      </c>
      <c r="N841" s="472" t="str">
        <f>IFERROR(__xludf.DUMMYFUNCTION("""COMPUTED_VALUE"""),"14. PipeLovers Class 🤍: ""CRM na venda consultiva: Dicas Práticas para gerenciar processos longos e com – 2024/10/18 10:50 BRT – Recording")</f>
        <v>14. PipeLovers Class 🤍: "CRM na venda consultiva: Dicas Práticas para gerenciar processos longos e com – 2024/10/18 10:50 BRT – Recording</v>
      </c>
      <c r="O841" s="294" t="str">
        <f>IFERROR(__xludf.DUMMYFUNCTION("""COMPUTED_VALUE"""),"")</f>
        <v/>
      </c>
      <c r="P841" s="1217">
        <f>IFERROR(__xludf.DUMMYFUNCTION("""COMPUTED_VALUE"""),45646.0)</f>
        <v>45646</v>
      </c>
      <c r="Q841" s="294"/>
    </row>
    <row r="842">
      <c r="A842" s="73"/>
      <c r="B842" s="1129" t="str">
        <f>IFERROR(__xludf.DUMMYFUNCTION("""COMPUTED_VALUE"""),"Class")</f>
        <v>Class</v>
      </c>
      <c r="C842" s="529" t="str">
        <f>IFERROR(__xludf.DUMMYFUNCTION("""COMPUTED_VALUE"""),"Talento técnico, sucesso comercial: A Nova Era de Vendas")</f>
        <v>Talento técnico, sucesso comercial: A Nova Era de Vendas</v>
      </c>
      <c r="D842" s="104" t="str">
        <f>IFERROR(__xludf.DUMMYFUNCTION("""COMPUTED_VALUE"""),"João Eduardo")</f>
        <v>João Eduardo</v>
      </c>
      <c r="E842" s="218" t="str">
        <f>IFERROR(__xludf.DUMMYFUNCTION("""COMPUTED_VALUE"""),"Sócio")</f>
        <v>Sócio</v>
      </c>
      <c r="F842" s="667" t="str">
        <f>IFERROR(__xludf.DUMMYFUNCTION("""COMPUTED_VALUE"""),"Quarter Negócios &amp; Serviços")</f>
        <v>Quarter Negócios &amp; Serviços</v>
      </c>
      <c r="G842" s="668" t="str">
        <f>IFERROR(__xludf.DUMMYFUNCTION("""COMPUTED_VALUE"""),"https://www.linkedin.com/in/joao-eduardo-silva-neto-22202225/")</f>
        <v>https://www.linkedin.com/in/joao-eduardo-silva-neto-22202225/</v>
      </c>
      <c r="H842" s="667" t="str">
        <f>IFERROR(__xludf.DUMMYFUNCTION("""COMPUTED_VALUE"""),"Visão de Negócios")</f>
        <v>Visão de Negócios</v>
      </c>
      <c r="I842" s="667" t="str">
        <f>IFERROR(__xludf.DUMMYFUNCTION("""COMPUTED_VALUE"""),"Tendências de mercado")</f>
        <v>Tendências de mercado</v>
      </c>
      <c r="J842" s="667" t="str">
        <f>IFERROR(__xludf.DUMMYFUNCTION("""COMPUTED_VALUE"""),"Perfil do Comprador B2B")</f>
        <v>Perfil do Comprador B2B</v>
      </c>
      <c r="K842" s="535" t="str">
        <f>IFERROR(__xludf.DUMMYFUNCTION("""COMPUTED_VALUE"""),"https://universidade.pipelovers.net/m/lessons/talento-tecnico-sucesso-comercial-a-nova-era-de-vendas1769550040078?classId=3736")</f>
        <v>https://universidade.pipelovers.net/m/lessons/talento-tecnico-sucesso-comercial-a-nova-era-de-vendas1769550040078?classId=3736</v>
      </c>
      <c r="L842" s="535" t="str">
        <f>IFERROR(__xludf.DUMMYFUNCTION("""COMPUTED_VALUE"""),"https://universidade.pipelovers.net/m/lessons/talento-tecnico-sucesso-comercial-a-nova-era-de-vendas1769550040078?classId=3736")</f>
        <v>https://universidade.pipelovers.net/m/lessons/talento-tecnico-sucesso-comercial-a-nova-era-de-vendas1769550040078?classId=3736</v>
      </c>
      <c r="M842" s="1220">
        <f>IFERROR(__xludf.DUMMYFUNCTION("""COMPUTED_VALUE"""),1.0)</f>
        <v>1</v>
      </c>
      <c r="N842" s="1221" t="str">
        <f>IFERROR(__xludf.DUMMYFUNCTION("""COMPUTED_VALUE"""),"15. PipeLovers Class 🤍: ""Talento técnico, sucesso comercial: A Nova Era de Vendas"" com João Eduardo ")</f>
        <v>15. PipeLovers Class 🤍: "Talento técnico, sucesso comercial: A Nova Era de Vendas" com João Eduardo </v>
      </c>
      <c r="O842" s="294" t="str">
        <f>IFERROR(__xludf.DUMMYFUNCTION("""COMPUTED_VALUE"""),"")</f>
        <v/>
      </c>
      <c r="P842" s="1217">
        <f>IFERROR(__xludf.DUMMYFUNCTION("""COMPUTED_VALUE"""),45653.0)</f>
        <v>45653</v>
      </c>
      <c r="Q842" s="294"/>
    </row>
    <row r="843">
      <c r="A843" s="73"/>
      <c r="B843" s="1129" t="str">
        <f>IFERROR(__xludf.DUMMYFUNCTION("""COMPUTED_VALUE"""),"Class")</f>
        <v>Class</v>
      </c>
      <c r="C843" s="529" t="str">
        <f>IFERROR(__xludf.DUMMYFUNCTION("""COMPUTED_VALUE"""),"Líderes que se conectam rendem mais")</f>
        <v>Líderes que se conectam rendem mais</v>
      </c>
      <c r="D843" s="119" t="str">
        <f>IFERROR(__xludf.DUMMYFUNCTION("""COMPUTED_VALUE"""),"Adriano Jeremias")</f>
        <v>Adriano Jeremias</v>
      </c>
      <c r="E843" s="218" t="str">
        <f>IFERROR(__xludf.DUMMYFUNCTION("""COMPUTED_VALUE"""),"Fundador")</f>
        <v>Fundador</v>
      </c>
      <c r="F843" s="667" t="str">
        <f>IFERROR(__xludf.DUMMYFUNCTION("""COMPUTED_VALUE"""),"Code Sell")</f>
        <v>Code Sell</v>
      </c>
      <c r="G843" s="668" t="str">
        <f>IFERROR(__xludf.DUMMYFUNCTION("""COMPUTED_VALUE"""),"https://www.linkedin.com/in/adrianojeremias/")</f>
        <v>https://www.linkedin.com/in/adrianojeremias/</v>
      </c>
      <c r="H843" s="667" t="str">
        <f>IFERROR(__xludf.DUMMYFUNCTION("""COMPUTED_VALUE"""),"Relacionamento Interpessoal")</f>
        <v>Relacionamento Interpessoal</v>
      </c>
      <c r="I843" s="667" t="str">
        <f>IFERROR(__xludf.DUMMYFUNCTION("""COMPUTED_VALUE"""),"Comunicação e Relacionamento")</f>
        <v>Comunicação e Relacionamento</v>
      </c>
      <c r="J843" s="667" t="str">
        <f>IFERROR(__xludf.DUMMYFUNCTION("""COMPUTED_VALUE"""),"Tecnicas de Rapport")</f>
        <v>Tecnicas de Rapport</v>
      </c>
      <c r="K843" s="535" t="str">
        <f>IFERROR(__xludf.DUMMYFUNCTION("""COMPUTED_VALUE"""),"https://universidade.pipelovers.net/m/lessons/lideres-que-se-conectam-rendem-mais1769550040105?classId=3092")</f>
        <v>https://universidade.pipelovers.net/m/lessons/lideres-que-se-conectam-rendem-mais1769550040105?classId=3092</v>
      </c>
      <c r="L843" s="535" t="str">
        <f>IFERROR(__xludf.DUMMYFUNCTION("""COMPUTED_VALUE"""),"https://universidade.pipelovers.net/m/lessons/lideres-que-se-conectam-rendem-mais1769550040105?classId=3092")</f>
        <v>https://universidade.pipelovers.net/m/lessons/lideres-que-se-conectam-rendem-mais1769550040105?classId=3092</v>
      </c>
      <c r="M843" s="1220">
        <f>IFERROR(__xludf.DUMMYFUNCTION("""COMPUTED_VALUE"""),1.0)</f>
        <v>1</v>
      </c>
      <c r="N843" s="1221" t="str">
        <f>IFERROR(__xludf.DUMMYFUNCTION("""COMPUTED_VALUE"""),"16. PipeLovers Class 🤍: ""Líderes que se conectam rendem mais"" com Adriano Jeremias – 2024/11/01 10:50 BRT ")</f>
        <v>16. PipeLovers Class 🤍: "Líderes que se conectam rendem mais" com Adriano Jeremias – 2024/11/01 10:50 BRT </v>
      </c>
      <c r="O843" s="294" t="str">
        <f>IFERROR(__xludf.DUMMYFUNCTION("""COMPUTED_VALUE"""),"")</f>
        <v/>
      </c>
      <c r="P843" s="1217">
        <f>IFERROR(__xludf.DUMMYFUNCTION("""COMPUTED_VALUE"""),45660.0)</f>
        <v>45660</v>
      </c>
      <c r="Q843" s="294"/>
    </row>
    <row r="844">
      <c r="A844" s="73"/>
      <c r="B844" s="1129" t="str">
        <f>IFERROR(__xludf.DUMMYFUNCTION("""COMPUTED_VALUE"""),"Class")</f>
        <v>Class</v>
      </c>
      <c r="C844" s="529" t="str">
        <f>IFERROR(__xludf.DUMMYFUNCTION("""COMPUTED_VALUE"""),"Cibersegurança como diferencial de vendas")</f>
        <v>Cibersegurança como diferencial de vendas</v>
      </c>
      <c r="D844" s="104" t="str">
        <f>IFERROR(__xludf.DUMMYFUNCTION("""COMPUTED_VALUE"""),"Mauricio Gimenes")</f>
        <v>Mauricio Gimenes</v>
      </c>
      <c r="E844" s="218" t="str">
        <f>IFERROR(__xludf.DUMMYFUNCTION("""COMPUTED_VALUE"""),"Chief Sales Officer (CSO)")</f>
        <v>Chief Sales Officer (CSO)</v>
      </c>
      <c r="F844" s="667" t="str">
        <f>IFERROR(__xludf.DUMMYFUNCTION("""COMPUTED_VALUE"""),"Introduce")</f>
        <v>Introduce</v>
      </c>
      <c r="G844" s="668" t="str">
        <f>IFERROR(__xludf.DUMMYFUNCTION("""COMPUTED_VALUE"""),"https://www.linkedin.com/in/mauriciogimenesoficial/")</f>
        <v>https://www.linkedin.com/in/mauriciogimenesoficial/</v>
      </c>
      <c r="H844" s="667" t="str">
        <f>IFERROR(__xludf.DUMMYFUNCTION("""COMPUTED_VALUE"""),"Visão de Negócios")</f>
        <v>Visão de Negócios</v>
      </c>
      <c r="I844" s="667" t="str">
        <f>IFERROR(__xludf.DUMMYFUNCTION("""COMPUTED_VALUE"""),"Conhecimento de Produto e Negócio")</f>
        <v>Conhecimento de Produto e Negócio</v>
      </c>
      <c r="J844" s="667" t="str">
        <f>IFERROR(__xludf.DUMMYFUNCTION("""COMPUTED_VALUE"""),"Posicionamento de Produto")</f>
        <v>Posicionamento de Produto</v>
      </c>
      <c r="K844" s="535" t="str">
        <f>IFERROR(__xludf.DUMMYFUNCTION("""COMPUTED_VALUE"""),"https://universidade.pipelovers.net/m/lessons/ciberseguranca-como-diferencial-de-vendas1769550040145?classId=3096")</f>
        <v>https://universidade.pipelovers.net/m/lessons/ciberseguranca-como-diferencial-de-vendas1769550040145?classId=3096</v>
      </c>
      <c r="L844" s="535" t="str">
        <f>IFERROR(__xludf.DUMMYFUNCTION("""COMPUTED_VALUE"""),"https://universidade.pipelovers.net/m/lessons/ciberseguranca-como-diferencial-de-vendas1769550040145?classId=3096")</f>
        <v>https://universidade.pipelovers.net/m/lessons/ciberseguranca-como-diferencial-de-vendas1769550040145?classId=3096</v>
      </c>
      <c r="M844" s="1220">
        <f>IFERROR(__xludf.DUMMYFUNCTION("""COMPUTED_VALUE"""),2.0)</f>
        <v>2</v>
      </c>
      <c r="N844" s="1221" t="str">
        <f>IFERROR(__xludf.DUMMYFUNCTION("""COMPUTED_VALUE"""),"17. PipeLovers Class 🤍: ""Cibersegurança como diferencial de vendas"" com Mauricio Gimenes – 2024/11/08 10:48 GMT-03:00 – Recording")</f>
        <v>17. PipeLovers Class 🤍: "Cibersegurança como diferencial de vendas" com Mauricio Gimenes – 2024/11/08 10:48 GMT-03:00 – Recording</v>
      </c>
      <c r="O844" s="294" t="str">
        <f>IFERROR(__xludf.DUMMYFUNCTION("""COMPUTED_VALUE"""),"")</f>
        <v/>
      </c>
      <c r="P844" s="1217">
        <f>IFERROR(__xludf.DUMMYFUNCTION("""COMPUTED_VALUE"""),45667.0)</f>
        <v>45667</v>
      </c>
      <c r="Q844" s="294"/>
    </row>
    <row r="845">
      <c r="A845" s="73"/>
      <c r="B845" s="1129" t="str">
        <f>IFERROR(__xludf.DUMMYFUNCTION("""COMPUTED_VALUE"""),"Class")</f>
        <v>Class</v>
      </c>
      <c r="C845" s="529" t="str">
        <f>IFERROR(__xludf.DUMMYFUNCTION("""COMPUTED_VALUE"""),"Como o networking gera venda")</f>
        <v>Como o networking gera venda</v>
      </c>
      <c r="D845" s="119" t="str">
        <f>IFERROR(__xludf.DUMMYFUNCTION("""COMPUTED_VALUE"""),"Leonardo Coelho")</f>
        <v>Leonardo Coelho</v>
      </c>
      <c r="E845" s="218" t="str">
        <f>IFERROR(__xludf.DUMMYFUNCTION("""COMPUTED_VALUE"""),"CEO e Diretor Comercial")</f>
        <v>CEO e Diretor Comercial</v>
      </c>
      <c r="F845" s="667" t="str">
        <f>IFERROR(__xludf.DUMMYFUNCTION("""COMPUTED_VALUE"""),"Oten Tecnologia")</f>
        <v>Oten Tecnologia</v>
      </c>
      <c r="G845" s="668" t="str">
        <f>IFERROR(__xludf.DUMMYFUNCTION("""COMPUTED_VALUE"""),"https://www.linkedin.com/in/leonardocoelhooficial/")</f>
        <v>https://www.linkedin.com/in/leonardocoelhooficial/</v>
      </c>
      <c r="H845" s="667" t="str">
        <f>IFERROR(__xludf.DUMMYFUNCTION("""COMPUTED_VALUE"""),"Relacionamento Interpessoal")</f>
        <v>Relacionamento Interpessoal</v>
      </c>
      <c r="I845" s="667" t="str">
        <f>IFERROR(__xludf.DUMMYFUNCTION("""COMPUTED_VALUE"""),"Comunicação e Relacionamento")</f>
        <v>Comunicação e Relacionamento</v>
      </c>
      <c r="J845" s="667" t="str">
        <f>IFERROR(__xludf.DUMMYFUNCTION("""COMPUTED_VALUE"""),"Tecnicas de Rapport")</f>
        <v>Tecnicas de Rapport</v>
      </c>
      <c r="K845" s="535" t="str">
        <f>IFERROR(__xludf.DUMMYFUNCTION("""COMPUTED_VALUE"""),"https://universidade.pipelovers.net/m/lessons/como-o-networking-gera-venda1769550040174?classId=3099")</f>
        <v>https://universidade.pipelovers.net/m/lessons/como-o-networking-gera-venda1769550040174?classId=3099</v>
      </c>
      <c r="L845" s="535" t="str">
        <f>IFERROR(__xludf.DUMMYFUNCTION("""COMPUTED_VALUE"""),"https://universidade.pipelovers.net/m/lessons/como-o-networking-gera-venda1769550040174?classId=3099")</f>
        <v>https://universidade.pipelovers.net/m/lessons/como-o-networking-gera-venda1769550040174?classId=3099</v>
      </c>
      <c r="M845" s="1220">
        <f>IFERROR(__xludf.DUMMYFUNCTION("""COMPUTED_VALUE"""),1.0)</f>
        <v>1</v>
      </c>
      <c r="N845" s="1221" t="str">
        <f>IFERROR(__xludf.DUMMYFUNCTION("""COMPUTED_VALUE"""),"18. PipeLovers Class 🤍: ""Como o networking gera venda"" com Leonardo Coelho - 2024/11/22 10:52 GMT-03:00 - Recording")</f>
        <v>18. PipeLovers Class 🤍: "Como o networking gera venda" com Leonardo Coelho - 2024/11/22 10:52 GMT-03:00 - Recording</v>
      </c>
      <c r="O845" s="294" t="str">
        <f>IFERROR(__xludf.DUMMYFUNCTION("""COMPUTED_VALUE"""),"")</f>
        <v/>
      </c>
      <c r="P845" s="1217">
        <f>IFERROR(__xludf.DUMMYFUNCTION("""COMPUTED_VALUE"""),45674.0)</f>
        <v>45674</v>
      </c>
      <c r="Q845" s="294"/>
    </row>
    <row r="846">
      <c r="A846" s="73"/>
      <c r="B846" s="1129" t="str">
        <f>IFERROR(__xludf.DUMMYFUNCTION("""COMPUTED_VALUE"""),"Class")</f>
        <v>Class</v>
      </c>
      <c r="C846" s="529" t="str">
        <f>IFERROR(__xludf.DUMMYFUNCTION("""COMPUTED_VALUE"""),"Vendas gamificadas para todos")</f>
        <v>Vendas gamificadas para todos</v>
      </c>
      <c r="D846" s="104" t="str">
        <f>IFERROR(__xludf.DUMMYFUNCTION("""COMPUTED_VALUE"""),"Felipe dos Santos")</f>
        <v>Felipe dos Santos</v>
      </c>
      <c r="E846" s="218" t="str">
        <f>IFERROR(__xludf.DUMMYFUNCTION("""COMPUTED_VALUE"""),"Fundador e CEO")</f>
        <v>Fundador e CEO</v>
      </c>
      <c r="F846" s="667" t="str">
        <f>IFERROR(__xludf.DUMMYFUNCTION("""COMPUTED_VALUE"""),"Play2Sell")</f>
        <v>Play2Sell</v>
      </c>
      <c r="G846" s="668" t="str">
        <f>IFERROR(__xludf.DUMMYFUNCTION("""COMPUTED_VALUE"""),"https://www.linkedin.com/in/felipeplay2sell/")</f>
        <v>https://www.linkedin.com/in/felipeplay2sell/</v>
      </c>
      <c r="H846" s="667" t="str">
        <f>IFERROR(__xludf.DUMMYFUNCTION("""COMPUTED_VALUE"""),"Conhecimento Técnico")</f>
        <v>Conhecimento Técnico</v>
      </c>
      <c r="I846" s="667" t="str">
        <f>IFERROR(__xludf.DUMMYFUNCTION("""COMPUTED_VALUE"""),"Gestão de Vendas")</f>
        <v>Gestão de Vendas</v>
      </c>
      <c r="J846" s="667" t="str">
        <f>IFERROR(__xludf.DUMMYFUNCTION("""COMPUTED_VALUE"""),"Rotinas e Rituais")</f>
        <v>Rotinas e Rituais</v>
      </c>
      <c r="K846" s="535" t="str">
        <f>IFERROR(__xludf.DUMMYFUNCTION("""COMPUTED_VALUE"""),"https://universidade.pipelovers.net/m/lessons/vendas-gamificadas-para-todos1769550040251?classId=3113")</f>
        <v>https://universidade.pipelovers.net/m/lessons/vendas-gamificadas-para-todos1769550040251?classId=3113</v>
      </c>
      <c r="L846" s="535" t="str">
        <f>IFERROR(__xludf.DUMMYFUNCTION("""COMPUTED_VALUE"""),"https://universidade.pipelovers.net/m/lessons/vendas-gamificadas-para-todos1769550040251?classId=3113")</f>
        <v>https://universidade.pipelovers.net/m/lessons/vendas-gamificadas-para-todos1769550040251?classId=3113</v>
      </c>
      <c r="M846" s="1202">
        <f>IFERROR(__xludf.DUMMYFUNCTION("""COMPUTED_VALUE"""),1.0)</f>
        <v>1</v>
      </c>
      <c r="N846" s="1125" t="str">
        <f>IFERROR(__xludf.DUMMYFUNCTION("""COMPUTED_VALUE"""),"19. PipeLovers Class 🤍: ""Vendas gamificadas para todos "" com Felipe dos Santos  - 2024/11/29 10:45 GMT-03:00 - Recording")</f>
        <v>19. PipeLovers Class 🤍: "Vendas gamificadas para todos " com Felipe dos Santos  - 2024/11/29 10:45 GMT-03:00 - Recording</v>
      </c>
      <c r="O846" s="294" t="str">
        <f>IFERROR(__xludf.DUMMYFUNCTION("""COMPUTED_VALUE"""),"")</f>
        <v/>
      </c>
      <c r="P846" s="1217">
        <f>IFERROR(__xludf.DUMMYFUNCTION("""COMPUTED_VALUE"""),45681.0)</f>
        <v>45681</v>
      </c>
      <c r="Q846" s="294"/>
    </row>
    <row r="847">
      <c r="A847" s="73"/>
      <c r="B847" s="1129" t="str">
        <f>IFERROR(__xludf.DUMMYFUNCTION("""COMPUTED_VALUE"""),"Class")</f>
        <v>Class</v>
      </c>
      <c r="C847" s="529" t="str">
        <f>IFERROR(__xludf.DUMMYFUNCTION("""COMPUTED_VALUE"""),"Vender Mais, Gastar Menos: Planejamento tributário para superar objeções")</f>
        <v>Vender Mais, Gastar Menos: Planejamento tributário para superar objeções</v>
      </c>
      <c r="D847" s="119" t="str">
        <f>IFERROR(__xludf.DUMMYFUNCTION("""COMPUTED_VALUE"""),"Rafael Apolinário")</f>
        <v>Rafael Apolinário</v>
      </c>
      <c r="E847" s="218" t="str">
        <f>IFERROR(__xludf.DUMMYFUNCTION("""COMPUTED_VALUE"""),"CEO")</f>
        <v>CEO</v>
      </c>
      <c r="F847" s="667" t="str">
        <f>IFERROR(__xludf.DUMMYFUNCTION("""COMPUTED_VALUE"""),"Az Consultoria Tributária")</f>
        <v>Az Consultoria Tributária</v>
      </c>
      <c r="G847" s="668" t="str">
        <f>IFERROR(__xludf.DUMMYFUNCTION("""COMPUTED_VALUE"""),"https://www.linkedin.com/in/rafael-apolin%C3%A1rio-598318b9/")</f>
        <v>https://www.linkedin.com/in/rafael-apolin%C3%A1rio-598318b9/</v>
      </c>
      <c r="H847" s="667" t="str">
        <f>IFERROR(__xludf.DUMMYFUNCTION("""COMPUTED_VALUE"""),"Conhecimento Técnico")</f>
        <v>Conhecimento Técnico</v>
      </c>
      <c r="I847" s="667" t="str">
        <f>IFERROR(__xludf.DUMMYFUNCTION("""COMPUTED_VALUE"""),"Técnicas de Vendas")</f>
        <v>Técnicas de Vendas</v>
      </c>
      <c r="J847" s="667" t="str">
        <f>IFERROR(__xludf.DUMMYFUNCTION("""COMPUTED_VALUE"""),"Contorno de Objeções")</f>
        <v>Contorno de Objeções</v>
      </c>
      <c r="K847" s="535" t="str">
        <f>IFERROR(__xludf.DUMMYFUNCTION("""COMPUTED_VALUE"""),"https://universidade.pipelovers.net/m/lessons/vender-mais-gastar-menos-planejamento-tributario-para-superar-objecoes1769550040204?classId=3114")</f>
        <v>https://universidade.pipelovers.net/m/lessons/vender-mais-gastar-menos-planejamento-tributario-para-superar-objecoes1769550040204?classId=3114</v>
      </c>
      <c r="L847" s="535" t="str">
        <f>IFERROR(__xludf.DUMMYFUNCTION("""COMPUTED_VALUE"""),"https://universidade.pipelovers.net/m/lessons/vender-mais-gastar-menos-planejamento-tributario-para-superar-objecoes1769550040204?classId=3114")</f>
        <v>https://universidade.pipelovers.net/m/lessons/vender-mais-gastar-menos-planejamento-tributario-para-superar-objecoes1769550040204?classId=3114</v>
      </c>
      <c r="M847" s="1202">
        <f>IFERROR(__xludf.DUMMYFUNCTION("""COMPUTED_VALUE"""),1.0)</f>
        <v>1</v>
      </c>
      <c r="N847" s="1125" t="str">
        <f>IFERROR(__xludf.DUMMYFUNCTION("""COMPUTED_VALUE"""),"20. PipeLovers Class 🤍: ""Vender Mais, Gastar Menos: Planejamento tributário para superar objeções"" com - 2024/12/06 10:48 GMT-03:00 - Recording")</f>
        <v>20. PipeLovers Class 🤍: "Vender Mais, Gastar Menos: Planejamento tributário para superar objeções" com - 2024/12/06 10:48 GMT-03:00 - Recording</v>
      </c>
      <c r="O847" s="294" t="str">
        <f>IFERROR(__xludf.DUMMYFUNCTION("""COMPUTED_VALUE"""),"")</f>
        <v/>
      </c>
      <c r="P847" s="1217">
        <f>IFERROR(__xludf.DUMMYFUNCTION("""COMPUTED_VALUE"""),45688.0)</f>
        <v>45688</v>
      </c>
      <c r="Q847" s="294"/>
    </row>
    <row r="848">
      <c r="A848" s="73"/>
      <c r="B848" s="1129" t="str">
        <f>IFERROR(__xludf.DUMMYFUNCTION("""COMPUTED_VALUE"""),"Class")</f>
        <v>Class</v>
      </c>
      <c r="C848" s="529" t="str">
        <f>IFERROR(__xludf.DUMMYFUNCTION("""COMPUTED_VALUE"""),"Repertório como ferramenta em vendas externas")</f>
        <v>Repertório como ferramenta em vendas externas</v>
      </c>
      <c r="D848" s="104" t="str">
        <f>IFERROR(__xludf.DUMMYFUNCTION("""COMPUTED_VALUE"""),"William Caldas")</f>
        <v>William Caldas</v>
      </c>
      <c r="E848" s="1222" t="str">
        <f>IFERROR(__xludf.DUMMYFUNCTION("""COMPUTED_VALUE"""),"CEO")</f>
        <v>CEO</v>
      </c>
      <c r="F848" s="1223" t="str">
        <f>IFERROR(__xludf.DUMMYFUNCTION("""COMPUTED_VALUE"""),"William Caldas Consultoria &amp; Treinamento")</f>
        <v>William Caldas Consultoria &amp; Treinamento</v>
      </c>
      <c r="G848" s="668" t="str">
        <f>IFERROR(__xludf.DUMMYFUNCTION("""COMPUTED_VALUE"""),"https://www.linkedin.com/in/williamcaldas/")</f>
        <v>https://www.linkedin.com/in/williamcaldas/</v>
      </c>
      <c r="H848" s="667" t="str">
        <f>IFERROR(__xludf.DUMMYFUNCTION("""COMPUTED_VALUE"""),"Autodesenvolvimento")</f>
        <v>Autodesenvolvimento</v>
      </c>
      <c r="I848" s="667" t="str">
        <f>IFERROR(__xludf.DUMMYFUNCTION("""COMPUTED_VALUE"""),"Aprendizado Ativo")</f>
        <v>Aprendizado Ativo</v>
      </c>
      <c r="J848" s="667" t="str">
        <f>IFERROR(__xludf.DUMMYFUNCTION("""COMPUTED_VALUE"""),"Benchmarking")</f>
        <v>Benchmarking</v>
      </c>
      <c r="K848" s="535" t="str">
        <f>IFERROR(__xludf.DUMMYFUNCTION("""COMPUTED_VALUE"""),"https://universidade.pipelovers.net/m/lessons/repertorio-como-ferramenta-em-vendas-externas1769550040289?classId=3126")</f>
        <v>https://universidade.pipelovers.net/m/lessons/repertorio-como-ferramenta-em-vendas-externas1769550040289?classId=3126</v>
      </c>
      <c r="L848" s="535" t="str">
        <f>IFERROR(__xludf.DUMMYFUNCTION("""COMPUTED_VALUE"""),"https://universidade.pipelovers.net/m/lessons/repertorio-como-ferramenta-em-vendas-externas1769550040289?classId=3126")</f>
        <v>https://universidade.pipelovers.net/m/lessons/repertorio-como-ferramenta-em-vendas-externas1769550040289?classId=3126</v>
      </c>
      <c r="M848" s="1202">
        <f>IFERROR(__xludf.DUMMYFUNCTION("""COMPUTED_VALUE"""),1.0)</f>
        <v>1</v>
      </c>
      <c r="N848" s="1125" t="str">
        <f>IFERROR(__xludf.DUMMYFUNCTION("""COMPUTED_VALUE"""),"21. PipeLovers Class 🤍: ""Repertório como ferramenta em vendas externas"" com Willian Caldas - 2024/12/13 09:46 GMT-03:00 - Recording")</f>
        <v>21. PipeLovers Class 🤍: "Repertório como ferramenta em vendas externas" com Willian Caldas - 2024/12/13 09:46 GMT-03:00 - Recording</v>
      </c>
      <c r="O848" s="294" t="str">
        <f>IFERROR(__xludf.DUMMYFUNCTION("""COMPUTED_VALUE"""),"")</f>
        <v/>
      </c>
      <c r="P848" s="1217">
        <f>IFERROR(__xludf.DUMMYFUNCTION("""COMPUTED_VALUE"""),45695.0)</f>
        <v>45695</v>
      </c>
      <c r="Q848" s="294"/>
    </row>
    <row r="849">
      <c r="A849" s="73"/>
      <c r="B849" s="1129" t="str">
        <f>IFERROR(__xludf.DUMMYFUNCTION("""COMPUTED_VALUE"""),"Class")</f>
        <v>Class</v>
      </c>
      <c r="C849" s="529" t="str">
        <f>IFERROR(__xludf.DUMMYFUNCTION("""COMPUTED_VALUE"""),"Agentes de IA para aumentar a produtividade do comercial")</f>
        <v>Agentes de IA para aumentar a produtividade do comercial</v>
      </c>
      <c r="D849" s="119" t="str">
        <f>IFERROR(__xludf.DUMMYFUNCTION("""COMPUTED_VALUE"""),"Igor Batista")</f>
        <v>Igor Batista</v>
      </c>
      <c r="E849" s="218" t="str">
        <f>IFERROR(__xludf.DUMMYFUNCTION("""COMPUTED_VALUE"""),"Consultor e Treinador em Vendas e Gestão Comercial")</f>
        <v>Consultor e Treinador em Vendas e Gestão Comercial</v>
      </c>
      <c r="F849" s="667" t="str">
        <f>IFERROR(__xludf.DUMMYFUNCTION("""COMPUTED_VALUE"""),"iBusiness Consultoria e Treinamentos")</f>
        <v>iBusiness Consultoria e Treinamentos</v>
      </c>
      <c r="G849" s="668" t="str">
        <f>IFERROR(__xludf.DUMMYFUNCTION("""COMPUTED_VALUE"""),"https://www.linkedin.com/in/igorbatista/")</f>
        <v>https://www.linkedin.com/in/igorbatista/</v>
      </c>
      <c r="H849" s="667" t="str">
        <f>IFERROR(__xludf.DUMMYFUNCTION("""COMPUTED_VALUE"""),"Visão de Negócios")</f>
        <v>Visão de Negócios</v>
      </c>
      <c r="I849" s="667" t="str">
        <f>IFERROR(__xludf.DUMMYFUNCTION("""COMPUTED_VALUE"""),"Tendências de mercado")</f>
        <v>Tendências de mercado</v>
      </c>
      <c r="J849" s="667" t="str">
        <f>IFERROR(__xludf.DUMMYFUNCTION("""COMPUTED_VALUE"""),"Inovações Tecnológicas")</f>
        <v>Inovações Tecnológicas</v>
      </c>
      <c r="K849" s="535" t="str">
        <f>IFERROR(__xludf.DUMMYFUNCTION("""COMPUTED_VALUE"""),"https://universidade.pipelovers.net/m/lessons/agentes-de-ia-para-aumentar-a-produtividade-do-comercial1769550040318?classId=3128")</f>
        <v>https://universidade.pipelovers.net/m/lessons/agentes-de-ia-para-aumentar-a-produtividade-do-comercial1769550040318?classId=3128</v>
      </c>
      <c r="L849" s="535" t="str">
        <f>IFERROR(__xludf.DUMMYFUNCTION("""COMPUTED_VALUE"""),"https://universidade.pipelovers.net/m/lessons/agentes-de-ia-para-aumentar-a-produtividade-do-comercial1769550040318?classId=3128")</f>
        <v>https://universidade.pipelovers.net/m/lessons/agentes-de-ia-para-aumentar-a-produtividade-do-comercial1769550040318?classId=3128</v>
      </c>
      <c r="M849" s="1202">
        <f>IFERROR(__xludf.DUMMYFUNCTION("""COMPUTED_VALUE"""),2.0)</f>
        <v>2</v>
      </c>
      <c r="N849" s="1125" t="str">
        <f>IFERROR(__xludf.DUMMYFUNCTION("""COMPUTED_VALUE"""),"22. PipeLovers Class 🤍: ""Agentes de IA para aumentar a produtividade do comercial"" com Igor Batista - 2024/12/20 10:52 GMT-03:00 - Recording")</f>
        <v>22. PipeLovers Class 🤍: "Agentes de IA para aumentar a produtividade do comercial" com Igor Batista - 2024/12/20 10:52 GMT-03:00 - Recording</v>
      </c>
      <c r="O849" s="294" t="str">
        <f>IFERROR(__xludf.DUMMYFUNCTION("""COMPUTED_VALUE"""),"")</f>
        <v/>
      </c>
      <c r="P849" s="1217">
        <f>IFERROR(__xludf.DUMMYFUNCTION("""COMPUTED_VALUE"""),45702.0)</f>
        <v>45702</v>
      </c>
      <c r="Q849" s="294"/>
    </row>
    <row r="850">
      <c r="A850" s="73"/>
      <c r="B850" s="1129" t="str">
        <f>IFERROR(__xludf.DUMMYFUNCTION("""COMPUTED_VALUE"""),"Class")</f>
        <v>Class</v>
      </c>
      <c r="C850" s="529" t="str">
        <f>IFERROR(__xludf.DUMMYFUNCTION("""COMPUTED_VALUE"""),"Como o marketing conversacional vai impactar seus resultados de vendas em 2025")</f>
        <v>Como o marketing conversacional vai impactar seus resultados de vendas em 2025</v>
      </c>
      <c r="D850" s="104" t="str">
        <f>IFERROR(__xludf.DUMMYFUNCTION("""COMPUTED_VALUE"""),"Maucir Nascimento")</f>
        <v>Maucir Nascimento</v>
      </c>
      <c r="E850" s="218" t="str">
        <f>IFERROR(__xludf.DUMMYFUNCTION("""COMPUTED_VALUE"""),"Fundador")</f>
        <v>Fundador</v>
      </c>
      <c r="F850" s="667" t="str">
        <f>IFERROR(__xludf.DUMMYFUNCTION("""COMPUTED_VALUE"""),"Noblah")</f>
        <v>Noblah</v>
      </c>
      <c r="G850" s="668" t="str">
        <f>IFERROR(__xludf.DUMMYFUNCTION("""COMPUTED_VALUE"""),"https://www.linkedin.com/in/maucirnascimento/")</f>
        <v>https://www.linkedin.com/in/maucirnascimento/</v>
      </c>
      <c r="H850" s="667" t="str">
        <f>IFERROR(__xludf.DUMMYFUNCTION("""COMPUTED_VALUE"""),"Visão de Negócios")</f>
        <v>Visão de Negócios</v>
      </c>
      <c r="I850" s="667" t="str">
        <f>IFERROR(__xludf.DUMMYFUNCTION("""COMPUTED_VALUE"""),"Tendências de mercado")</f>
        <v>Tendências de mercado</v>
      </c>
      <c r="J850" s="667" t="str">
        <f>IFERROR(__xludf.DUMMYFUNCTION("""COMPUTED_VALUE"""),"Inovações Tecnológicas")</f>
        <v>Inovações Tecnológicas</v>
      </c>
      <c r="K850" s="535" t="str">
        <f>IFERROR(__xludf.DUMMYFUNCTION("""COMPUTED_VALUE"""),"https://universidade.pipelovers.net/m/lessons/como-o-marketing-conversacional-vai-impactar-seus-resultados-de-vendas-em-20251769550040347?classId=3129")</f>
        <v>https://universidade.pipelovers.net/m/lessons/como-o-marketing-conversacional-vai-impactar-seus-resultados-de-vendas-em-20251769550040347?classId=3129</v>
      </c>
      <c r="L850" s="535" t="str">
        <f>IFERROR(__xludf.DUMMYFUNCTION("""COMPUTED_VALUE"""),"https://universidade.pipelovers.net/m/lessons/como-o-marketing-conversacional-vai-impactar-seus-resultados-de-vendas-em-20251769550040347?classId=3129")</f>
        <v>https://universidade.pipelovers.net/m/lessons/como-o-marketing-conversacional-vai-impactar-seus-resultados-de-vendas-em-20251769550040347?classId=3129</v>
      </c>
      <c r="M850" s="1202">
        <f>IFERROR(__xludf.DUMMYFUNCTION("""COMPUTED_VALUE"""),2.0)</f>
        <v>2</v>
      </c>
      <c r="N850" s="1125" t="str">
        <f>IFERROR(__xludf.DUMMYFUNCTION("""COMPUTED_VALUE"""),"23. PipeLovers Class 🤍: ""Como o marketing conversacional vai impactar seus resultados de vendas em 202 - 2025/01/17 10:45 GMT-03:00 - Recording")</f>
        <v>23. PipeLovers Class 🤍: "Como o marketing conversacional vai impactar seus resultados de vendas em 202 - 2025/01/17 10:45 GMT-03:00 - Recording</v>
      </c>
      <c r="O850" s="294" t="str">
        <f>IFERROR(__xludf.DUMMYFUNCTION("""COMPUTED_VALUE"""),"")</f>
        <v/>
      </c>
      <c r="P850" s="1217">
        <f>IFERROR(__xludf.DUMMYFUNCTION("""COMPUTED_VALUE"""),45709.0)</f>
        <v>45709</v>
      </c>
      <c r="Q850" s="294"/>
    </row>
    <row r="851">
      <c r="A851" s="73"/>
      <c r="B851" s="1129" t="str">
        <f>IFERROR(__xludf.DUMMYFUNCTION("""COMPUTED_VALUE"""),"Class")</f>
        <v>Class</v>
      </c>
      <c r="C851" s="529" t="str">
        <f>IFERROR(__xludf.DUMMYFUNCTION("""COMPUTED_VALUE"""),"Você trabalha bem em equipe?")</f>
        <v>Você trabalha bem em equipe?</v>
      </c>
      <c r="D851" s="119" t="str">
        <f>IFERROR(__xludf.DUMMYFUNCTION("""COMPUTED_VALUE"""),"Guilherme Bonaroti")</f>
        <v>Guilherme Bonaroti</v>
      </c>
      <c r="E851" s="218" t="str">
        <f>IFERROR(__xludf.DUMMYFUNCTION("""COMPUTED_VALUE"""),"Head de Operações e RH")</f>
        <v>Head de Operações e RH</v>
      </c>
      <c r="F851" s="667" t="str">
        <f>IFERROR(__xludf.DUMMYFUNCTION("""COMPUTED_VALUE"""),"Better Now")</f>
        <v>Better Now</v>
      </c>
      <c r="G851" s="668" t="str">
        <f>IFERROR(__xludf.DUMMYFUNCTION("""COMPUTED_VALUE"""),"https://www.linkedin.com/in/bonaroti/")</f>
        <v>https://www.linkedin.com/in/bonaroti/</v>
      </c>
      <c r="H851" s="667" t="str">
        <f>IFERROR(__xludf.DUMMYFUNCTION("""COMPUTED_VALUE"""),"Relacionamento Interpessoal")</f>
        <v>Relacionamento Interpessoal</v>
      </c>
      <c r="I851" s="667" t="str">
        <f>IFERROR(__xludf.DUMMYFUNCTION("""COMPUTED_VALUE"""),"Liderança e Influência")</f>
        <v>Liderança e Influência</v>
      </c>
      <c r="J851" s="667" t="str">
        <f>IFERROR(__xludf.DUMMYFUNCTION("""COMPUTED_VALUE"""),"Gestão de Conflitos e Resolução de Problemas")</f>
        <v>Gestão de Conflitos e Resolução de Problemas</v>
      </c>
      <c r="K851" s="535" t="str">
        <f>IFERROR(__xludf.DUMMYFUNCTION("""COMPUTED_VALUE"""),"https://universidade.pipelovers.net/m/lessons/voce-trabalha-bem-em-equipe1769550040377?classId=3131")</f>
        <v>https://universidade.pipelovers.net/m/lessons/voce-trabalha-bem-em-equipe1769550040377?classId=3131</v>
      </c>
      <c r="L851" s="535" t="str">
        <f>IFERROR(__xludf.DUMMYFUNCTION("""COMPUTED_VALUE"""),"https://universidade.pipelovers.net/m/lessons/voce-trabalha-bem-em-equipe1769550040377?classId=3131")</f>
        <v>https://universidade.pipelovers.net/m/lessons/voce-trabalha-bem-em-equipe1769550040377?classId=3131</v>
      </c>
      <c r="M851" s="1202">
        <f>IFERROR(__xludf.DUMMYFUNCTION("""COMPUTED_VALUE"""),2.0)</f>
        <v>2</v>
      </c>
      <c r="N851" s="1125" t="str">
        <f>IFERROR(__xludf.DUMMYFUNCTION("""COMPUTED_VALUE"""),"24. PipeLovers Class 🤍: ""Você trabalha bem em equipe?"" com Guilherme Bonaroti  - 2025/01/24 10:55 GMT-03:00 - Recording")</f>
        <v>24. PipeLovers Class 🤍: "Você trabalha bem em equipe?" com Guilherme Bonaroti  - 2025/01/24 10:55 GMT-03:00 - Recording</v>
      </c>
      <c r="O851" s="1224" t="str">
        <f>IFERROR(__xludf.DUMMYFUNCTION("""COMPUTED_VALUE"""),"")</f>
        <v/>
      </c>
      <c r="P851" s="1217">
        <f>IFERROR(__xludf.DUMMYFUNCTION("""COMPUTED_VALUE"""),45716.0)</f>
        <v>45716</v>
      </c>
      <c r="Q851" s="1224"/>
    </row>
    <row r="852">
      <c r="A852" s="73"/>
      <c r="B852" s="1129" t="str">
        <f>IFERROR(__xludf.DUMMYFUNCTION("""COMPUTED_VALUE"""),"Class")</f>
        <v>Class</v>
      </c>
      <c r="C852" s="529" t="str">
        <f>IFERROR(__xludf.DUMMYFUNCTION("""COMPUTED_VALUE"""),"Produtividade em vendas")</f>
        <v>Produtividade em vendas</v>
      </c>
      <c r="D852" s="104" t="str">
        <f>IFERROR(__xludf.DUMMYFUNCTION("""COMPUTED_VALUE"""),"Matheus Quirino")</f>
        <v>Matheus Quirino</v>
      </c>
      <c r="E852" s="218" t="str">
        <f>IFERROR(__xludf.DUMMYFUNCTION("""COMPUTED_VALUE"""),"Chief Revenue Officer (CRO)")</f>
        <v>Chief Revenue Officer (CRO)</v>
      </c>
      <c r="F852" s="667" t="str">
        <f>IFERROR(__xludf.DUMMYFUNCTION("""COMPUTED_VALUE"""),"Processo de Vendas")</f>
        <v>Processo de Vendas</v>
      </c>
      <c r="G852" s="668" t="str">
        <f>IFERROR(__xludf.DUMMYFUNCTION("""COMPUTED_VALUE"""),"https://www.linkedin.com/in/matheusqcosta/")</f>
        <v>https://www.linkedin.com/in/matheusqcosta/</v>
      </c>
      <c r="H852" s="667" t="str">
        <f>IFERROR(__xludf.DUMMYFUNCTION("""COMPUTED_VALUE"""),"Autodesenvolvimento")</f>
        <v>Autodesenvolvimento</v>
      </c>
      <c r="I852" s="667" t="str">
        <f>IFERROR(__xludf.DUMMYFUNCTION("""COMPUTED_VALUE"""),"Gestão de Tempo e da Informação")</f>
        <v>Gestão de Tempo e da Informação</v>
      </c>
      <c r="J852" s="667" t="str">
        <f>IFERROR(__xludf.DUMMYFUNCTION("""COMPUTED_VALUE"""),"Priorização de Atividades")</f>
        <v>Priorização de Atividades</v>
      </c>
      <c r="K852" s="535" t="str">
        <f>IFERROR(__xludf.DUMMYFUNCTION("""COMPUTED_VALUE"""),"https://universidade.pipelovers.net/m/lessons/produtividade-em-vendas1769550040416?classId=3133")</f>
        <v>https://universidade.pipelovers.net/m/lessons/produtividade-em-vendas1769550040416?classId=3133</v>
      </c>
      <c r="L852" s="535" t="str">
        <f>IFERROR(__xludf.DUMMYFUNCTION("""COMPUTED_VALUE"""),"https://universidade.pipelovers.net/m/lessons/produtividade-em-vendas1769550040416?classId=3133")</f>
        <v>https://universidade.pipelovers.net/m/lessons/produtividade-em-vendas1769550040416?classId=3133</v>
      </c>
      <c r="M852" s="1202">
        <f>IFERROR(__xludf.DUMMYFUNCTION("""COMPUTED_VALUE"""),2.0)</f>
        <v>2</v>
      </c>
      <c r="N852" s="1125" t="str">
        <f>IFERROR(__xludf.DUMMYFUNCTION("""COMPUTED_VALUE"""),"25. PipeLovers Class 🤍: ""Produtividade em vendas"" com Matheus Quirino - 2025/01/31 10:52 GMT-03:00 - Recording")</f>
        <v>25. PipeLovers Class 🤍: "Produtividade em vendas" com Matheus Quirino - 2025/01/31 10:52 GMT-03:00 - Recording</v>
      </c>
      <c r="O852" s="1224" t="str">
        <f>IFERROR(__xludf.DUMMYFUNCTION("""COMPUTED_VALUE"""),"")</f>
        <v/>
      </c>
      <c r="P852" s="1217">
        <f>IFERROR(__xludf.DUMMYFUNCTION("""COMPUTED_VALUE"""),45723.0)</f>
        <v>45723</v>
      </c>
      <c r="Q852" s="1224"/>
    </row>
    <row r="853">
      <c r="A853" s="73"/>
      <c r="B853" s="1129" t="str">
        <f>IFERROR(__xludf.DUMMYFUNCTION("""COMPUTED_VALUE"""),"Class")</f>
        <v>Class</v>
      </c>
      <c r="C853" s="529" t="str">
        <f>IFERROR(__xludf.DUMMYFUNCTION("""COMPUTED_VALUE"""),"Mão na massa com IA: Aumente suas conversões e escale suas vendas outbound")</f>
        <v>Mão na massa com IA: Aumente suas conversões e escale suas vendas outbound</v>
      </c>
      <c r="D853" s="119" t="str">
        <f>IFERROR(__xludf.DUMMYFUNCTION("""COMPUTED_VALUE"""),"Danilo Konrad")</f>
        <v>Danilo Konrad</v>
      </c>
      <c r="E853" s="857" t="str">
        <f>IFERROR(__xludf.DUMMYFUNCTION("""COMPUTED_VALUE"""),"Co-Fundador &amp; Mentor")</f>
        <v>Co-Fundador &amp; Mentor</v>
      </c>
      <c r="F853" s="858" t="str">
        <f>IFERROR(__xludf.DUMMYFUNCTION("""COMPUTED_VALUE"""),"Universidade do SaaS")</f>
        <v>Universidade do SaaS</v>
      </c>
      <c r="G853" s="668" t="str">
        <f>IFERROR(__xludf.DUMMYFUNCTION("""COMPUTED_VALUE"""),"https://www.linkedin.com/in/danilokonrad/")</f>
        <v>https://www.linkedin.com/in/danilokonrad/</v>
      </c>
      <c r="H853" s="667" t="str">
        <f>IFERROR(__xludf.DUMMYFUNCTION("""COMPUTED_VALUE"""),"Conhecimento Técnico")</f>
        <v>Conhecimento Técnico</v>
      </c>
      <c r="I853" s="667" t="str">
        <f>IFERROR(__xludf.DUMMYFUNCTION("""COMPUTED_VALUE"""),"Técnicas de Vendas")</f>
        <v>Técnicas de Vendas</v>
      </c>
      <c r="J853" s="667" t="str">
        <f>IFERROR(__xludf.DUMMYFUNCTION("""COMPUTED_VALUE"""),"Abordagem e Prospecção")</f>
        <v>Abordagem e Prospecção</v>
      </c>
      <c r="K853" s="535" t="str">
        <f>IFERROR(__xludf.DUMMYFUNCTION("""COMPUTED_VALUE"""),"https://universidade.pipelovers.net/m/lessons/mao-na-massa-com-ia-aumente-suas-conversoes-e-escale-suas-vendas-outbound1769550040446?classId=3153")</f>
        <v>https://universidade.pipelovers.net/m/lessons/mao-na-massa-com-ia-aumente-suas-conversoes-e-escale-suas-vendas-outbound1769550040446?classId=3153</v>
      </c>
      <c r="L853" s="535" t="str">
        <f>IFERROR(__xludf.DUMMYFUNCTION("""COMPUTED_VALUE"""),"https://universidade.pipelovers.net/m/lessons/mao-na-massa-com-ia-aumente-suas-conversoes-e-escale-suas-vendas-outbound1769550040446?classId=3153")</f>
        <v>https://universidade.pipelovers.net/m/lessons/mao-na-massa-com-ia-aumente-suas-conversoes-e-escale-suas-vendas-outbound1769550040446?classId=3153</v>
      </c>
      <c r="M853" s="1202">
        <f>IFERROR(__xludf.DUMMYFUNCTION("""COMPUTED_VALUE"""),2.0)</f>
        <v>2</v>
      </c>
      <c r="N853" s="1125" t="str">
        <f>IFERROR(__xludf.DUMMYFUNCTION("""COMPUTED_VALUE"""),"26. PipeLovers Class 🤍: ""Mão na massa com IA: Aumente suas conversões e escale suas vendas outbound"" c - 2025/02/07 10:50 GMT-03:00 - Recording")</f>
        <v>26. PipeLovers Class 🤍: "Mão na massa com IA: Aumente suas conversões e escale suas vendas outbound" c - 2025/02/07 10:50 GMT-03:00 - Recording</v>
      </c>
      <c r="O853" s="1224" t="str">
        <f>IFERROR(__xludf.DUMMYFUNCTION("""COMPUTED_VALUE"""),"")</f>
        <v/>
      </c>
      <c r="P853" s="1217">
        <f>IFERROR(__xludf.DUMMYFUNCTION("""COMPUTED_VALUE"""),45730.0)</f>
        <v>45730</v>
      </c>
      <c r="Q853" s="1224"/>
    </row>
    <row r="854">
      <c r="A854" s="73"/>
      <c r="B854" s="1129" t="str">
        <f>IFERROR(__xludf.DUMMYFUNCTION("""COMPUTED_VALUE"""),"Class")</f>
        <v>Class</v>
      </c>
      <c r="C854" s="507" t="str">
        <f>IFERROR(__xludf.DUMMYFUNCTION("""COMPUTED_VALUE"""),"Spin Selling como você nunca viu: O poder das perguntas para fechar mais negócios")</f>
        <v>Spin Selling como você nunca viu: O poder das perguntas para fechar mais negócios</v>
      </c>
      <c r="D854" s="175" t="str">
        <f>IFERROR(__xludf.DUMMYFUNCTION("""COMPUTED_VALUE"""),"Ronaldo Nunes")</f>
        <v>Ronaldo Nunes</v>
      </c>
      <c r="E854" s="395" t="str">
        <f>IFERROR(__xludf.DUMMYFUNCTION("""COMPUTED_VALUE"""),"Sócio")</f>
        <v>Sócio</v>
      </c>
      <c r="F854" s="872" t="str">
        <f>IFERROR(__xludf.DUMMYFUNCTION("""COMPUTED_VALUE"""),"Vector Soluções")</f>
        <v>Vector Soluções</v>
      </c>
      <c r="G854" s="668" t="str">
        <f>IFERROR(__xludf.DUMMYFUNCTION("""COMPUTED_VALUE"""),"https://www.linkedin.com/in/ronaldonunes/")</f>
        <v>https://www.linkedin.com/in/ronaldonunes/</v>
      </c>
      <c r="H854" s="667" t="str">
        <f>IFERROR(__xludf.DUMMYFUNCTION("""COMPUTED_VALUE"""),"Conhecimento Técnico")</f>
        <v>Conhecimento Técnico</v>
      </c>
      <c r="I854" s="667" t="str">
        <f>IFERROR(__xludf.DUMMYFUNCTION("""COMPUTED_VALUE"""),"Gestão de Vendas")</f>
        <v>Gestão de Vendas</v>
      </c>
      <c r="J854" s="667" t="str">
        <f>IFERROR(__xludf.DUMMYFUNCTION("""COMPUTED_VALUE"""),"Metodologias de Vendas")</f>
        <v>Metodologias de Vendas</v>
      </c>
      <c r="K854" s="535" t="str">
        <f>IFERROR(__xludf.DUMMYFUNCTION("""COMPUTED_VALUE"""),"https://universidade.pipelovers.net/m/lessons/spin-selling-como-voce-nunca-viu-o-poder-das-perguntas-para-fechar-mais-negocios1769550040506?classId=3171")</f>
        <v>https://universidade.pipelovers.net/m/lessons/spin-selling-como-voce-nunca-viu-o-poder-das-perguntas-para-fechar-mais-negocios1769550040506?classId=3171</v>
      </c>
      <c r="L854" s="535" t="str">
        <f>IFERROR(__xludf.DUMMYFUNCTION("""COMPUTED_VALUE"""),"https://universidade.pipelovers.net/m/lessons/spin-selling-como-voce-nunca-viu-o-poder-das-perguntas-para-fechar-mais-negocios1769550040506?classId=3171")</f>
        <v>https://universidade.pipelovers.net/m/lessons/spin-selling-como-voce-nunca-viu-o-poder-das-perguntas-para-fechar-mais-negocios1769550040506?classId=3171</v>
      </c>
      <c r="M854" s="1202">
        <f>IFERROR(__xludf.DUMMYFUNCTION("""COMPUTED_VALUE"""),2.0)</f>
        <v>2</v>
      </c>
      <c r="N854" s="1125" t="str">
        <f>IFERROR(__xludf.DUMMYFUNCTION("""COMPUTED_VALUE"""),"27. PipeLovers Class 🤍: ""Spin Selling como você nunca viu: O poder das perguntas para fechar mais negó - 2025/02/14 10:38 GMT-03:00 - Recording")</f>
        <v>27. PipeLovers Class 🤍: "Spin Selling como você nunca viu: O poder das perguntas para fechar mais negó - 2025/02/14 10:38 GMT-03:00 - Recording</v>
      </c>
      <c r="O854" s="1224" t="str">
        <f>IFERROR(__xludf.DUMMYFUNCTION("""COMPUTED_VALUE"""),"")</f>
        <v/>
      </c>
      <c r="P854" s="1217">
        <f>IFERROR(__xludf.DUMMYFUNCTION("""COMPUTED_VALUE"""),45737.0)</f>
        <v>45737</v>
      </c>
      <c r="Q854" s="1224"/>
    </row>
    <row r="855">
      <c r="A855" s="73"/>
      <c r="B855" s="1129" t="str">
        <f>IFERROR(__xludf.DUMMYFUNCTION("""COMPUTED_VALUE"""),"Class")</f>
        <v>Class</v>
      </c>
      <c r="C855" s="529" t="str">
        <f>IFERROR(__xludf.DUMMYFUNCTION("""COMPUTED_VALUE"""),"Do lead ao fechamento: Como o marketing pode acelerar seu pipeline de vendas")</f>
        <v>Do lead ao fechamento: Como o marketing pode acelerar seu pipeline de vendas</v>
      </c>
      <c r="D855" s="119" t="str">
        <f>IFERROR(__xludf.DUMMYFUNCTION("""COMPUTED_VALUE"""),"Wiliam Comissario")</f>
        <v>Wiliam Comissario</v>
      </c>
      <c r="E855" s="218" t="str">
        <f>IFERROR(__xludf.DUMMYFUNCTION("""COMPUTED_VALUE"""),"Diretor de Atendimento")</f>
        <v>Diretor de Atendimento</v>
      </c>
      <c r="F855" s="667" t="str">
        <f>IFERROR(__xludf.DUMMYFUNCTION("""COMPUTED_VALUE"""),"Agência Canna")</f>
        <v>Agência Canna</v>
      </c>
      <c r="G855" s="668" t="str">
        <f>IFERROR(__xludf.DUMMYFUNCTION("""COMPUTED_VALUE"""),"http://linkedin.com/in/wiliamcomissario/")</f>
        <v>http://linkedin.com/in/wiliamcomissario/</v>
      </c>
      <c r="H855" s="667" t="str">
        <f>IFERROR(__xludf.DUMMYFUNCTION("""COMPUTED_VALUE"""),"Relacionamento Interpessoal")</f>
        <v>Relacionamento Interpessoal</v>
      </c>
      <c r="I855" s="667" t="str">
        <f>IFERROR(__xludf.DUMMYFUNCTION("""COMPUTED_VALUE"""),"Liderança e Influência")</f>
        <v>Liderança e Influência</v>
      </c>
      <c r="J855" s="667" t="str">
        <f>IFERROR(__xludf.DUMMYFUNCTION("""COMPUTED_VALUE"""),"Gestão de Conflitos e Resolução de Problemas")</f>
        <v>Gestão de Conflitos e Resolução de Problemas</v>
      </c>
      <c r="K855" s="535" t="str">
        <f>IFERROR(__xludf.DUMMYFUNCTION("""COMPUTED_VALUE"""),"https://universidade.pipelovers.net/m/lessons/do-lead-ao-fechamento-como-o-marketing-pode-acelerar-seu-pipeline-de-vendas1769550040477?classId=3172")</f>
        <v>https://universidade.pipelovers.net/m/lessons/do-lead-ao-fechamento-como-o-marketing-pode-acelerar-seu-pipeline-de-vendas1769550040477?classId=3172</v>
      </c>
      <c r="L855" s="535" t="str">
        <f>IFERROR(__xludf.DUMMYFUNCTION("""COMPUTED_VALUE"""),"https://universidade.pipelovers.net/m/lessons/do-lead-ao-fechamento-como-o-marketing-pode-acelerar-seu-pipeline-de-vendas1769550040477?classId=3172")</f>
        <v>https://universidade.pipelovers.net/m/lessons/do-lead-ao-fechamento-como-o-marketing-pode-acelerar-seu-pipeline-de-vendas1769550040477?classId=3172</v>
      </c>
      <c r="M855" s="1202">
        <f>IFERROR(__xludf.DUMMYFUNCTION("""COMPUTED_VALUE"""),1.0)</f>
        <v>1</v>
      </c>
      <c r="N855" s="1125" t="str">
        <f>IFERROR(__xludf.DUMMYFUNCTION("""COMPUTED_VALUE"""),"28. PipeLovers Class 🤍: ""Do lead ao fechamento: Como o marketing pode acelerar seu pipeline de vendas"" - 2025/02/21 10:46 GMT-03:00 - Recording")</f>
        <v>28. PipeLovers Class 🤍: "Do lead ao fechamento: Como o marketing pode acelerar seu pipeline de vendas" - 2025/02/21 10:46 GMT-03:00 - Recording</v>
      </c>
      <c r="O855" s="1224" t="str">
        <f>IFERROR(__xludf.DUMMYFUNCTION("""COMPUTED_VALUE"""),"")</f>
        <v/>
      </c>
      <c r="P855" s="1217">
        <f>IFERROR(__xludf.DUMMYFUNCTION("""COMPUTED_VALUE"""),45744.0)</f>
        <v>45744</v>
      </c>
      <c r="Q855" s="1224"/>
    </row>
    <row r="856">
      <c r="A856" s="73"/>
      <c r="B856" s="1023" t="str">
        <f>IFERROR(__xludf.DUMMYFUNCTION("""COMPUTED_VALUE"""),"Class")</f>
        <v>Class</v>
      </c>
      <c r="C856" s="501" t="str">
        <f>IFERROR(__xludf.DUMMYFUNCTION("""COMPUTED_VALUE"""),"Antifragilidade para crescer: Como vender em 2025 no meio do caos")</f>
        <v>Antifragilidade para crescer: Como vender em 2025 no meio do caos</v>
      </c>
      <c r="D856" s="175" t="str">
        <f>IFERROR(__xludf.DUMMYFUNCTION("""COMPUTED_VALUE"""),"Leonardo Guilherme")</f>
        <v>Leonardo Guilherme</v>
      </c>
      <c r="E856" s="151" t="str">
        <f>IFERROR(__xludf.DUMMYFUNCTION("""COMPUTED_VALUE"""),"Fundador e CEO")</f>
        <v>Fundador e CEO</v>
      </c>
      <c r="F856" s="646" t="str">
        <f>IFERROR(__xludf.DUMMYFUNCTION("""COMPUTED_VALUE"""),"AvantiSales")</f>
        <v>AvantiSales</v>
      </c>
      <c r="G856" s="647" t="str">
        <f>IFERROR(__xludf.DUMMYFUNCTION("""COMPUTED_VALUE"""),"https://www.linkedin.com/in/leooguilherme/")</f>
        <v>https://www.linkedin.com/in/leooguilherme/</v>
      </c>
      <c r="H856" s="648" t="str">
        <f>IFERROR(__xludf.DUMMYFUNCTION("""COMPUTED_VALUE"""),"Autodesenvolvimento")</f>
        <v>Autodesenvolvimento</v>
      </c>
      <c r="I856" s="648" t="str">
        <f>IFERROR(__xludf.DUMMYFUNCTION("""COMPUTED_VALUE"""),"Inteligência emocional")</f>
        <v>Inteligência emocional</v>
      </c>
      <c r="J856" s="648" t="str">
        <f>IFERROR(__xludf.DUMMYFUNCTION("""COMPUTED_VALUE"""),"Resiliência")</f>
        <v>Resiliência</v>
      </c>
      <c r="K856" s="535" t="str">
        <f>IFERROR(__xludf.DUMMYFUNCTION("""COMPUTED_VALUE"""),"https://universidade.pipelovers.net/m/lessons/antifragilidade-para-crescer-como-vender-em-2025-no-meio-do-caos1769550040537?classId=3173")</f>
        <v>https://universidade.pipelovers.net/m/lessons/antifragilidade-para-crescer-como-vender-em-2025-no-meio-do-caos1769550040537?classId=3173</v>
      </c>
      <c r="L856" s="535" t="str">
        <f>IFERROR(__xludf.DUMMYFUNCTION("""COMPUTED_VALUE"""),"https://universidade.pipelovers.net/m/lessons/antifragilidade-para-crescer-como-vender-em-2025-no-meio-do-caos1769550040537?classId=3173")</f>
        <v>https://universidade.pipelovers.net/m/lessons/antifragilidade-para-crescer-como-vender-em-2025-no-meio-do-caos1769550040537?classId=3173</v>
      </c>
      <c r="M856" s="1202">
        <f>IFERROR(__xludf.DUMMYFUNCTION("""COMPUTED_VALUE"""),1.0)</f>
        <v>1</v>
      </c>
      <c r="N856" s="1125" t="str">
        <f>IFERROR(__xludf.DUMMYFUNCTION("""COMPUTED_VALUE"""),"29. PipeLovers Class 🤍: ""Antifragilidade para crescer: Como vender em 2025 no meio do caos"" com Leonar - 2025/03/07 10:37 GMT-03:00 - Recording")</f>
        <v>29. PipeLovers Class 🤍: "Antifragilidade para crescer: Como vender em 2025 no meio do caos" com Leonar - 2025/03/07 10:37 GMT-03:00 - Recording</v>
      </c>
      <c r="O856" s="206" t="str">
        <f>IFERROR(__xludf.DUMMYFUNCTION("""COMPUTED_VALUE"""),"")</f>
        <v/>
      </c>
      <c r="P856" s="1217">
        <f>IFERROR(__xludf.DUMMYFUNCTION("""COMPUTED_VALUE"""),45751.0)</f>
        <v>45751</v>
      </c>
      <c r="Q856" s="206"/>
    </row>
    <row r="857">
      <c r="A857" s="73"/>
      <c r="B857" s="1023" t="str">
        <f>IFERROR(__xludf.DUMMYFUNCTION("""COMPUTED_VALUE"""),"Class")</f>
        <v>Class</v>
      </c>
      <c r="C857" s="507" t="str">
        <f>IFERROR(__xludf.DUMMYFUNCTION("""COMPUTED_VALUE"""),"ABS (Account-Based Selling) : Como sair da abordagem genérica e criar relacionamentos estratégicos")</f>
        <v>ABS (Account-Based Selling) : Como sair da abordagem genérica e criar relacionamentos estratégicos</v>
      </c>
      <c r="D857" s="173" t="str">
        <f>IFERROR(__xludf.DUMMYFUNCTION("""COMPUTED_VALUE"""),"Marcos Gawriliuk")</f>
        <v>Marcos Gawriliuk</v>
      </c>
      <c r="E857" s="151" t="str">
        <f>IFERROR(__xludf.DUMMYFUNCTION("""COMPUTED_VALUE"""),"CEO")</f>
        <v>CEO</v>
      </c>
      <c r="F857" s="648" t="str">
        <f>IFERROR(__xludf.DUMMYFUNCTION("""COMPUTED_VALUE"""),"Vallor Digital")</f>
        <v>Vallor Digital</v>
      </c>
      <c r="G857" s="647" t="str">
        <f>IFERROR(__xludf.DUMMYFUNCTION("""COMPUTED_VALUE"""),"https://www.linkedin.com/in/mgawriliuk/")</f>
        <v>https://www.linkedin.com/in/mgawriliuk/</v>
      </c>
      <c r="H857" s="648" t="str">
        <f>IFERROR(__xludf.DUMMYFUNCTION("""COMPUTED_VALUE"""),"Conhecimento Técnico")</f>
        <v>Conhecimento Técnico</v>
      </c>
      <c r="I857" s="648" t="str">
        <f>IFERROR(__xludf.DUMMYFUNCTION("""COMPUTED_VALUE"""),"Técnicas de Vendas")</f>
        <v>Técnicas de Vendas</v>
      </c>
      <c r="J857" s="648" t="str">
        <f>IFERROR(__xludf.DUMMYFUNCTION("""COMPUTED_VALUE"""),"Abordagem e Prospecção")</f>
        <v>Abordagem e Prospecção</v>
      </c>
      <c r="K857" s="535" t="str">
        <f>IFERROR(__xludf.DUMMYFUNCTION("""COMPUTED_VALUE"""),"https://universidade.pipelovers.net/m/lessons/abs-account-based-selling-como-sair-da-abordagem-generica-e-criar-relacionamentos-estrategicos1769550040568?classId=3174")</f>
        <v>https://universidade.pipelovers.net/m/lessons/abs-account-based-selling-como-sair-da-abordagem-generica-e-criar-relacionamentos-estrategicos1769550040568?classId=3174</v>
      </c>
      <c r="L857" s="535" t="str">
        <f>IFERROR(__xludf.DUMMYFUNCTION("""COMPUTED_VALUE"""),"https://universidade.pipelovers.net/m/lessons/abs-account-based-selling-como-sair-da-abordagem-generica-e-criar-relacionamentos-estrategicos1769550040568?classId=3174")</f>
        <v>https://universidade.pipelovers.net/m/lessons/abs-account-based-selling-como-sair-da-abordagem-generica-e-criar-relacionamentos-estrategicos1769550040568?classId=3174</v>
      </c>
      <c r="M857" s="1225">
        <f>IFERROR(__xludf.DUMMYFUNCTION("""COMPUTED_VALUE"""),1.0)</f>
        <v>1</v>
      </c>
      <c r="N857" s="1226" t="str">
        <f>IFERROR(__xludf.DUMMYFUNCTION("""COMPUTED_VALUE"""),"30. PipeLovers Class 🤍: ""ABS (Account-Based Selling) : Como sair da abordagem genérica e criar relacio - 2025/03/14 10:52 GMT-03:00 - Recording")</f>
        <v>30. PipeLovers Class 🤍: "ABS (Account-Based Selling) : Como sair da abordagem genérica e criar relacio - 2025/03/14 10:52 GMT-03:00 - Recording</v>
      </c>
      <c r="O857" s="206" t="str">
        <f>IFERROR(__xludf.DUMMYFUNCTION("""COMPUTED_VALUE"""),"")</f>
        <v/>
      </c>
      <c r="P857" s="1217">
        <f>IFERROR(__xludf.DUMMYFUNCTION("""COMPUTED_VALUE"""),45758.0)</f>
        <v>45758</v>
      </c>
      <c r="Q857" s="206"/>
    </row>
    <row r="858">
      <c r="A858" s="73"/>
      <c r="B858" s="1023" t="str">
        <f>IFERROR(__xludf.DUMMYFUNCTION("""COMPUTED_VALUE"""),"Class")</f>
        <v>Class</v>
      </c>
      <c r="C858" s="501" t="str">
        <f>IFERROR(__xludf.DUMMYFUNCTION("""COMPUTED_VALUE"""),"Como ser interessante sem ser interesseiro")</f>
        <v>Como ser interessante sem ser interesseiro</v>
      </c>
      <c r="D858" s="175" t="str">
        <f>IFERROR(__xludf.DUMMYFUNCTION("""COMPUTED_VALUE"""),"Romualdo da Silva")</f>
        <v>Romualdo da Silva</v>
      </c>
      <c r="E858" s="151" t="str">
        <f>IFERROR(__xludf.DUMMYFUNCTION("""COMPUTED_VALUE"""),"Diretor")</f>
        <v>Diretor</v>
      </c>
      <c r="F858" s="648" t="str">
        <f>IFERROR(__xludf.DUMMYFUNCTION("""COMPUTED_VALUE"""),"CRMThink ")</f>
        <v>CRMThink </v>
      </c>
      <c r="G858" s="647" t="str">
        <f>IFERROR(__xludf.DUMMYFUNCTION("""COMPUTED_VALUE"""),"https://www.linkedin.com/in/romucasp/")</f>
        <v>https://www.linkedin.com/in/romucasp/</v>
      </c>
      <c r="H858" s="648" t="str">
        <f>IFERROR(__xludf.DUMMYFUNCTION("""COMPUTED_VALUE"""),"Relacionamento Interpessoal")</f>
        <v>Relacionamento Interpessoal</v>
      </c>
      <c r="I858" s="648" t="str">
        <f>IFERROR(__xludf.DUMMYFUNCTION("""COMPUTED_VALUE"""),"Comunicação e Relacionamento")</f>
        <v>Comunicação e Relacionamento</v>
      </c>
      <c r="J858" s="648" t="str">
        <f>IFERROR(__xludf.DUMMYFUNCTION("""COMPUTED_VALUE"""),"Tecnicas de Rapport")</f>
        <v>Tecnicas de Rapport</v>
      </c>
      <c r="K858" s="535" t="str">
        <f>IFERROR(__xludf.DUMMYFUNCTION("""COMPUTED_VALUE"""),"https://universidade.pipelovers.net/m/lessons/como-ser-interessante-sem-ser-interesseiro1769550040597?classId=3183")</f>
        <v>https://universidade.pipelovers.net/m/lessons/como-ser-interessante-sem-ser-interesseiro1769550040597?classId=3183</v>
      </c>
      <c r="L858" s="535" t="str">
        <f>IFERROR(__xludf.DUMMYFUNCTION("""COMPUTED_VALUE"""),"https://universidade.pipelovers.net/m/lessons/como-ser-interessante-sem-ser-interesseiro1769550040597?classId=3183")</f>
        <v>https://universidade.pipelovers.net/m/lessons/como-ser-interessante-sem-ser-interesseiro1769550040597?classId=3183</v>
      </c>
      <c r="M858" s="1225">
        <f>IFERROR(__xludf.DUMMYFUNCTION("""COMPUTED_VALUE"""),2.0)</f>
        <v>2</v>
      </c>
      <c r="N858" s="1226" t="str">
        <f>IFERROR(__xludf.DUMMYFUNCTION("""COMPUTED_VALUE"""),"31. PipeLovers Class 🤍: ""Como ser interessante sem ser interesseiro"" com Romualdo Silva - 2025/03/21 10:53 GMT-03:00 - Recording")</f>
        <v>31. PipeLovers Class 🤍: "Como ser interessante sem ser interesseiro" com Romualdo Silva - 2025/03/21 10:53 GMT-03:00 - Recording</v>
      </c>
      <c r="O858" s="206" t="str">
        <f>IFERROR(__xludf.DUMMYFUNCTION("""COMPUTED_VALUE"""),"")</f>
        <v/>
      </c>
      <c r="P858" s="1217">
        <f>IFERROR(__xludf.DUMMYFUNCTION("""COMPUTED_VALUE"""),45765.0)</f>
        <v>45765</v>
      </c>
      <c r="Q858" s="206"/>
    </row>
    <row r="859">
      <c r="A859" s="73"/>
      <c r="B859" s="1023" t="str">
        <f>IFERROR(__xludf.DUMMYFUNCTION("""COMPUTED_VALUE"""),"Class")</f>
        <v>Class</v>
      </c>
      <c r="C859" s="1227" t="str">
        <f>IFERROR(__xludf.DUMMYFUNCTION("""COMPUTED_VALUE"""),"Marca forte vende mais: entenda por quê")</f>
        <v>Marca forte vende mais: entenda por quê</v>
      </c>
      <c r="D859" s="173" t="str">
        <f>IFERROR(__xludf.DUMMYFUNCTION("""COMPUTED_VALUE"""),"Euler Costa")</f>
        <v>Euler Costa</v>
      </c>
      <c r="E859" s="151" t="str">
        <f>IFERROR(__xludf.DUMMYFUNCTION("""COMPUTED_VALUE"""),"Fundador")</f>
        <v>Fundador</v>
      </c>
      <c r="F859" s="648" t="str">
        <f>IFERROR(__xludf.DUMMYFUNCTION("""COMPUTED_VALUE"""),"Agility Marcas e Patentes")</f>
        <v>Agility Marcas e Patentes</v>
      </c>
      <c r="G859" s="647" t="str">
        <f>IFERROR(__xludf.DUMMYFUNCTION("""COMPUTED_VALUE"""),"https://www.linkedin.com/in/euler-costa/")</f>
        <v>https://www.linkedin.com/in/euler-costa/</v>
      </c>
      <c r="H859" s="648" t="str">
        <f>IFERROR(__xludf.DUMMYFUNCTION("""COMPUTED_VALUE"""),"Relacionamento Interpessoal")</f>
        <v>Relacionamento Interpessoal</v>
      </c>
      <c r="I859" s="648" t="str">
        <f>IFERROR(__xludf.DUMMYFUNCTION("""COMPUTED_VALUE"""),"Liderança e Influência")</f>
        <v>Liderança e Influência</v>
      </c>
      <c r="J859" s="648" t="str">
        <f>IFERROR(__xludf.DUMMYFUNCTION("""COMPUTED_VALUE"""),"Credibilidade e Reputação")</f>
        <v>Credibilidade e Reputação</v>
      </c>
      <c r="K859" s="535" t="str">
        <f>IFERROR(__xludf.DUMMYFUNCTION("""COMPUTED_VALUE"""),"https://universidade.pipelovers.net/m/lessons/marca-forte-vende-mais-entenda-por-que1769550040636?classId=3184")</f>
        <v>https://universidade.pipelovers.net/m/lessons/marca-forte-vende-mais-entenda-por-que1769550040636?classId=3184</v>
      </c>
      <c r="L859" s="535" t="str">
        <f>IFERROR(__xludf.DUMMYFUNCTION("""COMPUTED_VALUE"""),"https://universidade.pipelovers.net/m/lessons/marca-forte-vende-mais-entenda-por-que1769550040636?classId=3184")</f>
        <v>https://universidade.pipelovers.net/m/lessons/marca-forte-vende-mais-entenda-por-que1769550040636?classId=3184</v>
      </c>
      <c r="M859" s="383">
        <f>IFERROR(__xludf.DUMMYFUNCTION("""COMPUTED_VALUE"""),2.0)</f>
        <v>2</v>
      </c>
      <c r="N859" s="1228" t="str">
        <f>IFERROR(__xludf.DUMMYFUNCTION("""COMPUTED_VALUE"""),"32. PipeLovers Class 🤍: ""Marca forte vende mais: entenda por quê"" com Euler Costa  - 2025/03/28 10:51 GMT-03:00 - Recording")</f>
        <v>32. PipeLovers Class 🤍: "Marca forte vende mais: entenda por quê" com Euler Costa  - 2025/03/28 10:51 GMT-03:00 - Recording</v>
      </c>
      <c r="O859" s="206" t="str">
        <f>IFERROR(__xludf.DUMMYFUNCTION("""COMPUTED_VALUE"""),"")</f>
        <v/>
      </c>
      <c r="P859" s="1217">
        <f>IFERROR(__xludf.DUMMYFUNCTION("""COMPUTED_VALUE"""),45772.0)</f>
        <v>45772</v>
      </c>
      <c r="Q859" s="206"/>
    </row>
    <row r="860">
      <c r="A860" s="73"/>
      <c r="B860" s="1023" t="str">
        <f>IFERROR(__xludf.DUMMYFUNCTION("""COMPUTED_VALUE"""),"Class")</f>
        <v>Class</v>
      </c>
      <c r="C860" s="1229" t="str">
        <f>IFERROR(__xludf.DUMMYFUNCTION("""COMPUTED_VALUE"""),"O que os livros não ensinam sobre oratória")</f>
        <v>O que os livros não ensinam sobre oratória</v>
      </c>
      <c r="D860" s="175" t="str">
        <f>IFERROR(__xludf.DUMMYFUNCTION("""COMPUTED_VALUE"""),"Beatriz Kobal")</f>
        <v>Beatriz Kobal</v>
      </c>
      <c r="E860" s="151" t="str">
        <f>IFERROR(__xludf.DUMMYFUNCTION("""COMPUTED_VALUE"""),"Mentora especialista em treinamentos de oratória e comunicação")</f>
        <v>Mentora especialista em treinamentos de oratória e comunicação</v>
      </c>
      <c r="F860" s="648" t="str">
        <f>IFERROR(__xludf.DUMMYFUNCTION("""COMPUTED_VALUE"""),"-")</f>
        <v>-</v>
      </c>
      <c r="G860" s="647" t="str">
        <f>IFERROR(__xludf.DUMMYFUNCTION("""COMPUTED_VALUE"""),"https://www.linkedin.com/in/biakobal/")</f>
        <v>https://www.linkedin.com/in/biakobal/</v>
      </c>
      <c r="H860" s="648" t="str">
        <f>IFERROR(__xludf.DUMMYFUNCTION("""COMPUTED_VALUE"""),"Relacionamento Interpessoal")</f>
        <v>Relacionamento Interpessoal</v>
      </c>
      <c r="I860" s="648" t="str">
        <f>IFERROR(__xludf.DUMMYFUNCTION("""COMPUTED_VALUE"""),"Comunicação e Relacionamento")</f>
        <v>Comunicação e Relacionamento</v>
      </c>
      <c r="J860" s="648" t="str">
        <f>IFERROR(__xludf.DUMMYFUNCTION("""COMPUTED_VALUE"""),"Comunicação Não-Agressiva")</f>
        <v>Comunicação Não-Agressiva</v>
      </c>
      <c r="K860" s="535" t="str">
        <f>IFERROR(__xludf.DUMMYFUNCTION("""COMPUTED_VALUE"""),"https://universidade.pipelovers.net/m/lessons/o-que-os-livros-nao-ensinam-sobre-oratoria1769550040736?classId=3185")</f>
        <v>https://universidade.pipelovers.net/m/lessons/o-que-os-livros-nao-ensinam-sobre-oratoria1769550040736?classId=3185</v>
      </c>
      <c r="L860" s="535" t="str">
        <f>IFERROR(__xludf.DUMMYFUNCTION("""COMPUTED_VALUE"""),"https://universidade.pipelovers.net/m/lessons/o-que-os-livros-nao-ensinam-sobre-oratoria1769550040736?classId=3185")</f>
        <v>https://universidade.pipelovers.net/m/lessons/o-que-os-livros-nao-ensinam-sobre-oratoria1769550040736?classId=3185</v>
      </c>
      <c r="M860" s="1230">
        <f>IFERROR(__xludf.DUMMYFUNCTION("""COMPUTED_VALUE"""),5.0)</f>
        <v>5</v>
      </c>
      <c r="N860" s="1231" t="str">
        <f>IFERROR(__xludf.DUMMYFUNCTION("""COMPUTED_VALUE"""),"33. PipeLovers Class 🤍: ""O que os livros não ensinam sobre oratória"" com Beatriz Kobal - 2025/04/04 10:45 GMT-03:00 - Recording")</f>
        <v>33. PipeLovers Class 🤍: "O que os livros não ensinam sobre oratória" com Beatriz Kobal - 2025/04/04 10:45 GMT-03:00 - Recording</v>
      </c>
      <c r="O860" s="206" t="str">
        <f>IFERROR(__xludf.DUMMYFUNCTION("""COMPUTED_VALUE"""),"")</f>
        <v/>
      </c>
      <c r="P860" s="1217">
        <f>IFERROR(__xludf.DUMMYFUNCTION("""COMPUTED_VALUE"""),45779.0)</f>
        <v>45779</v>
      </c>
      <c r="Q860" s="206"/>
    </row>
    <row r="861">
      <c r="A861" s="73"/>
      <c r="B861" s="1023" t="str">
        <f>IFERROR(__xludf.DUMMYFUNCTION("""COMPUTED_VALUE"""),"Class")</f>
        <v>Class</v>
      </c>
      <c r="C861" s="1227" t="str">
        <f>IFERROR(__xludf.DUMMYFUNCTION("""COMPUTED_VALUE"""),"Engenharia reversa dos funis de marketing e vendas dos concorrentes")</f>
        <v>Engenharia reversa dos funis de marketing e vendas dos concorrentes</v>
      </c>
      <c r="D861" s="173" t="str">
        <f>IFERROR(__xludf.DUMMYFUNCTION("""COMPUTED_VALUE"""),"Leandro Macedo")</f>
        <v>Leandro Macedo</v>
      </c>
      <c r="E861" s="151" t="str">
        <f>IFERROR(__xludf.DUMMYFUNCTION("""COMPUTED_VALUE"""),"Diretor")</f>
        <v>Diretor</v>
      </c>
      <c r="F861" s="648" t="str">
        <f>IFERROR(__xludf.DUMMYFUNCTION("""COMPUTED_VALUE"""),"Agência Donnu")</f>
        <v>Agência Donnu</v>
      </c>
      <c r="G861" s="647" t="str">
        <f>IFERROR(__xludf.DUMMYFUNCTION("""COMPUTED_VALUE"""),"https://www.linkedin.com/in/leandro--macedo/")</f>
        <v>https://www.linkedin.com/in/leandro--macedo/</v>
      </c>
      <c r="H861" s="648" t="str">
        <f>IFERROR(__xludf.DUMMYFUNCTION("""COMPUTED_VALUE"""),"Visão de Negócios")</f>
        <v>Visão de Negócios</v>
      </c>
      <c r="I861" s="648" t="str">
        <f>IFERROR(__xludf.DUMMYFUNCTION("""COMPUTED_VALUE"""),"Conhecimento de Produto e Negócio")</f>
        <v>Conhecimento de Produto e Negócio</v>
      </c>
      <c r="J861" s="648" t="str">
        <f>IFERROR(__xludf.DUMMYFUNCTION("""COMPUTED_VALUE"""),"Análise da Concorrência")</f>
        <v>Análise da Concorrência</v>
      </c>
      <c r="K861" s="535" t="str">
        <f>IFERROR(__xludf.DUMMYFUNCTION("""COMPUTED_VALUE"""),"https://universidade.pipelovers.net/m/lessons/engenharia-reversa-dos-funis-de-marketing-e-vendas-dos-concorrentes1769550040865?classId=3186")</f>
        <v>https://universidade.pipelovers.net/m/lessons/engenharia-reversa-dos-funis-de-marketing-e-vendas-dos-concorrentes1769550040865?classId=3186</v>
      </c>
      <c r="L861" s="535" t="str">
        <f>IFERROR(__xludf.DUMMYFUNCTION("""COMPUTED_VALUE"""),"https://universidade.pipelovers.net/m/lessons/engenharia-reversa-dos-funis-de-marketing-e-vendas-dos-concorrentes1769550040865?classId=3186")</f>
        <v>https://universidade.pipelovers.net/m/lessons/engenharia-reversa-dos-funis-de-marketing-e-vendas-dos-concorrentes1769550040865?classId=3186</v>
      </c>
      <c r="M861" s="383">
        <f>IFERROR(__xludf.DUMMYFUNCTION("""COMPUTED_VALUE"""),2.0)</f>
        <v>2</v>
      </c>
      <c r="N861" s="1228" t="str">
        <f>IFERROR(__xludf.DUMMYFUNCTION("""COMPUTED_VALUE"""),"34. PipeLovers Class 🤍: ""Engenharia reversa dos funis de marketing e vendas dos concorrentes"" com Lean - 2025/04/11 10:50 GMT-03:00 - Recording")</f>
        <v>34. PipeLovers Class 🤍: "Engenharia reversa dos funis de marketing e vendas dos concorrentes" com Lean - 2025/04/11 10:50 GMT-03:00 - Recording</v>
      </c>
      <c r="O861" s="206" t="str">
        <f>IFERROR(__xludf.DUMMYFUNCTION("""COMPUTED_VALUE"""),"")</f>
        <v/>
      </c>
      <c r="P861" s="1217">
        <f>IFERROR(__xludf.DUMMYFUNCTION("""COMPUTED_VALUE"""),45786.0)</f>
        <v>45786</v>
      </c>
      <c r="Q861" s="206"/>
    </row>
    <row r="862">
      <c r="A862" s="73"/>
      <c r="B862" s="1023" t="str">
        <f>IFERROR(__xludf.DUMMYFUNCTION("""COMPUTED_VALUE"""),"Class")</f>
        <v>Class</v>
      </c>
      <c r="C862" s="501" t="str">
        <f>IFERROR(__xludf.DUMMYFUNCTION("""COMPUTED_VALUE"""),"Como fazer uma apresentação comercial matadora")</f>
        <v>Como fazer uma apresentação comercial matadora</v>
      </c>
      <c r="D862" s="175" t="str">
        <f>IFERROR(__xludf.DUMMYFUNCTION("""COMPUTED_VALUE"""),"Brunno Alencar")</f>
        <v>Brunno Alencar</v>
      </c>
      <c r="E862" s="151" t="str">
        <f>IFERROR(__xludf.DUMMYFUNCTION("""COMPUTED_VALUE"""),"Fundador")</f>
        <v>Fundador</v>
      </c>
      <c r="F862" s="648" t="str">
        <f>IFERROR(__xludf.DUMMYFUNCTION("""COMPUTED_VALUE"""),"Comercial PRO")</f>
        <v>Comercial PRO</v>
      </c>
      <c r="G862" s="647" t="str">
        <f>IFERROR(__xludf.DUMMYFUNCTION("""COMPUTED_VALUE"""),"https://www.linkedin.com/in/brunnobezerra/")</f>
        <v>https://www.linkedin.com/in/brunnobezerra/</v>
      </c>
      <c r="H862" s="648" t="str">
        <f>IFERROR(__xludf.DUMMYFUNCTION("""COMPUTED_VALUE"""),"Conhecimento Técnico")</f>
        <v>Conhecimento Técnico</v>
      </c>
      <c r="I862" s="648" t="str">
        <f>IFERROR(__xludf.DUMMYFUNCTION("""COMPUTED_VALUE"""),"Técnicas de Vendas")</f>
        <v>Técnicas de Vendas</v>
      </c>
      <c r="J862" s="648" t="str">
        <f>IFERROR(__xludf.DUMMYFUNCTION("""COMPUTED_VALUE"""),"Pitch Comercial")</f>
        <v>Pitch Comercial</v>
      </c>
      <c r="K862" s="535" t="str">
        <f>IFERROR(__xludf.DUMMYFUNCTION("""COMPUTED_VALUE"""),"https://universidade.pipelovers.net/m/lessons/como-fazer-uma-apresentacao-comercial-matadora1769550042060?classId=3187")</f>
        <v>https://universidade.pipelovers.net/m/lessons/como-fazer-uma-apresentacao-comercial-matadora1769550042060?classId=3187</v>
      </c>
      <c r="L862" s="535" t="str">
        <f>IFERROR(__xludf.DUMMYFUNCTION("""COMPUTED_VALUE"""),"https://universidade.pipelovers.net/m/lessons/como-fazer-uma-apresentacao-comercial-matadora1769550042060?classId=3187")</f>
        <v>https://universidade.pipelovers.net/m/lessons/como-fazer-uma-apresentacao-comercial-matadora1769550042060?classId=3187</v>
      </c>
      <c r="M862" s="1220">
        <f>IFERROR(__xludf.DUMMYFUNCTION("""COMPUTED_VALUE"""),4.43)</f>
        <v>4.43</v>
      </c>
      <c r="N862" s="1232" t="str">
        <f>IFERROR(__xludf.DUMMYFUNCTION("""COMPUTED_VALUE"""),"35. PipeLovers Class 🤍: ""Como fazer uma apresentação comercial matadora"" com Brunno Alencar - 2025/04/25 10:50 GMT-03:00 - Recording")</f>
        <v>35. PipeLovers Class 🤍: "Como fazer uma apresentação comercial matadora" com Brunno Alencar - 2025/04/25 10:50 GMT-03:00 - Recording</v>
      </c>
      <c r="O862" s="206" t="str">
        <f>IFERROR(__xludf.DUMMYFUNCTION("""COMPUTED_VALUE"""),"")</f>
        <v/>
      </c>
      <c r="P862" s="1217">
        <f>IFERROR(__xludf.DUMMYFUNCTION("""COMPUTED_VALUE"""),45793.0)</f>
        <v>45793</v>
      </c>
      <c r="Q862" s="206"/>
    </row>
    <row r="863">
      <c r="A863" s="73"/>
      <c r="B863" s="1023" t="str">
        <f>IFERROR(__xludf.DUMMYFUNCTION("""COMPUTED_VALUE"""),"Class")</f>
        <v>Class</v>
      </c>
      <c r="C863" s="1227" t="str">
        <f>IFERROR(__xludf.DUMMYFUNCTION("""COMPUTED_VALUE"""),"O seu lead está com medo?")</f>
        <v>O seu lead está com medo?</v>
      </c>
      <c r="D863" s="173" t="str">
        <f>IFERROR(__xludf.DUMMYFUNCTION("""COMPUTED_VALUE"""),"Clarissa Hohmuth Rissi ")</f>
        <v>Clarissa Hohmuth Rissi </v>
      </c>
      <c r="E863" s="151" t="str">
        <f>IFERROR(__xludf.DUMMYFUNCTION("""COMPUTED_VALUE"""),"Founder ")</f>
        <v>Founder </v>
      </c>
      <c r="F863" s="648" t="str">
        <f>IFERROR(__xludf.DUMMYFUNCTION("""COMPUTED_VALUE"""),"Performa Consultoria Estratégica")</f>
        <v>Performa Consultoria Estratégica</v>
      </c>
      <c r="G863" s="647" t="str">
        <f>IFERROR(__xludf.DUMMYFUNCTION("""COMPUTED_VALUE"""),"https://www.linkedin.com/in/clarissarissi/")</f>
        <v>https://www.linkedin.com/in/clarissarissi/</v>
      </c>
      <c r="H863" s="648" t="str">
        <f>IFERROR(__xludf.DUMMYFUNCTION("""COMPUTED_VALUE"""),"Conhecimento Técnico")</f>
        <v>Conhecimento Técnico</v>
      </c>
      <c r="I863" s="648" t="str">
        <f>IFERROR(__xludf.DUMMYFUNCTION("""COMPUTED_VALUE"""),"Técnicas de Vendas")</f>
        <v>Técnicas de Vendas</v>
      </c>
      <c r="J863" s="648" t="str">
        <f>IFERROR(__xludf.DUMMYFUNCTION("""COMPUTED_VALUE"""),"Contorno de Objeções")</f>
        <v>Contorno de Objeções</v>
      </c>
      <c r="K863" s="535" t="str">
        <f>IFERROR(__xludf.DUMMYFUNCTION("""COMPUTED_VALUE"""),"https://universidade.pipelovers.net/m/lessons/o-seu-lead-esta-com-medo1769550042110?classId=3188")</f>
        <v>https://universidade.pipelovers.net/m/lessons/o-seu-lead-esta-com-medo1769550042110?classId=3188</v>
      </c>
      <c r="L863" s="535" t="str">
        <f>IFERROR(__xludf.DUMMYFUNCTION("""COMPUTED_VALUE"""),"https://universidade.pipelovers.net/m/lessons/o-seu-lead-esta-com-medo1769550042110?classId=3188")</f>
        <v>https://universidade.pipelovers.net/m/lessons/o-seu-lead-esta-com-medo1769550042110?classId=3188</v>
      </c>
      <c r="M863" s="1233">
        <f>IFERROR(__xludf.DUMMYFUNCTION("""COMPUTED_VALUE"""),1.0)</f>
        <v>1</v>
      </c>
      <c r="N863" s="1234" t="str">
        <f>IFERROR(__xludf.DUMMYFUNCTION("""COMPUTED_VALUE"""),"36. PipeLovers Class 🤍: ""O seu lead está com medo?"" com Clarissa Hohmuth Rissi  - 2025/05/09 10:50 GMT-03:00 - Recording")</f>
        <v>36. PipeLovers Class 🤍: "O seu lead está com medo?" com Clarissa Hohmuth Rissi  - 2025/05/09 10:50 GMT-03:00 - Recording</v>
      </c>
      <c r="O863" s="206" t="str">
        <f>IFERROR(__xludf.DUMMYFUNCTION("""COMPUTED_VALUE"""),"")</f>
        <v/>
      </c>
      <c r="P863" s="1217">
        <f>IFERROR(__xludf.DUMMYFUNCTION("""COMPUTED_VALUE"""),45800.0)</f>
        <v>45800</v>
      </c>
      <c r="Q863" s="206"/>
    </row>
    <row r="864">
      <c r="A864" s="73"/>
      <c r="B864" s="1023" t="str">
        <f>IFERROR(__xludf.DUMMYFUNCTION("""COMPUTED_VALUE"""),"Class")</f>
        <v>Class</v>
      </c>
      <c r="C864" s="1227" t="str">
        <f>IFERROR(__xludf.DUMMYFUNCTION("""COMPUTED_VALUE"""),"Cadência como processo: como estruturar interações comerciais de forma eficiente")</f>
        <v>Cadência como processo: como estruturar interações comerciais de forma eficiente</v>
      </c>
      <c r="D864" s="175" t="str">
        <f>IFERROR(__xludf.DUMMYFUNCTION("""COMPUTED_VALUE"""),"Gabriel Civinski")</f>
        <v>Gabriel Civinski</v>
      </c>
      <c r="E864" s="151" t="str">
        <f>IFERROR(__xludf.DUMMYFUNCTION("""COMPUTED_VALUE"""),"Founder &amp; Mentor")</f>
        <v>Founder &amp; Mentor</v>
      </c>
      <c r="F864" s="648" t="str">
        <f>IFERROR(__xludf.DUMMYFUNCTION("""COMPUTED_VALUE"""),"Altavenda")</f>
        <v>Altavenda</v>
      </c>
      <c r="G864" s="647" t="str">
        <f>IFERROR(__xludf.DUMMYFUNCTION("""COMPUTED_VALUE"""),"https://www.linkedin.com/in/gabriel-civinski/")</f>
        <v>https://www.linkedin.com/in/gabriel-civinski/</v>
      </c>
      <c r="H864" s="648" t="str">
        <f>IFERROR(__xludf.DUMMYFUNCTION("""COMPUTED_VALUE"""),"Conhecimento Técnico")</f>
        <v>Conhecimento Técnico</v>
      </c>
      <c r="I864" s="648" t="str">
        <f>IFERROR(__xludf.DUMMYFUNCTION("""COMPUTED_VALUE"""),"Técnicas de Vendas")</f>
        <v>Técnicas de Vendas</v>
      </c>
      <c r="J864" s="648" t="str">
        <f>IFERROR(__xludf.DUMMYFUNCTION("""COMPUTED_VALUE"""),"Abordagem e Prospecção")</f>
        <v>Abordagem e Prospecção</v>
      </c>
      <c r="K864" s="535" t="str">
        <f>IFERROR(__xludf.DUMMYFUNCTION("""COMPUTED_VALUE"""),"https://universidade.pipelovers.net/m/lessons/cadencia-como-processo-como-estruturar-interacoes-comerciais-de-forma-eficiente1769550042140?classId=3195")</f>
        <v>https://universidade.pipelovers.net/m/lessons/cadencia-como-processo-como-estruturar-interacoes-comerciais-de-forma-eficiente1769550042140?classId=3195</v>
      </c>
      <c r="L864" s="535" t="str">
        <f>IFERROR(__xludf.DUMMYFUNCTION("""COMPUTED_VALUE"""),"https://universidade.pipelovers.net/m/lessons/cadencia-como-processo-como-estruturar-interacoes-comerciais-de-forma-eficiente1769550042140?classId=3195")</f>
        <v>https://universidade.pipelovers.net/m/lessons/cadencia-como-processo-como-estruturar-interacoes-comerciais-de-forma-eficiente1769550042140?classId=3195</v>
      </c>
      <c r="M864" s="1195">
        <f>IFERROR(__xludf.DUMMYFUNCTION("""COMPUTED_VALUE"""),4.29)</f>
        <v>4.29</v>
      </c>
      <c r="N864" s="1235" t="str">
        <f>IFERROR(__xludf.DUMMYFUNCTION("""COMPUTED_VALUE"""),"37. PipeLovers Class 🤍: ""Cadência como processo"" com Gabriel Civinski  - 2025/05/16 11:00 GMT- 12:00 - Recording")</f>
        <v>37. PipeLovers Class 🤍: "Cadência como processo" com Gabriel Civinski  - 2025/05/16 11:00 GMT- 12:00 - Recording</v>
      </c>
      <c r="O864" s="206" t="str">
        <f>IFERROR(__xludf.DUMMYFUNCTION("""COMPUTED_VALUE"""),"")</f>
        <v/>
      </c>
      <c r="P864" s="1217">
        <f>IFERROR(__xludf.DUMMYFUNCTION("""COMPUTED_VALUE"""),45807.0)</f>
        <v>45807</v>
      </c>
      <c r="Q864" s="206"/>
    </row>
    <row r="865">
      <c r="A865" s="73"/>
      <c r="B865" s="1023" t="str">
        <f>IFERROR(__xludf.DUMMYFUNCTION("""COMPUTED_VALUE"""),"Class")</f>
        <v>Class</v>
      </c>
      <c r="C865" s="1227" t="str">
        <f>IFERROR(__xludf.DUMMYFUNCTION("""COMPUTED_VALUE"""),"Como tomar decisões mais inteligentes usando dados")</f>
        <v>Como tomar decisões mais inteligentes usando dados</v>
      </c>
      <c r="D865" s="173" t="str">
        <f>IFERROR(__xludf.DUMMYFUNCTION("""COMPUTED_VALUE"""),"Chris Cornehl")</f>
        <v>Chris Cornehl</v>
      </c>
      <c r="E865" s="151" t="str">
        <f>IFERROR(__xludf.DUMMYFUNCTION("""COMPUTED_VALUE"""),"CEO")</f>
        <v>CEO</v>
      </c>
      <c r="F865" s="648" t="str">
        <f>IFERROR(__xludf.DUMMYFUNCTION("""COMPUTED_VALUE"""),"MeetRox")</f>
        <v>MeetRox</v>
      </c>
      <c r="G865" s="647" t="str">
        <f>IFERROR(__xludf.DUMMYFUNCTION("""COMPUTED_VALUE"""),"https://www.linkedin.com/in/chriscornehl/")</f>
        <v>https://www.linkedin.com/in/chriscornehl/</v>
      </c>
      <c r="H865" s="648" t="str">
        <f>IFERROR(__xludf.DUMMYFUNCTION("""COMPUTED_VALUE"""),"Conhecimento Técnico")</f>
        <v>Conhecimento Técnico</v>
      </c>
      <c r="I865" s="648" t="str">
        <f>IFERROR(__xludf.DUMMYFUNCTION("""COMPUTED_VALUE"""),"Pensamento Crítico")</f>
        <v>Pensamento Crítico</v>
      </c>
      <c r="J865" s="648" t="str">
        <f>IFERROR(__xludf.DUMMYFUNCTION("""COMPUTED_VALUE"""),"ROI")</f>
        <v>ROI</v>
      </c>
      <c r="K865" s="535" t="str">
        <f>IFERROR(__xludf.DUMMYFUNCTION("""COMPUTED_VALUE"""),"https://universidade.pipelovers.net/m/lessons/como-tomar-decisoes-mais-inteligentes-usando-dados1769550059834?classId=3196")</f>
        <v>https://universidade.pipelovers.net/m/lessons/como-tomar-decisoes-mais-inteligentes-usando-dados1769550059834?classId=3196</v>
      </c>
      <c r="L865" s="535" t="str">
        <f>IFERROR(__xludf.DUMMYFUNCTION("""COMPUTED_VALUE"""),"https://universidade.pipelovers.net/m/lessons/como-tomar-decisoes-mais-inteligentes-usando-dados1769550059834?classId=3196")</f>
        <v>https://universidade.pipelovers.net/m/lessons/como-tomar-decisoes-mais-inteligentes-usando-dados1769550059834?classId=3196</v>
      </c>
      <c r="M865" s="1236">
        <f>IFERROR(__xludf.DUMMYFUNCTION("""COMPUTED_VALUE"""),2.0)</f>
        <v>2</v>
      </c>
      <c r="N865" s="1237" t="str">
        <f>IFERROR(__xludf.DUMMYFUNCTION("""COMPUTED_VALUE"""),"38. PipeLovers Class 🤍: ""Como tomar decisões mais inteligentes usando dados"" com Chris Cornehl - 2025/05/23 10:50 GMT-03:00 - Recording")</f>
        <v>38. PipeLovers Class 🤍: "Como tomar decisões mais inteligentes usando dados" com Chris Cornehl - 2025/05/23 10:50 GMT-03:00 - Recording</v>
      </c>
      <c r="O865" s="206" t="str">
        <f>IFERROR(__xludf.DUMMYFUNCTION("""COMPUTED_VALUE"""),"")</f>
        <v/>
      </c>
      <c r="P865" s="1217">
        <f>IFERROR(__xludf.DUMMYFUNCTION("""COMPUTED_VALUE"""),45814.0)</f>
        <v>45814</v>
      </c>
      <c r="Q865" s="206"/>
    </row>
    <row r="866">
      <c r="A866" s="73"/>
      <c r="B866" s="1023" t="str">
        <f>IFERROR(__xludf.DUMMYFUNCTION("""COMPUTED_VALUE"""),"Class")</f>
        <v>Class</v>
      </c>
      <c r="C866" s="1227" t="str">
        <f>IFERROR(__xludf.DUMMYFUNCTION("""COMPUTED_VALUE"""),"A reta final da venda: da apresentação do preço ao fechamento")</f>
        <v>A reta final da venda: da apresentação do preço ao fechamento</v>
      </c>
      <c r="D866" s="175" t="str">
        <f>IFERROR(__xludf.DUMMYFUNCTION("""COMPUTED_VALUE"""),"Brunno Alencar")</f>
        <v>Brunno Alencar</v>
      </c>
      <c r="E866" s="151" t="str">
        <f>IFERROR(__xludf.DUMMYFUNCTION("""COMPUTED_VALUE"""),"Fundador")</f>
        <v>Fundador</v>
      </c>
      <c r="F866" s="648" t="str">
        <f>IFERROR(__xludf.DUMMYFUNCTION("""COMPUTED_VALUE"""),"Comercial PRO")</f>
        <v>Comercial PRO</v>
      </c>
      <c r="G866" s="647" t="str">
        <f>IFERROR(__xludf.DUMMYFUNCTION("""COMPUTED_VALUE"""),"https://www.linkedin.com/in/brunnobezerra/")</f>
        <v>https://www.linkedin.com/in/brunnobezerra/</v>
      </c>
      <c r="H866" s="648" t="str">
        <f>IFERROR(__xludf.DUMMYFUNCTION("""COMPUTED_VALUE"""),"Conhecimento Técnico")</f>
        <v>Conhecimento Técnico</v>
      </c>
      <c r="I866" s="648" t="str">
        <f>IFERROR(__xludf.DUMMYFUNCTION("""COMPUTED_VALUE"""),"Técnicas de Vendas")</f>
        <v>Técnicas de Vendas</v>
      </c>
      <c r="J866" s="648" t="str">
        <f>IFERROR(__xludf.DUMMYFUNCTION("""COMPUTED_VALUE"""),"Negociação e Fechamento de Vendas")</f>
        <v>Negociação e Fechamento de Vendas</v>
      </c>
      <c r="K866" s="535" t="str">
        <f>IFERROR(__xludf.DUMMYFUNCTION("""COMPUTED_VALUE"""),"https://universidade.pipelovers.net/m/lessons/a-reta-final-da-venda-da-apresentacao-do-preco-ao-fechamento1769550060299?classId=3197")</f>
        <v>https://universidade.pipelovers.net/m/lessons/a-reta-final-da-venda-da-apresentacao-do-preco-ao-fechamento1769550060299?classId=3197</v>
      </c>
      <c r="L866" s="535" t="str">
        <f>IFERROR(__xludf.DUMMYFUNCTION("""COMPUTED_VALUE"""),"https://universidade.pipelovers.net/m/lessons/a-reta-final-da-venda-da-apresentacao-do-preco-ao-fechamento1769550060299?classId=3197")</f>
        <v>https://universidade.pipelovers.net/m/lessons/a-reta-final-da-venda-da-apresentacao-do-preco-ao-fechamento1769550060299?classId=3197</v>
      </c>
      <c r="M866" s="1195">
        <f>IFERROR(__xludf.DUMMYFUNCTION("""COMPUTED_VALUE"""),5.0)</f>
        <v>5</v>
      </c>
      <c r="N866" s="1235" t="str">
        <f>IFERROR(__xludf.DUMMYFUNCTION("""COMPUTED_VALUE"""),"39. PipeLovers Class 🤍: ""A reta final da venda: da apresentação do preço ao fechamento"" com Brunno Ale - 2025/05/30 10:50 GMT-03:00 - Recording")</f>
        <v>39. PipeLovers Class 🤍: "A reta final da venda: da apresentação do preço ao fechamento" com Brunno Ale - 2025/05/30 10:50 GMT-03:00 - Recording</v>
      </c>
      <c r="O866" s="206" t="str">
        <f>IFERROR(__xludf.DUMMYFUNCTION("""COMPUTED_VALUE"""),"")</f>
        <v/>
      </c>
      <c r="P866" s="1217">
        <f>IFERROR(__xludf.DUMMYFUNCTION("""COMPUTED_VALUE"""),45821.0)</f>
        <v>45821</v>
      </c>
      <c r="Q866" s="206"/>
    </row>
    <row r="867">
      <c r="A867" s="73"/>
      <c r="B867" s="1023" t="str">
        <f>IFERROR(__xludf.DUMMYFUNCTION("""COMPUTED_VALUE"""),"Class")</f>
        <v>Class</v>
      </c>
      <c r="C867" s="1227" t="str">
        <f>IFERROR(__xludf.DUMMYFUNCTION("""COMPUTED_VALUE"""),"O impacto do hipercrescimento no comercial: o que muda na prática")</f>
        <v>O impacto do hipercrescimento no comercial: o que muda na prática</v>
      </c>
      <c r="D867" s="173" t="str">
        <f>IFERROR(__xludf.DUMMYFUNCTION("""COMPUTED_VALUE"""),"João Eduardo")</f>
        <v>João Eduardo</v>
      </c>
      <c r="E867" s="151" t="str">
        <f>IFERROR(__xludf.DUMMYFUNCTION("""COMPUTED_VALUE"""),"Sócio")</f>
        <v>Sócio</v>
      </c>
      <c r="F867" s="648" t="str">
        <f>IFERROR(__xludf.DUMMYFUNCTION("""COMPUTED_VALUE"""),"Quarter Negócios &amp; Serviços")</f>
        <v>Quarter Negócios &amp; Serviços</v>
      </c>
      <c r="G867" s="647" t="str">
        <f>IFERROR(__xludf.DUMMYFUNCTION("""COMPUTED_VALUE"""),"https://www.linkedin.com/in/joao-eduardo-silva-neto-22202225/")</f>
        <v>https://www.linkedin.com/in/joao-eduardo-silva-neto-22202225/</v>
      </c>
      <c r="H867" s="648" t="str">
        <f>IFERROR(__xludf.DUMMYFUNCTION("""COMPUTED_VALUE"""),"Conhecimento Técnico")</f>
        <v>Conhecimento Técnico</v>
      </c>
      <c r="I867" s="648" t="str">
        <f>IFERROR(__xludf.DUMMYFUNCTION("""COMPUTED_VALUE"""),"Gestão de Vendas")</f>
        <v>Gestão de Vendas</v>
      </c>
      <c r="J867" s="648" t="str">
        <f>IFERROR(__xludf.DUMMYFUNCTION("""COMPUTED_VALUE"""),"Planejamento Comercial")</f>
        <v>Planejamento Comercial</v>
      </c>
      <c r="K867" s="535" t="str">
        <f>IFERROR(__xludf.DUMMYFUNCTION("""COMPUTED_VALUE"""),"https://universidade.pipelovers.net/m/lessons/o-impacto-do-hipercrescimento-no-comercial-o-que-muda-na-pratica1769550059977?classId=3198")</f>
        <v>https://universidade.pipelovers.net/m/lessons/o-impacto-do-hipercrescimento-no-comercial-o-que-muda-na-pratica1769550059977?classId=3198</v>
      </c>
      <c r="L867" s="535" t="str">
        <f>IFERROR(__xludf.DUMMYFUNCTION("""COMPUTED_VALUE"""),"https://universidade.pipelovers.net/m/lessons/o-impacto-do-hipercrescimento-no-comercial-o-que-muda-na-pratica1769550059977?classId=3198")</f>
        <v>https://universidade.pipelovers.net/m/lessons/o-impacto-do-hipercrescimento-no-comercial-o-que-muda-na-pratica1769550059977?classId=3198</v>
      </c>
      <c r="M867" s="1236">
        <f>IFERROR(__xludf.DUMMYFUNCTION("""COMPUTED_VALUE"""),1.0)</f>
        <v>1</v>
      </c>
      <c r="N867" s="1238" t="str">
        <f>IFERROR(__xludf.DUMMYFUNCTION("""COMPUTED_VALUE"""),"40. PipeLovers Class 🤍: ""O impacto do hipercrescimento no comercial: o que muda na prática"" com João E - 2025/06/06 10:41 GMT-03:00 - Recording")</f>
        <v>40. PipeLovers Class 🤍: "O impacto do hipercrescimento no comercial: o que muda na prática" com João E - 2025/06/06 10:41 GMT-03:00 - Recording</v>
      </c>
      <c r="O867" s="206" t="str">
        <f>IFERROR(__xludf.DUMMYFUNCTION("""COMPUTED_VALUE"""),"")</f>
        <v/>
      </c>
      <c r="P867" s="1217">
        <f>IFERROR(__xludf.DUMMYFUNCTION("""COMPUTED_VALUE"""),45828.0)</f>
        <v>45828</v>
      </c>
      <c r="Q867" s="206"/>
    </row>
    <row r="868">
      <c r="A868" s="73"/>
      <c r="B868" s="1023" t="str">
        <f>IFERROR(__xludf.DUMMYFUNCTION("""COMPUTED_VALUE"""),"Class")</f>
        <v>Class</v>
      </c>
      <c r="C868" s="1227" t="str">
        <f>IFERROR(__xludf.DUMMYFUNCTION("""COMPUTED_VALUE"""),"Como fazer vendas para grandes contas")</f>
        <v>Como fazer vendas para grandes contas</v>
      </c>
      <c r="D868" s="175" t="str">
        <f>IFERROR(__xludf.DUMMYFUNCTION("""COMPUTED_VALUE"""),"Felipe Spina")</f>
        <v>Felipe Spina</v>
      </c>
      <c r="E868" s="151" t="str">
        <f>IFERROR(__xludf.DUMMYFUNCTION("""COMPUTED_VALUE"""),"Co-founder e CEO ")</f>
        <v>Co-founder e CEO </v>
      </c>
      <c r="F868" s="648" t="str">
        <f>IFERROR(__xludf.DUMMYFUNCTION("""COMPUTED_VALUE"""),"Maestro ABM")</f>
        <v>Maestro ABM</v>
      </c>
      <c r="G868" s="647" t="str">
        <f>IFERROR(__xludf.DUMMYFUNCTION("""COMPUTED_VALUE"""),"https://www.linkedin.com/in/fspina/")</f>
        <v>https://www.linkedin.com/in/fspina/</v>
      </c>
      <c r="H868" s="648" t="str">
        <f>IFERROR(__xludf.DUMMYFUNCTION("""COMPUTED_VALUE"""),"Conhecimento Técnico")</f>
        <v>Conhecimento Técnico</v>
      </c>
      <c r="I868" s="648" t="str">
        <f>IFERROR(__xludf.DUMMYFUNCTION("""COMPUTED_VALUE"""),"Técnicas de Vendas")</f>
        <v>Técnicas de Vendas</v>
      </c>
      <c r="J868" s="648" t="str">
        <f>IFERROR(__xludf.DUMMYFUNCTION("""COMPUTED_VALUE"""),"Qualificação e Entendimento da Dor")</f>
        <v>Qualificação e Entendimento da Dor</v>
      </c>
      <c r="K868" s="535" t="str">
        <f>IFERROR(__xludf.DUMMYFUNCTION("""COMPUTED_VALUE"""),"https://universidade.pipelovers.net/m/lessons/como-fazer-vendas-para-grandes-contas1769550060331?classId=3199")</f>
        <v>https://universidade.pipelovers.net/m/lessons/como-fazer-vendas-para-grandes-contas1769550060331?classId=3199</v>
      </c>
      <c r="L868" s="535" t="str">
        <f>IFERROR(__xludf.DUMMYFUNCTION("""COMPUTED_VALUE"""),"https://universidade.pipelovers.net/m/lessons/como-fazer-vendas-para-grandes-contas1769550060331?classId=3199")</f>
        <v>https://universidade.pipelovers.net/m/lessons/como-fazer-vendas-para-grandes-contas1769550060331?classId=3199</v>
      </c>
      <c r="M868" s="1195">
        <f>IFERROR(__xludf.DUMMYFUNCTION("""COMPUTED_VALUE"""),2.0)</f>
        <v>2</v>
      </c>
      <c r="N868" s="1235" t="str">
        <f>IFERROR(__xludf.DUMMYFUNCTION("""COMPUTED_VALUE"""),"41. PipeLovers Class 🤍: ""Como fazer vendas para grandes contas"" com Felipe Spina - 2025/06/13 10:51 GMT-03:00 - Recording")</f>
        <v>41. PipeLovers Class 🤍: "Como fazer vendas para grandes contas" com Felipe Spina - 2025/06/13 10:51 GMT-03:00 - Recording</v>
      </c>
      <c r="O868" s="206" t="str">
        <f>IFERROR(__xludf.DUMMYFUNCTION("""COMPUTED_VALUE"""),"")</f>
        <v/>
      </c>
      <c r="P868" s="1217">
        <f>IFERROR(__xludf.DUMMYFUNCTION("""COMPUTED_VALUE"""),45835.0)</f>
        <v>45835</v>
      </c>
      <c r="Q868" s="206"/>
    </row>
    <row r="869">
      <c r="A869" s="73"/>
      <c r="B869" s="1023" t="str">
        <f>IFERROR(__xludf.DUMMYFUNCTION("""COMPUTED_VALUE"""),"Class")</f>
        <v>Class</v>
      </c>
      <c r="C869" s="1227" t="str">
        <f>IFERROR(__xludf.DUMMYFUNCTION("""COMPUTED_VALUE"""),"Saúde financeira pra quem vive de meta")</f>
        <v>Saúde financeira pra quem vive de meta</v>
      </c>
      <c r="D869" s="173" t="str">
        <f>IFERROR(__xludf.DUMMYFUNCTION("""COMPUTED_VALUE"""),"Nicolas Frajhof ")</f>
        <v>Nicolas Frajhof </v>
      </c>
      <c r="E869" s="151" t="str">
        <f>IFERROR(__xludf.DUMMYFUNCTION("""COMPUTED_VALUE"""),"Co-founder")</f>
        <v>Co-founder</v>
      </c>
      <c r="F869" s="648" t="str">
        <f>IFERROR(__xludf.DUMMYFUNCTION("""COMPUTED_VALUE"""),"Stay")</f>
        <v>Stay</v>
      </c>
      <c r="G869" s="647" t="str">
        <f>IFERROR(__xludf.DUMMYFUNCTION("""COMPUTED_VALUE"""),"https://www.linkedin.com/in/nicolas-frajhof/")</f>
        <v>https://www.linkedin.com/in/nicolas-frajhof/</v>
      </c>
      <c r="H869" s="648" t="str">
        <f>IFERROR(__xludf.DUMMYFUNCTION("""COMPUTED_VALUE"""),"Autodesenvolvimento")</f>
        <v>Autodesenvolvimento</v>
      </c>
      <c r="I869" s="648" t="str">
        <f>IFERROR(__xludf.DUMMYFUNCTION("""COMPUTED_VALUE"""),"Inteligência Emocional")</f>
        <v>Inteligência Emocional</v>
      </c>
      <c r="J869" s="648" t="str">
        <f>IFERROR(__xludf.DUMMYFUNCTION("""COMPUTED_VALUE"""),"Gatilhos de Stress")</f>
        <v>Gatilhos de Stress</v>
      </c>
      <c r="K869" s="535" t="str">
        <f>IFERROR(__xludf.DUMMYFUNCTION("""COMPUTED_VALUE"""),"https://universidade.pipelovers.net/m/lessons/saude-financeira-pra-quem-vive-de-meta1769550060585?classId=3213")</f>
        <v>https://universidade.pipelovers.net/m/lessons/saude-financeira-pra-quem-vive-de-meta1769550060585?classId=3213</v>
      </c>
      <c r="L869" s="535" t="str">
        <f>IFERROR(__xludf.DUMMYFUNCTION("""COMPUTED_VALUE"""),"https://universidade.pipelovers.net/m/lessons/saude-financeira-pra-quem-vive-de-meta1769550060585?classId=3213")</f>
        <v>https://universidade.pipelovers.net/m/lessons/saude-financeira-pra-quem-vive-de-meta1769550060585?classId=3213</v>
      </c>
      <c r="M869" s="1195">
        <f>IFERROR(__xludf.DUMMYFUNCTION("""COMPUTED_VALUE"""),2.0)</f>
        <v>2</v>
      </c>
      <c r="N869" s="1235" t="str">
        <f>IFERROR(__xludf.DUMMYFUNCTION("""COMPUTED_VALUE"""),"42. PipeLovers Class 🤍: ""Saúde financeira pra quem vive de meta"" com Nicolas Frajhof - 2025/06/20 10:52 GMT-03:00 - Recording")</f>
        <v>42. PipeLovers Class 🤍: "Saúde financeira pra quem vive de meta" com Nicolas Frajhof - 2025/06/20 10:52 GMT-03:00 - Recording</v>
      </c>
      <c r="O869" s="206" t="str">
        <f>IFERROR(__xludf.DUMMYFUNCTION("""COMPUTED_VALUE"""),"")</f>
        <v/>
      </c>
      <c r="P869" s="1217">
        <f>IFERROR(__xludf.DUMMYFUNCTION("""COMPUTED_VALUE"""),45842.0)</f>
        <v>45842</v>
      </c>
      <c r="Q869" s="206"/>
    </row>
    <row r="870">
      <c r="A870" s="73"/>
      <c r="B870" s="1023" t="str">
        <f>IFERROR(__xludf.DUMMYFUNCTION("""COMPUTED_VALUE"""),"Class")</f>
        <v>Class</v>
      </c>
      <c r="C870" s="1229" t="str">
        <f>IFERROR(__xludf.DUMMYFUNCTION("""COMPUTED_VALUE"""),"Geração de demanda de leads potencializada com IA")</f>
        <v>Geração de demanda de leads potencializada com IA</v>
      </c>
      <c r="D870" s="175" t="str">
        <f>IFERROR(__xludf.DUMMYFUNCTION("""COMPUTED_VALUE"""),"João Filgueiras")</f>
        <v>João Filgueiras</v>
      </c>
      <c r="E870" s="151" t="str">
        <f>IFERROR(__xludf.DUMMYFUNCTION("""COMPUTED_VALUE"""),"CEO &amp; Co-founder")</f>
        <v>CEO &amp; Co-founder</v>
      </c>
      <c r="F870" s="648" t="str">
        <f>IFERROR(__xludf.DUMMYFUNCTION("""COMPUTED_VALUE"""),"Sales Pirates")</f>
        <v>Sales Pirates</v>
      </c>
      <c r="G870" s="647" t="str">
        <f>IFERROR(__xludf.DUMMYFUNCTION("""COMPUTED_VALUE"""),"https://www.linkedin.com/in/jo%C3%A3o-filgueiras/")</f>
        <v>https://www.linkedin.com/in/jo%C3%A3o-filgueiras/</v>
      </c>
      <c r="H870" s="648" t="str">
        <f>IFERROR(__xludf.DUMMYFUNCTION("""COMPUTED_VALUE"""),"Visão de Negócios")</f>
        <v>Visão de Negócios</v>
      </c>
      <c r="I870" s="648" t="str">
        <f>IFERROR(__xludf.DUMMYFUNCTION("""COMPUTED_VALUE"""),"Tendências de mercado")</f>
        <v>Tendências de mercado</v>
      </c>
      <c r="J870" s="648" t="str">
        <f>IFERROR(__xludf.DUMMYFUNCTION("""COMPUTED_VALUE"""),"Inovações Tecnológicas")</f>
        <v>Inovações Tecnológicas</v>
      </c>
      <c r="K870" s="535" t="str">
        <f>IFERROR(__xludf.DUMMYFUNCTION("""COMPUTED_VALUE"""),"https://universidade.pipelovers.net/m/lessons/geracao-de-demanda-de-leads-potencializada-com-ia1769550060086?classId=3215")</f>
        <v>https://universidade.pipelovers.net/m/lessons/geracao-de-demanda-de-leads-potencializada-com-ia1769550060086?classId=3215</v>
      </c>
      <c r="L870" s="535" t="str">
        <f>IFERROR(__xludf.DUMMYFUNCTION("""COMPUTED_VALUE"""),"https://universidade.pipelovers.net/m/lessons/geracao-de-demanda-de-leads-potencializada-com-ia1769550060086?classId=3215")</f>
        <v>https://universidade.pipelovers.net/m/lessons/geracao-de-demanda-de-leads-potencializada-com-ia1769550060086?classId=3215</v>
      </c>
      <c r="M870" s="1225">
        <f>IFERROR(__xludf.DUMMYFUNCTION("""COMPUTED_VALUE"""),1.0)</f>
        <v>1</v>
      </c>
      <c r="N870" s="1226" t="str">
        <f>IFERROR(__xludf.DUMMYFUNCTION("""COMPUTED_VALUE"""),"43. PipeLovers Class 🤍: ""Geração de demanda de leads potencializada com IA"" com João Filgueiras - 2025/06/27 10:51 GMT-03:00 - Recording")</f>
        <v>43. PipeLovers Class 🤍: "Geração de demanda de leads potencializada com IA" com João Filgueiras - 2025/06/27 10:51 GMT-03:00 - Recording</v>
      </c>
      <c r="O870" s="206" t="str">
        <f>IFERROR(__xludf.DUMMYFUNCTION("""COMPUTED_VALUE"""),"")</f>
        <v/>
      </c>
      <c r="P870" s="1217">
        <f>IFERROR(__xludf.DUMMYFUNCTION("""COMPUTED_VALUE"""),45849.0)</f>
        <v>45849</v>
      </c>
      <c r="Q870" s="206"/>
    </row>
    <row r="871">
      <c r="A871" s="73"/>
      <c r="B871" s="1023" t="str">
        <f>IFERROR(__xludf.DUMMYFUNCTION("""COMPUTED_VALUE"""),"Class")</f>
        <v>Class</v>
      </c>
      <c r="C871" s="1227" t="str">
        <f>IFERROR(__xludf.DUMMYFUNCTION("""COMPUTED_VALUE"""),"Manual de Persuasão do FBI aplicado à venda consultiva")</f>
        <v>Manual de Persuasão do FBI aplicado à venda consultiva</v>
      </c>
      <c r="D871" s="173" t="str">
        <f>IFERROR(__xludf.DUMMYFUNCTION("""COMPUTED_VALUE"""),"Tiago Ribeiro")</f>
        <v>Tiago Ribeiro</v>
      </c>
      <c r="E871" s="151" t="str">
        <f>IFERROR(__xludf.DUMMYFUNCTION("""COMPUTED_VALUE"""),"CEO")</f>
        <v>CEO</v>
      </c>
      <c r="F871" s="648" t="str">
        <f>IFERROR(__xludf.DUMMYFUNCTION("""COMPUTED_VALUE"""),"Processo de Vendas")</f>
        <v>Processo de Vendas</v>
      </c>
      <c r="G871" s="647" t="str">
        <f>IFERROR(__xludf.DUMMYFUNCTION("""COMPUTED_VALUE"""),"https://www.linkedin.com/in/tiagoribeiro1/")</f>
        <v>https://www.linkedin.com/in/tiagoribeiro1/</v>
      </c>
      <c r="H871" s="648" t="str">
        <f>IFERROR(__xludf.DUMMYFUNCTION("""COMPUTED_VALUE"""),"Relacionamento Interpessoal")</f>
        <v>Relacionamento Interpessoal</v>
      </c>
      <c r="I871" s="648" t="str">
        <f>IFERROR(__xludf.DUMMYFUNCTION("""COMPUTED_VALUE"""),"Comunicação e Relacionamento")</f>
        <v>Comunicação e Relacionamento</v>
      </c>
      <c r="J871" s="648" t="str">
        <f>IFERROR(__xludf.DUMMYFUNCTION("""COMPUTED_VALUE"""),"Técnicas de Rapport")</f>
        <v>Técnicas de Rapport</v>
      </c>
      <c r="K871" s="535" t="str">
        <f>IFERROR(__xludf.DUMMYFUNCTION("""COMPUTED_VALUE"""),"https://universidade.pipelovers.net/m/lessons/manual-de-persuasao-do-fbi-aplicado-a-venda-consultiva1769550060182?classId=3216")</f>
        <v>https://universidade.pipelovers.net/m/lessons/manual-de-persuasao-do-fbi-aplicado-a-venda-consultiva1769550060182?classId=3216</v>
      </c>
      <c r="L871" s="535" t="str">
        <f>IFERROR(__xludf.DUMMYFUNCTION("""COMPUTED_VALUE"""),"https://universidade.pipelovers.net/m/lessons/manual-de-persuasao-do-fbi-aplicado-a-venda-consultiva1769550060182?classId=3216")</f>
        <v>https://universidade.pipelovers.net/m/lessons/manual-de-persuasao-do-fbi-aplicado-a-venda-consultiva1769550060182?classId=3216</v>
      </c>
      <c r="M871" s="1202">
        <f>IFERROR(__xludf.DUMMYFUNCTION("""COMPUTED_VALUE"""),1.0)</f>
        <v>1</v>
      </c>
      <c r="N871" s="1222" t="str">
        <f>IFERROR(__xludf.DUMMYFUNCTION("""COMPUTED_VALUE"""),"44. PipeLovers Class 🤍: ""Manual de Persuasão do FBI aplicado à venda consultiva"" com Tiago Ribeiro - 2025/07/04 10:47 GMT-03:00 - Recording")</f>
        <v>44. PipeLovers Class 🤍: "Manual de Persuasão do FBI aplicado à venda consultiva" com Tiago Ribeiro - 2025/07/04 10:47 GMT-03:00 - Recording</v>
      </c>
      <c r="O871" s="206" t="str">
        <f>IFERROR(__xludf.DUMMYFUNCTION("""COMPUTED_VALUE"""),"")</f>
        <v/>
      </c>
      <c r="P871" s="1217">
        <f>IFERROR(__xludf.DUMMYFUNCTION("""COMPUTED_VALUE"""),45856.0)</f>
        <v>45856</v>
      </c>
      <c r="Q871" s="206"/>
    </row>
    <row r="872">
      <c r="A872" s="73"/>
      <c r="B872" s="1023" t="str">
        <f>IFERROR(__xludf.DUMMYFUNCTION("""COMPUTED_VALUE"""),"Class")</f>
        <v>Class</v>
      </c>
      <c r="C872" s="1227" t="str">
        <f>IFERROR(__xludf.DUMMYFUNCTION("""COMPUTED_VALUE"""),"Follow-up na prática: o que falar, quando e por quê")</f>
        <v>Follow-up na prática: o que falar, quando e por quê</v>
      </c>
      <c r="D872" s="175" t="str">
        <f>IFERROR(__xludf.DUMMYFUNCTION("""COMPUTED_VALUE"""),"Carlos Campos")</f>
        <v>Carlos Campos</v>
      </c>
      <c r="E872" s="151" t="str">
        <f>IFERROR(__xludf.DUMMYFUNCTION("""COMPUTED_VALUE"""),"Founder &amp; CEO")</f>
        <v>Founder &amp; CEO</v>
      </c>
      <c r="F872" s="648" t="str">
        <f>IFERROR(__xludf.DUMMYFUNCTION("""COMPUTED_VALUE"""),"Mkt4Sales")</f>
        <v>Mkt4Sales</v>
      </c>
      <c r="G872" s="647" t="str">
        <f>IFERROR(__xludf.DUMMYFUNCTION("""COMPUTED_VALUE"""),"https://www.linkedin.com/in/carloshacampos/")</f>
        <v>https://www.linkedin.com/in/carloshacampos/</v>
      </c>
      <c r="H872" s="648" t="str">
        <f>IFERROR(__xludf.DUMMYFUNCTION("""COMPUTED_VALUE"""),"Conhecimento Técnico")</f>
        <v>Conhecimento Técnico</v>
      </c>
      <c r="I872" s="648" t="str">
        <f>IFERROR(__xludf.DUMMYFUNCTION("""COMPUTED_VALUE"""),"Técnicas de Vendas")</f>
        <v>Técnicas de Vendas</v>
      </c>
      <c r="J872" s="648" t="str">
        <f>IFERROR(__xludf.DUMMYFUNCTION("""COMPUTED_VALUE"""),"Abordagem e Prospecção")</f>
        <v>Abordagem e Prospecção</v>
      </c>
      <c r="K872" s="535" t="str">
        <f>IFERROR(__xludf.DUMMYFUNCTION("""COMPUTED_VALUE"""),"https://universidade.pipelovers.net/m/lessons/follow-up-na-pratica-o-que-falar-quando-e-por-que1769550060222?classId=3217")</f>
        <v>https://universidade.pipelovers.net/m/lessons/follow-up-na-pratica-o-que-falar-quando-e-por-que1769550060222?classId=3217</v>
      </c>
      <c r="L872" s="535" t="str">
        <f>IFERROR(__xludf.DUMMYFUNCTION("""COMPUTED_VALUE"""),"https://universidade.pipelovers.net/m/lessons/follow-up-na-pratica-o-que-falar-quando-e-por-que1769550060222?classId=3217")</f>
        <v>https://universidade.pipelovers.net/m/lessons/follow-up-na-pratica-o-que-falar-quando-e-por-que1769550060222?classId=3217</v>
      </c>
      <c r="M872" s="1225">
        <f>IFERROR(__xludf.DUMMYFUNCTION("""COMPUTED_VALUE"""),2.0)</f>
        <v>2</v>
      </c>
      <c r="N872" s="1226" t="str">
        <f>IFERROR(__xludf.DUMMYFUNCTION("""COMPUTED_VALUE"""),"45. PipeLovers Class 🤍: ""Follow-up na prática: o que falar, quando e por quê"" com Carlos Campos - 2025/07/11 10:47 GMT-03:00 - Recording")</f>
        <v>45. PipeLovers Class 🤍: "Follow-up na prática: o que falar, quando e por quê" com Carlos Campos - 2025/07/11 10:47 GMT-03:00 - Recording</v>
      </c>
      <c r="O872" s="206" t="str">
        <f>IFERROR(__xludf.DUMMYFUNCTION("""COMPUTED_VALUE"""),"")</f>
        <v/>
      </c>
      <c r="P872" s="1217">
        <f>IFERROR(__xludf.DUMMYFUNCTION("""COMPUTED_VALUE"""),45863.0)</f>
        <v>45863</v>
      </c>
      <c r="Q872" s="206"/>
    </row>
    <row r="873">
      <c r="A873" s="73"/>
      <c r="B873" s="1023" t="str">
        <f>IFERROR(__xludf.DUMMYFUNCTION("""COMPUTED_VALUE"""),"Class")</f>
        <v>Class</v>
      </c>
      <c r="C873" s="1227" t="str">
        <f>IFERROR(__xludf.DUMMYFUNCTION("""COMPUTED_VALUE"""),"Conferência Gartner 2025: As principais tendências na área de vendas")</f>
        <v>Conferência Gartner 2025: As principais tendências na área de vendas</v>
      </c>
      <c r="D873" s="173" t="str">
        <f>IFERROR(__xludf.DUMMYFUNCTION("""COMPUTED_VALUE"""),"Mauricio Vergani")</f>
        <v>Mauricio Vergani</v>
      </c>
      <c r="E873" s="151" t="str">
        <f>IFERROR(__xludf.DUMMYFUNCTION("""COMPUTED_VALUE"""),"Cofundador")</f>
        <v>Cofundador</v>
      </c>
      <c r="F873" s="648" t="str">
        <f>IFERROR(__xludf.DUMMYFUNCTION("""COMPUTED_VALUE"""),"Neoxspredi ")</f>
        <v>Neoxspredi </v>
      </c>
      <c r="G873" s="647" t="str">
        <f>IFERROR(__xludf.DUMMYFUNCTION("""COMPUTED_VALUE"""),"https://www.linkedin.com/in/mauricio-vergani-8b7765/")</f>
        <v>https://www.linkedin.com/in/mauricio-vergani-8b7765/</v>
      </c>
      <c r="H873" s="648" t="str">
        <f>IFERROR(__xludf.DUMMYFUNCTION("""COMPUTED_VALUE"""),"Visão de Negócios")</f>
        <v>Visão de Negócios</v>
      </c>
      <c r="I873" s="648" t="str">
        <f>IFERROR(__xludf.DUMMYFUNCTION("""COMPUTED_VALUE"""),"Tendências de mercado")</f>
        <v>Tendências de mercado</v>
      </c>
      <c r="J873" s="648" t="str">
        <f>IFERROR(__xludf.DUMMYFUNCTION("""COMPUTED_VALUE"""),"Tendencias do Setor")</f>
        <v>Tendencias do Setor</v>
      </c>
      <c r="K873" s="535" t="str">
        <f>IFERROR(__xludf.DUMMYFUNCTION("""COMPUTED_VALUE"""),"https://universidade.pipelovers.net/m/lessons/conferencia-gartner-2025-as-principais-tendencias-na-area-de-vendas1769550060615?classId=3218")</f>
        <v>https://universidade.pipelovers.net/m/lessons/conferencia-gartner-2025-as-principais-tendencias-na-area-de-vendas1769550060615?classId=3218</v>
      </c>
      <c r="L873" s="535" t="str">
        <f>IFERROR(__xludf.DUMMYFUNCTION("""COMPUTED_VALUE"""),"https://universidade.pipelovers.net/m/lessons/conferencia-gartner-2025-as-principais-tendencias-na-area-de-vendas1769550060615?classId=3218")</f>
        <v>https://universidade.pipelovers.net/m/lessons/conferencia-gartner-2025-as-principais-tendencias-na-area-de-vendas1769550060615?classId=3218</v>
      </c>
      <c r="M873" s="150">
        <f>IFERROR(__xludf.DUMMYFUNCTION("""COMPUTED_VALUE"""),2.0)</f>
        <v>2</v>
      </c>
      <c r="N873" s="1239" t="str">
        <f>IFERROR(__xludf.DUMMYFUNCTION("""COMPUTED_VALUE"""),"46. PipeLovers Class 🤍: ""Conferência Gartner 2025: As principais tendências na área de vendas"" com Mau - 2025/07/18 10:49 GMT-03:00 - Recording")</f>
        <v>46. PipeLovers Class 🤍: "Conferência Gartner 2025: As principais tendências na área de vendas" com Mau - 2025/07/18 10:49 GMT-03:00 - Recording</v>
      </c>
      <c r="O873" s="206" t="str">
        <f>IFERROR(__xludf.DUMMYFUNCTION("""COMPUTED_VALUE"""),"")</f>
        <v/>
      </c>
      <c r="P873" s="1217">
        <f>IFERROR(__xludf.DUMMYFUNCTION("""COMPUTED_VALUE"""),45870.0)</f>
        <v>45870</v>
      </c>
      <c r="Q873" s="206"/>
    </row>
    <row r="874">
      <c r="A874" s="73"/>
      <c r="B874" s="1023" t="str">
        <f>IFERROR(__xludf.DUMMYFUNCTION("""COMPUTED_VALUE"""),"Class")</f>
        <v>Class</v>
      </c>
      <c r="C874" s="1227" t="str">
        <f>IFERROR(__xludf.DUMMYFUNCTION("""COMPUTED_VALUE"""),"Arquitetura de uma oferta irrecusável ")</f>
        <v>Arquitetura de uma oferta irrecusável </v>
      </c>
      <c r="D874" s="175" t="str">
        <f>IFERROR(__xludf.DUMMYFUNCTION("""COMPUTED_VALUE"""),"Pedro Iglesias")</f>
        <v>Pedro Iglesias</v>
      </c>
      <c r="E874" s="151" t="str">
        <f>IFERROR(__xludf.DUMMYFUNCTION("""COMPUTED_VALUE"""),"Co-Founder")</f>
        <v>Co-Founder</v>
      </c>
      <c r="F874" s="648" t="str">
        <f>IFERROR(__xludf.DUMMYFUNCTION("""COMPUTED_VALUE"""),"Stay")</f>
        <v>Stay</v>
      </c>
      <c r="G874" s="647" t="str">
        <f>IFERROR(__xludf.DUMMYFUNCTION("""COMPUTED_VALUE"""),"https://www.linkedin.com/in/pedro-paulo-iglesias/")</f>
        <v>https://www.linkedin.com/in/pedro-paulo-iglesias/</v>
      </c>
      <c r="H874" s="648" t="str">
        <f>IFERROR(__xludf.DUMMYFUNCTION("""COMPUTED_VALUE"""),"Visão de Negócios")</f>
        <v>Visão de Negócios</v>
      </c>
      <c r="I874" s="648" t="str">
        <f>IFERROR(__xludf.DUMMYFUNCTION("""COMPUTED_VALUE"""),"Conhecimento de Produto e Negócio")</f>
        <v>Conhecimento de Produto e Negócio</v>
      </c>
      <c r="J874" s="648" t="str">
        <f>IFERROR(__xludf.DUMMYFUNCTION("""COMPUTED_VALUE"""),"Posicionamento de Produto")</f>
        <v>Posicionamento de Produto</v>
      </c>
      <c r="K874" s="535" t="str">
        <f>IFERROR(__xludf.DUMMYFUNCTION("""COMPUTED_VALUE"""),"https://universidade.pipelovers.net/m/lessons/arquitetura-de-uma-oferta-irrecusavel1769550060272?classId=3628")</f>
        <v>https://universidade.pipelovers.net/m/lessons/arquitetura-de-uma-oferta-irrecusavel1769550060272?classId=3628</v>
      </c>
      <c r="L874" s="535" t="str">
        <f>IFERROR(__xludf.DUMMYFUNCTION("""COMPUTED_VALUE"""),"https://universidade.pipelovers.net/m/lessons/arquitetura-de-uma-oferta-irrecusavel1769550060272?classId=3628")</f>
        <v>https://universidade.pipelovers.net/m/lessons/arquitetura-de-uma-oferta-irrecusavel1769550060272?classId=3628</v>
      </c>
      <c r="M874" s="1240">
        <f>IFERROR(__xludf.DUMMYFUNCTION("""COMPUTED_VALUE"""),4.0)</f>
        <v>4</v>
      </c>
      <c r="N874" s="1241" t="str">
        <f>IFERROR(__xludf.DUMMYFUNCTION("""COMPUTED_VALUE"""),"47. PipeLovers Class 🤍: ""Arquitetura de uma oferta irrecusável"" com Pedro Iglesias - 2025/07/25 10:49 GMT-03:00 - Recording")</f>
        <v>47. PipeLovers Class 🤍: "Arquitetura de uma oferta irrecusável" com Pedro Iglesias - 2025/07/25 10:49 GMT-03:00 - Recording</v>
      </c>
      <c r="O874" s="206" t="str">
        <f>IFERROR(__xludf.DUMMYFUNCTION("""COMPUTED_VALUE"""),"")</f>
        <v/>
      </c>
      <c r="P874" s="1217">
        <f>IFERROR(__xludf.DUMMYFUNCTION("""COMPUTED_VALUE"""),45877.0)</f>
        <v>45877</v>
      </c>
      <c r="Q874" s="206"/>
    </row>
    <row r="875">
      <c r="A875" s="73"/>
      <c r="B875" s="1023" t="str">
        <f>IFERROR(__xludf.DUMMYFUNCTION("""COMPUTED_VALUE"""),"Class")</f>
        <v>Class</v>
      </c>
      <c r="C875" s="1227" t="str">
        <f>IFERROR(__xludf.DUMMYFUNCTION("""COMPUTED_VALUE"""),"Controle de ansiedade em meio às mudanças")</f>
        <v>Controle de ansiedade em meio às mudanças</v>
      </c>
      <c r="D875" s="173" t="str">
        <f>IFERROR(__xludf.DUMMYFUNCTION("""COMPUTED_VALUE"""),"Romualdo da Silva")</f>
        <v>Romualdo da Silva</v>
      </c>
      <c r="E875" s="151" t="str">
        <f>IFERROR(__xludf.DUMMYFUNCTION("""COMPUTED_VALUE"""),"Diretor")</f>
        <v>Diretor</v>
      </c>
      <c r="F875" s="648" t="str">
        <f>IFERROR(__xludf.DUMMYFUNCTION("""COMPUTED_VALUE"""),"CRMThink")</f>
        <v>CRMThink</v>
      </c>
      <c r="G875" s="647" t="str">
        <f>IFERROR(__xludf.DUMMYFUNCTION("""COMPUTED_VALUE"""),"https://www.linkedin.com/in/romucasp/")</f>
        <v>https://www.linkedin.com/in/romucasp/</v>
      </c>
      <c r="H875" s="648" t="str">
        <f>IFERROR(__xludf.DUMMYFUNCTION("""COMPUTED_VALUE"""),"Autodesenvolvimento")</f>
        <v>Autodesenvolvimento</v>
      </c>
      <c r="I875" s="648" t="str">
        <f>IFERROR(__xludf.DUMMYFUNCTION("""COMPUTED_VALUE"""),"Inteligência Emocional")</f>
        <v>Inteligência Emocional</v>
      </c>
      <c r="J875" s="648" t="str">
        <f>IFERROR(__xludf.DUMMYFUNCTION("""COMPUTED_VALUE"""),"Resiliência")</f>
        <v>Resiliência</v>
      </c>
      <c r="K875" s="535" t="str">
        <f>IFERROR(__xludf.DUMMYFUNCTION("""COMPUTED_VALUE"""),"https://universidade.pipelovers.net/m/lessons/controle-de-ansiedade-em-meio-as-mudancas1769550060686?classId=3641")</f>
        <v>https://universidade.pipelovers.net/m/lessons/controle-de-ansiedade-em-meio-as-mudancas1769550060686?classId=3641</v>
      </c>
      <c r="L875" s="535" t="str">
        <f>IFERROR(__xludf.DUMMYFUNCTION("""COMPUTED_VALUE"""),"https://universidade.pipelovers.net/m/lessons/controle-de-ansiedade-em-meio-as-mudancas1769550060686?classId=3641")</f>
        <v>https://universidade.pipelovers.net/m/lessons/controle-de-ansiedade-em-meio-as-mudancas1769550060686?classId=3641</v>
      </c>
      <c r="M875" s="822">
        <f>IFERROR(__xludf.DUMMYFUNCTION("""COMPUTED_VALUE"""),2.0)</f>
        <v>2</v>
      </c>
      <c r="N875" s="1242" t="str">
        <f>IFERROR(__xludf.DUMMYFUNCTION("""COMPUTED_VALUE"""),"48. PipeLovers Class 🤍_ _Controle de ansiedade em meio às mudanças_ com Romualdo da Silva - 2025_08_01 10_49 GMT-03_00 - Descript.mp4")</f>
        <v>48. PipeLovers Class 🤍_ _Controle de ansiedade em meio às mudanças_ com Romualdo da Silva - 2025_08_01 10_49 GMT-03_00 - Descript.mp4</v>
      </c>
      <c r="O875" s="206" t="str">
        <f>IFERROR(__xludf.DUMMYFUNCTION("""COMPUTED_VALUE"""),"")</f>
        <v/>
      </c>
      <c r="P875" s="1217">
        <f>IFERROR(__xludf.DUMMYFUNCTION("""COMPUTED_VALUE"""),45884.0)</f>
        <v>45884</v>
      </c>
      <c r="Q875" s="206"/>
    </row>
    <row r="876">
      <c r="A876" s="73"/>
      <c r="B876" s="1023" t="str">
        <f>IFERROR(__xludf.DUMMYFUNCTION("""COMPUTED_VALUE"""),"Class")</f>
        <v>Class</v>
      </c>
      <c r="C876" s="1229" t="str">
        <f>IFERROR(__xludf.DUMMYFUNCTION("""COMPUTED_VALUE"""),"O que o livro negócio fechado pode te ensinar sobre negociação")</f>
        <v>O que o livro negócio fechado pode te ensinar sobre negociação</v>
      </c>
      <c r="D876" s="175" t="str">
        <f>IFERROR(__xludf.DUMMYFUNCTION("""COMPUTED_VALUE"""),"Igor Batista")</f>
        <v>Igor Batista</v>
      </c>
      <c r="E876" s="151" t="str">
        <f>IFERROR(__xludf.DUMMYFUNCTION("""COMPUTED_VALUE"""),"Fundador")</f>
        <v>Fundador</v>
      </c>
      <c r="F876" s="648" t="str">
        <f>IFERROR(__xludf.DUMMYFUNCTION("""COMPUTED_VALUE"""),"IBusiness Consultoria")</f>
        <v>IBusiness Consultoria</v>
      </c>
      <c r="G876" s="647" t="str">
        <f>IFERROR(__xludf.DUMMYFUNCTION("""COMPUTED_VALUE"""),"https://www.linkedin.com/in/igorbatista/")</f>
        <v>https://www.linkedin.com/in/igorbatista/</v>
      </c>
      <c r="H876" s="648" t="str">
        <f>IFERROR(__xludf.DUMMYFUNCTION("""COMPUTED_VALUE"""),"Conhecimento Técnico")</f>
        <v>Conhecimento Técnico</v>
      </c>
      <c r="I876" s="648" t="str">
        <f>IFERROR(__xludf.DUMMYFUNCTION("""COMPUTED_VALUE"""),"Técnicas de Vendas")</f>
        <v>Técnicas de Vendas</v>
      </c>
      <c r="J876" s="648" t="str">
        <f>IFERROR(__xludf.DUMMYFUNCTION("""COMPUTED_VALUE"""),"Negociação e Fechamento de Vendas")</f>
        <v>Negociação e Fechamento de Vendas</v>
      </c>
      <c r="K876" s="1097" t="str">
        <f>IFERROR(__xludf.DUMMYFUNCTION("""COMPUTED_VALUE"""),"https://universidade.pipelovers.net/m/lessons/o-que-o-livro-negocio-fechado-pode-te-ensinar-sobre-negociacao1769550060655?classId=3642")</f>
        <v>https://universidade.pipelovers.net/m/lessons/o-que-o-livro-negocio-fechado-pode-te-ensinar-sobre-negociacao1769550060655?classId=3642</v>
      </c>
      <c r="L876" s="1097" t="str">
        <f>IFERROR(__xludf.DUMMYFUNCTION("""COMPUTED_VALUE"""),"https://universidade.pipelovers.net/m/lessons/o-que-o-livro-negocio-fechado-pode-te-ensinar-sobre-negociacao1769550060655?classId=3642")</f>
        <v>https://universidade.pipelovers.net/m/lessons/o-que-o-livro-negocio-fechado-pode-te-ensinar-sobre-negociacao1769550060655?classId=3642</v>
      </c>
      <c r="M876" s="822">
        <f>IFERROR(__xludf.DUMMYFUNCTION("""COMPUTED_VALUE"""),2.0)</f>
        <v>2</v>
      </c>
      <c r="N876" s="1242" t="str">
        <f>IFERROR(__xludf.DUMMYFUNCTION("""COMPUTED_VALUE"""),"49. PipeLovers Class 🤍_ _O que  o livro _negócio fechado_ pode te ensinar sobre negociação_ com Igor B - 2025_08_08 10_49 GMT-03_00 - descript.mp4")</f>
        <v>49. PipeLovers Class 🤍_ _O que  o livro _negócio fechado_ pode te ensinar sobre negociação_ com Igor B - 2025_08_08 10_49 GMT-03_00 - descript.mp4</v>
      </c>
      <c r="O876" s="206" t="str">
        <f>IFERROR(__xludf.DUMMYFUNCTION("""COMPUTED_VALUE"""),"")</f>
        <v/>
      </c>
      <c r="P876" s="1217">
        <f>IFERROR(__xludf.DUMMYFUNCTION("""COMPUTED_VALUE"""),45891.0)</f>
        <v>45891</v>
      </c>
      <c r="Q876" s="206"/>
    </row>
    <row r="877">
      <c r="A877" s="73"/>
      <c r="B877" s="1023" t="str">
        <f>IFERROR(__xludf.DUMMYFUNCTION("""COMPUTED_VALUE"""),"Class")</f>
        <v>Class</v>
      </c>
      <c r="C877" s="1229" t="str">
        <f>IFERROR(__xludf.DUMMYFUNCTION("""COMPUTED_VALUE"""),"Leads não pagam boletos: o que falta na ponte entre marketing e vendas")</f>
        <v>Leads não pagam boletos: o que falta na ponte entre marketing e vendas</v>
      </c>
      <c r="D877" s="173" t="str">
        <f>IFERROR(__xludf.DUMMYFUNCTION("""COMPUTED_VALUE"""),"Weverton Soares")</f>
        <v>Weverton Soares</v>
      </c>
      <c r="E877" s="151" t="str">
        <f>IFERROR(__xludf.DUMMYFUNCTION("""COMPUTED_VALUE"""),"Gerente de Marketing")</f>
        <v>Gerente de Marketing</v>
      </c>
      <c r="F877" s="648" t="str">
        <f>IFERROR(__xludf.DUMMYFUNCTION("""COMPUTED_VALUE"""),"Zoho CRM")</f>
        <v>Zoho CRM</v>
      </c>
      <c r="G877" s="647" t="str">
        <f>IFERROR(__xludf.DUMMYFUNCTION("""COMPUTED_VALUE"""),"https://www.linkedin.com/in/wevsoares/")</f>
        <v>https://www.linkedin.com/in/wevsoares/</v>
      </c>
      <c r="H877" s="648" t="str">
        <f>IFERROR(__xludf.DUMMYFUNCTION("""COMPUTED_VALUE"""),"Relacionamento Interpessoal")</f>
        <v>Relacionamento Interpessoal</v>
      </c>
      <c r="I877" s="648" t="str">
        <f>IFERROR(__xludf.DUMMYFUNCTION("""COMPUTED_VALUE"""),"Liderança e Influência")</f>
        <v>Liderança e Influência</v>
      </c>
      <c r="J877" s="648" t="str">
        <f>IFERROR(__xludf.DUMMYFUNCTION("""COMPUTED_VALUE"""),"Gestão de Conflitos e Resolução de Problemas")</f>
        <v>Gestão de Conflitos e Resolução de Problemas</v>
      </c>
      <c r="K877" s="535" t="str">
        <f>IFERROR(__xludf.DUMMYFUNCTION("""COMPUTED_VALUE"""),"https://universidade.pipelovers.net/m/lessons/leads-nao-pagam-boletos-o-que-falta-na-ponte-entre-marketing-e-vendas1769550060715?classId=3644")</f>
        <v>https://universidade.pipelovers.net/m/lessons/leads-nao-pagam-boletos-o-que-falta-na-ponte-entre-marketing-e-vendas1769550060715?classId=3644</v>
      </c>
      <c r="L877" s="535" t="str">
        <f>IFERROR(__xludf.DUMMYFUNCTION("""COMPUTED_VALUE"""),"https://universidade.pipelovers.net/m/lessons/leads-nao-pagam-boletos-o-que-falta-na-ponte-entre-marketing-e-vendas1769550060715?classId=3644")</f>
        <v>https://universidade.pipelovers.net/m/lessons/leads-nao-pagam-boletos-o-que-falta-na-ponte-entre-marketing-e-vendas1769550060715?classId=3644</v>
      </c>
      <c r="M877" s="1240">
        <f>IFERROR(__xludf.DUMMYFUNCTION("""COMPUTED_VALUE"""),1.0)</f>
        <v>1</v>
      </c>
      <c r="N877" s="1241" t="str">
        <f>IFERROR(__xludf.DUMMYFUNCTION("""COMPUTED_VALUE"""),"50. PipeLovers Class 🤍_ _Leads não pagam boletos_ o que falta na ponte entre marketing e vendas_ com W - 2025_08_15 10_45 GMT-03_00 - descript.mp4")</f>
        <v>50. PipeLovers Class 🤍_ _Leads não pagam boletos_ o que falta na ponte entre marketing e vendas_ com W - 2025_08_15 10_45 GMT-03_00 - descript.mp4</v>
      </c>
      <c r="O877" s="206" t="str">
        <f>IFERROR(__xludf.DUMMYFUNCTION("""COMPUTED_VALUE"""),"")</f>
        <v/>
      </c>
      <c r="P877" s="1217">
        <f>IFERROR(__xludf.DUMMYFUNCTION("""COMPUTED_VALUE"""),45898.0)</f>
        <v>45898</v>
      </c>
      <c r="Q877" s="206"/>
    </row>
    <row r="878">
      <c r="A878" s="73"/>
      <c r="B878" s="1023" t="str">
        <f>IFERROR(__xludf.DUMMYFUNCTION("""COMPUTED_VALUE"""),"Class")</f>
        <v>Class</v>
      </c>
      <c r="C878" s="1229" t="str">
        <f>IFERROR(__xludf.DUMMYFUNCTION("""COMPUTED_VALUE"""),"Prospecção analítica: Estratégias para aumentar a conversão")</f>
        <v>Prospecção analítica: Estratégias para aumentar a conversão</v>
      </c>
      <c r="D878" s="175" t="str">
        <f>IFERROR(__xludf.DUMMYFUNCTION("""COMPUTED_VALUE"""),"Flávio Maciel")</f>
        <v>Flávio Maciel</v>
      </c>
      <c r="E878" s="151" t="str">
        <f>IFERROR(__xludf.DUMMYFUNCTION("""COMPUTED_VALUE"""),"Founder")</f>
        <v>Founder</v>
      </c>
      <c r="F878" s="648" t="str">
        <f>IFERROR(__xludf.DUMMYFUNCTION("""COMPUTED_VALUE"""),"Econodata")</f>
        <v>Econodata</v>
      </c>
      <c r="G878" s="647" t="str">
        <f>IFERROR(__xludf.DUMMYFUNCTION("""COMPUTED_VALUE"""),"https://www.linkedin.com/in/flaviomaciel/")</f>
        <v>https://www.linkedin.com/in/flaviomaciel/</v>
      </c>
      <c r="H878" s="648" t="str">
        <f>IFERROR(__xludf.DUMMYFUNCTION("""COMPUTED_VALUE"""),"Conhecimento Técnico")</f>
        <v>Conhecimento Técnico</v>
      </c>
      <c r="I878" s="648" t="str">
        <f>IFERROR(__xludf.DUMMYFUNCTION("""COMPUTED_VALUE"""),"Técnicas de Vendas")</f>
        <v>Técnicas de Vendas</v>
      </c>
      <c r="J878" s="648" t="str">
        <f>IFERROR(__xludf.DUMMYFUNCTION("""COMPUTED_VALUE"""),"Abordagem e Prospecção")</f>
        <v>Abordagem e Prospecção</v>
      </c>
      <c r="K878" s="535" t="str">
        <f>IFERROR(__xludf.DUMMYFUNCTION("""COMPUTED_VALUE"""),"https://universidade.pipelovers.net/m/lessons/prospeccao-analitica-estrategias-para-aumentar-a-conversao1769550060910?classId=3646")</f>
        <v>https://universidade.pipelovers.net/m/lessons/prospeccao-analitica-estrategias-para-aumentar-a-conversao1769550060910?classId=3646</v>
      </c>
      <c r="L878" s="535" t="str">
        <f>IFERROR(__xludf.DUMMYFUNCTION("""COMPUTED_VALUE"""),"https://universidade.pipelovers.net/m/lessons/prospeccao-analitica-estrategias-para-aumentar-a-conversao1769550060910?classId=3646")</f>
        <v>https://universidade.pipelovers.net/m/lessons/prospeccao-analitica-estrategias-para-aumentar-a-conversao1769550060910?classId=3646</v>
      </c>
      <c r="M878" s="117">
        <f>IFERROR(__xludf.DUMMYFUNCTION("""COMPUTED_VALUE"""),1.0)</f>
        <v>1</v>
      </c>
      <c r="N878" s="110" t="str">
        <f>IFERROR(__xludf.DUMMYFUNCTION("""COMPUTED_VALUE"""),"51. PipeLovers Class 🤍_ _Prospecção analitica_ Estratégias para aumentar a conversão_ com Flávio Macie - 2025_08_22 10_47 GMT-03_00 - descript.mp4")</f>
        <v>51. PipeLovers Class 🤍_ _Prospecção analitica_ Estratégias para aumentar a conversão_ com Flávio Macie - 2025_08_22 10_47 GMT-03_00 - descript.mp4</v>
      </c>
      <c r="O878" s="206" t="str">
        <f>IFERROR(__xludf.DUMMYFUNCTION("""COMPUTED_VALUE"""),"")</f>
        <v/>
      </c>
      <c r="P878" s="1217">
        <f>IFERROR(__xludf.DUMMYFUNCTION("""COMPUTED_VALUE"""),45905.0)</f>
        <v>45905</v>
      </c>
      <c r="Q878" s="206"/>
    </row>
    <row r="879">
      <c r="A879" s="73"/>
      <c r="B879" s="1023" t="str">
        <f>IFERROR(__xludf.DUMMYFUNCTION("""COMPUTED_VALUE"""),"Class")</f>
        <v>Class</v>
      </c>
      <c r="C879" s="1227" t="str">
        <f>IFERROR(__xludf.DUMMYFUNCTION("""COMPUTED_VALUE"""),"Como construir business cases em vendas complexas")</f>
        <v>Como construir business cases em vendas complexas</v>
      </c>
      <c r="D879" s="173" t="str">
        <f>IFERROR(__xludf.DUMMYFUNCTION("""COMPUTED_VALUE"""),"Chris Cornehl")</f>
        <v>Chris Cornehl</v>
      </c>
      <c r="E879" s="151" t="str">
        <f>IFERROR(__xludf.DUMMYFUNCTION("""COMPUTED_VALUE"""),"CEO")</f>
        <v>CEO</v>
      </c>
      <c r="F879" s="648" t="str">
        <f>IFERROR(__xludf.DUMMYFUNCTION("""COMPUTED_VALUE"""),"MeetRox")</f>
        <v>MeetRox</v>
      </c>
      <c r="G879" s="647" t="str">
        <f>IFERROR(__xludf.DUMMYFUNCTION("""COMPUTED_VALUE"""),"https://www.linkedin.com/in/chriscornehl/")</f>
        <v>https://www.linkedin.com/in/chriscornehl/</v>
      </c>
      <c r="H879" s="648" t="str">
        <f>IFERROR(__xludf.DUMMYFUNCTION("""COMPUTED_VALUE"""),"Conhecimento Técnico")</f>
        <v>Conhecimento Técnico</v>
      </c>
      <c r="I879" s="648" t="str">
        <f>IFERROR(__xludf.DUMMYFUNCTION("""COMPUTED_VALUE"""),"Pensamento Crítico")</f>
        <v>Pensamento Crítico</v>
      </c>
      <c r="J879" s="648" t="str">
        <f>IFERROR(__xludf.DUMMYFUNCTION("""COMPUTED_VALUE"""),"ROI")</f>
        <v>ROI</v>
      </c>
      <c r="K879" s="535" t="str">
        <f>IFERROR(__xludf.DUMMYFUNCTION("""COMPUTED_VALUE"""),"https://universidade.pipelovers.net/m/lessons/como-construir-business-cases-em-vendas-complexas1769550060829?classId=3662")</f>
        <v>https://universidade.pipelovers.net/m/lessons/como-construir-business-cases-em-vendas-complexas1769550060829?classId=3662</v>
      </c>
      <c r="L879" s="535" t="str">
        <f>IFERROR(__xludf.DUMMYFUNCTION("""COMPUTED_VALUE"""),"https://universidade.pipelovers.net/m/lessons/como-construir-business-cases-em-vendas-complexas1769550060829?classId=3662")</f>
        <v>https://universidade.pipelovers.net/m/lessons/como-construir-business-cases-em-vendas-complexas1769550060829?classId=3662</v>
      </c>
      <c r="M879" s="1240">
        <f>IFERROR(__xludf.DUMMYFUNCTION("""COMPUTED_VALUE"""),2.0)</f>
        <v>2</v>
      </c>
      <c r="N879" s="1241" t="str">
        <f>IFERROR(__xludf.DUMMYFUNCTION("""COMPUTED_VALUE"""),"52. PipeLovers Class 🤍_ _Como construir business cases em vendas complexas_ com Chris Cornehl - 2025_08_29 10_52 GMT-03_00 - descript.mp4")</f>
        <v>52. PipeLovers Class 🤍_ _Como construir business cases em vendas complexas_ com Chris Cornehl - 2025_08_29 10_52 GMT-03_00 - descript.mp4</v>
      </c>
      <c r="O879" s="206" t="str">
        <f>IFERROR(__xludf.DUMMYFUNCTION("""COMPUTED_VALUE"""),"")</f>
        <v/>
      </c>
      <c r="P879" s="1217">
        <f>IFERROR(__xludf.DUMMYFUNCTION("""COMPUTED_VALUE"""),45912.0)</f>
        <v>45912</v>
      </c>
      <c r="Q879" s="206"/>
    </row>
    <row r="880">
      <c r="A880" s="73"/>
      <c r="B880" s="1023" t="str">
        <f>IFERROR(__xludf.DUMMYFUNCTION("""COMPUTED_VALUE"""),"Class")</f>
        <v>Class</v>
      </c>
      <c r="C880" s="1227" t="str">
        <f>IFERROR(__xludf.DUMMYFUNCTION("""COMPUTED_VALUE"""),"O que são Battlecards e como elEs ajudam você a vencer a concorrência")</f>
        <v>O que são Battlecards e como elEs ajudam você a vencer a concorrência</v>
      </c>
      <c r="D880" s="175" t="str">
        <f>IFERROR(__xludf.DUMMYFUNCTION("""COMPUTED_VALUE"""),"Gabriel Civinski")</f>
        <v>Gabriel Civinski</v>
      </c>
      <c r="E880" s="151" t="str">
        <f>IFERROR(__xludf.DUMMYFUNCTION("""COMPUTED_VALUE"""),"Fundador")</f>
        <v>Fundador</v>
      </c>
      <c r="F880" s="648" t="str">
        <f>IFERROR(__xludf.DUMMYFUNCTION("""COMPUTED_VALUE"""),"Refyro")</f>
        <v>Refyro</v>
      </c>
      <c r="G880" s="647" t="str">
        <f>IFERROR(__xludf.DUMMYFUNCTION("""COMPUTED_VALUE"""),"https://www.linkedin.com/in/gabriel-civinski/")</f>
        <v>https://www.linkedin.com/in/gabriel-civinski/</v>
      </c>
      <c r="H880" s="648" t="str">
        <f>IFERROR(__xludf.DUMMYFUNCTION("""COMPUTED_VALUE"""),"Conhecimento Técnico")</f>
        <v>Conhecimento Técnico</v>
      </c>
      <c r="I880" s="648" t="str">
        <f>IFERROR(__xludf.DUMMYFUNCTION("""COMPUTED_VALUE"""),"Gestão de Vendas")</f>
        <v>Gestão de Vendas</v>
      </c>
      <c r="J880" s="648" t="str">
        <f>IFERROR(__xludf.DUMMYFUNCTION("""COMPUTED_VALUE"""),"Ferramentas de Vendas")</f>
        <v>Ferramentas de Vendas</v>
      </c>
      <c r="K880" s="535" t="str">
        <f>IFERROR(__xludf.DUMMYFUNCTION("""COMPUTED_VALUE"""),"https://universidade.pipelovers.net/m/lessons/o-que-sao-battlecards-e-como-eles-ajudam-voce-a-vencer-a-concorrencia1769550060940?classId=3663")</f>
        <v>https://universidade.pipelovers.net/m/lessons/o-que-sao-battlecards-e-como-eles-ajudam-voce-a-vencer-a-concorrencia1769550060940?classId=3663</v>
      </c>
      <c r="L880" s="535" t="str">
        <f>IFERROR(__xludf.DUMMYFUNCTION("""COMPUTED_VALUE"""),"https://universidade.pipelovers.net/m/lessons/o-que-sao-battlecards-e-como-eles-ajudam-voce-a-vencer-a-concorrencia1769550060940?classId=3663")</f>
        <v>https://universidade.pipelovers.net/m/lessons/o-que-sao-battlecards-e-como-eles-ajudam-voce-a-vencer-a-concorrencia1769550060940?classId=3663</v>
      </c>
      <c r="M880" s="1240">
        <f>IFERROR(__xludf.DUMMYFUNCTION("""COMPUTED_VALUE"""),4.86)</f>
        <v>4.86</v>
      </c>
      <c r="N880" s="1241" t="str">
        <f>IFERROR(__xludf.DUMMYFUNCTION("""COMPUTED_VALUE"""),"53. PipeLovers Class 🤍_ _O que são Battlecards e como elas ajudam você a vencer a concorrência_ com Ga - 2025_09_05 10_50 GMT-03_00 - descript.mp4")</f>
        <v>53. PipeLovers Class 🤍_ _O que são Battlecards e como elas ajudam você a vencer a concorrência_ com Ga - 2025_09_05 10_50 GMT-03_00 - descript.mp4</v>
      </c>
      <c r="O880" s="206" t="str">
        <f>IFERROR(__xludf.DUMMYFUNCTION("""COMPUTED_VALUE"""),"")</f>
        <v/>
      </c>
      <c r="P880" s="1217">
        <f>IFERROR(__xludf.DUMMYFUNCTION("""COMPUTED_VALUE"""),45919.0)</f>
        <v>45919</v>
      </c>
      <c r="Q880" s="206"/>
    </row>
    <row r="881">
      <c r="A881" s="73"/>
      <c r="B881" s="1023" t="str">
        <f>IFERROR(__xludf.DUMMYFUNCTION("""COMPUTED_VALUE"""),"Class")</f>
        <v>Class</v>
      </c>
      <c r="C881" s="1227" t="str">
        <f>IFERROR(__xludf.DUMMYFUNCTION("""COMPUTED_VALUE"""),"Estratégias de venda para base")</f>
        <v>Estratégias de venda para base</v>
      </c>
      <c r="D881" s="173" t="str">
        <f>IFERROR(__xludf.DUMMYFUNCTION("""COMPUTED_VALUE"""),"Ricardo Okino")</f>
        <v>Ricardo Okino</v>
      </c>
      <c r="E881" s="151" t="str">
        <f>IFERROR(__xludf.DUMMYFUNCTION("""COMPUTED_VALUE"""),"Co-founder")</f>
        <v>Co-founder</v>
      </c>
      <c r="F881" s="648" t="str">
        <f>IFERROR(__xludf.DUMMYFUNCTION("""COMPUTED_VALUE"""),"Escola Exchange")</f>
        <v>Escola Exchange</v>
      </c>
      <c r="G881" s="647" t="str">
        <f>IFERROR(__xludf.DUMMYFUNCTION("""COMPUTED_VALUE"""),"https://www.linkedin.com/in/ricardookino/")</f>
        <v>https://www.linkedin.com/in/ricardookino/</v>
      </c>
      <c r="H881" s="648" t="str">
        <f>IFERROR(__xludf.DUMMYFUNCTION("""COMPUTED_VALUE"""),"Conhecimento Técnico")</f>
        <v>Conhecimento Técnico</v>
      </c>
      <c r="I881" s="648" t="str">
        <f>IFERROR(__xludf.DUMMYFUNCTION("""COMPUTED_VALUE"""),"Técnicas de Vendas")</f>
        <v>Técnicas de Vendas</v>
      </c>
      <c r="J881" s="648" t="str">
        <f>IFERROR(__xludf.DUMMYFUNCTION("""COMPUTED_VALUE"""),"Gestão de Carteira de Clientes")</f>
        <v>Gestão de Carteira de Clientes</v>
      </c>
      <c r="K881" s="535" t="str">
        <f>IFERROR(__xludf.DUMMYFUNCTION("""COMPUTED_VALUE"""),"https://universidade.pipelovers.net/m/lessons/estrategias-de-venda-para-base1769550060793?classId=3664")</f>
        <v>https://universidade.pipelovers.net/m/lessons/estrategias-de-venda-para-base1769550060793?classId=3664</v>
      </c>
      <c r="L881" s="535" t="str">
        <f>IFERROR(__xludf.DUMMYFUNCTION("""COMPUTED_VALUE"""),"https://universidade.pipelovers.net/m/lessons/estrategias-de-venda-para-base1769550060793?classId=3664")</f>
        <v>https://universidade.pipelovers.net/m/lessons/estrategias-de-venda-para-base1769550060793?classId=3664</v>
      </c>
      <c r="M881" s="1240">
        <f>IFERROR(__xludf.DUMMYFUNCTION("""COMPUTED_VALUE"""),4.71)</f>
        <v>4.71</v>
      </c>
      <c r="N881" s="1241" t="str">
        <f>IFERROR(__xludf.DUMMYFUNCTION("""COMPUTED_VALUE"""),"54. PipeLovers Class 🤍_ _Estratégias de venda para base_ com Ricardo Okino - 2025_09_12 10_46 GMT-03_00 - descript.mp4")</f>
        <v>54. PipeLovers Class 🤍_ _Estratégias de venda para base_ com Ricardo Okino - 2025_09_12 10_46 GMT-03_00 - descript.mp4</v>
      </c>
      <c r="O881" s="206" t="str">
        <f>IFERROR(__xludf.DUMMYFUNCTION("""COMPUTED_VALUE"""),"")</f>
        <v/>
      </c>
      <c r="P881" s="1217">
        <f>IFERROR(__xludf.DUMMYFUNCTION("""COMPUTED_VALUE"""),45926.0)</f>
        <v>45926</v>
      </c>
      <c r="Q881" s="206"/>
    </row>
    <row r="882">
      <c r="A882" s="73"/>
      <c r="B882" s="1023" t="str">
        <f>IFERROR(__xludf.DUMMYFUNCTION("""COMPUTED_VALUE"""),"Class")</f>
        <v>Class</v>
      </c>
      <c r="C882" s="1229" t="str">
        <f>IFERROR(__xludf.DUMMYFUNCTION("""COMPUTED_VALUE"""),"Inteligência de vendas na prática: Como deixar de vender para todo mundo e focar nos clientes certo")</f>
        <v>Inteligência de vendas na prática: Como deixar de vender para todo mundo e focar nos clientes certo</v>
      </c>
      <c r="D882" s="175" t="str">
        <f>IFERROR(__xludf.DUMMYFUNCTION("""COMPUTED_VALUE"""),"Livia Alves")</f>
        <v>Livia Alves</v>
      </c>
      <c r="E882" s="151" t="str">
        <f>IFERROR(__xludf.DUMMYFUNCTION("""COMPUTED_VALUE"""),"CRO")</f>
        <v>CRO</v>
      </c>
      <c r="F882" s="648" t="str">
        <f>IFERROR(__xludf.DUMMYFUNCTION("""COMPUTED_VALUE"""),"Driva")</f>
        <v>Driva</v>
      </c>
      <c r="G882" s="647" t="str">
        <f>IFERROR(__xludf.DUMMYFUNCTION("""COMPUTED_VALUE"""),"https://www.linkedin.com/in/liviaalves-/")</f>
        <v>https://www.linkedin.com/in/liviaalves-/</v>
      </c>
      <c r="H882" s="648" t="str">
        <f>IFERROR(__xludf.DUMMYFUNCTION("""COMPUTED_VALUE"""),"Visão de Negócios")</f>
        <v>Visão de Negócios</v>
      </c>
      <c r="I882" s="648" t="str">
        <f>IFERROR(__xludf.DUMMYFUNCTION("""COMPUTED_VALUE"""),"Conhecimento de Produto e Negócio")</f>
        <v>Conhecimento de Produto e Negócio</v>
      </c>
      <c r="J882" s="648" t="str">
        <f>IFERROR(__xludf.DUMMYFUNCTION("""COMPUTED_VALUE"""),"ICP (Perfil de Cliente Ideal)")</f>
        <v>ICP (Perfil de Cliente Ideal)</v>
      </c>
      <c r="K882" s="535" t="str">
        <f>IFERROR(__xludf.DUMMYFUNCTION("""COMPUTED_VALUE"""),"https://universidade.pipelovers.net/m/lessons/inteligencia-de-vendas-na-pratica-como-deixar-de-vender-para-todo-mundo-e-focar-nos-clientes-certo1769550060989?classId=3665")</f>
        <v>https://universidade.pipelovers.net/m/lessons/inteligencia-de-vendas-na-pratica-como-deixar-de-vender-para-todo-mundo-e-focar-nos-clientes-certo1769550060989?classId=3665</v>
      </c>
      <c r="L882" s="535" t="str">
        <f>IFERROR(__xludf.DUMMYFUNCTION("""COMPUTED_VALUE"""),"https://universidade.pipelovers.net/m/lessons/inteligencia-de-vendas-na-pratica-como-deixar-de-vender-para-todo-mundo-e-focar-nos-clientes-certo1769550060989?classId=3665")</f>
        <v>https://universidade.pipelovers.net/m/lessons/inteligencia-de-vendas-na-pratica-como-deixar-de-vender-para-todo-mundo-e-focar-nos-clientes-certo1769550060989?classId=3665</v>
      </c>
      <c r="M882" s="822">
        <f>IFERROR(__xludf.DUMMYFUNCTION("""COMPUTED_VALUE"""),4.86)</f>
        <v>4.86</v>
      </c>
      <c r="N882" s="1242" t="str">
        <f>IFERROR(__xludf.DUMMYFUNCTION("""COMPUTED_VALUE"""),"55. PipeLovers Class 🤍_ _Inteligência de vendas na prática_ Como deixar de vender para todo mundo e fo - 2025_09_19 10_50 GMT-03_00 -d.mp4")</f>
        <v>55. PipeLovers Class 🤍_ _Inteligência de vendas na prática_ Como deixar de vender para todo mundo e fo - 2025_09_19 10_50 GMT-03_00 -d.mp4</v>
      </c>
      <c r="O882" s="206" t="str">
        <f>IFERROR(__xludf.DUMMYFUNCTION("""COMPUTED_VALUE"""),"")</f>
        <v/>
      </c>
      <c r="P882" s="1217">
        <f>IFERROR(__xludf.DUMMYFUNCTION("""COMPUTED_VALUE"""),45933.0)</f>
        <v>45933</v>
      </c>
      <c r="Q882" s="206"/>
    </row>
    <row r="883">
      <c r="A883" s="73"/>
      <c r="B883" s="1023" t="str">
        <f>IFERROR(__xludf.DUMMYFUNCTION("""COMPUTED_VALUE"""),"Class")</f>
        <v>Class</v>
      </c>
      <c r="C883" s="1227" t="str">
        <f>IFERROR(__xludf.DUMMYFUNCTION("""COMPUTED_VALUE"""),"Como vender mais em feiras e eventos")</f>
        <v>Como vender mais em feiras e eventos</v>
      </c>
      <c r="D883" s="173" t="str">
        <f>IFERROR(__xludf.DUMMYFUNCTION("""COMPUTED_VALUE"""),"Bruno Folle")</f>
        <v>Bruno Folle</v>
      </c>
      <c r="E883" s="151" t="str">
        <f>IFERROR(__xludf.DUMMYFUNCTION("""COMPUTED_VALUE"""),"Sócio")</f>
        <v>Sócio</v>
      </c>
      <c r="F883" s="648" t="str">
        <f>IFERROR(__xludf.DUMMYFUNCTION("""COMPUTED_VALUE"""),"Folle Consultoria")</f>
        <v>Folle Consultoria</v>
      </c>
      <c r="G883" s="647" t="str">
        <f>IFERROR(__xludf.DUMMYFUNCTION("""COMPUTED_VALUE"""),"https://www.linkedin.com/in/brunofolle/")</f>
        <v>https://www.linkedin.com/in/brunofolle/</v>
      </c>
      <c r="H883" s="648" t="str">
        <f>IFERROR(__xludf.DUMMYFUNCTION("""COMPUTED_VALUE"""),"Conhecimento Técnico")</f>
        <v>Conhecimento Técnico</v>
      </c>
      <c r="I883" s="648" t="str">
        <f>IFERROR(__xludf.DUMMYFUNCTION("""COMPUTED_VALUE"""),"Técnicas de Vendas")</f>
        <v>Técnicas de Vendas</v>
      </c>
      <c r="J883" s="648" t="str">
        <f>IFERROR(__xludf.DUMMYFUNCTION("""COMPUTED_VALUE"""),"Abordagem e Prospecção")</f>
        <v>Abordagem e Prospecção</v>
      </c>
      <c r="K883" s="167" t="str">
        <f>IFERROR(__xludf.DUMMYFUNCTION("""COMPUTED_VALUE"""),"https://universidade.pipelovers.net/m/lessons/como-vender-mais-em-feiras-e-eventos1769550061091?classId=3666")</f>
        <v>https://universidade.pipelovers.net/m/lessons/como-vender-mais-em-feiras-e-eventos1769550061091?classId=3666</v>
      </c>
      <c r="L883" s="167" t="str">
        <f>IFERROR(__xludf.DUMMYFUNCTION("""COMPUTED_VALUE"""),"https://universidade.pipelovers.net/m/lessons/como-vender-mais-em-feiras-e-eventos1769550061091?classId=3666")</f>
        <v>https://universidade.pipelovers.net/m/lessons/como-vender-mais-em-feiras-e-eventos1769550061091?classId=3666</v>
      </c>
      <c r="M883" s="1240">
        <f>IFERROR(__xludf.DUMMYFUNCTION("""COMPUTED_VALUE"""),2.0)</f>
        <v>2</v>
      </c>
      <c r="N883" s="1241" t="str">
        <f>IFERROR(__xludf.DUMMYFUNCTION("""COMPUTED_VALUE"""),"56. [Pipelovers] Class _ Aula 56 - Como vender mais em feiras e eventos-descript.mp4")</f>
        <v>56. [Pipelovers] Class _ Aula 56 - Como vender mais em feiras e eventos-descript.mp4</v>
      </c>
      <c r="O883" s="206" t="str">
        <f>IFERROR(__xludf.DUMMYFUNCTION("""COMPUTED_VALUE"""),"")</f>
        <v/>
      </c>
      <c r="P883" s="1217">
        <f>IFERROR(__xludf.DUMMYFUNCTION("""COMPUTED_VALUE"""),45940.0)</f>
        <v>45940</v>
      </c>
      <c r="Q883" s="206"/>
    </row>
    <row r="884">
      <c r="A884" s="73"/>
      <c r="B884" s="1023" t="str">
        <f>IFERROR(__xludf.DUMMYFUNCTION("""COMPUTED_VALUE"""),"Class")</f>
        <v>Class</v>
      </c>
      <c r="C884" s="1227" t="str">
        <f>IFERROR(__xludf.DUMMYFUNCTION("""COMPUTED_VALUE"""),"Geração de demanda através do Whatsapp")</f>
        <v>Geração de demanda através do Whatsapp</v>
      </c>
      <c r="D884" s="175" t="str">
        <f>IFERROR(__xludf.DUMMYFUNCTION("""COMPUTED_VALUE"""),"Junior dos Reis")</f>
        <v>Junior dos Reis</v>
      </c>
      <c r="E884" s="151" t="str">
        <f>IFERROR(__xludf.DUMMYFUNCTION("""COMPUTED_VALUE"""),"Country Manager")</f>
        <v>Country Manager</v>
      </c>
      <c r="F884" s="647" t="str">
        <f>IFERROR(__xludf.DUMMYFUNCTION("""COMPUTED_VALUE"""),"treble.ai")</f>
        <v>treble.ai</v>
      </c>
      <c r="G884" s="647" t="str">
        <f>IFERROR(__xludf.DUMMYFUNCTION("""COMPUTED_VALUE"""),"https://www.linkedin.com/in/junioreis22/")</f>
        <v>https://www.linkedin.com/in/junioreis22/</v>
      </c>
      <c r="H884" s="648" t="str">
        <f>IFERROR(__xludf.DUMMYFUNCTION("""COMPUTED_VALUE"""),"Conhecimento Técnico")</f>
        <v>Conhecimento Técnico</v>
      </c>
      <c r="I884" s="648" t="str">
        <f>IFERROR(__xludf.DUMMYFUNCTION("""COMPUTED_VALUE"""),"Técnicas de Vendas")</f>
        <v>Técnicas de Vendas</v>
      </c>
      <c r="J884" s="648" t="str">
        <f>IFERROR(__xludf.DUMMYFUNCTION("""COMPUTED_VALUE"""),"Abordagem e Prospecção")</f>
        <v>Abordagem e Prospecção</v>
      </c>
      <c r="K884" s="535" t="str">
        <f>IFERROR(__xludf.DUMMYFUNCTION("""COMPUTED_VALUE"""),"https://universidade.pipelovers.net/m/lessons/geracao-de-demanda-atraves-do-whatsapp1769550061159?classId=3667")</f>
        <v>https://universidade.pipelovers.net/m/lessons/geracao-de-demanda-atraves-do-whatsapp1769550061159?classId=3667</v>
      </c>
      <c r="L884" s="535" t="str">
        <f>IFERROR(__xludf.DUMMYFUNCTION("""COMPUTED_VALUE"""),"https://universidade.pipelovers.net/m/lessons/geracao-de-demanda-atraves-do-whatsapp1769550061159?classId=3667")</f>
        <v>https://universidade.pipelovers.net/m/lessons/geracao-de-demanda-atraves-do-whatsapp1769550061159?classId=3667</v>
      </c>
      <c r="M884" s="822">
        <f>IFERROR(__xludf.DUMMYFUNCTION("""COMPUTED_VALUE"""),2.0)</f>
        <v>2</v>
      </c>
      <c r="N884" s="1242" t="str">
        <f>IFERROR(__xludf.DUMMYFUNCTION("""COMPUTED_VALUE"""),"57. PipeLovers Class 🤍 Geração de demanda através do Whatsapp com Junior dos Reis- descript.mp4")</f>
        <v>57. PipeLovers Class 🤍 Geração de demanda através do Whatsapp com Junior dos Reis- descript.mp4</v>
      </c>
      <c r="O884" s="206" t="str">
        <f>IFERROR(__xludf.DUMMYFUNCTION("""COMPUTED_VALUE"""),"")</f>
        <v/>
      </c>
      <c r="P884" s="1217">
        <f>IFERROR(__xludf.DUMMYFUNCTION("""COMPUTED_VALUE"""),45947.0)</f>
        <v>45947</v>
      </c>
      <c r="Q884" s="206"/>
    </row>
    <row r="885">
      <c r="A885" s="73"/>
      <c r="B885" s="1023" t="str">
        <f>IFERROR(__xludf.DUMMYFUNCTION("""COMPUTED_VALUE"""),"Class")</f>
        <v>Class</v>
      </c>
      <c r="C885" s="1227" t="str">
        <f>IFERROR(__xludf.DUMMYFUNCTION("""COMPUTED_VALUE"""),"Liderar com propósito: a jornada até a direção geral da Zoho")</f>
        <v>Liderar com propósito: a jornada até a direção geral da Zoho</v>
      </c>
      <c r="D885" s="173" t="str">
        <f>IFERROR(__xludf.DUMMYFUNCTION("""COMPUTED_VALUE"""),"Rodrigo Vaca")</f>
        <v>Rodrigo Vaca</v>
      </c>
      <c r="E885" s="151" t="str">
        <f>IFERROR(__xludf.DUMMYFUNCTION("""COMPUTED_VALUE"""),"Diretor Geral")</f>
        <v>Diretor Geral</v>
      </c>
      <c r="F885" s="648" t="str">
        <f>IFERROR(__xludf.DUMMYFUNCTION("""COMPUTED_VALUE"""),"Zoho Brasil")</f>
        <v>Zoho Brasil</v>
      </c>
      <c r="G885" s="647" t="str">
        <f>IFERROR(__xludf.DUMMYFUNCTION("""COMPUTED_VALUE"""),"https://www.linkedin.com/in/rodrigovaca/")</f>
        <v>https://www.linkedin.com/in/rodrigovaca/</v>
      </c>
      <c r="H885" s="648" t="str">
        <f>IFERROR(__xludf.DUMMYFUNCTION("""COMPUTED_VALUE"""),"Relacionamento Interpessoal")</f>
        <v>Relacionamento Interpessoal</v>
      </c>
      <c r="I885" s="648" t="str">
        <f>IFERROR(__xludf.DUMMYFUNCTION("""COMPUTED_VALUE"""),"Liderança e Influência")</f>
        <v>Liderança e Influência</v>
      </c>
      <c r="J885" s="648" t="str">
        <f>IFERROR(__xludf.DUMMYFUNCTION("""COMPUTED_VALUE"""),"Credibilidade e Reputação")</f>
        <v>Credibilidade e Reputação</v>
      </c>
      <c r="K885" s="535" t="str">
        <f>IFERROR(__xludf.DUMMYFUNCTION("""COMPUTED_VALUE"""),"https://universidade.pipelovers.net/m/lessons/liderar-com-proposito-a-jornada-ate-a-direcao-geral-da-zoho1769550061224?classId=3668")</f>
        <v>https://universidade.pipelovers.net/m/lessons/liderar-com-proposito-a-jornada-ate-a-direcao-geral-da-zoho1769550061224?classId=3668</v>
      </c>
      <c r="L885" s="535" t="str">
        <f>IFERROR(__xludf.DUMMYFUNCTION("""COMPUTED_VALUE"""),"https://universidade.pipelovers.net/m/lessons/liderar-com-proposito-a-jornada-ate-a-direcao-geral-da-zoho1769550061224?classId=3668")</f>
        <v>https://universidade.pipelovers.net/m/lessons/liderar-com-proposito-a-jornada-ate-a-direcao-geral-da-zoho1769550061224?classId=3668</v>
      </c>
      <c r="M885" s="1240">
        <f>IFERROR(__xludf.DUMMYFUNCTION("""COMPUTED_VALUE"""),2.0)</f>
        <v>2</v>
      </c>
      <c r="N885" s="1241" t="str">
        <f>IFERROR(__xludf.DUMMYFUNCTION("""COMPUTED_VALUE"""),"58. PipeLovers Class 🤍 Liderar com propósito a jornada até a direção geral da Zoho com Rodrigo Vaca-descript.mp4")</f>
        <v>58. PipeLovers Class 🤍 Liderar com propósito a jornada até a direção geral da Zoho com Rodrigo Vaca-descript.mp4</v>
      </c>
      <c r="O885" s="206" t="str">
        <f>IFERROR(__xludf.DUMMYFUNCTION("""COMPUTED_VALUE"""),"")</f>
        <v/>
      </c>
      <c r="P885" s="1217">
        <f>IFERROR(__xludf.DUMMYFUNCTION("""COMPUTED_VALUE"""),45954.0)</f>
        <v>45954</v>
      </c>
      <c r="Q885" s="206"/>
    </row>
    <row r="886">
      <c r="A886" s="73"/>
      <c r="B886" s="1023" t="str">
        <f>IFERROR(__xludf.DUMMYFUNCTION("""COMPUTED_VALUE"""),"Class")</f>
        <v>Class</v>
      </c>
      <c r="C886" s="1229" t="str">
        <f>IFERROR(__xludf.DUMMYFUNCTION("""COMPUTED_VALUE"""),"Passo a passo para construir e rodar um SDR de IA")</f>
        <v>Passo a passo para construir e rodar um SDR de IA</v>
      </c>
      <c r="D886" s="175" t="str">
        <f>IFERROR(__xludf.DUMMYFUNCTION("""COMPUTED_VALUE"""),"Franky Neto")</f>
        <v>Franky Neto</v>
      </c>
      <c r="E886" s="151" t="str">
        <f>IFERROR(__xludf.DUMMYFUNCTION("""COMPUTED_VALUE"""),"CEO &amp; Founder")</f>
        <v>CEO &amp; Founder</v>
      </c>
      <c r="F886" s="648" t="str">
        <f>IFERROR(__xludf.DUMMYFUNCTION("""COMPUTED_VALUE"""),"Connect Sales")</f>
        <v>Connect Sales</v>
      </c>
      <c r="G886" s="647" t="str">
        <f>IFERROR(__xludf.DUMMYFUNCTION("""COMPUTED_VALUE"""),"https://www.linkedin.com/in/frankyneto/")</f>
        <v>https://www.linkedin.com/in/frankyneto/</v>
      </c>
      <c r="H886" s="648" t="str">
        <f>IFERROR(__xludf.DUMMYFUNCTION("""COMPUTED_VALUE"""),"Conhecimento Técnico")</f>
        <v>Conhecimento Técnico</v>
      </c>
      <c r="I886" s="648" t="str">
        <f>IFERROR(__xludf.DUMMYFUNCTION("""COMPUTED_VALUE"""),"Técnicas de Vendas")</f>
        <v>Técnicas de Vendas</v>
      </c>
      <c r="J886" s="648" t="str">
        <f>IFERROR(__xludf.DUMMYFUNCTION("""COMPUTED_VALUE"""),"Abordagem e Prospecção")</f>
        <v>Abordagem e Prospecção</v>
      </c>
      <c r="K886" s="535" t="str">
        <f>IFERROR(__xludf.DUMMYFUNCTION("""COMPUTED_VALUE"""),"https://universidade.pipelovers.net/m/lessons/passo-a-passo-para-construir-e-rodar-um-sdr-de-ia1769550061281?classId=3669")</f>
        <v>https://universidade.pipelovers.net/m/lessons/passo-a-passo-para-construir-e-rodar-um-sdr-de-ia1769550061281?classId=3669</v>
      </c>
      <c r="L886" s="535" t="str">
        <f>IFERROR(__xludf.DUMMYFUNCTION("""COMPUTED_VALUE"""),"https://universidade.pipelovers.net/m/lessons/passo-a-passo-para-construir-e-rodar-um-sdr-de-ia1769550061281?classId=3669")</f>
        <v>https://universidade.pipelovers.net/m/lessons/passo-a-passo-para-construir-e-rodar-um-sdr-de-ia1769550061281?classId=3669</v>
      </c>
      <c r="M886" s="822">
        <f>IFERROR(__xludf.DUMMYFUNCTION("""COMPUTED_VALUE"""),4.0)</f>
        <v>4</v>
      </c>
      <c r="N886" s="1242" t="str">
        <f>IFERROR(__xludf.DUMMYFUNCTION("""COMPUTED_VALUE"""),"59. PipeLovers Class 🤍 Passo a passo para construir e rodar um SDR de IA com Franky Neto-descript.mp4")</f>
        <v>59. PipeLovers Class 🤍 Passo a passo para construir e rodar um SDR de IA com Franky Neto-descript.mp4</v>
      </c>
      <c r="O886" s="206" t="str">
        <f>IFERROR(__xludf.DUMMYFUNCTION("""COMPUTED_VALUE"""),"")</f>
        <v/>
      </c>
      <c r="P886" s="1217">
        <f>IFERROR(__xludf.DUMMYFUNCTION("""COMPUTED_VALUE"""),45961.0)</f>
        <v>45961</v>
      </c>
      <c r="Q886" s="206"/>
    </row>
    <row r="887">
      <c r="A887" s="73"/>
      <c r="B887" s="1023" t="str">
        <f>IFERROR(__xludf.DUMMYFUNCTION("""COMPUTED_VALUE"""),"Class")</f>
        <v>Class</v>
      </c>
      <c r="C887" s="1227" t="str">
        <f>IFERROR(__xludf.DUMMYFUNCTION("""COMPUTED_VALUE"""),"Do lead frio ao cliente quente: fluxos de nutrição multicanal ")</f>
        <v>Do lead frio ao cliente quente: fluxos de nutrição multicanal </v>
      </c>
      <c r="D887" s="173" t="str">
        <f>IFERROR(__xludf.DUMMYFUNCTION("""COMPUTED_VALUE"""),"Igor Navarro")</f>
        <v>Igor Navarro</v>
      </c>
      <c r="E887" s="151" t="str">
        <f>IFERROR(__xludf.DUMMYFUNCTION("""COMPUTED_VALUE"""),"Gerente de Atendimento")</f>
        <v>Gerente de Atendimento</v>
      </c>
      <c r="F887" s="648" t="str">
        <f>IFERROR(__xludf.DUMMYFUNCTION("""COMPUTED_VALUE"""),"SendPulse")</f>
        <v>SendPulse</v>
      </c>
      <c r="G887" s="647" t="str">
        <f>IFERROR(__xludf.DUMMYFUNCTION("""COMPUTED_VALUE"""),"https://www.linkedin.com/in/igor-navarro-rabelo/")</f>
        <v>https://www.linkedin.com/in/igor-navarro-rabelo/</v>
      </c>
      <c r="H887" s="648" t="str">
        <f>IFERROR(__xludf.DUMMYFUNCTION("""COMPUTED_VALUE"""),"Conhecimento Técnico")</f>
        <v>Conhecimento Técnico</v>
      </c>
      <c r="I887" s="648" t="str">
        <f>IFERROR(__xludf.DUMMYFUNCTION("""COMPUTED_VALUE"""),"Gestão de Vendas")</f>
        <v>Gestão de Vendas</v>
      </c>
      <c r="J887" s="648" t="str">
        <f>IFERROR(__xludf.DUMMYFUNCTION("""COMPUTED_VALUE"""),"Ferramentas de Vendas")</f>
        <v>Ferramentas de Vendas</v>
      </c>
      <c r="K887" s="535" t="str">
        <f>IFERROR(__xludf.DUMMYFUNCTION("""COMPUTED_VALUE"""),"https://universidade.pipelovers.net/aulas/do-lead-frio-ao-cliente-quente-fluxos-de-nutricao-multicanal-1775817131791")</f>
        <v>https://universidade.pipelovers.net/aulas/do-lead-frio-ao-cliente-quente-fluxos-de-nutricao-multicanal-1775817131791</v>
      </c>
      <c r="L887" s="535" t="str">
        <f>IFERROR(__xludf.DUMMYFUNCTION("""COMPUTED_VALUE"""),"https://universidade.pipelovers.net/aulas/do-lead-frio-ao-cliente-quente-fluxos-de-nutricao-multicanal-1775817131791")</f>
        <v>https://universidade.pipelovers.net/aulas/do-lead-frio-ao-cliente-quente-fluxos-de-nutricao-multicanal-1775817131791</v>
      </c>
      <c r="M887" s="1240">
        <f>IFERROR(__xludf.DUMMYFUNCTION("""COMPUTED_VALUE"""),1.0)</f>
        <v>1</v>
      </c>
      <c r="N887" s="1241" t="str">
        <f>IFERROR(__xludf.DUMMYFUNCTION("""COMPUTED_VALUE"""),"60. PipeLovers Class 🤍 Do lead frio ao cliente quente fluxos de nutrição multicanal  com Igor Navarro-descript.mp4")</f>
        <v>60. PipeLovers Class 🤍 Do lead frio ao cliente quente fluxos de nutrição multicanal  com Igor Navarro-descript.mp4</v>
      </c>
      <c r="O887" s="206" t="str">
        <f>IFERROR(__xludf.DUMMYFUNCTION("""COMPUTED_VALUE"""),"")</f>
        <v/>
      </c>
      <c r="P887" s="1217">
        <f>IFERROR(__xludf.DUMMYFUNCTION("""COMPUTED_VALUE"""),45968.0)</f>
        <v>45968</v>
      </c>
      <c r="Q887" s="206"/>
    </row>
    <row r="888">
      <c r="A888" s="73"/>
      <c r="B888" s="1023" t="str">
        <f>IFERROR(__xludf.DUMMYFUNCTION("""COMPUTED_VALUE"""),"Class")</f>
        <v>Class</v>
      </c>
      <c r="C888" s="1227" t="str">
        <f>IFERROR(__xludf.DUMMYFUNCTION("""COMPUTED_VALUE"""),"Upsell e Cross-sell: como vender após a venda")</f>
        <v>Upsell e Cross-sell: como vender após a venda</v>
      </c>
      <c r="D888" s="175" t="str">
        <f>IFERROR(__xludf.DUMMYFUNCTION("""COMPUTED_VALUE"""),"Gabriel Schuler")</f>
        <v>Gabriel Schuler</v>
      </c>
      <c r="E888" s="151" t="str">
        <f>IFERROR(__xludf.DUMMYFUNCTION("""COMPUTED_VALUE"""),"Head of Account Management Brasil")</f>
        <v>Head of Account Management Brasil</v>
      </c>
      <c r="F888" s="648" t="str">
        <f>IFERROR(__xludf.DUMMYFUNCTION("""COMPUTED_VALUE"""),"Zoho")</f>
        <v>Zoho</v>
      </c>
      <c r="G888" s="647" t="str">
        <f>IFERROR(__xludf.DUMMYFUNCTION("""COMPUTED_VALUE"""),"https://www.linkedin.com/in/gabrielbat/")</f>
        <v>https://www.linkedin.com/in/gabrielbat/</v>
      </c>
      <c r="H888" s="648" t="str">
        <f>IFERROR(__xludf.DUMMYFUNCTION("""COMPUTED_VALUE"""),"Conhecimento Técnico")</f>
        <v>Conhecimento Técnico</v>
      </c>
      <c r="I888" s="648" t="str">
        <f>IFERROR(__xludf.DUMMYFUNCTION("""COMPUTED_VALUE"""),"Gestão de Vendas")</f>
        <v>Gestão de Vendas</v>
      </c>
      <c r="J888" s="648" t="str">
        <f>IFERROR(__xludf.DUMMYFUNCTION("""COMPUTED_VALUE"""),"UpSell e Cross Sell")</f>
        <v>UpSell e Cross Sell</v>
      </c>
      <c r="K888" s="535" t="str">
        <f>IFERROR(__xludf.DUMMYFUNCTION("""COMPUTED_VALUE"""),"https://universidade.pipelovers.net/m/lessons/upsell-e-cross-sell-como-vender-apos-a-venda1769550061339?classId=3671")</f>
        <v>https://universidade.pipelovers.net/m/lessons/upsell-e-cross-sell-como-vender-apos-a-venda1769550061339?classId=3671</v>
      </c>
      <c r="L888" s="535" t="str">
        <f>IFERROR(__xludf.DUMMYFUNCTION("""COMPUTED_VALUE"""),"https://universidade.pipelovers.net/m/lessons/upsell-e-cross-sell-como-vender-apos-a-venda1769550061339?classId=3671")</f>
        <v>https://universidade.pipelovers.net/m/lessons/upsell-e-cross-sell-como-vender-apos-a-venda1769550061339?classId=3671</v>
      </c>
      <c r="M888" s="1243">
        <f>IFERROR(__xludf.DUMMYFUNCTION("""COMPUTED_VALUE"""),1.0)</f>
        <v>1</v>
      </c>
      <c r="N888" s="1241" t="str">
        <f>IFERROR(__xludf.DUMMYFUNCTION("""COMPUTED_VALUE"""),"61. PipeLovers Class 🤍 Upsell e Cross-sell como vender após a venda com Gabriel Schuler - descript.mp4")</f>
        <v>61. PipeLovers Class 🤍 Upsell e Cross-sell como vender após a venda com Gabriel Schuler - descript.mp4</v>
      </c>
      <c r="O888" s="206" t="str">
        <f>IFERROR(__xludf.DUMMYFUNCTION("""COMPUTED_VALUE"""),"")</f>
        <v/>
      </c>
      <c r="P888" s="1217">
        <f>IFERROR(__xludf.DUMMYFUNCTION("""COMPUTED_VALUE"""),45975.0)</f>
        <v>45975</v>
      </c>
      <c r="Q888" s="206"/>
    </row>
    <row r="889">
      <c r="A889" s="73"/>
      <c r="B889" s="1023" t="str">
        <f>IFERROR(__xludf.DUMMYFUNCTION("""COMPUTED_VALUE"""),"Class")</f>
        <v>Class</v>
      </c>
      <c r="C889" s="1244" t="str">
        <f>IFERROR(__xludf.DUMMYFUNCTION("""COMPUTED_VALUE"""),"Funil de Outbound na prática")</f>
        <v>Funil de Outbound na prática</v>
      </c>
      <c r="D889" s="1126" t="str">
        <f>IFERROR(__xludf.DUMMYFUNCTION("""COMPUTED_VALUE"""),"Juliano Dias")</f>
        <v>Juliano Dias</v>
      </c>
      <c r="E889" s="151" t="str">
        <f>IFERROR(__xludf.DUMMYFUNCTION("""COMPUTED_VALUE"""),"CEO")</f>
        <v>CEO</v>
      </c>
      <c r="F889" s="648" t="str">
        <f>IFERROR(__xludf.DUMMYFUNCTION("""COMPUTED_VALUE"""),"Meetz")</f>
        <v>Meetz</v>
      </c>
      <c r="G889" s="647" t="str">
        <f>IFERROR(__xludf.DUMMYFUNCTION("""COMPUTED_VALUE"""),"https://www.linkedin.com/in/julianodias/")</f>
        <v>https://www.linkedin.com/in/julianodias/</v>
      </c>
      <c r="H889" s="648" t="str">
        <f>IFERROR(__xludf.DUMMYFUNCTION("""COMPUTED_VALUE"""),"Conhecimento Técnico")</f>
        <v>Conhecimento Técnico</v>
      </c>
      <c r="I889" s="648" t="str">
        <f>IFERROR(__xludf.DUMMYFUNCTION("""COMPUTED_VALUE"""),"Técnicas de Vendas")</f>
        <v>Técnicas de Vendas</v>
      </c>
      <c r="J889" s="648" t="str">
        <f>IFERROR(__xludf.DUMMYFUNCTION("""COMPUTED_VALUE"""),"Abordagem e Prospecção")</f>
        <v>Abordagem e Prospecção</v>
      </c>
      <c r="K889" s="535" t="str">
        <f>IFERROR(__xludf.DUMMYFUNCTION("""COMPUTED_VALUE"""),"https://universidade.pipelovers.net/m/lessons/funil-de-outbound-na-pratica1769550061376?classId=3672")</f>
        <v>https://universidade.pipelovers.net/m/lessons/funil-de-outbound-na-pratica1769550061376?classId=3672</v>
      </c>
      <c r="L889" s="535" t="str">
        <f>IFERROR(__xludf.DUMMYFUNCTION("""COMPUTED_VALUE"""),"https://universidade.pipelovers.net/m/lessons/funil-de-outbound-na-pratica1769550061376?classId=3672")</f>
        <v>https://universidade.pipelovers.net/m/lessons/funil-de-outbound-na-pratica1769550061376?classId=3672</v>
      </c>
      <c r="M889" s="150">
        <f>IFERROR(__xludf.DUMMYFUNCTION("""COMPUTED_VALUE"""),1.0)</f>
        <v>1</v>
      </c>
      <c r="N889" s="151" t="str">
        <f>IFERROR(__xludf.DUMMYFUNCTION("""COMPUTED_VALUE"""),"62.  PipeLovers Class 🤍 Funil de Outbound na prática com Juliano Dias - descript.mp4")</f>
        <v>62.  PipeLovers Class 🤍 Funil de Outbound na prática com Juliano Dias - descript.mp4</v>
      </c>
      <c r="O889" s="206" t="str">
        <f>IFERROR(__xludf.DUMMYFUNCTION("""COMPUTED_VALUE"""),"")</f>
        <v/>
      </c>
      <c r="P889" s="1217">
        <f>IFERROR(__xludf.DUMMYFUNCTION("""COMPUTED_VALUE"""),45982.0)</f>
        <v>45982</v>
      </c>
      <c r="Q889" s="206"/>
    </row>
    <row r="890">
      <c r="A890" s="73"/>
      <c r="B890" s="1023" t="str">
        <f>IFERROR(__xludf.DUMMYFUNCTION("""COMPUTED_VALUE"""),"Class")</f>
        <v>Class</v>
      </c>
      <c r="C890" s="1244" t="str">
        <f>IFERROR(__xludf.DUMMYFUNCTION("""COMPUTED_VALUE"""),"Autogestão para Liderar")</f>
        <v>Autogestão para Liderar</v>
      </c>
      <c r="D890" s="1126" t="str">
        <f>IFERROR(__xludf.DUMMYFUNCTION("""COMPUTED_VALUE"""),"Rafael Alexandre")</f>
        <v>Rafael Alexandre</v>
      </c>
      <c r="E890" s="151" t="str">
        <f>IFERROR(__xludf.DUMMYFUNCTION("""COMPUTED_VALUE"""),"Partner")</f>
        <v>Partner</v>
      </c>
      <c r="F890" s="648" t="str">
        <f>IFERROR(__xludf.DUMMYFUNCTION("""COMPUTED_VALUE"""),"Inside")</f>
        <v>Inside</v>
      </c>
      <c r="G890" s="647" t="str">
        <f>IFERROR(__xludf.DUMMYFUNCTION("""COMPUTED_VALUE"""),"https://www.linkedin.com/in/rafaelalexandre/")</f>
        <v>https://www.linkedin.com/in/rafaelalexandre/</v>
      </c>
      <c r="H890" s="648" t="str">
        <f>IFERROR(__xludf.DUMMYFUNCTION("""COMPUTED_VALUE"""),"Autodesenvolvimento")</f>
        <v>Autodesenvolvimento</v>
      </c>
      <c r="I890" s="648" t="str">
        <f>IFERROR(__xludf.DUMMYFUNCTION("""COMPUTED_VALUE"""),"Gestão de Tempo e da Informação")</f>
        <v>Gestão de Tempo e da Informação</v>
      </c>
      <c r="J890" s="648" t="str">
        <f>IFERROR(__xludf.DUMMYFUNCTION("""COMPUTED_VALUE"""),"Priorização de Atividades")</f>
        <v>Priorização de Atividades</v>
      </c>
      <c r="K890" s="535" t="str">
        <f>IFERROR(__xludf.DUMMYFUNCTION("""COMPUTED_VALUE"""),"https://universidade.pipelovers.net/m/lessons/autogestao-para-liderar1769550061558?classId=3673")</f>
        <v>https://universidade.pipelovers.net/m/lessons/autogestao-para-liderar1769550061558?classId=3673</v>
      </c>
      <c r="L890" s="535" t="str">
        <f>IFERROR(__xludf.DUMMYFUNCTION("""COMPUTED_VALUE"""),"https://universidade.pipelovers.net/m/lessons/autogestao-para-liderar1769550061558?classId=3673")</f>
        <v>https://universidade.pipelovers.net/m/lessons/autogestao-para-liderar1769550061558?classId=3673</v>
      </c>
      <c r="M890" s="150">
        <f>IFERROR(__xludf.DUMMYFUNCTION("""COMPUTED_VALUE"""),5.0)</f>
        <v>5</v>
      </c>
      <c r="N890" s="151" t="str">
        <f>IFERROR(__xludf.DUMMYFUNCTION("""COMPUTED_VALUE"""),"63.  PipeLovers Class 🤍 Autogestão para Liderar com Rafael Alexandre-descript.mp4")</f>
        <v>63.  PipeLovers Class 🤍 Autogestão para Liderar com Rafael Alexandre-descript.mp4</v>
      </c>
      <c r="O890" s="206" t="str">
        <f>IFERROR(__xludf.DUMMYFUNCTION("""COMPUTED_VALUE"""),"")</f>
        <v/>
      </c>
      <c r="P890" s="1217">
        <f>IFERROR(__xludf.DUMMYFUNCTION("""COMPUTED_VALUE"""),45989.0)</f>
        <v>45989</v>
      </c>
      <c r="Q890" s="206"/>
    </row>
    <row r="891">
      <c r="A891" s="73"/>
      <c r="B891" s="1023" t="str">
        <f>IFERROR(__xludf.DUMMYFUNCTION("""COMPUTED_VALUE"""),"Class")</f>
        <v>Class</v>
      </c>
      <c r="C891" s="1244" t="str">
        <f>IFERROR(__xludf.DUMMYFUNCTION("""COMPUTED_VALUE"""),"Account-Based Marketing: o que muda na estratégia de Marketing e Vendas")</f>
        <v>Account-Based Marketing: o que muda na estratégia de Marketing e Vendas</v>
      </c>
      <c r="D891" s="1126" t="str">
        <f>IFERROR(__xludf.DUMMYFUNCTION("""COMPUTED_VALUE"""),"Bernardo Madeira")</f>
        <v>Bernardo Madeira</v>
      </c>
      <c r="E891" s="151" t="str">
        <f>IFERROR(__xludf.DUMMYFUNCTION("""COMPUTED_VALUE"""),"CTO - Co-Founder")</f>
        <v>CTO - Co-Founder</v>
      </c>
      <c r="F891" s="648" t="str">
        <f>IFERROR(__xludf.DUMMYFUNCTION("""COMPUTED_VALUE"""),"Maestro ABM")</f>
        <v>Maestro ABM</v>
      </c>
      <c r="G891" s="647" t="str">
        <f>IFERROR(__xludf.DUMMYFUNCTION("""COMPUTED_VALUE"""),"https://www.linkedin.com/in/bernardosouzamadeira/")</f>
        <v>https://www.linkedin.com/in/bernardosouzamadeira/</v>
      </c>
      <c r="H891" s="648" t="str">
        <f>IFERROR(__xludf.DUMMYFUNCTION("""COMPUTED_VALUE"""),"Conhecimento Técnico")</f>
        <v>Conhecimento Técnico</v>
      </c>
      <c r="I891" s="648" t="str">
        <f>IFERROR(__xludf.DUMMYFUNCTION("""COMPUTED_VALUE"""),"Técnicas de Vendas")</f>
        <v>Técnicas de Vendas</v>
      </c>
      <c r="J891" s="648" t="str">
        <f>IFERROR(__xludf.DUMMYFUNCTION("""COMPUTED_VALUE"""),"Abordagem e Prospecção")</f>
        <v>Abordagem e Prospecção</v>
      </c>
      <c r="K891" s="535" t="str">
        <f>IFERROR(__xludf.DUMMYFUNCTION("""COMPUTED_VALUE"""),"https://universidade.pipelovers.net/m/lessons/account-based-marketing-o-que-muda-na-estrategia-de-marketing-e-vendas1769550061406?classId=3674")</f>
        <v>https://universidade.pipelovers.net/m/lessons/account-based-marketing-o-que-muda-na-estrategia-de-marketing-e-vendas1769550061406?classId=3674</v>
      </c>
      <c r="L891" s="535" t="str">
        <f>IFERROR(__xludf.DUMMYFUNCTION("""COMPUTED_VALUE"""),"https://universidade.pipelovers.net/m/lessons/account-based-marketing-o-que-muda-na-estrategia-de-marketing-e-vendas1769550061406?classId=3674")</f>
        <v>https://universidade.pipelovers.net/m/lessons/account-based-marketing-o-que-muda-na-estrategia-de-marketing-e-vendas1769550061406?classId=3674</v>
      </c>
      <c r="M891" s="150">
        <f>IFERROR(__xludf.DUMMYFUNCTION("""COMPUTED_VALUE"""),1.0)</f>
        <v>1</v>
      </c>
      <c r="N891" s="151" t="str">
        <f>IFERROR(__xludf.DUMMYFUNCTION("""COMPUTED_VALUE"""),"64. PipeLovers Class 🤍 Account-Based Marketing o que muda na estratégia de Marketing e Vendas com Bernardo Madeira - descript.mp4")</f>
        <v>64. PipeLovers Class 🤍 Account-Based Marketing o que muda na estratégia de Marketing e Vendas com Bernardo Madeira - descript.mp4</v>
      </c>
      <c r="O891" s="206" t="str">
        <f>IFERROR(__xludf.DUMMYFUNCTION("""COMPUTED_VALUE"""),"")</f>
        <v/>
      </c>
      <c r="P891" s="1217">
        <f>IFERROR(__xludf.DUMMYFUNCTION("""COMPUTED_VALUE"""),45996.0)</f>
        <v>45996</v>
      </c>
      <c r="Q891" s="206"/>
    </row>
    <row r="892">
      <c r="A892" s="528"/>
      <c r="B892" s="1023" t="str">
        <f>IFERROR(__xludf.DUMMYFUNCTION("""COMPUTED_VALUE"""),"Class")</f>
        <v>Class</v>
      </c>
      <c r="C892" s="1229" t="str">
        <f>IFERROR(__xludf.DUMMYFUNCTION("""COMPUTED_VALUE"""),"Vender mais com menos esforço: tecnologia como aliada no funil de vendas")</f>
        <v>Vender mais com menos esforço: tecnologia como aliada no funil de vendas</v>
      </c>
      <c r="D892" s="175" t="str">
        <f>IFERROR(__xludf.DUMMYFUNCTION("""COMPUTED_VALUE"""),"Katherine Sallum")</f>
        <v>Katherine Sallum</v>
      </c>
      <c r="E892" s="556" t="str">
        <f>IFERROR(__xludf.DUMMYFUNCTION("""COMPUTED_VALUE"""),"Head of Sales Enterprise")</f>
        <v>Head of Sales Enterprise</v>
      </c>
      <c r="F892" s="556" t="str">
        <f>IFERROR(__xludf.DUMMYFUNCTION("""COMPUTED_VALUE"""),"Zoho")</f>
        <v>Zoho</v>
      </c>
      <c r="G892" s="944" t="str">
        <f>IFERROR(__xludf.DUMMYFUNCTION("""COMPUTED_VALUE"""),"https://www.linkedin.com/in/katherinesallum/")</f>
        <v>https://www.linkedin.com/in/katherinesallum/</v>
      </c>
      <c r="H892" s="556" t="str">
        <f>IFERROR(__xludf.DUMMYFUNCTION("""COMPUTED_VALUE"""),"Visão de Negócios")</f>
        <v>Visão de Negócios</v>
      </c>
      <c r="I892" s="556" t="str">
        <f>IFERROR(__xludf.DUMMYFUNCTION("""COMPUTED_VALUE"""),"Tendências de mercado")</f>
        <v>Tendências de mercado</v>
      </c>
      <c r="J892" s="655" t="str">
        <f>IFERROR(__xludf.DUMMYFUNCTION("""COMPUTED_VALUE"""),"Inovações Tecnológicas")</f>
        <v>Inovações Tecnológicas</v>
      </c>
      <c r="K892" s="114" t="str">
        <f>IFERROR(__xludf.DUMMYFUNCTION("""COMPUTED_VALUE"""),"https://universidade.pipelovers.net/m/lessons/vender-mais-com-menos-esforco-tecnologia-como-aliada-no-funil-de-vendas1769550061459?classId=3675")</f>
        <v>https://universidade.pipelovers.net/m/lessons/vender-mais-com-menos-esforco-tecnologia-como-aliada-no-funil-de-vendas1769550061459?classId=3675</v>
      </c>
      <c r="L892" s="114" t="str">
        <f>IFERROR(__xludf.DUMMYFUNCTION("""COMPUTED_VALUE"""),"https://universidade.pipelovers.net/m/lessons/vender-mais-com-menos-esforco-tecnologia-como-aliada-no-funil-de-vendas1769550061459?classId=3675")</f>
        <v>https://universidade.pipelovers.net/m/lessons/vender-mais-com-menos-esforco-tecnologia-como-aliada-no-funil-de-vendas1769550061459?classId=3675</v>
      </c>
      <c r="M892" s="822">
        <f>IFERROR(__xludf.DUMMYFUNCTION("""COMPUTED_VALUE"""),1.0)</f>
        <v>1</v>
      </c>
      <c r="N892" s="1245" t="str">
        <f>IFERROR(__xludf.DUMMYFUNCTION("""COMPUTED_VALUE"""),"65.  PipeLovers Class 🤍 Vender mais com menos esforço tecnologia como aliada no funil de vendas com Katherine Sallum - descript.mp4")</f>
        <v>65.  PipeLovers Class 🤍 Vender mais com menos esforço tecnologia como aliada no funil de vendas com Katherine Sallum - descript.mp4</v>
      </c>
      <c r="O892" s="1246" t="str">
        <f>IFERROR(__xludf.DUMMYFUNCTION("""COMPUTED_VALUE"""),"")</f>
        <v/>
      </c>
      <c r="P892" s="1217">
        <f>IFERROR(__xludf.DUMMYFUNCTION("""COMPUTED_VALUE"""),46003.0)</f>
        <v>46003</v>
      </c>
      <c r="Q892" s="1246"/>
    </row>
    <row r="893">
      <c r="A893" s="528"/>
      <c r="B893" s="1023" t="str">
        <f>IFERROR(__xludf.DUMMYFUNCTION("""COMPUTED_VALUE"""),"Class")</f>
        <v>Class</v>
      </c>
      <c r="C893" s="1229" t="str">
        <f>IFERROR(__xludf.DUMMYFUNCTION("""COMPUTED_VALUE"""),"Qual o papel de vendas na estrutura de RevOps")</f>
        <v>Qual o papel de vendas na estrutura de RevOps</v>
      </c>
      <c r="D893" s="173" t="str">
        <f>IFERROR(__xludf.DUMMYFUNCTION("""COMPUTED_VALUE"""),"Fabio Duran")</f>
        <v>Fabio Duran</v>
      </c>
      <c r="E893" s="508" t="str">
        <f>IFERROR(__xludf.DUMMYFUNCTION("""COMPUTED_VALUE"""),"CEO")</f>
        <v>CEO</v>
      </c>
      <c r="F893" s="508" t="str">
        <f>IFERROR(__xludf.DUMMYFUNCTION("""COMPUTED_VALUE"""),"8DHubify")</f>
        <v>8DHubify</v>
      </c>
      <c r="G893" s="924" t="str">
        <f>IFERROR(__xludf.DUMMYFUNCTION("""COMPUTED_VALUE"""),"https://www.linkedin.com/in/fabiomeloduran")</f>
        <v>https://www.linkedin.com/in/fabiomeloduran</v>
      </c>
      <c r="H893" s="311" t="str">
        <f>IFERROR(__xludf.DUMMYFUNCTION("""COMPUTED_VALUE"""),"Conhecimento Técnico")</f>
        <v>Conhecimento Técnico</v>
      </c>
      <c r="I893" s="311" t="str">
        <f>IFERROR(__xludf.DUMMYFUNCTION("""COMPUTED_VALUE"""),"Gestão de Vendas")</f>
        <v>Gestão de Vendas</v>
      </c>
      <c r="J893" s="655" t="str">
        <f>IFERROR(__xludf.DUMMYFUNCTION("""COMPUTED_VALUE"""),"Planejamento Comercial")</f>
        <v>Planejamento Comercial</v>
      </c>
      <c r="K893" s="128" t="str">
        <f>IFERROR(__xludf.DUMMYFUNCTION("""COMPUTED_VALUE"""),"https://universidade.pipelovers.net/m/lessons/qual-o-papel-de-vendas-na-estrutura-de-revops1769550061492?classId=3676")</f>
        <v>https://universidade.pipelovers.net/m/lessons/qual-o-papel-de-vendas-na-estrutura-de-revops1769550061492?classId=3676</v>
      </c>
      <c r="L893" s="128" t="str">
        <f>IFERROR(__xludf.DUMMYFUNCTION("""COMPUTED_VALUE"""),"https://universidade.pipelovers.net/m/lessons/qual-o-papel-de-vendas-na-estrutura-de-revops1769550061492?classId=3676")</f>
        <v>https://universidade.pipelovers.net/m/lessons/qual-o-papel-de-vendas-na-estrutura-de-revops1769550061492?classId=3676</v>
      </c>
      <c r="M893" s="822">
        <f>IFERROR(__xludf.DUMMYFUNCTION("""COMPUTED_VALUE"""),4.57)</f>
        <v>4.57</v>
      </c>
      <c r="N893" s="1245" t="str">
        <f>IFERROR(__xludf.DUMMYFUNCTION("""COMPUTED_VALUE"""),"66. PipeLovers Class 🤍 Qual o papel de vendas na estrutura de RevOps com Fabio Duran - descript.mp4")</f>
        <v>66. PipeLovers Class 🤍 Qual o papel de vendas na estrutura de RevOps com Fabio Duran - descript.mp4</v>
      </c>
      <c r="O893" s="1246" t="str">
        <f>IFERROR(__xludf.DUMMYFUNCTION("""COMPUTED_VALUE"""),"")</f>
        <v/>
      </c>
      <c r="P893" s="1217">
        <f>IFERROR(__xludf.DUMMYFUNCTION("""COMPUTED_VALUE"""),46010.0)</f>
        <v>46010</v>
      </c>
      <c r="Q893" s="1246"/>
    </row>
    <row r="894">
      <c r="A894" s="528"/>
      <c r="B894" s="1023" t="str">
        <f>IFERROR(__xludf.DUMMYFUNCTION("""COMPUTED_VALUE"""),"Class")</f>
        <v>Class</v>
      </c>
      <c r="C894" s="1227" t="str">
        <f>IFERROR(__xludf.DUMMYFUNCTION("""COMPUTED_VALUE"""),"LinkedIn 2026: como a IA e novo algoritmo impacta seu social selling")</f>
        <v>LinkedIn 2026: como a IA e novo algoritmo impacta seu social selling</v>
      </c>
      <c r="D894" s="175" t="str">
        <f>IFERROR(__xludf.DUMMYFUNCTION("""COMPUTED_VALUE"""),"Weverton Soares")</f>
        <v>Weverton Soares</v>
      </c>
      <c r="E894" s="556" t="str">
        <f>IFERROR(__xludf.DUMMYFUNCTION("""COMPUTED_VALUE"""),"Gerente de Marketing")</f>
        <v>Gerente de Marketing</v>
      </c>
      <c r="F894" s="556" t="str">
        <f>IFERROR(__xludf.DUMMYFUNCTION("""COMPUTED_VALUE"""),"Zoho")</f>
        <v>Zoho</v>
      </c>
      <c r="G894" s="927" t="str">
        <f>IFERROR(__xludf.DUMMYFUNCTION("""COMPUTED_VALUE"""),"https://www.linkedin.com/in/wevsoares/")</f>
        <v>https://www.linkedin.com/in/wevsoares/</v>
      </c>
      <c r="H894" s="556" t="str">
        <f>IFERROR(__xludf.DUMMYFUNCTION("""COMPUTED_VALUE"""),"Visão de Negócios")</f>
        <v>Visão de Negócios</v>
      </c>
      <c r="I894" s="556" t="str">
        <f>IFERROR(__xludf.DUMMYFUNCTION("""COMPUTED_VALUE"""),"Tendências de mercado")</f>
        <v>Tendências de mercado</v>
      </c>
      <c r="J894" s="655" t="str">
        <f>IFERROR(__xludf.DUMMYFUNCTION("""COMPUTED_VALUE"""),"Inovações Tecnológicas")</f>
        <v>Inovações Tecnológicas</v>
      </c>
      <c r="K894" s="114" t="str">
        <f>IFERROR(__xludf.DUMMYFUNCTION("""COMPUTED_VALUE"""),"https://universidade.pipelovers.net/m/lessons/linkedin-2026-como-a-ia-e-novo-algoritmo-impacta-seu-social-selling1769550061530?classId=3677")</f>
        <v>https://universidade.pipelovers.net/m/lessons/linkedin-2026-como-a-ia-e-novo-algoritmo-impacta-seu-social-selling1769550061530?classId=3677</v>
      </c>
      <c r="L894" s="114" t="str">
        <f>IFERROR(__xludf.DUMMYFUNCTION("""COMPUTED_VALUE"""),"https://universidade.pipelovers.net/m/lessons/linkedin-2026-como-a-ia-e-novo-algoritmo-impacta-seu-social-selling1769550061530?classId=3677")</f>
        <v>https://universidade.pipelovers.net/m/lessons/linkedin-2026-como-a-ia-e-novo-algoritmo-impacta-seu-social-selling1769550061530?classId=3677</v>
      </c>
      <c r="M894" s="822">
        <f>IFERROR(__xludf.DUMMYFUNCTION("""COMPUTED_VALUE"""),2.0)</f>
        <v>2</v>
      </c>
      <c r="N894" s="1245" t="str">
        <f>IFERROR(__xludf.DUMMYFUNCTION("""COMPUTED_VALUE"""),"67. PipeLovers Class 🤍 LinkedIn 2026 como a IA e novo algoritmo impacta seu social selling com Weverton Soares - descript.mp4")</f>
        <v>67. PipeLovers Class 🤍 LinkedIn 2026 como a IA e novo algoritmo impacta seu social selling com Weverton Soares - descript.mp4</v>
      </c>
      <c r="O894" s="1246" t="str">
        <f>IFERROR(__xludf.DUMMYFUNCTION("""COMPUTED_VALUE"""),"")</f>
        <v/>
      </c>
      <c r="P894" s="1217">
        <f>IFERROR(__xludf.DUMMYFUNCTION("""COMPUTED_VALUE"""),46017.0)</f>
        <v>46017</v>
      </c>
      <c r="Q894" s="1246"/>
    </row>
    <row r="895">
      <c r="A895" s="528"/>
      <c r="B895" s="1023" t="str">
        <f>IFERROR(__xludf.DUMMYFUNCTION("""COMPUTED_VALUE"""),"Class")</f>
        <v>Class</v>
      </c>
      <c r="C895" s="1229" t="str">
        <f>IFERROR(__xludf.DUMMYFUNCTION("""COMPUTED_VALUE"""),"RevOps + CRM: Dados Integrados entre Marketing, Vendas e Atendimento")</f>
        <v>RevOps + CRM: Dados Integrados entre Marketing, Vendas e Atendimento</v>
      </c>
      <c r="D895" s="173" t="str">
        <f>IFERROR(__xludf.DUMMYFUNCTION("""COMPUTED_VALUE"""),"Marcão Andrade")</f>
        <v>Marcão Andrade</v>
      </c>
      <c r="E895" s="508" t="str">
        <f>IFERROR(__xludf.DUMMYFUNCTION("""COMPUTED_VALUE"""),"CSO")</f>
        <v>CSO</v>
      </c>
      <c r="F895" s="508" t="str">
        <f>IFERROR(__xludf.DUMMYFUNCTION("""COMPUTED_VALUE"""),"8DHubify")</f>
        <v>8DHubify</v>
      </c>
      <c r="G895" s="924" t="str">
        <f>IFERROR(__xludf.DUMMYFUNCTION("""COMPUTED_VALUE"""),"https://www.linkedin.com/in/marcao8d/")</f>
        <v>https://www.linkedin.com/in/marcao8d/</v>
      </c>
      <c r="H895" s="508" t="str">
        <f>IFERROR(__xludf.DUMMYFUNCTION("""COMPUTED_VALUE"""),"Conhecimento Técnico")</f>
        <v>Conhecimento Técnico</v>
      </c>
      <c r="I895" s="311" t="str">
        <f>IFERROR(__xludf.DUMMYFUNCTION("""COMPUTED_VALUE"""),"Gestão de Vendas")</f>
        <v>Gestão de Vendas</v>
      </c>
      <c r="J895" s="655" t="str">
        <f>IFERROR(__xludf.DUMMYFUNCTION("""COMPUTED_VALUE"""),"Ferramentas de Vendas")</f>
        <v>Ferramentas de Vendas</v>
      </c>
      <c r="K895" s="128" t="str">
        <f>IFERROR(__xludf.DUMMYFUNCTION("""COMPUTED_VALUE"""),"https://universidade.pipelovers.net/m/lessons/revops-crm-dados-integrados-entre-marketing-vendas-e-atendimento1769550061587?classId=3678")</f>
        <v>https://universidade.pipelovers.net/m/lessons/revops-crm-dados-integrados-entre-marketing-vendas-e-atendimento1769550061587?classId=3678</v>
      </c>
      <c r="L895" s="128" t="str">
        <f>IFERROR(__xludf.DUMMYFUNCTION("""COMPUTED_VALUE"""),"https://universidade.pipelovers.net/m/lessons/revops-crm-dados-integrados-entre-marketing-vendas-e-atendimento1769550061587?classId=3678")</f>
        <v>https://universidade.pipelovers.net/m/lessons/revops-crm-dados-integrados-entre-marketing-vendas-e-atendimento1769550061587?classId=3678</v>
      </c>
      <c r="M895" s="822">
        <f>IFERROR(__xludf.DUMMYFUNCTION("""COMPUTED_VALUE"""),1.0)</f>
        <v>1</v>
      </c>
      <c r="N895" s="1245" t="str">
        <f>IFERROR(__xludf.DUMMYFUNCTION("""COMPUTED_VALUE"""),"68. PipeLovers Class 🤍 RevOps + CRM Dados Integrados entre Marketing, Vendas e Atendimento com Marcão Andrade - descript.mp4")</f>
        <v>68. PipeLovers Class 🤍 RevOps + CRM Dados Integrados entre Marketing, Vendas e Atendimento com Marcão Andrade - descript.mp4</v>
      </c>
      <c r="O895" s="1246" t="str">
        <f>IFERROR(__xludf.DUMMYFUNCTION("""COMPUTED_VALUE"""),"")</f>
        <v/>
      </c>
      <c r="P895" s="1217">
        <f>IFERROR(__xludf.DUMMYFUNCTION("""COMPUTED_VALUE"""),46024.0)</f>
        <v>46024</v>
      </c>
      <c r="Q895" s="1246"/>
    </row>
    <row r="896">
      <c r="A896" s="528"/>
      <c r="B896" s="1023" t="str">
        <f>IFERROR(__xludf.DUMMYFUNCTION("""COMPUTED_VALUE"""),"Class")</f>
        <v>Class</v>
      </c>
      <c r="C896" s="1227" t="str">
        <f>IFERROR(__xludf.DUMMYFUNCTION("""COMPUTED_VALUE"""),"Tendências 2026: como os tomadores de decisão estão definindo prioridades")</f>
        <v>Tendências 2026: como os tomadores de decisão estão definindo prioridades</v>
      </c>
      <c r="D896" s="175" t="str">
        <f>IFERROR(__xludf.DUMMYFUNCTION("""COMPUTED_VALUE"""),"Ivan Welter")</f>
        <v>Ivan Welter</v>
      </c>
      <c r="E896" s="556" t="str">
        <f>IFERROR(__xludf.DUMMYFUNCTION("""COMPUTED_VALUE"""),"Co fundador e Sales Manager")</f>
        <v>Co fundador e Sales Manager</v>
      </c>
      <c r="F896" s="556" t="str">
        <f>IFERROR(__xludf.DUMMYFUNCTION("""COMPUTED_VALUE"""),"Wz Soluções")</f>
        <v>Wz Soluções</v>
      </c>
      <c r="G896" s="927" t="str">
        <f>IFERROR(__xludf.DUMMYFUNCTION("""COMPUTED_VALUE"""),"https://www.linkedin.com/in/ivanwelter/")</f>
        <v>https://www.linkedin.com/in/ivanwelter/</v>
      </c>
      <c r="H896" s="556" t="str">
        <f>IFERROR(__xludf.DUMMYFUNCTION("""COMPUTED_VALUE"""),"Visão de Negócios")</f>
        <v>Visão de Negócios</v>
      </c>
      <c r="I896" s="311" t="str">
        <f>IFERROR(__xludf.DUMMYFUNCTION("""COMPUTED_VALUE"""),"Tendências de mercado")</f>
        <v>Tendências de mercado</v>
      </c>
      <c r="J896" s="655" t="str">
        <f>IFERROR(__xludf.DUMMYFUNCTION("""COMPUTED_VALUE"""),"Tendências do Setor")</f>
        <v>Tendências do Setor</v>
      </c>
      <c r="K896" s="114" t="str">
        <f>IFERROR(__xludf.DUMMYFUNCTION("""COMPUTED_VALUE"""),"https://universidade.pipelovers.net/m/lessons/tendencias-2026-como-os-tomadores-de-decisao-estao-definindo-prioridades1769550061618?classId=3776")</f>
        <v>https://universidade.pipelovers.net/m/lessons/tendencias-2026-como-os-tomadores-de-decisao-estao-definindo-prioridades1769550061618?classId=3776</v>
      </c>
      <c r="L896" s="114" t="str">
        <f>IFERROR(__xludf.DUMMYFUNCTION("""COMPUTED_VALUE"""),"https://universidade.pipelovers.net/m/lessons/tendencias-2026-como-os-tomadores-de-decisao-estao-definindo-prioridades1769550061618?classId=3776")</f>
        <v>https://universidade.pipelovers.net/m/lessons/tendencias-2026-como-os-tomadores-de-decisao-estao-definindo-prioridades1769550061618?classId=3776</v>
      </c>
      <c r="M896" s="822">
        <f>IFERROR(__xludf.DUMMYFUNCTION("""COMPUTED_VALUE"""),4.0)</f>
        <v>4</v>
      </c>
      <c r="N896" s="1245" t="str">
        <f>IFERROR(__xludf.DUMMYFUNCTION("""COMPUTED_VALUE"""),"69.  PipeLovers Class 🤍 Tendências 2026 como os tomadores de decisão estão definindo prioridades com Ivan Welter - descript.mp4")</f>
        <v>69.  PipeLovers Class 🤍 Tendências 2026 como os tomadores de decisão estão definindo prioridades com Ivan Welter - descript.mp4</v>
      </c>
      <c r="O896" s="1246" t="str">
        <f>IFERROR(__xludf.DUMMYFUNCTION("""COMPUTED_VALUE"""),"")</f>
        <v/>
      </c>
      <c r="P896" s="1217">
        <f>IFERROR(__xludf.DUMMYFUNCTION("""COMPUTED_VALUE"""),46031.0)</f>
        <v>46031</v>
      </c>
      <c r="Q896" s="1246"/>
    </row>
    <row r="897">
      <c r="A897" s="528"/>
      <c r="B897" s="1023" t="str">
        <f>IFERROR(__xludf.DUMMYFUNCTION("""COMPUTED_VALUE"""),"Class")</f>
        <v>Class</v>
      </c>
      <c r="C897" s="1229" t="str">
        <f>IFERROR(__xludf.DUMMYFUNCTION("""COMPUTED_VALUE"""),"Por que operações de vendas externas fracassam (e como blindar a sua)")</f>
        <v>Por que operações de vendas externas fracassam (e como blindar a sua)</v>
      </c>
      <c r="D897" s="173" t="str">
        <f>IFERROR(__xludf.DUMMYFUNCTION("""COMPUTED_VALUE"""),"André Zacarias")</f>
        <v>André Zacarias</v>
      </c>
      <c r="E897" s="508" t="str">
        <f>IFERROR(__xludf.DUMMYFUNCTION("""COMPUTED_VALUE"""),"Director of Sales &amp; CS")</f>
        <v>Director of Sales &amp; CS</v>
      </c>
      <c r="F897" s="508" t="str">
        <f>IFERROR(__xludf.DUMMYFUNCTION("""COMPUTED_VALUE"""),"Checkmob")</f>
        <v>Checkmob</v>
      </c>
      <c r="G897" s="924" t="str">
        <f>IFERROR(__xludf.DUMMYFUNCTION("""COMPUTED_VALUE"""),"https://www.linkedin.com/in/andrezacarias/")</f>
        <v>https://www.linkedin.com/in/andrezacarias/</v>
      </c>
      <c r="H897" s="508" t="str">
        <f>IFERROR(__xludf.DUMMYFUNCTION("""COMPUTED_VALUE"""),"Conhecimento Técnico")</f>
        <v>Conhecimento Técnico</v>
      </c>
      <c r="I897" s="508" t="str">
        <f>IFERROR(__xludf.DUMMYFUNCTION("""COMPUTED_VALUE"""),"Gestão de Vendas")</f>
        <v>Gestão de Vendas</v>
      </c>
      <c r="J897" s="655" t="str">
        <f>IFERROR(__xludf.DUMMYFUNCTION("""COMPUTED_VALUE"""),"Rotinas e Rituais")</f>
        <v>Rotinas e Rituais</v>
      </c>
      <c r="K897" s="128" t="str">
        <f>IFERROR(__xludf.DUMMYFUNCTION("""COMPUTED_VALUE"""),"https://universidade.pipelovers.net/m/lessons/por-que-operacoes-de-vendas-externas-fracassam-e-como-blindar-a-sua1769550061647?classId=3777")</f>
        <v>https://universidade.pipelovers.net/m/lessons/por-que-operacoes-de-vendas-externas-fracassam-e-como-blindar-a-sua1769550061647?classId=3777</v>
      </c>
      <c r="L897" s="128" t="str">
        <f>IFERROR(__xludf.DUMMYFUNCTION("""COMPUTED_VALUE"""),"https://universidade.pipelovers.net/m/lessons/por-que-operacoes-de-vendas-externas-fracassam-e-como-blindar-a-sua1769550061647?classId=3777")</f>
        <v>https://universidade.pipelovers.net/m/lessons/por-que-operacoes-de-vendas-externas-fracassam-e-como-blindar-a-sua1769550061647?classId=3777</v>
      </c>
      <c r="M897" s="822">
        <f>IFERROR(__xludf.DUMMYFUNCTION("""COMPUTED_VALUE"""),4.0)</f>
        <v>4</v>
      </c>
      <c r="N897" s="1245" t="str">
        <f>IFERROR(__xludf.DUMMYFUNCTION("""COMPUTED_VALUE"""),"70. PipeLovers Class 🤍 Por que operações de vendas externas fracassam (e como blindar a sua) com André Zacarias- descript.mp4")</f>
        <v>70. PipeLovers Class 🤍 Por que operações de vendas externas fracassam (e como blindar a sua) com André Zacarias- descript.mp4</v>
      </c>
      <c r="O897" s="1246" t="str">
        <f>IFERROR(__xludf.DUMMYFUNCTION("""COMPUTED_VALUE"""),"")</f>
        <v/>
      </c>
      <c r="P897" s="1217">
        <f>IFERROR(__xludf.DUMMYFUNCTION("""COMPUTED_VALUE"""),46038.0)</f>
        <v>46038</v>
      </c>
      <c r="Q897" s="1246"/>
    </row>
    <row r="898">
      <c r="A898" s="528"/>
      <c r="B898" s="1023" t="str">
        <f>IFERROR(__xludf.DUMMYFUNCTION("""COMPUTED_VALUE"""),"Class")</f>
        <v>Class</v>
      </c>
      <c r="C898" s="1227" t="str">
        <f>IFERROR(__xludf.DUMMYFUNCTION("""COMPUTED_VALUE"""),"10 verdades que aceleram seu desenvolvimento profissional")</f>
        <v>10 verdades que aceleram seu desenvolvimento profissional</v>
      </c>
      <c r="D898" s="175" t="str">
        <f>IFERROR(__xludf.DUMMYFUNCTION("""COMPUTED_VALUE"""),"Thiago Angulski")</f>
        <v>Thiago Angulski</v>
      </c>
      <c r="E898" s="556" t="str">
        <f>IFERROR(__xludf.DUMMYFUNCTION("""COMPUTED_VALUE"""),"Head of Sales")</f>
        <v>Head of Sales</v>
      </c>
      <c r="F898" s="556" t="str">
        <f>IFERROR(__xludf.DUMMYFUNCTION("""COMPUTED_VALUE"""),"SalesHunter")</f>
        <v>SalesHunter</v>
      </c>
      <c r="G898" s="927" t="str">
        <f>IFERROR(__xludf.DUMMYFUNCTION("""COMPUTED_VALUE"""),"https://www.linkedin.com/in/thiagoangulski/")</f>
        <v>https://www.linkedin.com/in/thiagoangulski/</v>
      </c>
      <c r="H898" s="556" t="str">
        <f>IFERROR(__xludf.DUMMYFUNCTION("""COMPUTED_VALUE"""),"Autodesenvolvimento")</f>
        <v>Autodesenvolvimento</v>
      </c>
      <c r="I898" s="556" t="str">
        <f>IFERROR(__xludf.DUMMYFUNCTION("""COMPUTED_VALUE"""),"Aprendizado ativo")</f>
        <v>Aprendizado ativo</v>
      </c>
      <c r="J898" s="1247" t="str">
        <f>IFERROR(__xludf.DUMMYFUNCTION("""COMPUTED_VALUE"""),"Plano de Desenvolvimento Individual")</f>
        <v>Plano de Desenvolvimento Individual</v>
      </c>
      <c r="K898" s="114" t="str">
        <f>IFERROR(__xludf.DUMMYFUNCTION("""COMPUTED_VALUE"""),"https://universidade.pipelovers.net/m/lessons/10-verdades-que-aceleram-seu-desenvolvimento-profissional1772542641585?classId=3745")</f>
        <v>https://universidade.pipelovers.net/m/lessons/10-verdades-que-aceleram-seu-desenvolvimento-profissional1772542641585?classId=3745</v>
      </c>
      <c r="L898" s="114" t="str">
        <f>IFERROR(__xludf.DUMMYFUNCTION("""COMPUTED_VALUE"""),"https://universidade.pipelovers.net/m/lessons/10-verdades-que-aceleram-seu-desenvolvimento-profissional1772542641585?classId=3745")</f>
        <v>https://universidade.pipelovers.net/m/lessons/10-verdades-que-aceleram-seu-desenvolvimento-profissional1772542641585?classId=3745</v>
      </c>
      <c r="M898" s="822">
        <f>IFERROR(__xludf.DUMMYFUNCTION("""COMPUTED_VALUE"""),2.0)</f>
        <v>2</v>
      </c>
      <c r="N898" s="1245" t="str">
        <f>IFERROR(__xludf.DUMMYFUNCTION("""COMPUTED_VALUE"""),"71.  PipeLovers Class 🤍 10 verdades que aceleram seu desenvolvimento profissional com Thiago Angulski - descript.mp4")</f>
        <v>71.  PipeLovers Class 🤍 10 verdades que aceleram seu desenvolvimento profissional com Thiago Angulski - descript.mp4</v>
      </c>
      <c r="O898" s="1246" t="str">
        <f>IFERROR(__xludf.DUMMYFUNCTION("""COMPUTED_VALUE"""),"")</f>
        <v/>
      </c>
      <c r="P898" s="1217">
        <f>IFERROR(__xludf.DUMMYFUNCTION("""COMPUTED_VALUE"""),46045.0)</f>
        <v>46045</v>
      </c>
      <c r="Q898" s="1246"/>
    </row>
    <row r="899">
      <c r="A899" s="528"/>
      <c r="B899" s="1023" t="str">
        <f>IFERROR(__xludf.DUMMYFUNCTION("""COMPUTED_VALUE"""),"Class")</f>
        <v>Class</v>
      </c>
      <c r="C899" s="1227" t="str">
        <f>IFERROR(__xludf.DUMMYFUNCTION("""COMPUTED_VALUE"""),"Metodologia NEPQ : Neurociência aplicada a vendas")</f>
        <v>Metodologia NEPQ : Neurociência aplicada a vendas</v>
      </c>
      <c r="D899" s="173" t="str">
        <f>IFERROR(__xludf.DUMMYFUNCTION("""COMPUTED_VALUE"""),"Gabriel Civinski")</f>
        <v>Gabriel Civinski</v>
      </c>
      <c r="E899" s="508" t="str">
        <f>IFERROR(__xludf.DUMMYFUNCTION("""COMPUTED_VALUE"""),"Fundador")</f>
        <v>Fundador</v>
      </c>
      <c r="F899" s="508" t="str">
        <f>IFERROR(__xludf.DUMMYFUNCTION("""COMPUTED_VALUE"""),"Refyro")</f>
        <v>Refyro</v>
      </c>
      <c r="G899" s="924" t="str">
        <f>IFERROR(__xludf.DUMMYFUNCTION("""COMPUTED_VALUE"""),"https://www.linkedin.com/in/gabriel-civinski/")</f>
        <v>https://www.linkedin.com/in/gabriel-civinski/</v>
      </c>
      <c r="H899" s="508" t="str">
        <f>IFERROR(__xludf.DUMMYFUNCTION("""COMPUTED_VALUE"""),"Conhecimento Técnico")</f>
        <v>Conhecimento Técnico</v>
      </c>
      <c r="I899" s="508" t="str">
        <f>IFERROR(__xludf.DUMMYFUNCTION("""COMPUTED_VALUE"""),"Gestão de Vendas")</f>
        <v>Gestão de Vendas</v>
      </c>
      <c r="J899" s="1248" t="str">
        <f>IFERROR(__xludf.DUMMYFUNCTION("""COMPUTED_VALUE"""),"Metodologias de Vendas")</f>
        <v>Metodologias de Vendas</v>
      </c>
      <c r="K899" s="128" t="str">
        <f>IFERROR(__xludf.DUMMYFUNCTION("""COMPUTED_VALUE"""),"https://universidade.pipelovers.net/m/lessons/metodologia-nepq-neurociencia-aplicada-a-vendas1772542642696?classId=3762")</f>
        <v>https://universidade.pipelovers.net/m/lessons/metodologia-nepq-neurociencia-aplicada-a-vendas1772542642696?classId=3762</v>
      </c>
      <c r="L899" s="128" t="str">
        <f>IFERROR(__xludf.DUMMYFUNCTION("""COMPUTED_VALUE"""),"https://universidade.pipelovers.net/m/lessons/metodologia-nepq-neurociencia-aplicada-a-vendas1772542642696?classId=3762")</f>
        <v>https://universidade.pipelovers.net/m/lessons/metodologia-nepq-neurociencia-aplicada-a-vendas1772542642696?classId=3762</v>
      </c>
      <c r="M899" s="822">
        <f>IFERROR(__xludf.DUMMYFUNCTION("""COMPUTED_VALUE"""),4.0)</f>
        <v>4</v>
      </c>
      <c r="N899" s="1245" t="str">
        <f>IFERROR(__xludf.DUMMYFUNCTION("""COMPUTED_VALUE"""),"72. PipeLovers Class 🤍_ _Metodologia NEPQ_ Neurociência aplicada a vendas_ com Gabriel Civinski - descript.mp4")</f>
        <v>72. PipeLovers Class 🤍_ _Metodologia NEPQ_ Neurociência aplicada a vendas_ com Gabriel Civinski - descript.mp4</v>
      </c>
      <c r="O899" s="1246" t="str">
        <f>IFERROR(__xludf.DUMMYFUNCTION("""COMPUTED_VALUE"""),"")</f>
        <v/>
      </c>
      <c r="P899" s="1249">
        <f>IFERROR(__xludf.DUMMYFUNCTION("""COMPUTED_VALUE"""),46052.0)</f>
        <v>46052</v>
      </c>
      <c r="Q899" s="1246"/>
    </row>
    <row r="900">
      <c r="A900" s="528"/>
      <c r="B900" s="1023" t="str">
        <f>IFERROR(__xludf.DUMMYFUNCTION("""COMPUTED_VALUE"""),"Class")</f>
        <v>Class</v>
      </c>
      <c r="C900" s="1227" t="str">
        <f>IFERROR(__xludf.DUMMYFUNCTION("""COMPUTED_VALUE"""),"Rotinas e Ferramentas para melhorar o pitch do seu time")</f>
        <v>Rotinas e Ferramentas para melhorar o pitch do seu time</v>
      </c>
      <c r="D900" s="175" t="str">
        <f>IFERROR(__xludf.DUMMYFUNCTION("""COMPUTED_VALUE"""),"Gabriel Bonela")</f>
        <v>Gabriel Bonela</v>
      </c>
      <c r="E900" s="556" t="str">
        <f>IFERROR(__xludf.DUMMYFUNCTION("""COMPUTED_VALUE"""),"Founder")</f>
        <v>Founder</v>
      </c>
      <c r="F900" s="556" t="str">
        <f>IFERROR(__xludf.DUMMYFUNCTION("""COMPUTED_VALUE"""),"Pitchfy")</f>
        <v>Pitchfy</v>
      </c>
      <c r="G900" s="927" t="str">
        <f>IFERROR(__xludf.DUMMYFUNCTION("""COMPUTED_VALUE"""),"https://www.linkedin.com/in/gabrielbonela/")</f>
        <v>https://www.linkedin.com/in/gabrielbonela/</v>
      </c>
      <c r="H900" s="556" t="str">
        <f>IFERROR(__xludf.DUMMYFUNCTION("""COMPUTED_VALUE"""),"Conhecimento Técnico")</f>
        <v>Conhecimento Técnico</v>
      </c>
      <c r="I900" s="556" t="str">
        <f>IFERROR(__xludf.DUMMYFUNCTION("""COMPUTED_VALUE"""),"Gestão de Vendas")</f>
        <v>Gestão de Vendas</v>
      </c>
      <c r="J900" s="1247" t="str">
        <f>IFERROR(__xludf.DUMMYFUNCTION("""COMPUTED_VALUE"""),"Ferramentas de Vendas")</f>
        <v>Ferramentas de Vendas</v>
      </c>
      <c r="K900" s="114" t="str">
        <f>IFERROR(__xludf.DUMMYFUNCTION("""COMPUTED_VALUE"""),"https://universidade.pipelovers.net/m/lessons/rotinas-e-ferramentas-para-melhorar-o-pitch-do-seu-time1772542661925?classId=3769")</f>
        <v>https://universidade.pipelovers.net/m/lessons/rotinas-e-ferramentas-para-melhorar-o-pitch-do-seu-time1772542661925?classId=3769</v>
      </c>
      <c r="L900" s="114" t="str">
        <f>IFERROR(__xludf.DUMMYFUNCTION("""COMPUTED_VALUE"""),"https://universidade.pipelovers.net/m/lessons/rotinas-e-ferramentas-para-melhorar-o-pitch-do-seu-time1772542661925?classId=3769")</f>
        <v>https://universidade.pipelovers.net/m/lessons/rotinas-e-ferramentas-para-melhorar-o-pitch-do-seu-time1772542661925?classId=3769</v>
      </c>
      <c r="M900" s="822">
        <f>IFERROR(__xludf.DUMMYFUNCTION("""COMPUTED_VALUE"""),1.0)</f>
        <v>1</v>
      </c>
      <c r="N900" s="1245" t="str">
        <f>IFERROR(__xludf.DUMMYFUNCTION("""COMPUTED_VALUE"""),"73. PipeLovers Class 🤍 Rotinas e Ferramentas para melhorar o pitch do seu time com Gabriel Bonela - descript.mp4")</f>
        <v>73. PipeLovers Class 🤍 Rotinas e Ferramentas para melhorar o pitch do seu time com Gabriel Bonela - descript.mp4</v>
      </c>
      <c r="O900" s="1246" t="str">
        <f>IFERROR(__xludf.DUMMYFUNCTION("""COMPUTED_VALUE"""),"")</f>
        <v/>
      </c>
      <c r="P900" s="1249">
        <f>IFERROR(__xludf.DUMMYFUNCTION("""COMPUTED_VALUE"""),46059.0)</f>
        <v>46059</v>
      </c>
      <c r="Q900" s="1246"/>
    </row>
    <row r="901">
      <c r="A901" s="528"/>
      <c r="B901" s="1023" t="str">
        <f>IFERROR(__xludf.DUMMYFUNCTION("""COMPUTED_VALUE"""),"Class")</f>
        <v>Class</v>
      </c>
      <c r="C901" s="1227" t="str">
        <f>IFERROR(__xludf.DUMMYFUNCTION("""COMPUTED_VALUE"""),"Aprendizados do Livro Prospecção Fanática")</f>
        <v>Aprendizados do Livro Prospecção Fanática</v>
      </c>
      <c r="D901" s="173" t="str">
        <f>IFERROR(__xludf.DUMMYFUNCTION("""COMPUTED_VALUE"""),"Fernanda Garcia")</f>
        <v>Fernanda Garcia</v>
      </c>
      <c r="E901" s="508" t="str">
        <f>IFERROR(__xludf.DUMMYFUNCTION("""COMPUTED_VALUE"""),"Co-Founder/ Head")</f>
        <v>Co-Founder/ Head</v>
      </c>
      <c r="F901" s="508" t="str">
        <f>IFERROR(__xludf.DUMMYFUNCTION("""COMPUTED_VALUE"""),"Academia Rapport/ ABSeed")</f>
        <v>Academia Rapport/ ABSeed</v>
      </c>
      <c r="G901" s="924" t="str">
        <f>IFERROR(__xludf.DUMMYFUNCTION("""COMPUTED_VALUE"""),"https://www.linkedin.com/in/fernanda3garcia/")</f>
        <v>https://www.linkedin.com/in/fernanda3garcia/</v>
      </c>
      <c r="H901" s="508" t="str">
        <f>IFERROR(__xludf.DUMMYFUNCTION("""COMPUTED_VALUE"""),"Conhecimento Técnico")</f>
        <v>Conhecimento Técnico</v>
      </c>
      <c r="I901" s="508" t="str">
        <f>IFERROR(__xludf.DUMMYFUNCTION("""COMPUTED_VALUE"""),"Técnicas de vendas")</f>
        <v>Técnicas de vendas</v>
      </c>
      <c r="J901" s="1248" t="str">
        <f>IFERROR(__xludf.DUMMYFUNCTION("""COMPUTED_VALUE"""),"Abordagem e Prospecção")</f>
        <v>Abordagem e Prospecção</v>
      </c>
      <c r="K901" s="128" t="str">
        <f>IFERROR(__xludf.DUMMYFUNCTION("""COMPUTED_VALUE"""),"https://universidade.pipelovers.net/m/lessons/aprendizados-do-livro-prospeccao-fanatica-1773152052605?classId=3779")</f>
        <v>https://universidade.pipelovers.net/m/lessons/aprendizados-do-livro-prospeccao-fanatica-1773152052605?classId=3779</v>
      </c>
      <c r="L901" s="128" t="str">
        <f>IFERROR(__xludf.DUMMYFUNCTION("""COMPUTED_VALUE"""),"https://universidade.pipelovers.net/m/lessons/aprendizados-do-livro-prospeccao-fanatica-1773152052605?classId=3779")</f>
        <v>https://universidade.pipelovers.net/m/lessons/aprendizados-do-livro-prospeccao-fanatica-1773152052605?classId=3779</v>
      </c>
      <c r="M901" s="822">
        <f>IFERROR(__xludf.DUMMYFUNCTION("""COMPUTED_VALUE"""),5.0)</f>
        <v>5</v>
      </c>
      <c r="N901" s="1245" t="str">
        <f>IFERROR(__xludf.DUMMYFUNCTION("""COMPUTED_VALUE"""),"74. PipeLovers Class 🤍 Aprendizados do Livro Prospecção Fanática com Fernanda Garcia - DESCRIPT.mp4")</f>
        <v>74. PipeLovers Class 🤍 Aprendizados do Livro Prospecção Fanática com Fernanda Garcia - DESCRIPT.mp4</v>
      </c>
      <c r="O901" s="1246" t="str">
        <f>IFERROR(__xludf.DUMMYFUNCTION("""COMPUTED_VALUE"""),"")</f>
        <v/>
      </c>
      <c r="P901" s="1249">
        <f>IFERROR(__xludf.DUMMYFUNCTION("""COMPUTED_VALUE"""),46066.0)</f>
        <v>46066</v>
      </c>
      <c r="Q901" s="1246"/>
    </row>
    <row r="902">
      <c r="A902" s="116"/>
      <c r="B902" s="1023" t="str">
        <f>IFERROR(__xludf.DUMMYFUNCTION("""COMPUTED_VALUE"""),"Class")</f>
        <v>Class</v>
      </c>
      <c r="C902" s="1250" t="str">
        <f>IFERROR(__xludf.DUMMYFUNCTION("""COMPUTED_VALUE"""),"Guia completo de papéis em vendas: 4 cargos que você precisa conhecer")</f>
        <v>Guia completo de papéis em vendas: 4 cargos que você precisa conhecer</v>
      </c>
      <c r="D902" s="212" t="str">
        <f>IFERROR(__xludf.DUMMYFUNCTION("""COMPUTED_VALUE"""),"Gabriel Schüler")</f>
        <v>Gabriel Schüler</v>
      </c>
      <c r="E902" s="432" t="str">
        <f>IFERROR(__xludf.DUMMYFUNCTION("""COMPUTED_VALUE"""),"Head of Account Management Brasil")</f>
        <v>Head of Account Management Brasil</v>
      </c>
      <c r="F902" s="741" t="str">
        <f>IFERROR(__xludf.DUMMYFUNCTION("""COMPUTED_VALUE"""),"Zoho CRM")</f>
        <v>Zoho CRM</v>
      </c>
      <c r="G902" s="465" t="str">
        <f>IFERROR(__xludf.DUMMYFUNCTION("""COMPUTED_VALUE"""),"https://www.linkedin.com/in/gabrielbat/?locale=pt_BR")</f>
        <v>https://www.linkedin.com/in/gabrielbat/?locale=pt_BR</v>
      </c>
      <c r="H902" s="393" t="str">
        <f>IFERROR(__xludf.DUMMYFUNCTION("""COMPUTED_VALUE"""),"Conhecimento Técnico")</f>
        <v>Conhecimento Técnico</v>
      </c>
      <c r="I902" s="393" t="str">
        <f>IFERROR(__xludf.DUMMYFUNCTION("""COMPUTED_VALUE"""),"Gestão de vendas")</f>
        <v>Gestão de vendas</v>
      </c>
      <c r="J902" s="1251" t="str">
        <f>IFERROR(__xludf.DUMMYFUNCTION("""COMPUTED_VALUE"""),"Rotinas e Rituais")</f>
        <v>Rotinas e Rituais</v>
      </c>
      <c r="K902" s="1252" t="str">
        <f>IFERROR(__xludf.DUMMYFUNCTION("""COMPUTED_VALUE"""),"https://universidade.pipelovers.net/m/lessons/guia-completo-de-papeis-em-vendas-4-cargos-que-voce-precisa-conhecer-1771880116451?classId=3842")</f>
        <v>https://universidade.pipelovers.net/m/lessons/guia-completo-de-papeis-em-vendas-4-cargos-que-voce-precisa-conhecer-1771880116451?classId=3842</v>
      </c>
      <c r="L902" s="1253" t="str">
        <f>IFERROR(__xludf.DUMMYFUNCTION("""COMPUTED_VALUE"""),"https://universidade.pipelovers.net/m/lessons/guia-completo-de-papeis-em-vendas-4-cargos-que-voce-precisa-conhecer-1771880116451?classId=3842")</f>
        <v>https://universidade.pipelovers.net/m/lessons/guia-completo-de-papeis-em-vendas-4-cargos-que-voce-precisa-conhecer-1771880116451?classId=3842</v>
      </c>
      <c r="M902" s="1254">
        <f>IFERROR(__xludf.DUMMYFUNCTION("""COMPUTED_VALUE"""),2.0)</f>
        <v>2</v>
      </c>
      <c r="N902" s="1246" t="str">
        <f>IFERROR(__xludf.DUMMYFUNCTION("""COMPUTED_VALUE"""),"75. PipeLovers Class 🤍 Guia completo de papéis em vendas 4 cargos que você precisa conhecer com Gabriel Schüler - descript.mp4")</f>
        <v>75. PipeLovers Class 🤍 Guia completo de papéis em vendas 4 cargos que você precisa conhecer com Gabriel Schüler - descript.mp4</v>
      </c>
      <c r="O902" s="1246" t="str">
        <f>IFERROR(__xludf.DUMMYFUNCTION("""COMPUTED_VALUE"""),"")</f>
        <v/>
      </c>
      <c r="P902" s="1249">
        <f>IFERROR(__xludf.DUMMYFUNCTION("""COMPUTED_VALUE"""),46073.0)</f>
        <v>46073</v>
      </c>
      <c r="Q902" s="1246"/>
    </row>
    <row r="903">
      <c r="A903" s="116"/>
      <c r="B903" s="1023" t="str">
        <f>IFERROR(__xludf.DUMMYFUNCTION("""COMPUTED_VALUE"""),"Class")</f>
        <v>Class</v>
      </c>
      <c r="C903" s="1255" t="str">
        <f>IFERROR(__xludf.DUMMYFUNCTION("""COMPUTED_VALUE"""),"Aprendizados da maior feira de varejo do mundo - NRF")</f>
        <v>Aprendizados da maior feira de varejo do mundo - NRF</v>
      </c>
      <c r="D903" s="162" t="str">
        <f>IFERROR(__xludf.DUMMYFUNCTION("""COMPUTED_VALUE"""),"Daniela Dalmolin")</f>
        <v>Daniela Dalmolin</v>
      </c>
      <c r="E903" s="241" t="str">
        <f>IFERROR(__xludf.DUMMYFUNCTION("""COMPUTED_VALUE"""),"Fundadora e Consultora")</f>
        <v>Fundadora e Consultora</v>
      </c>
      <c r="F903" s="241" t="str">
        <f>IFERROR(__xludf.DUMMYFUNCTION("""COMPUTED_VALUE"""),"DDF Consultoria")</f>
        <v>DDF Consultoria</v>
      </c>
      <c r="G903" s="514" t="str">
        <f>IFERROR(__xludf.DUMMYFUNCTION("""COMPUTED_VALUE"""),"https://www.linkedin.com/in/daniela-dalmolin-feldens/")</f>
        <v>https://www.linkedin.com/in/daniela-dalmolin-feldens/</v>
      </c>
      <c r="H903" s="241" t="str">
        <f>IFERROR(__xludf.DUMMYFUNCTION("""COMPUTED_VALUE"""),"Autodesenvolvimento")</f>
        <v>Autodesenvolvimento</v>
      </c>
      <c r="I903" s="241" t="str">
        <f>IFERROR(__xludf.DUMMYFUNCTION("""COMPUTED_VALUE"""),"Aprendizado Ativo")</f>
        <v>Aprendizado Ativo</v>
      </c>
      <c r="J903" s="591" t="str">
        <f>IFERROR(__xludf.DUMMYFUNCTION("""COMPUTED_VALUE"""),"Benchmarking")</f>
        <v>Benchmarking</v>
      </c>
      <c r="K903" s="1252" t="str">
        <f>IFERROR(__xludf.DUMMYFUNCTION("""COMPUTED_VALUE"""),"https://universidade.pipelovers.net/m/lessons/aprendizados-da-maior-feira-de-varejo-do-mundo-nrf-1774279496516?classId=3843")</f>
        <v>https://universidade.pipelovers.net/m/lessons/aprendizados-da-maior-feira-de-varejo-do-mundo-nrf-1774279496516?classId=3843</v>
      </c>
      <c r="L903" s="1256" t="str">
        <f>IFERROR(__xludf.DUMMYFUNCTION("""COMPUTED_VALUE"""),"https://universidade.pipelovers.net/m/lessons/aprendizados-da-maior-feira-de-varejo-do-mundo-nrf-1774279496516?classId=3843")</f>
        <v>https://universidade.pipelovers.net/m/lessons/aprendizados-da-maior-feira-de-varejo-do-mundo-nrf-1774279496516?classId=3843</v>
      </c>
      <c r="M903" s="1254">
        <f>IFERROR(__xludf.DUMMYFUNCTION("""COMPUTED_VALUE"""),2.0)</f>
        <v>2</v>
      </c>
      <c r="N903" s="1246" t="str">
        <f>IFERROR(__xludf.DUMMYFUNCTION("""COMPUTED_VALUE"""),"76. PipeLovers Class 🤍 Aprendizados da maior feira de varejo do mundo - NRF com Daniela Dalmolin - descript.mp4")</f>
        <v>76. PipeLovers Class 🤍 Aprendizados da maior feira de varejo do mundo - NRF com Daniela Dalmolin - descript.mp4</v>
      </c>
      <c r="O903" s="1246" t="str">
        <f>IFERROR(__xludf.DUMMYFUNCTION("""COMPUTED_VALUE"""),"")</f>
        <v/>
      </c>
      <c r="P903" s="1249"/>
      <c r="Q903" s="1246"/>
    </row>
    <row r="904">
      <c r="A904" s="73"/>
      <c r="B904" s="1023" t="str">
        <f>IFERROR(__xludf.DUMMYFUNCTION("""COMPUTED_VALUE"""),"Class")</f>
        <v>Class</v>
      </c>
      <c r="C904" s="1257" t="str">
        <f>IFERROR(__xludf.DUMMYFUNCTION("""COMPUTED_VALUE"""),"Alta performance começa por dentro")</f>
        <v>Alta performance começa por dentro</v>
      </c>
      <c r="D904" s="165" t="str">
        <f>IFERROR(__xludf.DUMMYFUNCTION("""COMPUTED_VALUE"""),"Tiago Verissimo")</f>
        <v>Tiago Verissimo</v>
      </c>
      <c r="E904" s="195" t="str">
        <f>IFERROR(__xludf.DUMMYFUNCTION("""COMPUTED_VALUE"""),"Executivo de operações")</f>
        <v>Executivo de operações</v>
      </c>
      <c r="F904" s="940" t="str">
        <f>IFERROR(__xludf.DUMMYFUNCTION("""COMPUTED_VALUE"""),"EVER Trade Marketing")</f>
        <v>EVER Trade Marketing</v>
      </c>
      <c r="G904" s="606" t="str">
        <f>IFERROR(__xludf.DUMMYFUNCTION("""COMPUTED_VALUE"""),"https://www.linkedin.com/in/twverissimo/")</f>
        <v>https://www.linkedin.com/in/twverissimo/</v>
      </c>
      <c r="H904" s="195" t="str">
        <f>IFERROR(__xludf.DUMMYFUNCTION("""COMPUTED_VALUE"""),"Autodesenvolvimento")</f>
        <v>Autodesenvolvimento</v>
      </c>
      <c r="I904" s="195" t="str">
        <f>IFERROR(__xludf.DUMMYFUNCTION("""COMPUTED_VALUE"""),"Inteligência Emocional")</f>
        <v>Inteligência Emocional</v>
      </c>
      <c r="J904" s="589" t="str">
        <f>IFERROR(__xludf.DUMMYFUNCTION("""COMPUTED_VALUE"""),"Motivação")</f>
        <v>Motivação</v>
      </c>
      <c r="K904" s="1258" t="str">
        <f>IFERROR(__xludf.DUMMYFUNCTION("""COMPUTED_VALUE"""),"https://universidade.pipelovers.net/m/lessons/alta-performance-comeca-por-dentro-1774383463813?classId=3844")</f>
        <v>https://universidade.pipelovers.net/m/lessons/alta-performance-comeca-por-dentro-1774383463813?classId=3844</v>
      </c>
      <c r="L904" s="1259" t="str">
        <f>IFERROR(__xludf.DUMMYFUNCTION("""COMPUTED_VALUE"""),"https://universidade.pipelovers.net/m/lessons/alta-performance-comeca-por-dentro-1774383463813?classId=3844")</f>
        <v>https://universidade.pipelovers.net/m/lessons/alta-performance-comeca-por-dentro-1774383463813?classId=3844</v>
      </c>
      <c r="M904" s="1254">
        <f>IFERROR(__xludf.DUMMYFUNCTION("""COMPUTED_VALUE"""),4.14)</f>
        <v>4.14</v>
      </c>
      <c r="N904" s="1246" t="str">
        <f>IFERROR(__xludf.DUMMYFUNCTION("""COMPUTED_VALUE"""),"77.  PipeLovers Class 🤍 Alta performance começa por dentro com Tiago Verissimo - descript.mp4")</f>
        <v>77.  PipeLovers Class 🤍 Alta performance começa por dentro com Tiago Verissimo - descript.mp4</v>
      </c>
      <c r="O904" s="1246" t="str">
        <f>IFERROR(__xludf.DUMMYFUNCTION("""COMPUTED_VALUE"""),"")</f>
        <v/>
      </c>
      <c r="P904" s="1249"/>
      <c r="Q904" s="1246"/>
    </row>
    <row r="905">
      <c r="A905" s="73"/>
      <c r="B905" s="1023" t="str">
        <f>IFERROR(__xludf.DUMMYFUNCTION("""COMPUTED_VALUE"""),"Class")</f>
        <v>Class</v>
      </c>
      <c r="C905" s="1257" t="str">
        <f>IFERROR(__xludf.DUMMYFUNCTION("""COMPUTED_VALUE"""),"Pare de fazer networking e comece a se conectar")</f>
        <v>Pare de fazer networking e comece a se conectar</v>
      </c>
      <c r="D905" s="162" t="str">
        <f>IFERROR(__xludf.DUMMYFUNCTION("""COMPUTED_VALUE"""),"Guilherme Bonaroti")</f>
        <v>Guilherme Bonaroti</v>
      </c>
      <c r="E905" s="241" t="str">
        <f>IFERROR(__xludf.DUMMYFUNCTION("""COMPUTED_VALUE"""),"Diretor de operações de tecnologia")</f>
        <v>Diretor de operações de tecnologia</v>
      </c>
      <c r="F905" s="241" t="str">
        <f>IFERROR(__xludf.DUMMYFUNCTION("""COMPUTED_VALUE"""),"Better Now")</f>
        <v>Better Now</v>
      </c>
      <c r="G905" s="514" t="str">
        <f>IFERROR(__xludf.DUMMYFUNCTION("""COMPUTED_VALUE"""),"https://www.linkedin.com/in/bonaroti/")</f>
        <v>https://www.linkedin.com/in/bonaroti/</v>
      </c>
      <c r="H905" s="241" t="str">
        <f>IFERROR(__xludf.DUMMYFUNCTION("""COMPUTED_VALUE"""),"Autodesenvolvimento")</f>
        <v>Autodesenvolvimento</v>
      </c>
      <c r="I905" s="241" t="str">
        <f>IFERROR(__xludf.DUMMYFUNCTION("""COMPUTED_VALUE"""),"Aprendizado ativo")</f>
        <v>Aprendizado ativo</v>
      </c>
      <c r="J905" s="1260" t="str">
        <f>IFERROR(__xludf.DUMMYFUNCTION("""COMPUTED_VALUE"""),"Networking")</f>
        <v>Networking</v>
      </c>
      <c r="K905" s="1258" t="str">
        <f>IFERROR(__xludf.DUMMYFUNCTION("""COMPUTED_VALUE"""),"https://universidade.pipelovers.net/m/lessons/pare-de-fazer-networking-e-comece-a-se-conectar-1774385257123?classId=3845")</f>
        <v>https://universidade.pipelovers.net/m/lessons/pare-de-fazer-networking-e-comece-a-se-conectar-1774385257123?classId=3845</v>
      </c>
      <c r="L905" s="566" t="str">
        <f>IFERROR(__xludf.DUMMYFUNCTION("""COMPUTED_VALUE"""),"https://universidade.pipelovers.net/m/lessons/pare-de-fazer-networking-e-comece-a-se-conectar-1774385257123?classId=3845")</f>
        <v>https://universidade.pipelovers.net/m/lessons/pare-de-fazer-networking-e-comece-a-se-conectar-1774385257123?classId=3845</v>
      </c>
      <c r="M905" s="1254">
        <f>IFERROR(__xludf.DUMMYFUNCTION("""COMPUTED_VALUE"""),2.0)</f>
        <v>2</v>
      </c>
      <c r="N905" s="1246" t="str">
        <f>IFERROR(__xludf.DUMMYFUNCTION("""COMPUTED_VALUE"""),"78. PipeLovers Class 🤍 Pare de fazer networking e comece a se conectar com Guilherme Bonaroti.mp4")</f>
        <v>78. PipeLovers Class 🤍 Pare de fazer networking e comece a se conectar com Guilherme Bonaroti.mp4</v>
      </c>
      <c r="O905" s="1246" t="str">
        <f>IFERROR(__xludf.DUMMYFUNCTION("""COMPUTED_VALUE"""),"")</f>
        <v/>
      </c>
      <c r="P905" s="1249"/>
      <c r="Q905" s="1246"/>
    </row>
    <row r="906">
      <c r="A906" s="73"/>
      <c r="B906" s="1023" t="str">
        <f>IFERROR(__xludf.DUMMYFUNCTION("""COMPUTED_VALUE"""),"Class")</f>
        <v>Class</v>
      </c>
      <c r="C906" s="1261" t="str">
        <f>IFERROR(__xludf.DUMMYFUNCTION("""COMPUTED_VALUE"""),"Lições do esporte aplicadas à alta performance ")</f>
        <v>Lições do esporte aplicadas à alta performance </v>
      </c>
      <c r="D906" s="119" t="str">
        <f>IFERROR(__xludf.DUMMYFUNCTION("""COMPUTED_VALUE"""),"Ana Amorim")</f>
        <v>Ana Amorim</v>
      </c>
      <c r="E906" s="1262" t="str">
        <f>IFERROR(__xludf.DUMMYFUNCTION("""COMPUTED_VALUE"""),"Palestrante e Mentora")</f>
        <v>Palestrante e Mentora</v>
      </c>
      <c r="F906" s="1263"/>
      <c r="G906" s="1264" t="str">
        <f>IFERROR(__xludf.DUMMYFUNCTION("""COMPUTED_VALUE"""),"https://www.linkedin.com/in/anaamorimoficial/")</f>
        <v>https://www.linkedin.com/in/anaamorimoficial/</v>
      </c>
      <c r="H906" s="1265" t="str">
        <f>IFERROR(__xludf.DUMMYFUNCTION("""COMPUTED_VALUE"""),"Autodesenvolvimento")</f>
        <v>Autodesenvolvimento</v>
      </c>
      <c r="I906" s="1265" t="str">
        <f>IFERROR(__xludf.DUMMYFUNCTION("""COMPUTED_VALUE"""),"Inteligência Emocional")</f>
        <v>Inteligência Emocional</v>
      </c>
      <c r="J906" s="1266" t="str">
        <f>IFERROR(__xludf.DUMMYFUNCTION("""COMPUTED_VALUE"""),"Resiliência")</f>
        <v>Resiliência</v>
      </c>
      <c r="K906" s="1258" t="str">
        <f>IFERROR(__xludf.DUMMYFUNCTION("""COMPUTED_VALUE"""),"https://universidade.pipelovers.net/m/lessons/licoes-do-esporte-aplicadas-a-alta-performance-1773773449865")</f>
        <v>https://universidade.pipelovers.net/m/lessons/licoes-do-esporte-aplicadas-a-alta-performance-1773773449865</v>
      </c>
      <c r="L906" s="1267" t="str">
        <f>IFERROR(__xludf.DUMMYFUNCTION("""COMPUTED_VALUE"""),"https://universidade.pipelovers.net/m/lessons/licoes-do-esporte-aplicadas-a-alta-performance-1773773449865")</f>
        <v>https://universidade.pipelovers.net/m/lessons/licoes-do-esporte-aplicadas-a-alta-performance-1773773449865</v>
      </c>
      <c r="M906" s="1254">
        <f>IFERROR(__xludf.DUMMYFUNCTION("""COMPUTED_VALUE"""),2.71)</f>
        <v>2.71</v>
      </c>
      <c r="N906" s="1246"/>
      <c r="O906" s="1246" t="str">
        <f>IFERROR(__xludf.DUMMYFUNCTION("""COMPUTED_VALUE"""),"")</f>
        <v/>
      </c>
      <c r="P906" s="1249"/>
      <c r="Q906" s="1246"/>
    </row>
    <row r="907">
      <c r="A907" s="73"/>
      <c r="B907" s="1023" t="str">
        <f>IFERROR(__xludf.DUMMYFUNCTION("""COMPUTED_VALUE"""),"Class")</f>
        <v>Class</v>
      </c>
      <c r="C907" s="1268" t="str">
        <f>IFERROR(__xludf.DUMMYFUNCTION("""COMPUTED_VALUE"""),"Como dobrar a receita sem dobrar o volume de leads")</f>
        <v>Como dobrar a receita sem dobrar o volume de leads</v>
      </c>
      <c r="D907" s="145" t="str">
        <f>IFERROR(__xludf.DUMMYFUNCTION("""COMPUTED_VALUE"""),"Pedro Costa")</f>
        <v>Pedro Costa</v>
      </c>
      <c r="E907" s="1245" t="str">
        <f>IFERROR(__xludf.DUMMYFUNCTION("""COMPUTED_VALUE"""),"Coordenador de Marketing")</f>
        <v>Coordenador de Marketing</v>
      </c>
      <c r="F907" s="550" t="str">
        <f>IFERROR(__xludf.DUMMYFUNCTION("""COMPUTED_VALUE"""),"Zoho CRM")</f>
        <v>Zoho CRM</v>
      </c>
      <c r="G907" s="1259" t="str">
        <f>IFERROR(__xludf.DUMMYFUNCTION("""COMPUTED_VALUE"""),"https://www.linkedin.com/in/urldopedro/")</f>
        <v>https://www.linkedin.com/in/urldopedro/</v>
      </c>
      <c r="H907" s="1269" t="str">
        <f>IFERROR(__xludf.DUMMYFUNCTION("""COMPUTED_VALUE"""),"Conhecimento Técnico")</f>
        <v>Conhecimento Técnico</v>
      </c>
      <c r="I907" s="1269" t="str">
        <f>IFERROR(__xludf.DUMMYFUNCTION("""COMPUTED_VALUE"""),"Gestão de vendas")</f>
        <v>Gestão de vendas</v>
      </c>
      <c r="J907" s="1266" t="str">
        <f>IFERROR(__xludf.DUMMYFUNCTION("""COMPUTED_VALUE"""),"UpSell e Cross Sell")</f>
        <v>UpSell e Cross Sell</v>
      </c>
      <c r="K907" s="1251" t="str">
        <f>IFERROR(__xludf.DUMMYFUNCTION("""COMPUTED_VALUE"""),"https://universidade.pipelovers.net/m/lessons/como-dobrar-a-receita-sem-dobrar-o-volume-de-leads-1773774431464?moduleId=1258&amp;classId=3833")</f>
        <v>https://universidade.pipelovers.net/m/lessons/como-dobrar-a-receita-sem-dobrar-o-volume-de-leads-1773774431464?moduleId=1258&amp;classId=3833</v>
      </c>
      <c r="L907" s="1267" t="str">
        <f>IFERROR(__xludf.DUMMYFUNCTION("""COMPUTED_VALUE"""),"https://universidade.pipelovers.net/m/lessons/como-dobrar-a-receita-sem-dobrar-o-volume-de-leads-1773774431464?moduleId=1258&amp;classId=3833")</f>
        <v>https://universidade.pipelovers.net/m/lessons/como-dobrar-a-receita-sem-dobrar-o-volume-de-leads-1773774431464?moduleId=1258&amp;classId=3833</v>
      </c>
      <c r="M907" s="1254">
        <f>IFERROR(__xludf.DUMMYFUNCTION("""COMPUTED_VALUE"""),4.0)</f>
        <v>4</v>
      </c>
      <c r="N907" s="1246"/>
      <c r="O907" s="1246" t="str">
        <f>IFERROR(__xludf.DUMMYFUNCTION("""COMPUTED_VALUE"""),"")</f>
        <v/>
      </c>
      <c r="P907" s="1249"/>
      <c r="Q907" s="1246"/>
    </row>
    <row r="908">
      <c r="A908" s="73"/>
      <c r="B908" s="1023" t="str">
        <f>IFERROR(__xludf.DUMMYFUNCTION("""COMPUTED_VALUE"""),"Class")</f>
        <v>Class</v>
      </c>
      <c r="C908" s="1270" t="str">
        <f>IFERROR(__xludf.DUMMYFUNCTION("""COMPUTED_VALUE"""),"Indústria 4.0: Como vender para esse mercado")</f>
        <v>Indústria 4.0: Como vender para esse mercado</v>
      </c>
      <c r="D908" s="1271" t="str">
        <f>IFERROR(__xludf.DUMMYFUNCTION("""COMPUTED_VALUE"""),"Rodrigo Portes")</f>
        <v>Rodrigo Portes</v>
      </c>
      <c r="E908" s="335" t="str">
        <f>IFERROR(__xludf.DUMMYFUNCTION("""COMPUTED_VALUE"""),"Palestrante e Mentor")</f>
        <v>Palestrante e Mentor</v>
      </c>
      <c r="F908" s="893"/>
      <c r="G908" s="863" t="str">
        <f>IFERROR(__xludf.DUMMYFUNCTION("""COMPUTED_VALUE"""),"https://www.linkedin.com/in/rodrigoportes/")</f>
        <v>https://www.linkedin.com/in/rodrigoportes/</v>
      </c>
      <c r="H908" s="596" t="str">
        <f>IFERROR(__xludf.DUMMYFUNCTION("""COMPUTED_VALUE"""),"Visão de Negócios")</f>
        <v>Visão de Negócios</v>
      </c>
      <c r="I908" s="596" t="str">
        <f>IFERROR(__xludf.DUMMYFUNCTION("""COMPUTED_VALUE"""),"Tendências de mercado")</f>
        <v>Tendências de mercado</v>
      </c>
      <c r="J908" s="589" t="str">
        <f>IFERROR(__xludf.DUMMYFUNCTION("""COMPUTED_VALUE"""),"Inovações Tecnológicas")</f>
        <v>Inovações Tecnológicas</v>
      </c>
      <c r="K908" s="1251" t="str">
        <f>IFERROR(__xludf.DUMMYFUNCTION("""COMPUTED_VALUE"""),"https://universidade.pipelovers.net/m/lessons/industria-40-como-vender-para-esse-mercado-1773774828884?moduleId=1259&amp;classId=3834")</f>
        <v>https://universidade.pipelovers.net/m/lessons/industria-40-como-vender-para-esse-mercado-1773774828884?moduleId=1259&amp;classId=3834</v>
      </c>
      <c r="L908" s="1267" t="str">
        <f>IFERROR(__xludf.DUMMYFUNCTION("""COMPUTED_VALUE"""),"https://universidade.pipelovers.net/m/lessons/industria-40-como-vender-para-esse-mercado-1773774828884?moduleId=1259&amp;classId=3834")</f>
        <v>https://universidade.pipelovers.net/m/lessons/industria-40-como-vender-para-esse-mercado-1773774828884?moduleId=1259&amp;classId=3834</v>
      </c>
      <c r="M908" s="1254">
        <f>IFERROR(__xludf.DUMMYFUNCTION("""COMPUTED_VALUE"""),4.07)</f>
        <v>4.07</v>
      </c>
      <c r="N908" s="1246"/>
      <c r="O908" s="1246" t="str">
        <f>IFERROR(__xludf.DUMMYFUNCTION("""COMPUTED_VALUE"""),"")</f>
        <v/>
      </c>
      <c r="P908" s="1249"/>
      <c r="Q908" s="1246"/>
    </row>
    <row r="909">
      <c r="A909" s="73"/>
      <c r="B909" s="1023" t="str">
        <f>IFERROR(__xludf.DUMMYFUNCTION("""COMPUTED_VALUE"""),"Class")</f>
        <v>Class</v>
      </c>
      <c r="C909" s="1272" t="str">
        <f>IFERROR(__xludf.DUMMYFUNCTION("""COMPUTED_VALUE"""),"Escuta, Prioridade e Empatia: o triângulo da negociação")</f>
        <v>Escuta, Prioridade e Empatia: o triângulo da negociação</v>
      </c>
      <c r="D909" s="300" t="str">
        <f>IFERROR(__xludf.DUMMYFUNCTION("""COMPUTED_VALUE"""),"Guilherme Bonaroti")</f>
        <v>Guilherme Bonaroti</v>
      </c>
      <c r="E909" s="1245" t="str">
        <f>IFERROR(__xludf.DUMMYFUNCTION("""COMPUTED_VALUE"""),"Head de Operações e RH")</f>
        <v>Head de Operações e RH</v>
      </c>
      <c r="F909" s="550" t="str">
        <f>IFERROR(__xludf.DUMMYFUNCTION("""COMPUTED_VALUE"""),"Better Now")</f>
        <v>Better Now</v>
      </c>
      <c r="G909" s="1259" t="str">
        <f>IFERROR(__xludf.DUMMYFUNCTION("""COMPUTED_VALUE"""),"https://www.linkedin.com/in/bonaroti/")</f>
        <v>https://www.linkedin.com/in/bonaroti/</v>
      </c>
      <c r="H909" s="1269" t="str">
        <f>IFERROR(__xludf.DUMMYFUNCTION("""COMPUTED_VALUE"""),"Relacionamento Interpessoal")</f>
        <v>Relacionamento Interpessoal</v>
      </c>
      <c r="I909" s="1269" t="str">
        <f>IFERROR(__xludf.DUMMYFUNCTION("""COMPUTED_VALUE"""),"Comunicação e Relacionamento")</f>
        <v>Comunicação e Relacionamento</v>
      </c>
      <c r="J909" s="589" t="str">
        <f>IFERROR(__xludf.DUMMYFUNCTION("""COMPUTED_VALUE"""),"Escuta Ativa")</f>
        <v>Escuta Ativa</v>
      </c>
      <c r="K909" s="1251" t="str">
        <f>IFERROR(__xludf.DUMMYFUNCTION("""COMPUTED_VALUE"""),"https://universidade.pipelovers.net/m/lessons/escuta-prioridade-e-empatia-o-triangulo-da-negociacao-1778505387426?moduleId=1407&amp;classId=3993")</f>
        <v>https://universidade.pipelovers.net/m/lessons/escuta-prioridade-e-empatia-o-triangulo-da-negociacao-1778505387426?moduleId=1407&amp;classId=3993</v>
      </c>
      <c r="L909" s="1267" t="str">
        <f>IFERROR(__xludf.DUMMYFUNCTION("""COMPUTED_VALUE"""),"https://universidade.pipelovers.net/m/lessons/escuta-prioridade-e-empatia-o-triangulo-da-negociacao-1778505387426?moduleId=1407&amp;classId=3993")</f>
        <v>https://universidade.pipelovers.net/m/lessons/escuta-prioridade-e-empatia-o-triangulo-da-negociacao-1778505387426?moduleId=1407&amp;classId=3993</v>
      </c>
      <c r="M909" s="1254">
        <f>IFERROR(__xludf.DUMMYFUNCTION("""COMPUTED_VALUE"""),3.57)</f>
        <v>3.57</v>
      </c>
      <c r="N909" s="1246"/>
      <c r="O909" s="1246" t="str">
        <f>IFERROR(__xludf.DUMMYFUNCTION("""COMPUTED_VALUE"""),"")</f>
        <v/>
      </c>
      <c r="P909" s="1249"/>
      <c r="Q909" s="1246"/>
    </row>
    <row r="910">
      <c r="A910" s="73"/>
      <c r="B910" s="1023" t="str">
        <f>IFERROR(__xludf.DUMMYFUNCTION("""COMPUTED_VALUE"""),"Class")</f>
        <v>Class</v>
      </c>
      <c r="C910" s="176" t="str">
        <f>IFERROR(__xludf.DUMMYFUNCTION("""COMPUTED_VALUE"""),"Como construir um time de vendas que escala junto")</f>
        <v>Como construir um time de vendas que escala junto</v>
      </c>
      <c r="D910" s="176" t="str">
        <f>IFERROR(__xludf.DUMMYFUNCTION("""COMPUTED_VALUE"""),"Barbara Hipolide")</f>
        <v>Barbara Hipolide</v>
      </c>
      <c r="E910" s="77" t="str">
        <f>IFERROR(__xludf.DUMMYFUNCTION("""COMPUTED_VALUE"""),"Manager, Sales LatAm &amp; Iberia")</f>
        <v>Manager, Sales LatAm &amp; Iberia</v>
      </c>
      <c r="F910" s="77" t="str">
        <f>IFERROR(__xludf.DUMMYFUNCTION("""COMPUTED_VALUE"""),"Wati")</f>
        <v>Wati</v>
      </c>
      <c r="G910" s="475" t="str">
        <f>IFERROR(__xludf.DUMMYFUNCTION("""COMPUTED_VALUE"""),"https://www.linkedin.com/in/b%C3%A1rbara-hipolide-neves-958398b2/")</f>
        <v>https://www.linkedin.com/in/b%C3%A1rbara-hipolide-neves-958398b2/</v>
      </c>
      <c r="H910" s="77" t="str">
        <f>IFERROR(__xludf.DUMMYFUNCTION("""COMPUTED_VALUE"""),"Relacionamento Interpessoal")</f>
        <v>Relacionamento Interpessoal</v>
      </c>
      <c r="I910" s="77" t="str">
        <f>IFERROR(__xludf.DUMMYFUNCTION("""COMPUTED_VALUE"""),"Liderança e Influência")</f>
        <v>Liderança e Influência</v>
      </c>
      <c r="J910" s="438" t="str">
        <f>IFERROR(__xludf.DUMMYFUNCTION("""COMPUTED_VALUE"""),"Desenvolvimento de Pessoas")</f>
        <v>Desenvolvimento de Pessoas</v>
      </c>
      <c r="K910" s="1251" t="str">
        <f>IFERROR(__xludf.DUMMYFUNCTION("""COMPUTED_VALUE"""),"https://universidade.pipelovers.net/m/lessons/como-construir-um-time-de-vendas-que-escala-junto-1779220034956?moduleId=1423&amp;classId=4009")</f>
        <v>https://universidade.pipelovers.net/m/lessons/como-construir-um-time-de-vendas-que-escala-junto-1779220034956?moduleId=1423&amp;classId=4009</v>
      </c>
      <c r="L910" s="1150" t="str">
        <f>IFERROR(__xludf.DUMMYFUNCTION("""COMPUTED_VALUE"""),"https://universidade.pipelovers.net/m/lessons/como-construir-um-time-de-vendas-que-escala-junto-1779220034956?moduleId=1423&amp;classId=4009")</f>
        <v>https://universidade.pipelovers.net/m/lessons/como-construir-um-time-de-vendas-que-escala-junto-1779220034956?moduleId=1423&amp;classId=4009</v>
      </c>
      <c r="M910" s="1254">
        <f>IFERROR(__xludf.DUMMYFUNCTION("""COMPUTED_VALUE"""),3.86)</f>
        <v>3.86</v>
      </c>
      <c r="N910" s="1246"/>
      <c r="O910" s="1246" t="str">
        <f>IFERROR(__xludf.DUMMYFUNCTION("""COMPUTED_VALUE"""),"")</f>
        <v/>
      </c>
      <c r="P910" s="1249"/>
      <c r="Q910" s="1246"/>
    </row>
    <row r="911">
      <c r="A911" s="73"/>
      <c r="B911" s="1023" t="str">
        <f>IFERROR(__xludf.DUMMYFUNCTION("""COMPUTED_VALUE"""),"Class")</f>
        <v>Class</v>
      </c>
      <c r="C911" s="176" t="str">
        <f>IFERROR(__xludf.DUMMYFUNCTION("""COMPUTED_VALUE"""),"Rituais de Gestão de Vendas")</f>
        <v>Rituais de Gestão de Vendas</v>
      </c>
      <c r="D911" s="176" t="str">
        <f>IFERROR(__xludf.DUMMYFUNCTION("""COMPUTED_VALUE"""),"Gabriel Brasil")</f>
        <v>Gabriel Brasil</v>
      </c>
      <c r="E911" s="77" t="str">
        <f>IFERROR(__xludf.DUMMYFUNCTION("""COMPUTED_VALUE"""),"Head of Revenue")</f>
        <v>Head of Revenue</v>
      </c>
      <c r="F911" s="77" t="str">
        <f>IFERROR(__xludf.DUMMYFUNCTION("""COMPUTED_VALUE"""),"PipeLovers")</f>
        <v>PipeLovers</v>
      </c>
      <c r="G911" s="475" t="str">
        <f>IFERROR(__xludf.DUMMYFUNCTION("""COMPUTED_VALUE"""),"https://www.linkedin.com/in/gabriel-sbrasil/")</f>
        <v>https://www.linkedin.com/in/gabriel-sbrasil/</v>
      </c>
      <c r="H911" s="77" t="str">
        <f>IFERROR(__xludf.DUMMYFUNCTION("""COMPUTED_VALUE"""),"Conhecimento Técnico")</f>
        <v>Conhecimento Técnico</v>
      </c>
      <c r="I911" s="77" t="str">
        <f>IFERROR(__xludf.DUMMYFUNCTION("""COMPUTED_VALUE"""),"Técnicas de Vendas")</f>
        <v>Técnicas de Vendas</v>
      </c>
      <c r="J911" s="438" t="str">
        <f>IFERROR(__xludf.DUMMYFUNCTION("""COMPUTED_VALUE"""),"Pitch Comercial")</f>
        <v>Pitch Comercial</v>
      </c>
      <c r="K911" s="1251" t="str">
        <f>IFERROR(__xludf.DUMMYFUNCTION("""COMPUTED_VALUE"""),"https://pipelovers.curseduca.pro/m/lessons/como-demonstrar-uma-boa-solucao-com-as-informacoes-certas-1778530991994")</f>
        <v>https://pipelovers.curseduca.pro/m/lessons/como-demonstrar-uma-boa-solucao-com-as-informacoes-certas-1778530991994</v>
      </c>
      <c r="L911" s="615"/>
      <c r="M911" s="1254">
        <f>IFERROR(__xludf.DUMMYFUNCTION("""COMPUTED_VALUE"""),4.21)</f>
        <v>4.21</v>
      </c>
      <c r="N911" s="1246"/>
      <c r="O911" s="1246" t="str">
        <f>IFERROR(__xludf.DUMMYFUNCTION("""COMPUTED_VALUE"""),"")</f>
        <v/>
      </c>
      <c r="P911" s="1249"/>
      <c r="Q911" s="1246"/>
    </row>
    <row r="912">
      <c r="A912" s="73"/>
      <c r="B912" s="1023" t="str">
        <f>IFERROR(__xludf.DUMMYFUNCTION("""COMPUTED_VALUE"""),"Class")</f>
        <v>Class</v>
      </c>
      <c r="C912" s="176" t="str">
        <f>IFERROR(__xludf.DUMMYFUNCTION("""COMPUTED_VALUE"""),"Como empresas constroem autoridade e reputação pela mídia")</f>
        <v>Como empresas constroem autoridade e reputação pela mídia</v>
      </c>
      <c r="D912" s="176" t="str">
        <f>IFERROR(__xludf.DUMMYFUNCTION("""COMPUTED_VALUE"""),"Rodrigo Lóssio")</f>
        <v>Rodrigo Lóssio</v>
      </c>
      <c r="E912" s="77" t="str">
        <f>IFERROR(__xludf.DUMMYFUNCTION("""COMPUTED_VALUE"""),"Fundador")</f>
        <v>Fundador</v>
      </c>
      <c r="F912" s="77" t="str">
        <f>IFERROR(__xludf.DUMMYFUNCTION("""COMPUTED_VALUE"""),"Dialetto")</f>
        <v>Dialetto</v>
      </c>
      <c r="G912" s="475" t="str">
        <f>IFERROR(__xludf.DUMMYFUNCTION("""COMPUTED_VALUE"""),"https://www.linkedin.com/in/lossio/")</f>
        <v>https://www.linkedin.com/in/lossio/</v>
      </c>
      <c r="H912" s="77" t="str">
        <f>IFERROR(__xludf.DUMMYFUNCTION("""COMPUTED_VALUE"""),"Visão de Negócios")</f>
        <v>Visão de Negócios</v>
      </c>
      <c r="I912" s="77" t="str">
        <f>IFERROR(__xludf.DUMMYFUNCTION("""COMPUTED_VALUE"""),"Tendências de Mercado")</f>
        <v>Tendências de Mercado</v>
      </c>
      <c r="J912" s="438" t="str">
        <f>IFERROR(__xludf.DUMMYFUNCTION("""COMPUTED_VALUE"""),"Branding e Posicionamento")</f>
        <v>Branding e Posicionamento</v>
      </c>
      <c r="K912" s="1251" t="str">
        <f>IFERROR(__xludf.DUMMYFUNCTION("""COMPUTED_VALUE"""),"https://universidade.pipelovers.net/m/lessons/como-empresas-constroem-autoridade-e-reputacao-pela-midia-1778614487459?moduleId=1413&amp;classId=3998")</f>
        <v>https://universidade.pipelovers.net/m/lessons/como-empresas-constroem-autoridade-e-reputacao-pela-midia-1778614487459?moduleId=1413&amp;classId=3998</v>
      </c>
      <c r="L912" s="615"/>
      <c r="M912" s="1254">
        <f>IFERROR(__xludf.DUMMYFUNCTION("""COMPUTED_VALUE"""),3.79)</f>
        <v>3.79</v>
      </c>
      <c r="N912" s="1246"/>
      <c r="O912" s="1246" t="str">
        <f>IFERROR(__xludf.DUMMYFUNCTION("""COMPUTED_VALUE"""),"")</f>
        <v/>
      </c>
      <c r="P912" s="1249"/>
      <c r="Q912" s="1246"/>
    </row>
    <row r="913">
      <c r="A913" s="73"/>
      <c r="B913" s="1023" t="str">
        <f>IFERROR(__xludf.DUMMYFUNCTION("""COMPUTED_VALUE"""),"Class")</f>
        <v>Class</v>
      </c>
      <c r="C913" s="172" t="str">
        <f>IFERROR(__xludf.DUMMYFUNCTION("""COMPUTED_VALUE"""),"Maximizando a Prospecção")</f>
        <v>Maximizando a Prospecção</v>
      </c>
      <c r="D913" s="172" t="str">
        <f>IFERROR(__xludf.DUMMYFUNCTION("""COMPUTED_VALUE"""),"Jessica Bosco")</f>
        <v>Jessica Bosco</v>
      </c>
      <c r="E913" s="290" t="str">
        <f>IFERROR(__xludf.DUMMYFUNCTION("""COMPUTED_VALUE"""),"Head de produto")</f>
        <v>Head de produto</v>
      </c>
      <c r="F913" s="290" t="str">
        <f>IFERROR(__xludf.DUMMYFUNCTION("""COMPUTED_VALUE"""),"PipeLovers")</f>
        <v>PipeLovers</v>
      </c>
      <c r="G913" s="876" t="str">
        <f>IFERROR(__xludf.DUMMYFUNCTION("""COMPUTED_VALUE"""),"https://www.linkedin.com/in/jessicabosco/")</f>
        <v>https://www.linkedin.com/in/jessicabosco/</v>
      </c>
      <c r="H913" s="290" t="str">
        <f>IFERROR(__xludf.DUMMYFUNCTION("""COMPUTED_VALUE"""),"Relacionamento Interpessoal")</f>
        <v>Relacionamento Interpessoal</v>
      </c>
      <c r="I913" s="290" t="str">
        <f>IFERROR(__xludf.DUMMYFUNCTION("""COMPUTED_VALUE"""),"Liderança e Influência")</f>
        <v>Liderança e Influência</v>
      </c>
      <c r="J913" s="438" t="str">
        <f>IFERROR(__xludf.DUMMYFUNCTION("""COMPUTED_VALUE"""),"Mentoria e Desenvolvimento de Talentos")</f>
        <v>Mentoria e Desenvolvimento de Talentos</v>
      </c>
      <c r="K913" s="1258" t="str">
        <f>IFERROR(__xludf.DUMMYFUNCTION("""COMPUTED_VALUE"""),"https://universidade.pipelovers.net/m/lessons/rampagem-de-vendedores-1782407840745?moduleId=1459&amp;classId=4043")</f>
        <v>https://universidade.pipelovers.net/m/lessons/rampagem-de-vendedores-1782407840745?moduleId=1459&amp;classId=4043</v>
      </c>
      <c r="L913" s="615"/>
      <c r="M913" s="1254">
        <f>IFERROR(__xludf.DUMMYFUNCTION("""COMPUTED_VALUE"""),4.21)</f>
        <v>4.21</v>
      </c>
      <c r="N913" s="1246"/>
      <c r="O913" s="1246" t="str">
        <f>IFERROR(__xludf.DUMMYFUNCTION("""COMPUTED_VALUE"""),"")</f>
        <v/>
      </c>
      <c r="P913" s="1249"/>
      <c r="Q913" s="1246"/>
    </row>
    <row r="914">
      <c r="A914" s="73"/>
      <c r="B914" s="1023" t="str">
        <f>IFERROR(__xludf.DUMMYFUNCTION("""COMPUTED_VALUE"""),"Class")</f>
        <v>Class</v>
      </c>
      <c r="C914" s="1066" t="str">
        <f>IFERROR(__xludf.DUMMYFUNCTION("""COMPUTED_VALUE"""),"Estruturando seu processo de GTM através de Inteligência Comercial")</f>
        <v>Estruturando seu processo de GTM através de Inteligência Comercial</v>
      </c>
      <c r="D914" s="1066" t="str">
        <f>IFERROR(__xludf.DUMMYFUNCTION("""COMPUTED_VALUE"""),"Eduardo Mattos")</f>
        <v>Eduardo Mattos</v>
      </c>
      <c r="E914" s="1262" t="str">
        <f>IFERROR(__xludf.DUMMYFUNCTION("""COMPUTED_VALUE"""),"CEO")</f>
        <v>CEO</v>
      </c>
      <c r="F914" s="1263" t="str">
        <f>IFERROR(__xludf.DUMMYFUNCTION("""COMPUTED_VALUE"""),"Intexfy")</f>
        <v>Intexfy</v>
      </c>
      <c r="G914" s="1264" t="str">
        <f>IFERROR(__xludf.DUMMYFUNCTION("""COMPUTED_VALUE"""),"https://www.linkedin.com/in/edusmattos/")</f>
        <v>https://www.linkedin.com/in/edusmattos/</v>
      </c>
      <c r="H914" s="1265" t="str">
        <f>IFERROR(__xludf.DUMMYFUNCTION("""COMPUTED_VALUE"""),"Visão de Negócios")</f>
        <v>Visão de Negócios</v>
      </c>
      <c r="I914" s="1265" t="str">
        <f>IFERROR(__xludf.DUMMYFUNCTION("""COMPUTED_VALUE"""),"Conhecimento de Produto e Negócio")</f>
        <v>Conhecimento de Produto e Negócio</v>
      </c>
      <c r="J914" s="1273" t="str">
        <f>IFERROR(__xludf.DUMMYFUNCTION("""COMPUTED_VALUE"""),"Jornada de Compra do Cliente")</f>
        <v>Jornada de Compra do Cliente</v>
      </c>
      <c r="K914" s="1252" t="str">
        <f>IFERROR(__xludf.DUMMYFUNCTION("""COMPUTED_VALUE"""),"https://pipelovers.curseduca.pro/m/lessons/estruturando-seu-processo-de-gtm-atraves-de-inteligencia-comercial-1784049558211?moduleId=1528&amp;classId=4229")</f>
        <v>https://pipelovers.curseduca.pro/m/lessons/estruturando-seu-processo-de-gtm-atraves-de-inteligencia-comercial-1784049558211?moduleId=1528&amp;classId=4229</v>
      </c>
      <c r="L914" s="1246"/>
      <c r="M914" s="1254">
        <f>IFERROR(__xludf.DUMMYFUNCTION("""COMPUTED_VALUE"""),4.07)</f>
        <v>4.07</v>
      </c>
      <c r="N914" s="1246"/>
      <c r="O914" s="1246" t="str">
        <f>IFERROR(__xludf.DUMMYFUNCTION("""COMPUTED_VALUE"""),"")</f>
        <v/>
      </c>
      <c r="P914" s="1249"/>
      <c r="Q914" s="1246"/>
    </row>
    <row r="915">
      <c r="A915" s="73"/>
      <c r="B915" s="1023" t="str">
        <f>IFERROR(__xludf.DUMMYFUNCTION("""COMPUTED_VALUE"""),"Class")</f>
        <v>Class</v>
      </c>
      <c r="C915" s="1274" t="str">
        <f>IFERROR(__xludf.DUMMYFUNCTION("""COMPUTED_VALUE"""),"Inteligência Artificial no CRM: Casos Reais e Aplicações Práticas")</f>
        <v>Inteligência Artificial no CRM: Casos Reais e Aplicações Práticas</v>
      </c>
      <c r="D915" s="1274" t="str">
        <f>IFERROR(__xludf.DUMMYFUNCTION("""COMPUTED_VALUE"""),"Anderson Ferreira e Jessica Butzge")</f>
        <v>Anderson Ferreira e Jessica Butzge</v>
      </c>
      <c r="E915" s="1246" t="str">
        <f>IFERROR(__xludf.DUMMYFUNCTION("""COMPUTED_VALUE"""),"Sales Engineer &amp; Head de Product Marketing")</f>
        <v>Sales Engineer &amp; Head de Product Marketing</v>
      </c>
      <c r="F915" s="1275" t="str">
        <f>IFERROR(__xludf.DUMMYFUNCTION("""COMPUTED_VALUE"""),"Zoho")</f>
        <v>Zoho</v>
      </c>
      <c r="G915" s="1276"/>
      <c r="H915" s="1276" t="str">
        <f>IFERROR(__xludf.DUMMYFUNCTION("""COMPUTED_VALUE"""),"Visão de Negócios")</f>
        <v>Visão de Negócios</v>
      </c>
      <c r="I915" s="1276" t="str">
        <f>IFERROR(__xludf.DUMMYFUNCTION("""COMPUTED_VALUE"""),"Tendências de Mercado")</f>
        <v>Tendências de Mercado</v>
      </c>
      <c r="J915" s="1273" t="str">
        <f>IFERROR(__xludf.DUMMYFUNCTION("""COMPUTED_VALUE"""),"Inovações Tecnológicas")</f>
        <v>Inovações Tecnológicas</v>
      </c>
      <c r="K915" s="1277" t="str">
        <f>IFERROR(__xludf.DUMMYFUNCTION("""COMPUTED_VALUE"""),"https://pipelovers.curseduca.pro/m/lessons/inteligencia-artificial-no-crm-casos-reais-e-aplicacoes-praticas-1784832731227?moduleId=1565&amp;classId=4417")</f>
        <v>https://pipelovers.curseduca.pro/m/lessons/inteligencia-artificial-no-crm-casos-reais-e-aplicacoes-praticas-1784832731227?moduleId=1565&amp;classId=4417</v>
      </c>
      <c r="L915" s="1246"/>
      <c r="M915" s="1254">
        <f>IFERROR(__xludf.DUMMYFUNCTION("""COMPUTED_VALUE"""),2.93)</f>
        <v>2.93</v>
      </c>
      <c r="N915" s="1246"/>
      <c r="O915" s="1246" t="str">
        <f>IFERROR(__xludf.DUMMYFUNCTION("""COMPUTED_VALUE"""),"")</f>
        <v/>
      </c>
      <c r="P915" s="1249"/>
      <c r="Q915" s="1246"/>
    </row>
    <row r="916">
      <c r="A916" s="73"/>
      <c r="B916" s="1023" t="str">
        <f>IFERROR(__xludf.DUMMYFUNCTION("""COMPUTED_VALUE"""),"Class")</f>
        <v>Class</v>
      </c>
      <c r="C916" s="1278" t="str">
        <f>IFERROR(__xludf.DUMMYFUNCTION("""COMPUTED_VALUE"""),"Por que sua prospecção não é falta de sorte, é falta de processo (e de time)")</f>
        <v>Por que sua prospecção não é falta de sorte, é falta de processo (e de time)</v>
      </c>
      <c r="D916" s="1278" t="str">
        <f>IFERROR(__xludf.DUMMYFUNCTION("""COMPUTED_VALUE"""),"Guilherme Loureiro")</f>
        <v>Guilherme Loureiro</v>
      </c>
      <c r="E916" s="1245" t="str">
        <f>IFERROR(__xludf.DUMMYFUNCTION("""COMPUTED_VALUE"""),"Diretor Comercial")</f>
        <v>Diretor Comercial</v>
      </c>
      <c r="F916" s="550" t="str">
        <f>IFERROR(__xludf.DUMMYFUNCTION("""COMPUTED_VALUE"""),"Sales Hunter")</f>
        <v>Sales Hunter</v>
      </c>
      <c r="G916" s="1259" t="str">
        <f>IFERROR(__xludf.DUMMYFUNCTION("""COMPUTED_VALUE"""),"https://www.linkedin.com/in/guiteixeiraf/")</f>
        <v>https://www.linkedin.com/in/guiteixeiraf/</v>
      </c>
      <c r="H916" s="1269" t="str">
        <f>IFERROR(__xludf.DUMMYFUNCTION("""COMPUTED_VALUE"""),"Conhecimento Técnico")</f>
        <v>Conhecimento Técnico</v>
      </c>
      <c r="I916" s="1269" t="str">
        <f>IFERROR(__xludf.DUMMYFUNCTION("""COMPUTED_VALUE"""),"Gestão de Vendas")</f>
        <v>Gestão de Vendas</v>
      </c>
      <c r="J916" s="1273" t="str">
        <f>IFERROR(__xludf.DUMMYFUNCTION("""COMPUTED_VALUE"""),"Estruturação de Times e Processos")</f>
        <v>Estruturação de Times e Processos</v>
      </c>
      <c r="K916" s="1279" t="str">
        <f>IFERROR(__xludf.DUMMYFUNCTION("""COMPUTED_VALUE"""),"https://universidade.pipelovers.net/m/lessons/por-que-sua-prospeccao-nao-e-falta-de-sorte-e-falta-de-processo-e-de-time-1785348689665?moduleId=1573&amp;classId=4448")</f>
        <v>https://universidade.pipelovers.net/m/lessons/por-que-sua-prospeccao-nao-e-falta-de-sorte-e-falta-de-processo-e-de-time-1785348689665?moduleId=1573&amp;classId=4448</v>
      </c>
      <c r="L916" s="1246"/>
      <c r="M916" s="1254">
        <f>IFERROR(__xludf.DUMMYFUNCTION("""COMPUTED_VALUE"""),3.79)</f>
        <v>3.79</v>
      </c>
      <c r="N916" s="1246"/>
      <c r="O916" s="1246" t="str">
        <f>IFERROR(__xludf.DUMMYFUNCTION("""COMPUTED_VALUE"""),"")</f>
        <v/>
      </c>
      <c r="P916" s="1249"/>
      <c r="Q916" s="1246"/>
    </row>
    <row r="917">
      <c r="A917" s="73"/>
      <c r="B917" s="1023" t="str">
        <f>IFERROR(__xludf.DUMMYFUNCTION("""COMPUTED_VALUE"""),"Class")</f>
        <v>Class</v>
      </c>
      <c r="C917" s="1278" t="str">
        <f>IFERROR(__xludf.DUMMYFUNCTION("""COMPUTED_VALUE"""),"Venda Mais: Desbloqueie Sua Performance em Vendas")</f>
        <v>Venda Mais: Desbloqueie Sua Performance em Vendas</v>
      </c>
      <c r="D917" s="1278" t="str">
        <f>IFERROR(__xludf.DUMMYFUNCTION("""COMPUTED_VALUE"""),"Matheus Gomes")</f>
        <v>Matheus Gomes</v>
      </c>
      <c r="E917" s="1245" t="str">
        <f>IFERROR(__xludf.DUMMYFUNCTION("""COMPUTED_VALUE"""),"Especialista de Conteúdo")</f>
        <v>Especialista de Conteúdo</v>
      </c>
      <c r="F917" s="550" t="str">
        <f>IFERROR(__xludf.DUMMYFUNCTION("""COMPUTED_VALUE"""),"PipeLovers")</f>
        <v>PipeLovers</v>
      </c>
      <c r="G917" s="1259" t="str">
        <f>IFERROR(__xludf.DUMMYFUNCTION("""COMPUTED_VALUE"""),"https://www.linkedin.com/in/matheus-gomes-dasilva/")</f>
        <v>https://www.linkedin.com/in/matheus-gomes-dasilva/</v>
      </c>
      <c r="H917" s="1269" t="str">
        <f>IFERROR(__xludf.DUMMYFUNCTION("""COMPUTED_VALUE"""),"Visão de Negócios")</f>
        <v>Visão de Negócios</v>
      </c>
      <c r="I917" s="1269" t="str">
        <f>IFERROR(__xludf.DUMMYFUNCTION("""COMPUTED_VALUE"""),"Tendências de Mercado")</f>
        <v>Tendências de Mercado</v>
      </c>
      <c r="J917" s="1273" t="str">
        <f>IFERROR(__xludf.DUMMYFUNCTION("""COMPUTED_VALUE"""),"Capacitação Comercial")</f>
        <v>Capacitação Comercial</v>
      </c>
      <c r="K917" s="1279" t="str">
        <f>IFERROR(__xludf.DUMMYFUNCTION("""COMPUTED_VALUE"""),"https://universidade.pipelovers.net/m/lessons/venda-mais-desbloqueie-sua-performance-em-vendas-1787258456767?moduleId=1602&amp;classId=4491")</f>
        <v>https://universidade.pipelovers.net/m/lessons/venda-mais-desbloqueie-sua-performance-em-vendas-1787258456767?moduleId=1602&amp;classId=4491</v>
      </c>
      <c r="L917" s="1246"/>
      <c r="M917" s="1254">
        <f>IFERROR(__xludf.DUMMYFUNCTION("""COMPUTED_VALUE"""),3.36)</f>
        <v>3.36</v>
      </c>
      <c r="N917" s="1246"/>
      <c r="O917" s="1246" t="str">
        <f>IFERROR(__xludf.DUMMYFUNCTION("""COMPUTED_VALUE"""),"")</f>
        <v/>
      </c>
      <c r="P917" s="1249"/>
      <c r="Q917" s="1246"/>
    </row>
    <row r="918">
      <c r="A918" s="73"/>
      <c r="B918" s="886" t="str">
        <f>IFERROR(__xludf.DUMMYFUNCTION("""COMPUTED_VALUE"""),"Class")</f>
        <v>Class</v>
      </c>
      <c r="C918" s="615" t="str">
        <f>IFERROR(__xludf.DUMMYFUNCTION("""COMPUTED_VALUE"""),"O que a filosofia pode ensinar para quem vende")</f>
        <v>O que a filosofia pode ensinar para quem vende</v>
      </c>
      <c r="D918" s="1278" t="str">
        <f>IFERROR(__xludf.DUMMYFUNCTION("""COMPUTED_VALUE"""),"Guilhermo Caproni")</f>
        <v>Guilhermo Caproni</v>
      </c>
      <c r="E918" s="1245" t="str">
        <f>IFERROR(__xludf.DUMMYFUNCTION("""COMPUTED_VALUE"""),"Head Hunter")</f>
        <v>Head Hunter</v>
      </c>
      <c r="F918" s="550" t="str">
        <f>IFERROR(__xludf.DUMMYFUNCTION("""COMPUTED_VALUE"""),"Sales Hunter")</f>
        <v>Sales Hunter</v>
      </c>
      <c r="G918" s="1259" t="str">
        <f>IFERROR(__xludf.DUMMYFUNCTION("""COMPUTED_VALUE"""),"https://www.linkedin.com/in/guilhermo-caproni/")</f>
        <v>https://www.linkedin.com/in/guilhermo-caproni/</v>
      </c>
      <c r="H918" s="1269" t="str">
        <f>IFERROR(__xludf.DUMMYFUNCTION("""COMPUTED_VALUE"""),"Relacionamento Interpessoal")</f>
        <v>Relacionamento Interpessoal</v>
      </c>
      <c r="I918" s="1269" t="str">
        <f>IFERROR(__xludf.DUMMYFUNCTION("""COMPUTED_VALUE"""),"Comunicação e Relacionamento")</f>
        <v>Comunicação e Relacionamento</v>
      </c>
      <c r="J918" s="1273" t="str">
        <f>IFERROR(__xludf.DUMMYFUNCTION("""COMPUTED_VALUE"""),"Abordagem e Prospecção")</f>
        <v>Abordagem e Prospecção</v>
      </c>
      <c r="K918" s="1277" t="str">
        <f>IFERROR(__xludf.DUMMYFUNCTION("""COMPUTED_VALUE"""),"https://universidade.pipelovers.net/m/lessons/o-que-a-filosofia-pode-ensinar-para-quem-vende-1788460956665?moduleId=1637&amp;classId=4544")</f>
        <v>https://universidade.pipelovers.net/m/lessons/o-que-a-filosofia-pode-ensinar-para-quem-vende-1788460956665?moduleId=1637&amp;classId=4544</v>
      </c>
      <c r="L918" s="1246"/>
      <c r="M918" s="1254">
        <f>IFERROR(__xludf.DUMMYFUNCTION("""COMPUTED_VALUE"""),2.57)</f>
        <v>2.57</v>
      </c>
      <c r="N918" s="1246"/>
      <c r="O918" s="1246" t="str">
        <f>IFERROR(__xludf.DUMMYFUNCTION("""COMPUTED_VALUE"""),"")</f>
        <v/>
      </c>
      <c r="P918" s="1249"/>
      <c r="Q918" s="1246"/>
    </row>
    <row r="919">
      <c r="A919" s="73"/>
      <c r="B919" s="886" t="str">
        <f>IFERROR(__xludf.DUMMYFUNCTION("""COMPUTED_VALUE"""),"Class")</f>
        <v>Class</v>
      </c>
      <c r="C919" s="1280" t="str">
        <f>IFERROR(__xludf.DUMMYFUNCTION("""COMPUTED_VALUE"""),"Planejamento Go-To-Market para 2027")</f>
        <v>Planejamento Go-To-Market para 2027</v>
      </c>
      <c r="D919" s="1280" t="str">
        <f>IFERROR(__xludf.DUMMYFUNCTION("""COMPUTED_VALUE"""),"Ricardo Okino")</f>
        <v>Ricardo Okino</v>
      </c>
      <c r="E919" s="1246" t="str">
        <f>IFERROR(__xludf.DUMMYFUNCTION("""COMPUTED_VALUE"""),"Co-founder")</f>
        <v>Co-founder</v>
      </c>
      <c r="F919" s="1275" t="str">
        <f>IFERROR(__xludf.DUMMYFUNCTION("""COMPUTED_VALUE"""),"Escola Exchange")</f>
        <v>Escola Exchange</v>
      </c>
      <c r="G919" s="1077" t="str">
        <f>IFERROR(__xludf.DUMMYFUNCTION("""COMPUTED_VALUE"""),"https://www.linkedin.com/in/ricardookino/")</f>
        <v>https://www.linkedin.com/in/ricardookino/</v>
      </c>
      <c r="H919" s="1276" t="str">
        <f>IFERROR(__xludf.DUMMYFUNCTION("""COMPUTED_VALUE"""),"Visão de Negócios")</f>
        <v>Visão de Negócios</v>
      </c>
      <c r="I919" s="1276" t="str">
        <f>IFERROR(__xludf.DUMMYFUNCTION("""COMPUTED_VALUE"""),"Tendências de Mercado")</f>
        <v>Tendências de Mercado</v>
      </c>
      <c r="J919" s="1275" t="str">
        <f>IFERROR(__xludf.DUMMYFUNCTION("""COMPUTED_VALUE"""),"Planejamento Comercial")</f>
        <v>Planejamento Comercial</v>
      </c>
      <c r="K919" s="1277" t="str">
        <f>IFERROR(__xludf.DUMMYFUNCTION("""COMPUTED_VALUE"""),"https://universidade.pipelovers.net/m/lessons/planejamento-go-to-market-para-2027-1786047266518?moduleId=1702&amp;classId=4639")</f>
        <v>https://universidade.pipelovers.net/m/lessons/planejamento-go-to-market-para-2027-1786047266518?moduleId=1702&amp;classId=4639</v>
      </c>
      <c r="L919" s="1246"/>
      <c r="M919" s="1254"/>
      <c r="N919" s="1246"/>
      <c r="O919" s="1246" t="str">
        <f>IFERROR(__xludf.DUMMYFUNCTION("""COMPUTED_VALUE"""),"")</f>
        <v/>
      </c>
      <c r="P919" s="1249"/>
      <c r="Q919" s="1246"/>
    </row>
    <row r="920">
      <c r="A920" s="73"/>
      <c r="B920" s="886" t="str">
        <f>IFERROR(__xludf.DUMMYFUNCTION("""COMPUTED_VALUE"""),"Class")</f>
        <v>Class</v>
      </c>
      <c r="C920" s="1280" t="str">
        <f>IFERROR(__xludf.DUMMYFUNCTION("""COMPUTED_VALUE"""),"Do sucesso do cliente à expansão da conta")</f>
        <v>Do sucesso do cliente à expansão da conta</v>
      </c>
      <c r="D920" s="1280" t="str">
        <f>IFERROR(__xludf.DUMMYFUNCTION("""COMPUTED_VALUE"""),"Tarcisio Silva")</f>
        <v>Tarcisio Silva</v>
      </c>
      <c r="E920" s="1246" t="str">
        <f>IFERROR(__xludf.DUMMYFUNCTION("""COMPUTED_VALUE"""),"Professor e Palestrante")</f>
        <v>Professor e Palestrante</v>
      </c>
      <c r="F920" s="1275" t="str">
        <f>IFERROR(__xludf.DUMMYFUNCTION("""COMPUTED_VALUE"""),"Interface Cursos")</f>
        <v>Interface Cursos</v>
      </c>
      <c r="G920" s="1077" t="str">
        <f>IFERROR(__xludf.DUMMYFUNCTION("""COMPUTED_VALUE"""),"https://www.instagram.com/professor.tarcisio/")</f>
        <v>https://www.instagram.com/professor.tarcisio/</v>
      </c>
      <c r="H920" s="1276" t="str">
        <f>IFERROR(__xludf.DUMMYFUNCTION("""COMPUTED_VALUE"""),"Visão de Negócios")</f>
        <v>Visão de Negócios</v>
      </c>
      <c r="I920" s="1276" t="str">
        <f>IFERROR(__xludf.DUMMYFUNCTION("""COMPUTED_VALUE"""),"Tendências de Mercado")</f>
        <v>Tendências de Mercado</v>
      </c>
      <c r="J920" s="1275" t="str">
        <f>IFERROR(__xludf.DUMMYFUNCTION("""COMPUTED_VALUE"""),"Planejamento Comercial")</f>
        <v>Planejamento Comercial</v>
      </c>
      <c r="K920" s="1277" t="str">
        <f>IFERROR(__xludf.DUMMYFUNCTION("""COMPUTED_VALUE"""),"https://universidade.pipelovers.net/m/lessons/do-sucesso-do-cliente-a-expansao-da-conta-1790368863964?moduleId=1705&amp;classId=4641")</f>
        <v>https://universidade.pipelovers.net/m/lessons/do-sucesso-do-cliente-a-expansao-da-conta-1790368863964?moduleId=1705&amp;classId=4641</v>
      </c>
      <c r="L920" s="1246"/>
      <c r="M920" s="1254">
        <f>IFERROR(__xludf.DUMMYFUNCTION("""COMPUTED_VALUE"""),2.57)</f>
        <v>2.57</v>
      </c>
      <c r="N920" s="1246"/>
      <c r="O920" s="1246" t="str">
        <f>IFERROR(__xludf.DUMMYFUNCTION("""COMPUTED_VALUE"""),"")</f>
        <v/>
      </c>
      <c r="P920" s="1249"/>
      <c r="Q920" s="1246"/>
    </row>
    <row r="921">
      <c r="A921" s="73"/>
      <c r="B921" s="886" t="str">
        <f>IFERROR(__xludf.DUMMYFUNCTION("""COMPUTED_VALUE"""),"Class")</f>
        <v>Class</v>
      </c>
      <c r="C921" s="1280" t="str">
        <f>IFERROR(__xludf.DUMMYFUNCTION("""COMPUTED_VALUE"""),"Criação de templates de cadência com Claude")</f>
        <v>Criação de templates de cadência com Claude</v>
      </c>
      <c r="D921" s="1280" t="str">
        <f>IFERROR(__xludf.DUMMYFUNCTION("""COMPUTED_VALUE"""),"Yago Baia")</f>
        <v>Yago Baia</v>
      </c>
      <c r="E921" s="1246" t="str">
        <f>IFERROR(__xludf.DUMMYFUNCTION("""COMPUTED_VALUE"""),"Sócio e Diretor Comercial")</f>
        <v>Sócio e Diretor Comercial</v>
      </c>
      <c r="F921" s="1275" t="str">
        <f>IFERROR(__xludf.DUMMYFUNCTION("""COMPUTED_VALUE"""),"Vox2you")</f>
        <v>Vox2you</v>
      </c>
      <c r="G921" s="1077" t="str">
        <f>IFERROR(__xludf.DUMMYFUNCTION("""COMPUTED_VALUE"""),"https://www.linkedin.com/in/oyagobaia/")</f>
        <v>https://www.linkedin.com/in/oyagobaia/</v>
      </c>
      <c r="H921" s="1276" t="str">
        <f>IFERROR(__xludf.DUMMYFUNCTION("""COMPUTED_VALUE"""),"Visão de Negócios")</f>
        <v>Visão de Negócios</v>
      </c>
      <c r="I921" s="1276" t="str">
        <f>IFERROR(__xludf.DUMMYFUNCTION("""COMPUTED_VALUE"""),"Tendências de Mercado")</f>
        <v>Tendências de Mercado</v>
      </c>
      <c r="J921" s="1275" t="str">
        <f>IFERROR(__xludf.DUMMYFUNCTION("""COMPUTED_VALUE"""),"Inovações Tecnológicas")</f>
        <v>Inovações Tecnológicas</v>
      </c>
      <c r="K921" s="1281" t="str">
        <f>IFERROR(__xludf.DUMMYFUNCTION("""COMPUTED_VALUE"""),"https://universidade.pipelovers.net/m/lessons/criacao-de-claude-gems-de-para-construcao-de-templates-de-cadencia-1790688694800?moduleId=1708&amp;classId=4646")</f>
        <v>https://universidade.pipelovers.net/m/lessons/criacao-de-claude-gems-de-para-construcao-de-templates-de-cadencia-1790688694800?moduleId=1708&amp;classId=4646</v>
      </c>
      <c r="L921" s="1246"/>
      <c r="M921" s="1254">
        <f>IFERROR(__xludf.DUMMYFUNCTION("""COMPUTED_VALUE"""),3.43)</f>
        <v>3.43</v>
      </c>
      <c r="N921" s="1246"/>
      <c r="O921" s="1246" t="str">
        <f>IFERROR(__xludf.DUMMYFUNCTION("""COMPUTED_VALUE"""),"")</f>
        <v/>
      </c>
      <c r="P921" s="1249"/>
      <c r="Q921" s="1246"/>
    </row>
    <row r="922">
      <c r="A922" s="73"/>
      <c r="B922" s="886" t="str">
        <f>IFERROR(__xludf.DUMMYFUNCTION("""COMPUTED_VALUE"""),"Class")</f>
        <v>Class</v>
      </c>
      <c r="C922" s="1280" t="str">
        <f>IFERROR(__xludf.DUMMYFUNCTION("""COMPUTED_VALUE"""),"Vendas Consultivas: Da execução a gestão")</f>
        <v>Vendas Consultivas: Da execução a gestão</v>
      </c>
      <c r="D922" s="1280" t="str">
        <f>IFERROR(__xludf.DUMMYFUNCTION("""COMPUTED_VALUE"""),"John Wilian")</f>
        <v>John Wilian</v>
      </c>
      <c r="E922" s="1246" t="str">
        <f>IFERROR(__xludf.DUMMYFUNCTION("""COMPUTED_VALUE"""),"Head Comercial")</f>
        <v>Head Comercial</v>
      </c>
      <c r="F922" s="1275" t="str">
        <f>IFERROR(__xludf.DUMMYFUNCTION("""COMPUTED_VALUE"""),"Voip do Brasil")</f>
        <v>Voip do Brasil</v>
      </c>
      <c r="G922" s="1077" t="str">
        <f>IFERROR(__xludf.DUMMYFUNCTION("""COMPUTED_VALUE"""),"linkedin.com/in/john-wilian-9076bbb6")</f>
        <v>linkedin.com/in/john-wilian-9076bbb6</v>
      </c>
      <c r="H922" s="1276" t="str">
        <f>IFERROR(__xludf.DUMMYFUNCTION("""COMPUTED_VALUE"""),"Visão de Negócios")</f>
        <v>Visão de Negócios</v>
      </c>
      <c r="I922" s="1276" t="str">
        <f>IFERROR(__xludf.DUMMYFUNCTION("""COMPUTED_VALUE"""),"Tendências de Mercado")</f>
        <v>Tendências de Mercado</v>
      </c>
      <c r="J922" s="1275"/>
      <c r="K922" s="1277" t="str">
        <f>IFERROR(__xludf.DUMMYFUNCTION("""COMPUTED_VALUE"""),"https://universidade.pipelovers.net/m/lessons/vendas-consultivas-da-execucao-a-gestao-1791293252716?moduleId=1723&amp;classId=4808")</f>
        <v>https://universidade.pipelovers.net/m/lessons/vendas-consultivas-da-execucao-a-gestao-1791293252716?moduleId=1723&amp;classId=4808</v>
      </c>
      <c r="L922" s="1281" t="str">
        <f>IFERROR(__xludf.DUMMYFUNCTION("""COMPUTED_VALUE"""),"https://universidade.pipelovers.net/m/lessons/vendas-consultivas-da-execucao-a-gestao-1791293252716?moduleId=1723&amp;classId=4808")</f>
        <v>https://universidade.pipelovers.net/m/lessons/vendas-consultivas-da-execucao-a-gestao-1791293252716?moduleId=1723&amp;classId=4808</v>
      </c>
      <c r="M922" s="1254"/>
      <c r="N922" s="1246"/>
      <c r="O922" s="1246" t="str">
        <f>IFERROR(__xludf.DUMMYFUNCTION("""COMPUTED_VALUE"""),"")</f>
        <v/>
      </c>
      <c r="P922" s="1249"/>
      <c r="Q922" s="1246"/>
    </row>
    <row r="923">
      <c r="A923" s="73"/>
      <c r="B923" s="886" t="str">
        <f>IFERROR(__xludf.DUMMYFUNCTION("""COMPUTED_VALUE"""),"Class")</f>
        <v>Class</v>
      </c>
      <c r="C923" s="1280" t="str">
        <f>IFERROR(__xludf.DUMMYFUNCTION("""COMPUTED_VALUE"""),"Gestão Estratégica de Carteira de Clientes")</f>
        <v>Gestão Estratégica de Carteira de Clientes</v>
      </c>
      <c r="D923" s="1280" t="str">
        <f>IFERROR(__xludf.DUMMYFUNCTION("""COMPUTED_VALUE"""),"Ricardo Okino")</f>
        <v>Ricardo Okino</v>
      </c>
      <c r="E923" s="1246" t="str">
        <f>IFERROR(__xludf.DUMMYFUNCTION("""COMPUTED_VALUE"""),"Co-founder")</f>
        <v>Co-founder</v>
      </c>
      <c r="F923" s="1275" t="str">
        <f>IFERROR(__xludf.DUMMYFUNCTION("""COMPUTED_VALUE"""),"Escola Exchange")</f>
        <v>Escola Exchange</v>
      </c>
      <c r="G923" s="1077" t="str">
        <f>IFERROR(__xludf.DUMMYFUNCTION("""COMPUTED_VALUE"""),"https://www.linkedin.com/in/ricardookino/")</f>
        <v>https://www.linkedin.com/in/ricardookino/</v>
      </c>
      <c r="H923" s="1276" t="str">
        <f>IFERROR(__xludf.DUMMYFUNCTION("""COMPUTED_VALUE"""),"Visão de Negócios")</f>
        <v>Visão de Negócios</v>
      </c>
      <c r="I923" s="1276" t="str">
        <f>IFERROR(__xludf.DUMMYFUNCTION("""COMPUTED_VALUE"""),"Tendências de Mercado")</f>
        <v>Tendências de Mercado</v>
      </c>
      <c r="J923" s="1275"/>
      <c r="K923" s="1277" t="str">
        <f>IFERROR(__xludf.DUMMYFUNCTION("""COMPUTED_VALUE"""),"https://universidade.pipelovers.net/m/lessons/gestao-estrategica-de-carteira-de-clientes-1792158790252?moduleId=1735&amp;classId=4820")</f>
        <v>https://universidade.pipelovers.net/m/lessons/gestao-estrategica-de-carteira-de-clientes-1792158790252?moduleId=1735&amp;classId=4820</v>
      </c>
      <c r="L923" s="1281" t="str">
        <f>IFERROR(__xludf.DUMMYFUNCTION("""COMPUTED_VALUE"""),"https://universidade.pipelovers.net/m/lessons/gestao-estrategica-de-carteira-de-clientes-1792158790252?moduleId=1735&amp;classId=4820")</f>
        <v>https://universidade.pipelovers.net/m/lessons/gestao-estrategica-de-carteira-de-clientes-1792158790252?moduleId=1735&amp;classId=4820</v>
      </c>
      <c r="M923" s="1254"/>
      <c r="N923" s="1246"/>
      <c r="O923" s="1246" t="str">
        <f>IFERROR(__xludf.DUMMYFUNCTION("""COMPUTED_VALUE"""),"")</f>
        <v/>
      </c>
      <c r="P923" s="1249"/>
      <c r="Q923" s="1246"/>
    </row>
    <row r="924">
      <c r="A924" s="73"/>
      <c r="B924" s="886" t="str">
        <f>IFERROR(__xludf.DUMMYFUNCTION("""COMPUTED_VALUE"""),"")</f>
        <v/>
      </c>
      <c r="C924" s="1280" t="str">
        <f>IFERROR(__xludf.DUMMYFUNCTION("""COMPUTED_VALUE"""),"")</f>
        <v/>
      </c>
      <c r="D924" s="1280" t="str">
        <f>IFERROR(__xludf.DUMMYFUNCTION("""COMPUTED_VALUE"""),"")</f>
        <v/>
      </c>
      <c r="E924" s="1246" t="str">
        <f>IFERROR(__xludf.DUMMYFUNCTION("""COMPUTED_VALUE"""),"")</f>
        <v/>
      </c>
      <c r="F924" s="1275" t="str">
        <f>IFERROR(__xludf.DUMMYFUNCTION("""COMPUTED_VALUE"""),"")</f>
        <v/>
      </c>
      <c r="G924" s="1276" t="str">
        <f>IFERROR(__xludf.DUMMYFUNCTION("""COMPUTED_VALUE"""),"")</f>
        <v/>
      </c>
      <c r="H924" s="1276" t="str">
        <f>IFERROR(__xludf.DUMMYFUNCTION("""COMPUTED_VALUE"""),"")</f>
        <v/>
      </c>
      <c r="I924" s="1276" t="str">
        <f>IFERROR(__xludf.DUMMYFUNCTION("""COMPUTED_VALUE"""),"")</f>
        <v/>
      </c>
      <c r="J924" s="1275" t="str">
        <f>IFERROR(__xludf.DUMMYFUNCTION("""COMPUTED_VALUE"""),"")</f>
        <v/>
      </c>
      <c r="K924" s="1275" t="str">
        <f>IFERROR(__xludf.DUMMYFUNCTION("""COMPUTED_VALUE"""),"")</f>
        <v/>
      </c>
      <c r="L924" s="1246" t="str">
        <f>IFERROR(__xludf.DUMMYFUNCTION("""COMPUTED_VALUE"""),"")</f>
        <v/>
      </c>
      <c r="M924" s="1254" t="str">
        <f>IFERROR(__xludf.DUMMYFUNCTION("""COMPUTED_VALUE"""),"")</f>
        <v/>
      </c>
      <c r="N924" s="1246" t="str">
        <f>IFERROR(__xludf.DUMMYFUNCTION("""COMPUTED_VALUE"""),"")</f>
        <v/>
      </c>
      <c r="O924" s="1246" t="str">
        <f>IFERROR(__xludf.DUMMYFUNCTION("""COMPUTED_VALUE"""),"")</f>
        <v/>
      </c>
      <c r="P924" s="1249" t="str">
        <f>IFERROR(__xludf.DUMMYFUNCTION("""COMPUTED_VALUE"""),"")</f>
        <v/>
      </c>
      <c r="Q924" s="1246"/>
    </row>
    <row r="925">
      <c r="A925" s="73"/>
      <c r="B925" s="886" t="str">
        <f>IFERROR(__xludf.DUMMYFUNCTION("""COMPUTED_VALUE"""),"Class")</f>
        <v>Class</v>
      </c>
      <c r="C925" s="1280" t="str">
        <f>IFERROR(__xludf.DUMMYFUNCTION("""COMPUTED_VALUE"""),"Aula 01: Estratégias de Crescimento e Go-To-Market (GTM)")</f>
        <v>Aula 01: Estratégias de Crescimento e Go-To-Market (GTM)</v>
      </c>
      <c r="D925" s="1280" t="str">
        <f>IFERROR(__xludf.DUMMYFUNCTION("""COMPUTED_VALUE"""),"Gustavo Pagotto")</f>
        <v>Gustavo Pagotto</v>
      </c>
      <c r="E925" s="1246" t="str">
        <f>IFERROR(__xludf.DUMMYFUNCTION("""COMPUTED_VALUE"""),"CEO PipeLovers")</f>
        <v>CEO PipeLovers</v>
      </c>
      <c r="F925" s="1275" t="str">
        <f>IFERROR(__xludf.DUMMYFUNCTION("""COMPUTED_VALUE"""),"PipeLovers")</f>
        <v>PipeLovers</v>
      </c>
      <c r="G925" s="1077" t="str">
        <f>IFERROR(__xludf.DUMMYFUNCTION("""COMPUTED_VALUE"""),"https://www.linkedin.com/in/gpagotto/")</f>
        <v>https://www.linkedin.com/in/gpagotto/</v>
      </c>
      <c r="H925" s="1276" t="str">
        <f>IFERROR(__xludf.DUMMYFUNCTION("""COMPUTED_VALUE"""),"Conhecimento Técnico")</f>
        <v>Conhecimento Técnico</v>
      </c>
      <c r="I925" s="1276" t="str">
        <f>IFERROR(__xludf.DUMMYFUNCTION("""COMPUTED_VALUE"""),"Gestão de Vendas")</f>
        <v>Gestão de Vendas</v>
      </c>
      <c r="J925" s="1275" t="str">
        <f>IFERROR(__xludf.DUMMYFUNCTION("""COMPUTED_VALUE"""),"Planejamento Comercial")</f>
        <v>Planejamento Comercial</v>
      </c>
      <c r="K925" s="1277" t="str">
        <f>IFERROR(__xludf.DUMMYFUNCTION("""COMPUTED_VALUE"""),"https://universidade.pipelovers.net/m/lessons/programa-de-construcao-da-maquina-de-vendas-b2b-estrategias-de-crescimento-e-go-to-market-gtm-1789586957052?moduleId=1677&amp;classId=4612")</f>
        <v>https://universidade.pipelovers.net/m/lessons/programa-de-construcao-da-maquina-de-vendas-b2b-estrategias-de-crescimento-e-go-to-market-gtm-1789586957052?moduleId=1677&amp;classId=4612</v>
      </c>
      <c r="L925" s="1281" t="str">
        <f>IFERROR(__xludf.DUMMYFUNCTION("""COMPUTED_VALUE"""),"https://universidade.pipelovers.net/m/lessons/programa-de-construcao-da-maquina-de-vendas-b2b-estrategias-de-crescimento-e-go-to-market-gtm-1789586957052?moduleId=1677&amp;classId=4612")</f>
        <v>https://universidade.pipelovers.net/m/lessons/programa-de-construcao-da-maquina-de-vendas-b2b-estrategias-de-crescimento-e-go-to-market-gtm-1789586957052?moduleId=1677&amp;classId=4612</v>
      </c>
      <c r="M925" s="1254">
        <f>IFERROR(__xludf.DUMMYFUNCTION("""COMPUTED_VALUE"""),5.0)</f>
        <v>5</v>
      </c>
      <c r="N925" s="1246" t="str">
        <f>IFERROR(__xludf.DUMMYFUNCTION("""COMPUTED_VALUE"""),"Aula 01  Programa de Construção da Máquina de Vendas B2B Estratégias de Crescimento e Go-To-Market (GTM) com Gustavo Pagotto - descript.mp4")</f>
        <v>Aula 01  Programa de Construção da Máquina de Vendas B2B Estratégias de Crescimento e Go-To-Market (GTM) com Gustavo Pagotto - descript.mp4</v>
      </c>
      <c r="O925" s="1246" t="str">
        <f>IFERROR(__xludf.DUMMYFUNCTION("""COMPUTED_VALUE"""),"")</f>
        <v/>
      </c>
      <c r="P925" s="1249">
        <f>IFERROR(__xludf.DUMMYFUNCTION("""COMPUTED_VALUE"""),46303.0)</f>
        <v>46303</v>
      </c>
      <c r="Q925" s="1246"/>
    </row>
    <row r="926">
      <c r="A926" s="73"/>
      <c r="B926" s="886" t="str">
        <f>IFERROR(__xludf.DUMMYFUNCTION("""COMPUTED_VALUE"""),"Class")</f>
        <v>Class</v>
      </c>
      <c r="C926" s="1280" t="str">
        <f>IFERROR(__xludf.DUMMYFUNCTION("""COMPUTED_VALUE"""),"Aula 02: Construção de Playbooks de Vendas com IA")</f>
        <v>Aula 02: Construção de Playbooks de Vendas com IA</v>
      </c>
      <c r="D926" s="1280" t="str">
        <f>IFERROR(__xludf.DUMMYFUNCTION("""COMPUTED_VALUE"""),"Maucir Nascimento")</f>
        <v>Maucir Nascimento</v>
      </c>
      <c r="E926" s="1246" t="str">
        <f>IFERROR(__xludf.DUMMYFUNCTION("""COMPUTED_VALUE"""),"CEO")</f>
        <v>CEO</v>
      </c>
      <c r="F926" s="1275" t="str">
        <f>IFERROR(__xludf.DUMMYFUNCTION("""COMPUTED_VALUE"""),"Noblah")</f>
        <v>Noblah</v>
      </c>
      <c r="G926" s="1077" t="str">
        <f>IFERROR(__xludf.DUMMYFUNCTION("""COMPUTED_VALUE"""),"https://www.linkedin.com/in/maucirnascimento/")</f>
        <v>https://www.linkedin.com/in/maucirnascimento/</v>
      </c>
      <c r="H926" s="1276"/>
      <c r="I926" s="1276"/>
      <c r="J926" s="1275" t="str">
        <f>IFERROR(__xludf.DUMMYFUNCTION("""COMPUTED_VALUE"""),"Planejamento Comercial")</f>
        <v>Planejamento Comercial</v>
      </c>
      <c r="K926" s="1277" t="str">
        <f>IFERROR(__xludf.DUMMYFUNCTION("""COMPUTED_VALUE"""),"https://universidade.pipelovers.net/m/lessons/programa-de-construcao-da-maquina-de-vendas-b2b-construcao-de-playbooks-de-vendas-com-ia-1790017719614")</f>
        <v>https://universidade.pipelovers.net/m/lessons/programa-de-construcao-da-maquina-de-vendas-b2b-construcao-de-playbooks-de-vendas-com-ia-1790017719614</v>
      </c>
      <c r="L926" s="1281" t="str">
        <f>IFERROR(__xludf.DUMMYFUNCTION("""COMPUTED_VALUE"""),"https://universidade.pipelovers.net/m/lessons/programa-de-construcao-da-maquina-de-vendas-b2b-construcao-de-playbooks-de-vendas-com-ia-1790017719614")</f>
        <v>https://universidade.pipelovers.net/m/lessons/programa-de-construcao-da-maquina-de-vendas-b2b-construcao-de-playbooks-de-vendas-com-ia-1790017719614</v>
      </c>
      <c r="M926" s="1249"/>
      <c r="N926" s="1246" t="str">
        <f>IFERROR(__xludf.DUMMYFUNCTION("""COMPUTED_VALUE"""),"_Aula 02  Programa de Construção da Máquina de Ven.mp4")</f>
        <v>_Aula 02  Programa de Construção da Máquina de Ven.mp4</v>
      </c>
      <c r="O926" s="1246" t="str">
        <f>IFERROR(__xludf.DUMMYFUNCTION("""COMPUTED_VALUE"""),"")</f>
        <v/>
      </c>
      <c r="P926" s="1249">
        <f>IFERROR(__xludf.DUMMYFUNCTION("""COMPUTED_VALUE"""),46317.0)</f>
        <v>46317</v>
      </c>
      <c r="Q926" s="1246"/>
    </row>
    <row r="927">
      <c r="A927" s="73"/>
      <c r="B927" s="886" t="str">
        <f>IFERROR(__xludf.DUMMYFUNCTION("""COMPUTED_VALUE"""),"")</f>
        <v/>
      </c>
      <c r="C927" s="1280" t="str">
        <f>IFERROR(__xludf.DUMMYFUNCTION("""COMPUTED_VALUE"""),"")</f>
        <v/>
      </c>
      <c r="D927" s="1280" t="str">
        <f>IFERROR(__xludf.DUMMYFUNCTION("""COMPUTED_VALUE"""),"")</f>
        <v/>
      </c>
      <c r="E927" s="1246" t="str">
        <f>IFERROR(__xludf.DUMMYFUNCTION("""COMPUTED_VALUE"""),"")</f>
        <v/>
      </c>
      <c r="F927" s="1275" t="str">
        <f>IFERROR(__xludf.DUMMYFUNCTION("""COMPUTED_VALUE"""),"")</f>
        <v/>
      </c>
      <c r="G927" s="1276" t="str">
        <f>IFERROR(__xludf.DUMMYFUNCTION("""COMPUTED_VALUE"""),"")</f>
        <v/>
      </c>
      <c r="H927" s="1276" t="str">
        <f>IFERROR(__xludf.DUMMYFUNCTION("""COMPUTED_VALUE"""),"")</f>
        <v/>
      </c>
      <c r="I927" s="1276" t="str">
        <f>IFERROR(__xludf.DUMMYFUNCTION("""COMPUTED_VALUE"""),"")</f>
        <v/>
      </c>
      <c r="J927" s="1275" t="str">
        <f>IFERROR(__xludf.DUMMYFUNCTION("""COMPUTED_VALUE"""),"")</f>
        <v/>
      </c>
      <c r="K927" s="1275" t="str">
        <f>IFERROR(__xludf.DUMMYFUNCTION("""COMPUTED_VALUE"""),"")</f>
        <v/>
      </c>
      <c r="L927" s="1246" t="str">
        <f>IFERROR(__xludf.DUMMYFUNCTION("""COMPUTED_VALUE"""),"")</f>
        <v/>
      </c>
      <c r="M927" s="1254" t="str">
        <f>IFERROR(__xludf.DUMMYFUNCTION("""COMPUTED_VALUE"""),"")</f>
        <v/>
      </c>
      <c r="N927" s="1246" t="str">
        <f>IFERROR(__xludf.DUMMYFUNCTION("""COMPUTED_VALUE"""),"")</f>
        <v/>
      </c>
      <c r="O927" s="1246" t="str">
        <f>IFERROR(__xludf.DUMMYFUNCTION("""COMPUTED_VALUE"""),"")</f>
        <v/>
      </c>
      <c r="P927" s="1249" t="str">
        <f>IFERROR(__xludf.DUMMYFUNCTION("""COMPUTED_VALUE"""),"")</f>
        <v/>
      </c>
      <c r="Q927" s="1246"/>
    </row>
    <row r="928">
      <c r="A928" s="73"/>
      <c r="B928" s="886" t="str">
        <f>IFERROR(__xludf.DUMMYFUNCTION("""COMPUTED_VALUE"""),"Class")</f>
        <v>Class</v>
      </c>
      <c r="C928" s="1280" t="str">
        <f>IFERROR(__xludf.DUMMYFUNCTION("""COMPUTED_VALUE"""),"Módulo 1: Certificação de IA - Fundamentos de IA em vendas")</f>
        <v>Módulo 1: Certificação de IA - Fundamentos de IA em vendas</v>
      </c>
      <c r="D928" s="1280" t="str">
        <f>IFERROR(__xludf.DUMMYFUNCTION("""COMPUTED_VALUE"""),"Iago Martins")</f>
        <v>Iago Martins</v>
      </c>
      <c r="E928" s="1246" t="str">
        <f>IFERROR(__xludf.DUMMYFUNCTION("""COMPUTED_VALUE"""),"Founder")</f>
        <v>Founder</v>
      </c>
      <c r="F928" s="1275" t="str">
        <f>IFERROR(__xludf.DUMMYFUNCTION("""COMPUTED_VALUE"""),"Viver de IA")</f>
        <v>Viver de IA</v>
      </c>
      <c r="G928" s="1077" t="str">
        <f>IFERROR(__xludf.DUMMYFUNCTION("""COMPUTED_VALUE"""),"https://www.linkedin.com/in/yagomartins/")</f>
        <v>https://www.linkedin.com/in/yagomartins/</v>
      </c>
      <c r="H928" s="1276" t="str">
        <f>IFERROR(__xludf.DUMMYFUNCTION("""COMPUTED_VALUE"""),"Visão de Negócios")</f>
        <v>Visão de Negócios</v>
      </c>
      <c r="I928" s="1276" t="str">
        <f>IFERROR(__xludf.DUMMYFUNCTION("""COMPUTED_VALUE"""),"Tendências de Mercado")</f>
        <v>Tendências de Mercado</v>
      </c>
      <c r="J928" s="1275" t="str">
        <f>IFERROR(__xludf.DUMMYFUNCTION("""COMPUTED_VALUE"""),"Inovações Tecnológicas")</f>
        <v>Inovações Tecnológicas</v>
      </c>
      <c r="K928" s="1277" t="str">
        <f>IFERROR(__xludf.DUMMYFUNCTION("""COMPUTED_VALUE"""),"https://pipelovers.curseduca.pro/m/lessons/modulo-1-certificacao-em-inteligencia-artificial-fundamentos-de-ia-em-vendas-1783114254816")</f>
        <v>https://pipelovers.curseduca.pro/m/lessons/modulo-1-certificacao-em-inteligencia-artificial-fundamentos-de-ia-em-vendas-1783114254816</v>
      </c>
      <c r="L928" s="1281" t="str">
        <f>IFERROR(__xludf.DUMMYFUNCTION("""COMPUTED_VALUE"""),"https://pipelovers.curseduca.pro/m/lessons/modulo-1-certificacao-em-inteligencia-artificial-fundamentos-de-ia-em-vendas-1783114254816")</f>
        <v>https://pipelovers.curseduca.pro/m/lessons/modulo-1-certificacao-em-inteligencia-artificial-fundamentos-de-ia-em-vendas-1783114254816</v>
      </c>
      <c r="M928" s="1254">
        <f>IFERROR(__xludf.DUMMYFUNCTION("""COMPUTED_VALUE"""),5.0)</f>
        <v>5</v>
      </c>
      <c r="N928" s="1246"/>
      <c r="O928" s="1246" t="str">
        <f>IFERROR(__xludf.DUMMYFUNCTION("""COMPUTED_VALUE"""),"")</f>
        <v/>
      </c>
      <c r="P928" s="1249">
        <f>IFERROR(__xludf.DUMMYFUNCTION("""COMPUTED_VALUE"""),46213.0)</f>
        <v>46213</v>
      </c>
      <c r="Q928" s="1246"/>
    </row>
    <row r="929">
      <c r="A929" s="73"/>
      <c r="B929" s="886" t="str">
        <f>IFERROR(__xludf.DUMMYFUNCTION("""COMPUTED_VALUE"""),"Class")</f>
        <v>Class</v>
      </c>
      <c r="C929" s="1280" t="str">
        <f>IFERROR(__xludf.DUMMYFUNCTION("""COMPUTED_VALUE"""),"Módulo 2: Certificação de IA - IA na Prospecção: Pesquisa, Personalização e Ritmo")</f>
        <v>Módulo 2: Certificação de IA - IA na Prospecção: Pesquisa, Personalização e Ritmo</v>
      </c>
      <c r="D929" s="1280" t="str">
        <f>IFERROR(__xludf.DUMMYFUNCTION("""COMPUTED_VALUE"""),"Igor Batista")</f>
        <v>Igor Batista</v>
      </c>
      <c r="E929" s="1246"/>
      <c r="F929" s="1275"/>
      <c r="G929" s="1077" t="str">
        <f>IFERROR(__xludf.DUMMYFUNCTION("""COMPUTED_VALUE"""),"https://www.linkedin.com/in/igorbatista/")</f>
        <v>https://www.linkedin.com/in/igorbatista/</v>
      </c>
      <c r="H929" s="1276" t="str">
        <f>IFERROR(__xludf.DUMMYFUNCTION("""COMPUTED_VALUE"""),"Visão de Negócios")</f>
        <v>Visão de Negócios</v>
      </c>
      <c r="I929" s="1276" t="str">
        <f>IFERROR(__xludf.DUMMYFUNCTION("""COMPUTED_VALUE"""),"Tendências de Mercado")</f>
        <v>Tendências de Mercado</v>
      </c>
      <c r="J929" s="1275" t="str">
        <f>IFERROR(__xludf.DUMMYFUNCTION("""COMPUTED_VALUE"""),"Abordagem e Prospecção")</f>
        <v>Abordagem e Prospecção</v>
      </c>
      <c r="K929" s="1277" t="str">
        <f>IFERROR(__xludf.DUMMYFUNCTION("""COMPUTED_VALUE"""),"https://universidade.pipelovers.net/m/lessons/ia-na-prospeccao-pesquisa-personalizacao-e-ritmo-1784049963676")</f>
        <v>https://universidade.pipelovers.net/m/lessons/ia-na-prospeccao-pesquisa-personalizacao-e-ritmo-1784049963676</v>
      </c>
      <c r="L929" s="1281" t="str">
        <f>IFERROR(__xludf.DUMMYFUNCTION("""COMPUTED_VALUE"""),"https://universidade.pipelovers.net/m/lessons/ia-na-prospeccao-pesquisa-personalizacao-e-ritmo-1784049963676")</f>
        <v>https://universidade.pipelovers.net/m/lessons/ia-na-prospeccao-pesquisa-personalizacao-e-ritmo-1784049963676</v>
      </c>
      <c r="M929" s="1254">
        <f>IFERROR(__xludf.DUMMYFUNCTION("""COMPUTED_VALUE"""),5.0)</f>
        <v>5</v>
      </c>
      <c r="N929" s="1246"/>
      <c r="O929" s="1246" t="str">
        <f>IFERROR(__xludf.DUMMYFUNCTION("""COMPUTED_VALUE"""),"")</f>
        <v/>
      </c>
      <c r="P929" s="1249">
        <f>IFERROR(__xludf.DUMMYFUNCTION("""COMPUTED_VALUE"""),46227.0)</f>
        <v>46227</v>
      </c>
      <c r="Q929" s="1246"/>
    </row>
    <row r="930">
      <c r="A930" s="73"/>
      <c r="B930" s="886" t="str">
        <f>IFERROR(__xludf.DUMMYFUNCTION("""COMPUTED_VALUE"""),"Class")</f>
        <v>Class</v>
      </c>
      <c r="C930" s="1280" t="str">
        <f>IFERROR(__xludf.DUMMYFUNCTION("""COMPUTED_VALUE"""),"Módulo 3: Certificação de IA - IA na Qualificação e na Reunião de Descoberta")</f>
        <v>Módulo 3: Certificação de IA - IA na Qualificação e na Reunião de Descoberta</v>
      </c>
      <c r="D930" s="1280" t="str">
        <f>IFERROR(__xludf.DUMMYFUNCTION("""COMPUTED_VALUE"""),"Robson Del Fiol")</f>
        <v>Robson Del Fiol</v>
      </c>
      <c r="E930" s="1246" t="str">
        <f>IFERROR(__xludf.DUMMYFUNCTION("""COMPUTED_VALUE"""),"Diretor de Educação")</f>
        <v>Diretor de Educação</v>
      </c>
      <c r="F930" s="1275" t="str">
        <f>IFERROR(__xludf.DUMMYFUNCTION("""COMPUTED_VALUE"""),"Sky.One")</f>
        <v>Sky.One</v>
      </c>
      <c r="G930" s="1077" t="str">
        <f>IFERROR(__xludf.DUMMYFUNCTION("""COMPUTED_VALUE"""),"https://www.linkedin.com/in/robsondelfiol/")</f>
        <v>https://www.linkedin.com/in/robsondelfiol/</v>
      </c>
      <c r="H930" s="1276" t="str">
        <f>IFERROR(__xludf.DUMMYFUNCTION("""COMPUTED_VALUE"""),"Visão de Negócios")</f>
        <v>Visão de Negócios</v>
      </c>
      <c r="I930" s="1276" t="str">
        <f>IFERROR(__xludf.DUMMYFUNCTION("""COMPUTED_VALUE"""),"Tendências de Mercado")</f>
        <v>Tendências de Mercado</v>
      </c>
      <c r="J930" s="1275" t="str">
        <f>IFERROR(__xludf.DUMMYFUNCTION("""COMPUTED_VALUE"""),"Qualificação e Entendimento da Dor")</f>
        <v>Qualificação e Entendimento da Dor</v>
      </c>
      <c r="K930" s="1277" t="str">
        <f>IFERROR(__xludf.DUMMYFUNCTION("""COMPUTED_VALUE"""),"https://universidade.pipelovers.net/m/lessons/ia-na-qualificacao-e-na-reuniao-de-descoberta-1784921425354")</f>
        <v>https://universidade.pipelovers.net/m/lessons/ia-na-qualificacao-e-na-reuniao-de-descoberta-1784921425354</v>
      </c>
      <c r="L930" s="1281" t="str">
        <f>IFERROR(__xludf.DUMMYFUNCTION("""COMPUTED_VALUE"""),"https://universidade.pipelovers.net/m/lessons/ia-na-qualificacao-e-na-reuniao-de-descoberta-1784921425354")</f>
        <v>https://universidade.pipelovers.net/m/lessons/ia-na-qualificacao-e-na-reuniao-de-descoberta-1784921425354</v>
      </c>
      <c r="M930" s="1254">
        <f>IFERROR(__xludf.DUMMYFUNCTION("""COMPUTED_VALUE"""),5.0)</f>
        <v>5</v>
      </c>
      <c r="N930" s="1246"/>
      <c r="O930" s="1246" t="str">
        <f>IFERROR(__xludf.DUMMYFUNCTION("""COMPUTED_VALUE"""),"")</f>
        <v/>
      </c>
      <c r="P930" s="1249">
        <f>IFERROR(__xludf.DUMMYFUNCTION("""COMPUTED_VALUE"""),46241.0)</f>
        <v>46241</v>
      </c>
      <c r="Q930" s="1246"/>
    </row>
    <row r="931">
      <c r="A931" s="73"/>
      <c r="B931" s="886" t="str">
        <f>IFERROR(__xludf.DUMMYFUNCTION("""COMPUTED_VALUE"""),"Class")</f>
        <v>Class</v>
      </c>
      <c r="C931" s="1280" t="str">
        <f>IFERROR(__xludf.DUMMYFUNCTION("""COMPUTED_VALUE"""),"Módulo 4: Certificação de IA - IA na Proposta e na Comunicação Comercial")</f>
        <v>Módulo 4: Certificação de IA - IA na Proposta e na Comunicação Comercial</v>
      </c>
      <c r="D931" s="1280" t="str">
        <f>IFERROR(__xludf.DUMMYFUNCTION("""COMPUTED_VALUE"""),"Chris Cornehl")</f>
        <v>Chris Cornehl</v>
      </c>
      <c r="E931" s="1246" t="str">
        <f>IFERROR(__xludf.DUMMYFUNCTION("""COMPUTED_VALUE"""),"CEO")</f>
        <v>CEO</v>
      </c>
      <c r="F931" s="1275" t="str">
        <f>IFERROR(__xludf.DUMMYFUNCTION("""COMPUTED_VALUE"""),"MeetRox")</f>
        <v>MeetRox</v>
      </c>
      <c r="G931" s="1077" t="str">
        <f>IFERROR(__xludf.DUMMYFUNCTION("""COMPUTED_VALUE"""),"https://www.linkedin.com/in/chriscornehl/")</f>
        <v>https://www.linkedin.com/in/chriscornehl/</v>
      </c>
      <c r="H931" s="1276" t="str">
        <f>IFERROR(__xludf.DUMMYFUNCTION("""COMPUTED_VALUE"""),"Visão de Negócios")</f>
        <v>Visão de Negócios</v>
      </c>
      <c r="I931" s="1276" t="str">
        <f>IFERROR(__xludf.DUMMYFUNCTION("""COMPUTED_VALUE"""),"Tendências de Mercado")</f>
        <v>Tendências de Mercado</v>
      </c>
      <c r="J931" s="1275" t="str">
        <f>IFERROR(__xludf.DUMMYFUNCTION("""COMPUTED_VALUE"""),"Pitch Comercial")</f>
        <v>Pitch Comercial</v>
      </c>
      <c r="K931" s="1277" t="str">
        <f>IFERROR(__xludf.DUMMYFUNCTION("""COMPUTED_VALUE"""),"https://universidade.pipelovers.net/m/lessons/certificacao-em-inteligencia-artificial-em-vendas-b2b-1783114475289?moduleId=1474&amp;classId=4492")</f>
        <v>https://universidade.pipelovers.net/m/lessons/certificacao-em-inteligencia-artificial-em-vendas-b2b-1783114475289?moduleId=1474&amp;classId=4492</v>
      </c>
      <c r="L931" s="1281" t="str">
        <f>IFERROR(__xludf.DUMMYFUNCTION("""COMPUTED_VALUE"""),"https://universidade.pipelovers.net/m/lessons/certificacao-em-inteligencia-artificial-em-vendas-b2b-1783114475289?moduleId=1474&amp;classId=4492")</f>
        <v>https://universidade.pipelovers.net/m/lessons/certificacao-em-inteligencia-artificial-em-vendas-b2b-1783114475289?moduleId=1474&amp;classId=4492</v>
      </c>
      <c r="M931" s="1254">
        <f>IFERROR(__xludf.DUMMYFUNCTION("""COMPUTED_VALUE"""),5.0)</f>
        <v>5</v>
      </c>
      <c r="N931" s="1246"/>
      <c r="O931" s="1246" t="str">
        <f>IFERROR(__xludf.DUMMYFUNCTION("""COMPUTED_VALUE"""),"")</f>
        <v/>
      </c>
      <c r="P931" s="1249">
        <f>IFERROR(__xludf.DUMMYFUNCTION("""COMPUTED_VALUE"""),46255.0)</f>
        <v>46255</v>
      </c>
      <c r="Q931" s="1246"/>
    </row>
    <row r="932">
      <c r="A932" s="73"/>
      <c r="B932" s="886" t="str">
        <f>IFERROR(__xludf.DUMMYFUNCTION("""COMPUTED_VALUE"""),"Class")</f>
        <v>Class</v>
      </c>
      <c r="C932" s="1280" t="str">
        <f>IFERROR(__xludf.DUMMYFUNCTION("""COMPUTED_VALUE"""),"Módulo 5: Certificação de IA - IA na Gestão de Objeções e no Fechamento")</f>
        <v>Módulo 5: Certificação de IA - IA na Gestão de Objeções e no Fechamento</v>
      </c>
      <c r="D932" s="1280" t="str">
        <f>IFERROR(__xludf.DUMMYFUNCTION("""COMPUTED_VALUE"""),"Taís")</f>
        <v>Taís</v>
      </c>
      <c r="E932" s="1246" t="str">
        <f>IFERROR(__xludf.DUMMYFUNCTION("""COMPUTED_VALUE"""),"Founder e CEO")</f>
        <v>Founder e CEO</v>
      </c>
      <c r="F932" s="1275" t="str">
        <f>IFERROR(__xludf.DUMMYFUNCTION("""COMPUTED_VALUE"""),"Elephan.IA")</f>
        <v>Elephan.IA</v>
      </c>
      <c r="G932" s="1077" t="str">
        <f>IFERROR(__xludf.DUMMYFUNCTION("""COMPUTED_VALUE"""),"https://www.linkedin.com/in/thais-sterenberg-de-oliveira/")</f>
        <v>https://www.linkedin.com/in/thais-sterenberg-de-oliveira/</v>
      </c>
      <c r="H932" s="1276" t="str">
        <f>IFERROR(__xludf.DUMMYFUNCTION("""COMPUTED_VALUE"""),"Visão de Negócios")</f>
        <v>Visão de Negócios</v>
      </c>
      <c r="I932" s="1276" t="str">
        <f>IFERROR(__xludf.DUMMYFUNCTION("""COMPUTED_VALUE"""),"Tendências de Mercado")</f>
        <v>Tendências de Mercado</v>
      </c>
      <c r="J932" s="1275" t="str">
        <f>IFERROR(__xludf.DUMMYFUNCTION("""COMPUTED_VALUE"""),"Negociação e Fechamento de Vendas")</f>
        <v>Negociação e Fechamento de Vendas</v>
      </c>
      <c r="K932" s="1277" t="str">
        <f>IFERROR(__xludf.DUMMYFUNCTION("""COMPUTED_VALUE"""),"https://universidade.pipelovers.net/m/lessons/ia-na-gestao-de-objecoes-e-no-fechamento-1785177287741")</f>
        <v>https://universidade.pipelovers.net/m/lessons/ia-na-gestao-de-objecoes-e-no-fechamento-1785177287741</v>
      </c>
      <c r="L932" s="1281" t="str">
        <f>IFERROR(__xludf.DUMMYFUNCTION("""COMPUTED_VALUE"""),"https://universidade.pipelovers.net/m/lessons/ia-na-gestao-de-objecoes-e-no-fechamento-1785177287741")</f>
        <v>https://universidade.pipelovers.net/m/lessons/ia-na-gestao-de-objecoes-e-no-fechamento-1785177287741</v>
      </c>
      <c r="M932" s="1254">
        <f>IFERROR(__xludf.DUMMYFUNCTION("""COMPUTED_VALUE"""),5.0)</f>
        <v>5</v>
      </c>
      <c r="N932" s="1246"/>
      <c r="O932" s="1246" t="str">
        <f>IFERROR(__xludf.DUMMYFUNCTION("""COMPUTED_VALUE"""),"")</f>
        <v/>
      </c>
      <c r="P932" s="1249">
        <f>IFERROR(__xludf.DUMMYFUNCTION("""COMPUTED_VALUE"""),46269.0)</f>
        <v>46269</v>
      </c>
      <c r="Q932" s="1246"/>
    </row>
    <row r="933">
      <c r="A933" s="73"/>
      <c r="B933" s="886" t="str">
        <f>IFERROR(__xludf.DUMMYFUNCTION("""COMPUTED_VALUE"""),"Class")</f>
        <v>Class</v>
      </c>
      <c r="C933" s="1280" t="str">
        <f>IFERROR(__xludf.DUMMYFUNCTION("""COMPUTED_VALUE"""),"Módulo 6: Certificação de IA - IA na Gestão do Time e na Liderança Comercial")</f>
        <v>Módulo 6: Certificação de IA - IA na Gestão do Time e na Liderança Comercial</v>
      </c>
      <c r="D933" s="1280" t="str">
        <f>IFERROR(__xludf.DUMMYFUNCTION("""COMPUTED_VALUE"""),"Thiago Grissi")</f>
        <v>Thiago Grissi</v>
      </c>
      <c r="E933" s="1246" t="str">
        <f>IFERROR(__xludf.DUMMYFUNCTION("""COMPUTED_VALUE"""),"Sócio")</f>
        <v>Sócio</v>
      </c>
      <c r="F933" s="1275" t="str">
        <f>IFERROR(__xludf.DUMMYFUNCTION("""COMPUTED_VALUE"""),"Plug.iA")</f>
        <v>Plug.iA</v>
      </c>
      <c r="G933" s="1077" t="str">
        <f>IFERROR(__xludf.DUMMYFUNCTION("""COMPUTED_VALUE"""),"https://www.linkedin.com/in/thiagogrissi/")</f>
        <v>https://www.linkedin.com/in/thiagogrissi/</v>
      </c>
      <c r="H933" s="1276" t="str">
        <f>IFERROR(__xludf.DUMMYFUNCTION("""COMPUTED_VALUE"""),"Visão de Negócios")</f>
        <v>Visão de Negócios</v>
      </c>
      <c r="I933" s="1276" t="str">
        <f>IFERROR(__xludf.DUMMYFUNCTION("""COMPUTED_VALUE"""),"Tendências de Mercado")</f>
        <v>Tendências de Mercado</v>
      </c>
      <c r="J933" s="1275" t="str">
        <f>IFERROR(__xludf.DUMMYFUNCTION("""COMPUTED_VALUE"""),"Mentoria e Desenvolvimento de Talentos")</f>
        <v>Mentoria e Desenvolvimento de Talentos</v>
      </c>
      <c r="K933" s="1277" t="str">
        <f>IFERROR(__xludf.DUMMYFUNCTION("""COMPUTED_VALUE"""),"https://universidade.pipelovers.net/m/lessons/ia-na-gestao-do-time-e-na-lideranca-comercial-1785177476751?moduleId=1569&amp;classId=4421")</f>
        <v>https://universidade.pipelovers.net/m/lessons/ia-na-gestao-do-time-e-na-lideranca-comercial-1785177476751?moduleId=1569&amp;classId=4421</v>
      </c>
      <c r="L933" s="1281" t="str">
        <f>IFERROR(__xludf.DUMMYFUNCTION("""COMPUTED_VALUE"""),"https://universidade.pipelovers.net/m/lessons/ia-na-gestao-do-time-e-na-lideranca-comercial-1785177476751?moduleId=1569&amp;classId=4421")</f>
        <v>https://universidade.pipelovers.net/m/lessons/ia-na-gestao-do-time-e-na-lideranca-comercial-1785177476751?moduleId=1569&amp;classId=4421</v>
      </c>
      <c r="M933" s="1254">
        <f>IFERROR(__xludf.DUMMYFUNCTION("""COMPUTED_VALUE"""),5.0)</f>
        <v>5</v>
      </c>
      <c r="N933" s="1246"/>
      <c r="O933" s="1246" t="str">
        <f>IFERROR(__xludf.DUMMYFUNCTION("""COMPUTED_VALUE"""),"")</f>
        <v/>
      </c>
      <c r="P933" s="1249">
        <f>IFERROR(__xludf.DUMMYFUNCTION("""COMPUTED_VALUE"""),46283.0)</f>
        <v>46283</v>
      </c>
      <c r="Q933" s="1246"/>
    </row>
    <row r="934">
      <c r="A934" s="73"/>
      <c r="B934" s="886" t="str">
        <f>IFERROR(__xludf.DUMMYFUNCTION("""COMPUTED_VALUE"""),"")</f>
        <v/>
      </c>
      <c r="C934" s="1280" t="str">
        <f>IFERROR(__xludf.DUMMYFUNCTION("""COMPUTED_VALUE"""),"")</f>
        <v/>
      </c>
      <c r="D934" s="1280" t="str">
        <f>IFERROR(__xludf.DUMMYFUNCTION("""COMPUTED_VALUE"""),"")</f>
        <v/>
      </c>
      <c r="E934" s="1246" t="str">
        <f>IFERROR(__xludf.DUMMYFUNCTION("""COMPUTED_VALUE"""),"")</f>
        <v/>
      </c>
      <c r="F934" s="1275" t="str">
        <f>IFERROR(__xludf.DUMMYFUNCTION("""COMPUTED_VALUE"""),"")</f>
        <v/>
      </c>
      <c r="G934" s="1276" t="str">
        <f>IFERROR(__xludf.DUMMYFUNCTION("""COMPUTED_VALUE"""),"")</f>
        <v/>
      </c>
      <c r="H934" s="1276" t="str">
        <f>IFERROR(__xludf.DUMMYFUNCTION("""COMPUTED_VALUE"""),"")</f>
        <v/>
      </c>
      <c r="I934" s="1276" t="str">
        <f>IFERROR(__xludf.DUMMYFUNCTION("""COMPUTED_VALUE"""),"")</f>
        <v/>
      </c>
      <c r="J934" s="1275" t="str">
        <f>IFERROR(__xludf.DUMMYFUNCTION("""COMPUTED_VALUE"""),"")</f>
        <v/>
      </c>
      <c r="K934" s="1275" t="str">
        <f>IFERROR(__xludf.DUMMYFUNCTION("""COMPUTED_VALUE"""),"")</f>
        <v/>
      </c>
      <c r="L934" s="1246" t="str">
        <f>IFERROR(__xludf.DUMMYFUNCTION("""COMPUTED_VALUE"""),"")</f>
        <v/>
      </c>
      <c r="M934" s="1254" t="str">
        <f>IFERROR(__xludf.DUMMYFUNCTION("""COMPUTED_VALUE"""),"")</f>
        <v/>
      </c>
      <c r="N934" s="1246" t="str">
        <f>IFERROR(__xludf.DUMMYFUNCTION("""COMPUTED_VALUE"""),"")</f>
        <v/>
      </c>
      <c r="O934" s="1246" t="str">
        <f>IFERROR(__xludf.DUMMYFUNCTION("""COMPUTED_VALUE"""),"")</f>
        <v/>
      </c>
      <c r="P934" s="1249" t="str">
        <f>IFERROR(__xludf.DUMMYFUNCTION("""COMPUTED_VALUE"""),"")</f>
        <v/>
      </c>
      <c r="Q934" s="1246"/>
    </row>
    <row r="935">
      <c r="A935" s="73"/>
      <c r="B935" s="886" t="str">
        <f>IFERROR(__xludf.DUMMYFUNCTION("""COMPUTED_VALUE"""),"Class")</f>
        <v>Class</v>
      </c>
      <c r="C935" s="1280" t="str">
        <f>IFERROR(__xludf.DUMMYFUNCTION("""COMPUTED_VALUE"""),"MÓDULO 1: PROGRAMA DE GESTÃO - ESTRATÉGIA DE POSICIONAMENTO E PLANEJAMENTO COMERCIAL")</f>
        <v>MÓDULO 1: PROGRAMA DE GESTÃO - ESTRATÉGIA DE POSICIONAMENTO E PLANEJAMENTO COMERCIAL</v>
      </c>
      <c r="D935" s="1280" t="str">
        <f>IFERROR(__xludf.DUMMYFUNCTION("""COMPUTED_VALUE"""),"Gustavo Pagotto")</f>
        <v>Gustavo Pagotto</v>
      </c>
      <c r="E935" s="1246" t="str">
        <f>IFERROR(__xludf.DUMMYFUNCTION("""COMPUTED_VALUE"""),"Founder ")</f>
        <v>Founder </v>
      </c>
      <c r="F935" s="1275" t="str">
        <f>IFERROR(__xludf.DUMMYFUNCTION("""COMPUTED_VALUE"""),"PipeLovers")</f>
        <v>PipeLovers</v>
      </c>
      <c r="G935" s="1077" t="str">
        <f>IFERROR(__xludf.DUMMYFUNCTION("""COMPUTED_VALUE"""),"https://www.linkedin.com/in/gpagotto/")</f>
        <v>https://www.linkedin.com/in/gpagotto/</v>
      </c>
      <c r="H935" s="1276" t="str">
        <f>IFERROR(__xludf.DUMMYFUNCTION("""COMPUTED_VALUE"""),"Conhecimento Técnico")</f>
        <v>Conhecimento Técnico</v>
      </c>
      <c r="I935" s="1276" t="str">
        <f>IFERROR(__xludf.DUMMYFUNCTION("""COMPUTED_VALUE"""),"Gestão de Vendas")</f>
        <v>Gestão de Vendas</v>
      </c>
      <c r="J935" s="1275" t="str">
        <f>IFERROR(__xludf.DUMMYFUNCTION("""COMPUTED_VALUE"""),"Planejamento Comercial")</f>
        <v>Planejamento Comercial</v>
      </c>
      <c r="K935" s="1277" t="str">
        <f>IFERROR(__xludf.DUMMYFUNCTION("""COMPUTED_VALUE"""),"https://universidade.pipelovers.net/m/lessons/modulo-1-programa-de-gestao-de-vendas-b2b-estrategia-de-posicionamento-e-planejamento-comercial-1774882373795")</f>
        <v>https://universidade.pipelovers.net/m/lessons/modulo-1-programa-de-gestao-de-vendas-b2b-estrategia-de-posicionamento-e-planejamento-comercial-1774882373795</v>
      </c>
      <c r="L935" s="1281" t="str">
        <f>IFERROR(__xludf.DUMMYFUNCTION("""COMPUTED_VALUE"""),"https://universidade.pipelovers.net/m/lessons/modulo-1-programa-de-gestao-de-vendas-b2b-estrategia-de-posicionamento-e-planejamento-comercial-1774882373796")</f>
        <v>https://universidade.pipelovers.net/m/lessons/modulo-1-programa-de-gestao-de-vendas-b2b-estrategia-de-posicionamento-e-planejamento-comercial-1774882373796</v>
      </c>
      <c r="M935" s="1254">
        <f>IFERROR(__xludf.DUMMYFUNCTION("""COMPUTED_VALUE"""),5.0)</f>
        <v>5</v>
      </c>
      <c r="N935" s="1246" t="str">
        <f>IFERROR(__xludf.DUMMYFUNCTION("""COMPUTED_VALUE"""),"Módulo 1  - Programa de Gestão de Vendas B2B Estratégia de Posicionamento e Planejamento Comercial.mp4")</f>
        <v>Módulo 1  - Programa de Gestão de Vendas B2B Estratégia de Posicionamento e Planejamento Comercial.mp4</v>
      </c>
      <c r="O935" s="1246" t="str">
        <f>IFERROR(__xludf.DUMMYFUNCTION("""COMPUTED_VALUE"""),"")</f>
        <v/>
      </c>
      <c r="P935" s="1249">
        <f>IFERROR(__xludf.DUMMYFUNCTION("""COMPUTED_VALUE"""),45951.0)</f>
        <v>45951</v>
      </c>
      <c r="Q935" s="1246"/>
    </row>
    <row r="936">
      <c r="A936" s="73"/>
      <c r="B936" s="886" t="str">
        <f>IFERROR(__xludf.DUMMYFUNCTION("""COMPUTED_VALUE"""),"Class")</f>
        <v>Class</v>
      </c>
      <c r="C936" s="1280" t="str">
        <f>IFERROR(__xludf.DUMMYFUNCTION("""COMPUTED_VALUE"""),"MÓDULO 2: PROGRAMA DE GESTÃO - RECRUTAMENTO, REMUNERAÇÃO E DESENVOLVIMENTO DE EQUIPES COMERCIAIS")</f>
        <v>MÓDULO 2: PROGRAMA DE GESTÃO - RECRUTAMENTO, REMUNERAÇÃO E DESENVOLVIMENTO DE EQUIPES COMERCIAIS</v>
      </c>
      <c r="D936" s="1280" t="str">
        <f>IFERROR(__xludf.DUMMYFUNCTION("""COMPUTED_VALUE"""),"Gustavo Pagotto")</f>
        <v>Gustavo Pagotto</v>
      </c>
      <c r="E936" s="1246" t="str">
        <f>IFERROR(__xludf.DUMMYFUNCTION("""COMPUTED_VALUE"""),"Founder ")</f>
        <v>Founder </v>
      </c>
      <c r="F936" s="1275" t="str">
        <f>IFERROR(__xludf.DUMMYFUNCTION("""COMPUTED_VALUE"""),"PipeLovers")</f>
        <v>PipeLovers</v>
      </c>
      <c r="G936" s="1077" t="str">
        <f>IFERROR(__xludf.DUMMYFUNCTION("""COMPUTED_VALUE"""),"https://www.linkedin.com/in/gpagotto/")</f>
        <v>https://www.linkedin.com/in/gpagotto/</v>
      </c>
      <c r="H936" s="1276" t="str">
        <f>IFERROR(__xludf.DUMMYFUNCTION("""COMPUTED_VALUE"""),"Relacionamento Interpessoal")</f>
        <v>Relacionamento Interpessoal</v>
      </c>
      <c r="I936" s="1276" t="str">
        <f>IFERROR(__xludf.DUMMYFUNCTION("""COMPUTED_VALUE"""),"Liderança e Influência")</f>
        <v>Liderança e Influência</v>
      </c>
      <c r="J936" s="1275" t="str">
        <f>IFERROR(__xludf.DUMMYFUNCTION("""COMPUTED_VALUE"""),"Mentoria e Desenvolvimento de Talentos")</f>
        <v>Mentoria e Desenvolvimento de Talentos</v>
      </c>
      <c r="K936" s="1281" t="str">
        <f>IFERROR(__xludf.DUMMYFUNCTION("""COMPUTED_VALUE"""),"https://universidade.pipelovers.net/m/lessons/modulo-2-recrutamento-remuneracao-e-desenvolvimento-de-equipes-1774884083442")</f>
        <v>https://universidade.pipelovers.net/m/lessons/modulo-2-recrutamento-remuneracao-e-desenvolvimento-de-equipes-1774884083442</v>
      </c>
      <c r="L936" s="1281" t="str">
        <f>IFERROR(__xludf.DUMMYFUNCTION("""COMPUTED_VALUE"""),"https://universidade.pipelovers.net/m/lessons/modulo-2-recrutamento-remuneracao-e-desenvolvimento-de-equipes-1774884083443")</f>
        <v>https://universidade.pipelovers.net/m/lessons/modulo-2-recrutamento-remuneracao-e-desenvolvimento-de-equipes-1774884083443</v>
      </c>
      <c r="M936" s="1254">
        <f>IFERROR(__xludf.DUMMYFUNCTION("""COMPUTED_VALUE"""),5.0)</f>
        <v>5</v>
      </c>
      <c r="N936" s="1246" t="str">
        <f>IFERROR(__xludf.DUMMYFUNCTION("""COMPUTED_VALUE"""),"Módulo 2  - Programa de Gestão de Vendas B2B Recrutamento, Remuneração e Desenvolvimento de Equipes Comerciais-descript.mp4")</f>
        <v>Módulo 2  - Programa de Gestão de Vendas B2B Recrutamento, Remuneração e Desenvolvimento de Equipes Comerciais-descript.mp4</v>
      </c>
      <c r="O936" s="1246" t="str">
        <f>IFERROR(__xludf.DUMMYFUNCTION("""COMPUTED_VALUE"""),"")</f>
        <v/>
      </c>
      <c r="P936" s="1249">
        <f>IFERROR(__xludf.DUMMYFUNCTION("""COMPUTED_VALUE"""),45951.0)</f>
        <v>45951</v>
      </c>
      <c r="Q936" s="1246"/>
    </row>
    <row r="937">
      <c r="A937" s="73"/>
      <c r="B937" s="886" t="str">
        <f>IFERROR(__xludf.DUMMYFUNCTION("""COMPUTED_VALUE"""),"Class")</f>
        <v>Class</v>
      </c>
      <c r="C937" s="1280" t="str">
        <f>IFERROR(__xludf.DUMMYFUNCTION("""COMPUTED_VALUE"""),"MÓDULO 3: PROGRAMA DE GESTÃO - CANAIS DE AQUISIÇÃO E GERAÇÃO DE DEMANDA B2B")</f>
        <v>MÓDULO 3: PROGRAMA DE GESTÃO - CANAIS DE AQUISIÇÃO E GERAÇÃO DE DEMANDA B2B</v>
      </c>
      <c r="D937" s="1280" t="str">
        <f>IFERROR(__xludf.DUMMYFUNCTION("""COMPUTED_VALUE"""),"Gustavo Pagotto")</f>
        <v>Gustavo Pagotto</v>
      </c>
      <c r="E937" s="1246" t="str">
        <f>IFERROR(__xludf.DUMMYFUNCTION("""COMPUTED_VALUE"""),"Founder ")</f>
        <v>Founder </v>
      </c>
      <c r="F937" s="1275" t="str">
        <f>IFERROR(__xludf.DUMMYFUNCTION("""COMPUTED_VALUE"""),"PipeLovers")</f>
        <v>PipeLovers</v>
      </c>
      <c r="G937" s="1077" t="str">
        <f>IFERROR(__xludf.DUMMYFUNCTION("""COMPUTED_VALUE"""),"https://www.linkedin.com/in/gpagotto/")</f>
        <v>https://www.linkedin.com/in/gpagotto/</v>
      </c>
      <c r="H937" s="1276" t="str">
        <f>IFERROR(__xludf.DUMMYFUNCTION("""COMPUTED_VALUE"""),"Conhecimento Técnico")</f>
        <v>Conhecimento Técnico</v>
      </c>
      <c r="I937" s="1276" t="str">
        <f>IFERROR(__xludf.DUMMYFUNCTION("""COMPUTED_VALUE"""),"Gestão de Vendas")</f>
        <v>Gestão de Vendas</v>
      </c>
      <c r="J937" s="1275" t="str">
        <f>IFERROR(__xludf.DUMMYFUNCTION("""COMPUTED_VALUE"""),"Abordagem e Prospecção")</f>
        <v>Abordagem e Prospecção</v>
      </c>
      <c r="K937" s="1281" t="str">
        <f>IFERROR(__xludf.DUMMYFUNCTION("""COMPUTED_VALUE"""),"https://universidade.pipelovers.net/m/lessons/modulo-3-canais-de-aquisicao-e-geracao-de-demanda-b2b-1774884769462")</f>
        <v>https://universidade.pipelovers.net/m/lessons/modulo-3-canais-de-aquisicao-e-geracao-de-demanda-b2b-1774884769462</v>
      </c>
      <c r="L937" s="1281" t="str">
        <f>IFERROR(__xludf.DUMMYFUNCTION("""COMPUTED_VALUE"""),"https://universidade.pipelovers.net/m/lessons/modulo-3-canais-de-aquisicao-e-geracao-de-demanda-b2b-1774884769463")</f>
        <v>https://universidade.pipelovers.net/m/lessons/modulo-3-canais-de-aquisicao-e-geracao-de-demanda-b2b-1774884769463</v>
      </c>
      <c r="M937" s="1254">
        <f>IFERROR(__xludf.DUMMYFUNCTION("""COMPUTED_VALUE"""),5.0)</f>
        <v>5</v>
      </c>
      <c r="N937" s="1246" t="str">
        <f>IFERROR(__xludf.DUMMYFUNCTION("""COMPUTED_VALUE""")," Módulo 3 - Canais de Aquisição e Geração de Demanda B2B-descript.mp4")</f>
        <v> Módulo 3 - Canais de Aquisição e Geração de Demanda B2B-descript.mp4</v>
      </c>
      <c r="O937" s="1246" t="str">
        <f>IFERROR(__xludf.DUMMYFUNCTION("""COMPUTED_VALUE"""),"")</f>
        <v/>
      </c>
      <c r="P937" s="1249">
        <f>IFERROR(__xludf.DUMMYFUNCTION("""COMPUTED_VALUE"""),45964.0)</f>
        <v>45964</v>
      </c>
      <c r="Q937" s="1246"/>
    </row>
    <row r="938">
      <c r="A938" s="73"/>
      <c r="B938" s="886" t="str">
        <f>IFERROR(__xludf.DUMMYFUNCTION("""COMPUTED_VALUE"""),"Class")</f>
        <v>Class</v>
      </c>
      <c r="C938" s="1280" t="str">
        <f>IFERROR(__xludf.DUMMYFUNCTION("""COMPUTED_VALUE"""),"MÓDULO 4: PROGRAMA DE GESTÃO - EXPANSÃO DE RECEITA NA BASE DE CLIENTES - RETENÇÃO, UPSELL E CROSS-SELL")</f>
        <v>MÓDULO 4: PROGRAMA DE GESTÃO - EXPANSÃO DE RECEITA NA BASE DE CLIENTES - RETENÇÃO, UPSELL E CROSS-SELL</v>
      </c>
      <c r="D938" s="1280" t="str">
        <f>IFERROR(__xludf.DUMMYFUNCTION("""COMPUTED_VALUE"""),"Gustavo Pagotto")</f>
        <v>Gustavo Pagotto</v>
      </c>
      <c r="E938" s="1246" t="str">
        <f>IFERROR(__xludf.DUMMYFUNCTION("""COMPUTED_VALUE"""),"Founder ")</f>
        <v>Founder </v>
      </c>
      <c r="F938" s="1275" t="str">
        <f>IFERROR(__xludf.DUMMYFUNCTION("""COMPUTED_VALUE"""),"PipeLovers")</f>
        <v>PipeLovers</v>
      </c>
      <c r="G938" s="1077" t="str">
        <f>IFERROR(__xludf.DUMMYFUNCTION("""COMPUTED_VALUE"""),"https://www.linkedin.com/in/gpagotto/")</f>
        <v>https://www.linkedin.com/in/gpagotto/</v>
      </c>
      <c r="H938" s="1276" t="str">
        <f>IFERROR(__xludf.DUMMYFUNCTION("""COMPUTED_VALUE"""),"Conhecimento Técnico")</f>
        <v>Conhecimento Técnico</v>
      </c>
      <c r="I938" s="1276" t="str">
        <f>IFERROR(__xludf.DUMMYFUNCTION("""COMPUTED_VALUE"""),"Gestão de Vendas")</f>
        <v>Gestão de Vendas</v>
      </c>
      <c r="J938" s="1275" t="str">
        <f>IFERROR(__xludf.DUMMYFUNCTION("""COMPUTED_VALUE"""),"UpSell e Cross Sell")</f>
        <v>UpSell e Cross Sell</v>
      </c>
      <c r="K938" s="1281" t="str">
        <f>IFERROR(__xludf.DUMMYFUNCTION("""COMPUTED_VALUE"""),"https://universidade.pipelovers.net/m/lessons/modulo-4-expansao-de-receita-na-base-de-clientes-retencao-upsell-1774888126474")</f>
        <v>https://universidade.pipelovers.net/m/lessons/modulo-4-expansao-de-receita-na-base-de-clientes-retencao-upsell-1774888126474</v>
      </c>
      <c r="L938" s="1281" t="str">
        <f>IFERROR(__xludf.DUMMYFUNCTION("""COMPUTED_VALUE"""),"https://universidade.pipelovers.net/m/lessons/modulo-4-expansao-de-receita-na-base-de-clientes-retencao-upsell-1774888126475")</f>
        <v>https://universidade.pipelovers.net/m/lessons/modulo-4-expansao-de-receita-na-base-de-clientes-retencao-upsell-1774888126475</v>
      </c>
      <c r="M938" s="1254">
        <f>IFERROR(__xludf.DUMMYFUNCTION("""COMPUTED_VALUE"""),5.0)</f>
        <v>5</v>
      </c>
      <c r="N938" s="1246" t="str">
        <f>IFERROR(__xludf.DUMMYFUNCTION("""COMPUTED_VALUE"""),"Módulo 4  Programa de Gestão de Vendas B2B Expansão de receita na base de clientes retenção, upsell e cross-sell - descript.mp4")</f>
        <v>Módulo 4  Programa de Gestão de Vendas B2B Expansão de receita na base de clientes retenção, upsell e cross-sell - descript.mp4</v>
      </c>
      <c r="O938" s="1246" t="str">
        <f>IFERROR(__xludf.DUMMYFUNCTION("""COMPUTED_VALUE"""),"")</f>
        <v/>
      </c>
      <c r="P938" s="1249">
        <f>IFERROR(__xludf.DUMMYFUNCTION("""COMPUTED_VALUE"""),45979.0)</f>
        <v>45979</v>
      </c>
      <c r="Q938" s="1246"/>
    </row>
    <row r="939">
      <c r="A939" s="73"/>
      <c r="B939" s="886" t="str">
        <f>IFERROR(__xludf.DUMMYFUNCTION("""COMPUTED_VALUE"""),"Class")</f>
        <v>Class</v>
      </c>
      <c r="C939" s="1280" t="str">
        <f>IFERROR(__xludf.DUMMYFUNCTION("""COMPUTED_VALUE"""),"MÓDULO 5: PROGRAMA DE GESTÃO - ROTINAS DE GESTÃO COMERCIAL - RITUAIS, PROCESSOS E FERRAMENTAS")</f>
        <v>MÓDULO 5: PROGRAMA DE GESTÃO - ROTINAS DE GESTÃO COMERCIAL - RITUAIS, PROCESSOS E FERRAMENTAS</v>
      </c>
      <c r="D939" s="1280" t="str">
        <f>IFERROR(__xludf.DUMMYFUNCTION("""COMPUTED_VALUE"""),"Gustavo Pagotto")</f>
        <v>Gustavo Pagotto</v>
      </c>
      <c r="E939" s="1246" t="str">
        <f>IFERROR(__xludf.DUMMYFUNCTION("""COMPUTED_VALUE"""),"Founder ")</f>
        <v>Founder </v>
      </c>
      <c r="F939" s="1275" t="str">
        <f>IFERROR(__xludf.DUMMYFUNCTION("""COMPUTED_VALUE"""),"PipeLovers")</f>
        <v>PipeLovers</v>
      </c>
      <c r="G939" s="1077" t="str">
        <f>IFERROR(__xludf.DUMMYFUNCTION("""COMPUTED_VALUE"""),"https://www.linkedin.com/in/gpagotto/")</f>
        <v>https://www.linkedin.com/in/gpagotto/</v>
      </c>
      <c r="H939" s="1276" t="str">
        <f>IFERROR(__xludf.DUMMYFUNCTION("""COMPUTED_VALUE"""),"Conhecimento Técnico")</f>
        <v>Conhecimento Técnico</v>
      </c>
      <c r="I939" s="1276" t="str">
        <f>IFERROR(__xludf.DUMMYFUNCTION("""COMPUTED_VALUE"""),"Gestão de Vendas")</f>
        <v>Gestão de Vendas</v>
      </c>
      <c r="J939" s="1275" t="str">
        <f>IFERROR(__xludf.DUMMYFUNCTION("""COMPUTED_VALUE"""),"Rotinas e Rituais")</f>
        <v>Rotinas e Rituais</v>
      </c>
      <c r="K939" s="1281" t="str">
        <f>IFERROR(__xludf.DUMMYFUNCTION("""COMPUTED_VALUE"""),"https://universidade.pipelovers.net/m/lessons/modulo-5-rotinas-de-gestao-comercial-rituais-processos-e-ferramentas-1774897016053")</f>
        <v>https://universidade.pipelovers.net/m/lessons/modulo-5-rotinas-de-gestao-comercial-rituais-processos-e-ferramentas-1774897016053</v>
      </c>
      <c r="L939" s="1281" t="str">
        <f>IFERROR(__xludf.DUMMYFUNCTION("""COMPUTED_VALUE"""),"https://universidade.pipelovers.net/m/lessons/modulo-5-rotinas-de-gestao-comercial-rituais-processos-e-ferramentas-1774897016054")</f>
        <v>https://universidade.pipelovers.net/m/lessons/modulo-5-rotinas-de-gestao-comercial-rituais-processos-e-ferramentas-1774897016054</v>
      </c>
      <c r="M939" s="1254">
        <f>IFERROR(__xludf.DUMMYFUNCTION("""COMPUTED_VALUE"""),5.0)</f>
        <v>5</v>
      </c>
      <c r="N939" s="1246" t="str">
        <f>IFERROR(__xludf.DUMMYFUNCTION("""COMPUTED_VALUE"""),"Módulo 5  Programa de Gestão de Vendas B2B Rotinas de gestão comercial rituais, processos e ferramentas - descript.mp4")</f>
        <v>Módulo 5  Programa de Gestão de Vendas B2B Rotinas de gestão comercial rituais, processos e ferramentas - descript.mp4</v>
      </c>
      <c r="O939" s="1246" t="str">
        <f>IFERROR(__xludf.DUMMYFUNCTION("""COMPUTED_VALUE"""),"")</f>
        <v/>
      </c>
      <c r="P939" s="1249">
        <f>IFERROR(__xludf.DUMMYFUNCTION("""COMPUTED_VALUE"""),45951.0)</f>
        <v>45951</v>
      </c>
      <c r="Q939" s="1246"/>
    </row>
    <row r="940">
      <c r="A940" s="73"/>
      <c r="B940" s="886" t="str">
        <f>IFERROR(__xludf.DUMMYFUNCTION("""COMPUTED_VALUE"""),"")</f>
        <v/>
      </c>
      <c r="C940" s="1280" t="str">
        <f>IFERROR(__xludf.DUMMYFUNCTION("""COMPUTED_VALUE"""),"")</f>
        <v/>
      </c>
      <c r="D940" s="1280" t="str">
        <f>IFERROR(__xludf.DUMMYFUNCTION("""COMPUTED_VALUE"""),"")</f>
        <v/>
      </c>
      <c r="E940" s="1246" t="str">
        <f>IFERROR(__xludf.DUMMYFUNCTION("""COMPUTED_VALUE"""),"")</f>
        <v/>
      </c>
      <c r="F940" s="1275" t="str">
        <f>IFERROR(__xludf.DUMMYFUNCTION("""COMPUTED_VALUE"""),"")</f>
        <v/>
      </c>
      <c r="G940" s="1276" t="str">
        <f>IFERROR(__xludf.DUMMYFUNCTION("""COMPUTED_VALUE"""),"")</f>
        <v/>
      </c>
      <c r="H940" s="1276" t="str">
        <f>IFERROR(__xludf.DUMMYFUNCTION("""COMPUTED_VALUE"""),"")</f>
        <v/>
      </c>
      <c r="I940" s="1276" t="str">
        <f>IFERROR(__xludf.DUMMYFUNCTION("""COMPUTED_VALUE"""),"")</f>
        <v/>
      </c>
      <c r="J940" s="1275" t="str">
        <f>IFERROR(__xludf.DUMMYFUNCTION("""COMPUTED_VALUE"""),"")</f>
        <v/>
      </c>
      <c r="K940" s="1246" t="str">
        <f>IFERROR(__xludf.DUMMYFUNCTION("""COMPUTED_VALUE"""),"")</f>
        <v/>
      </c>
      <c r="L940" s="1246" t="str">
        <f>IFERROR(__xludf.DUMMYFUNCTION("""COMPUTED_VALUE"""),"")</f>
        <v/>
      </c>
      <c r="M940" s="1254" t="str">
        <f>IFERROR(__xludf.DUMMYFUNCTION("""COMPUTED_VALUE"""),"")</f>
        <v/>
      </c>
      <c r="N940" s="1246" t="str">
        <f>IFERROR(__xludf.DUMMYFUNCTION("""COMPUTED_VALUE"""),"")</f>
        <v/>
      </c>
      <c r="O940" s="1246" t="str">
        <f>IFERROR(__xludf.DUMMYFUNCTION("""COMPUTED_VALUE"""),"")</f>
        <v/>
      </c>
      <c r="P940" s="1249" t="str">
        <f>IFERROR(__xludf.DUMMYFUNCTION("""COMPUTED_VALUE"""),"")</f>
        <v/>
      </c>
      <c r="Q940" s="1246"/>
    </row>
    <row r="941">
      <c r="A941" s="73"/>
      <c r="B941" s="886" t="str">
        <f>IFERROR(__xludf.DUMMYFUNCTION("""COMPUTED_VALUE"""),"Class")</f>
        <v>Class</v>
      </c>
      <c r="C941" s="1280" t="str">
        <f>IFERROR(__xludf.DUMMYFUNCTION("""COMPUTED_VALUE"""),"MÓDULO 1: PROSPECÇÃO INTELIGENTE E GERAÇÃO DE DEMANDA")</f>
        <v>MÓDULO 1: PROSPECÇÃO INTELIGENTE E GERAÇÃO DE DEMANDA</v>
      </c>
      <c r="D941" s="1280" t="str">
        <f>IFERROR(__xludf.DUMMYFUNCTION("""COMPUTED_VALUE"""),"Marcelo Baratella ")</f>
        <v>Marcelo Baratella </v>
      </c>
      <c r="E941" s="1246" t="str">
        <f>IFERROR(__xludf.DUMMYFUNCTION("""COMPUTED_VALUE"""),"CEO e Founder ")</f>
        <v>CEO e Founder </v>
      </c>
      <c r="F941" s="1275" t="str">
        <f>IFERROR(__xludf.DUMMYFUNCTION("""COMPUTED_VALUE"""),"Vendoria")</f>
        <v>Vendoria</v>
      </c>
      <c r="G941" s="1077" t="str">
        <f>IFERROR(__xludf.DUMMYFUNCTION("""COMPUTED_VALUE"""),"https://www.linkedin.com/in/marcelobaratella/")</f>
        <v>https://www.linkedin.com/in/marcelobaratella/</v>
      </c>
      <c r="H941" s="1276" t="str">
        <f>IFERROR(__xludf.DUMMYFUNCTION("""COMPUTED_VALUE"""),"Conhecimento Técnico")</f>
        <v>Conhecimento Técnico</v>
      </c>
      <c r="I941" s="1276" t="str">
        <f>IFERROR(__xludf.DUMMYFUNCTION("""COMPUTED_VALUE"""),"Técnicas de Vendas")</f>
        <v>Técnicas de Vendas</v>
      </c>
      <c r="J941" s="1275" t="str">
        <f>IFERROR(__xludf.DUMMYFUNCTION("""COMPUTED_VALUE"""),"Abordagem e Prospecção")</f>
        <v>Abordagem e Prospecção</v>
      </c>
      <c r="K941" s="1277" t="str">
        <f>IFERROR(__xludf.DUMMYFUNCTION("""COMPUTED_VALUE"""),"https://pipelovers.curseduca.pro/m/lessons/modulo-1-certificacao-de-vendedores-b2b-prospeccao-inteligente-e-geracao-de-demanda-1774620432269")</f>
        <v>https://pipelovers.curseduca.pro/m/lessons/modulo-1-certificacao-de-vendedores-b2b-prospeccao-inteligente-e-geracao-de-demanda-1774620432269</v>
      </c>
      <c r="L941" s="1281" t="str">
        <f>IFERROR(__xludf.DUMMYFUNCTION("""COMPUTED_VALUE"""),"https://pipelovers.curseduca.pro/m/lessons/modulo-1-certificacao-de-vendedores-b2b-prospeccao-inteligente-e-geracao-de-demanda-1774620432269")</f>
        <v>https://pipelovers.curseduca.pro/m/lessons/modulo-1-certificacao-de-vendedores-b2b-prospeccao-inteligente-e-geracao-de-demanda-1774620432269</v>
      </c>
      <c r="M941" s="1254">
        <f>IFERROR(__xludf.DUMMYFUNCTION("""COMPUTED_VALUE"""),5.0)</f>
        <v>5</v>
      </c>
      <c r="N941" s="1246" t="str">
        <f>IFERROR(__xludf.DUMMYFUNCTION("""COMPUTED_VALUE"""),"Módulo 1  Certificação de Vendedores B2B Prospecção Inteligente e Geração de Demanda.mp4")</f>
        <v>Módulo 1  Certificação de Vendedores B2B Prospecção Inteligente e Geração de Demanda.mp4</v>
      </c>
      <c r="O941" s="1246" t="str">
        <f>IFERROR(__xludf.DUMMYFUNCTION("""COMPUTED_VALUE"""),"")</f>
        <v/>
      </c>
      <c r="P941" s="1249">
        <f>IFERROR(__xludf.DUMMYFUNCTION("""COMPUTED_VALUE"""),46055.0)</f>
        <v>46055</v>
      </c>
      <c r="Q941" s="1246"/>
    </row>
    <row r="942">
      <c r="A942" s="73"/>
      <c r="B942" s="886" t="str">
        <f>IFERROR(__xludf.DUMMYFUNCTION("""COMPUTED_VALUE"""),"Class")</f>
        <v>Class</v>
      </c>
      <c r="C942" s="1280" t="str">
        <f>IFERROR(__xludf.DUMMYFUNCTION("""COMPUTED_VALUE"""),"MÓDULO 2: PITCH, STORYTELLING E ORATÓRIA COMERCIAL")</f>
        <v>MÓDULO 2: PITCH, STORYTELLING E ORATÓRIA COMERCIAL</v>
      </c>
      <c r="D942" s="1280" t="str">
        <f>IFERROR(__xludf.DUMMYFUNCTION("""COMPUTED_VALUE"""),"Hélio Azevedo ")</f>
        <v>Hélio Azevedo </v>
      </c>
      <c r="E942" s="1246" t="str">
        <f>IFERROR(__xludf.DUMMYFUNCTION("""COMPUTED_VALUE"""),"Founder ")</f>
        <v>Founder </v>
      </c>
      <c r="F942" s="1275" t="str">
        <f>IFERROR(__xludf.DUMMYFUNCTION("""COMPUTED_VALUE"""),"InsiderTraining")</f>
        <v>InsiderTraining</v>
      </c>
      <c r="G942" s="1077" t="str">
        <f>IFERROR(__xludf.DUMMYFUNCTION("""COMPUTED_VALUE"""),"https://www.linkedin.com/in/helioazevedo/")</f>
        <v>https://www.linkedin.com/in/helioazevedo/</v>
      </c>
      <c r="H942" s="1276" t="str">
        <f>IFERROR(__xludf.DUMMYFUNCTION("""COMPUTED_VALUE"""),"Relacionamento Interpessoal")</f>
        <v>Relacionamento Interpessoal</v>
      </c>
      <c r="I942" s="1276" t="str">
        <f>IFERROR(__xludf.DUMMYFUNCTION("""COMPUTED_VALUE"""),"Comunicação e Relacionamento")</f>
        <v>Comunicação e Relacionamento</v>
      </c>
      <c r="J942" s="1275" t="str">
        <f>IFERROR(__xludf.DUMMYFUNCTION("""COMPUTED_VALUE"""),"Pitch Comercial")</f>
        <v>Pitch Comercial</v>
      </c>
      <c r="K942" s="1281" t="str">
        <f>IFERROR(__xludf.DUMMYFUNCTION("""COMPUTED_VALUE"""),"https://pipelovers.curseduca.pro/m/lessons/modulo-2-certificacao-de-vendedores-b2b-pitch-storytelling-e-oratoria-comercial-descript-1774622506811?classId=3850")</f>
        <v>https://pipelovers.curseduca.pro/m/lessons/modulo-2-certificacao-de-vendedores-b2b-pitch-storytelling-e-oratoria-comercial-descript-1774622506811?classId=3850</v>
      </c>
      <c r="L942" s="1281" t="str">
        <f>IFERROR(__xludf.DUMMYFUNCTION("""COMPUTED_VALUE"""),"https://pipelovers.curseduca.pro/m/lessons/modulo-2-certificacao-de-vendedores-b2b-pitch-storytelling-e-oratoria-comercial-descript-1774622506811?classId=3850")</f>
        <v>https://pipelovers.curseduca.pro/m/lessons/modulo-2-certificacao-de-vendedores-b2b-pitch-storytelling-e-oratoria-comercial-descript-1774622506811?classId=3850</v>
      </c>
      <c r="M942" s="1254">
        <f>IFERROR(__xludf.DUMMYFUNCTION("""COMPUTED_VALUE"""),5.0)</f>
        <v>5</v>
      </c>
      <c r="N942" s="1246" t="str">
        <f>IFERROR(__xludf.DUMMYFUNCTION("""COMPUTED_VALUE"""),"Módulo 2  Certificação de Vendedores B2B Pitch, Storytelling e Oratória Comercial - descript.mp4")</f>
        <v>Módulo 2  Certificação de Vendedores B2B Pitch, Storytelling e Oratória Comercial - descript.mp4</v>
      </c>
      <c r="O942" s="1246" t="str">
        <f>IFERROR(__xludf.DUMMYFUNCTION("""COMPUTED_VALUE"""),"")</f>
        <v/>
      </c>
      <c r="P942" s="1249">
        <f>IFERROR(__xludf.DUMMYFUNCTION("""COMPUTED_VALUE"""),46063.0)</f>
        <v>46063</v>
      </c>
      <c r="Q942" s="1246"/>
    </row>
    <row r="943">
      <c r="A943" s="73"/>
      <c r="B943" s="886" t="str">
        <f>IFERROR(__xludf.DUMMYFUNCTION("""COMPUTED_VALUE"""),"Class")</f>
        <v>Class</v>
      </c>
      <c r="C943" s="1280" t="str">
        <f>IFERROR(__xludf.DUMMYFUNCTION("""COMPUTED_VALUE"""),"MÓDULO 3: NEGOCIAÇÃO E FECHAMENTO")</f>
        <v>MÓDULO 3: NEGOCIAÇÃO E FECHAMENTO</v>
      </c>
      <c r="D943" s="1280" t="str">
        <f>IFERROR(__xludf.DUMMYFUNCTION("""COMPUTED_VALUE"""),"Ronaldo Nunes")</f>
        <v>Ronaldo Nunes</v>
      </c>
      <c r="E943" s="1246" t="str">
        <f>IFERROR(__xludf.DUMMYFUNCTION("""COMPUTED_VALUE"""),"Sócio e Diretor Comercial ")</f>
        <v>Sócio e Diretor Comercial </v>
      </c>
      <c r="F943" s="1275" t="str">
        <f>IFERROR(__xludf.DUMMYFUNCTION("""COMPUTED_VALUE"""),"VectorSoluções")</f>
        <v>VectorSoluções</v>
      </c>
      <c r="G943" s="1077" t="str">
        <f>IFERROR(__xludf.DUMMYFUNCTION("""COMPUTED_VALUE"""),"https://www.linkedin.com/in/ronaldonunes/")</f>
        <v>https://www.linkedin.com/in/ronaldonunes/</v>
      </c>
      <c r="H943" s="1276" t="str">
        <f>IFERROR(__xludf.DUMMYFUNCTION("""COMPUTED_VALUE"""),"Conhecimento Técnico")</f>
        <v>Conhecimento Técnico</v>
      </c>
      <c r="I943" s="1276" t="str">
        <f>IFERROR(__xludf.DUMMYFUNCTION("""COMPUTED_VALUE"""),"Técnicas de Vendas")</f>
        <v>Técnicas de Vendas</v>
      </c>
      <c r="J943" s="1275" t="str">
        <f>IFERROR(__xludf.DUMMYFUNCTION("""COMPUTED_VALUE"""),"Negociação e Fechamento de Vendas")</f>
        <v>Negociação e Fechamento de Vendas</v>
      </c>
      <c r="K943" s="1281" t="str">
        <f>IFERROR(__xludf.DUMMYFUNCTION("""COMPUTED_VALUE"""),"https://pipelovers.curseduca.pro/m/lessons/modulo-3-certificacao-de-vendedores-b2b-negociacao-e-fechamento-descript-1774623205576?classId=3852")</f>
        <v>https://pipelovers.curseduca.pro/m/lessons/modulo-3-certificacao-de-vendedores-b2b-negociacao-e-fechamento-descript-1774623205576?classId=3852</v>
      </c>
      <c r="L943" s="1281" t="str">
        <f>IFERROR(__xludf.DUMMYFUNCTION("""COMPUTED_VALUE"""),"https://pipelovers.curseduca.pro/m/lessons/modulo-3-certificacao-de-vendedores-b2b-negociacao-e-fechamento-descript-1774623205576?classId=3852")</f>
        <v>https://pipelovers.curseduca.pro/m/lessons/modulo-3-certificacao-de-vendedores-b2b-negociacao-e-fechamento-descript-1774623205576?classId=3852</v>
      </c>
      <c r="M943" s="1254">
        <f>IFERROR(__xludf.DUMMYFUNCTION("""COMPUTED_VALUE"""),5.0)</f>
        <v>5</v>
      </c>
      <c r="N943" s="1246" t="str">
        <f>IFERROR(__xludf.DUMMYFUNCTION("""COMPUTED_VALUE"""),"Módulo 3  Certificação de Vendedores B2B Negociação e Fechamento-descript.mp4")</f>
        <v>Módulo 3  Certificação de Vendedores B2B Negociação e Fechamento-descript.mp4</v>
      </c>
      <c r="O943" s="1246" t="str">
        <f>IFERROR(__xludf.DUMMYFUNCTION("""COMPUTED_VALUE"""),"")</f>
        <v/>
      </c>
      <c r="P943" s="1249">
        <f>IFERROR(__xludf.DUMMYFUNCTION("""COMPUTED_VALUE"""),46077.0)</f>
        <v>46077</v>
      </c>
      <c r="Q943" s="1246"/>
    </row>
    <row r="944">
      <c r="A944" s="73"/>
      <c r="B944" s="886" t="str">
        <f>IFERROR(__xludf.DUMMYFUNCTION("""COMPUTED_VALUE"""),"Class")</f>
        <v>Class</v>
      </c>
      <c r="C944" s="1280" t="str">
        <f>IFERROR(__xludf.DUMMYFUNCTION("""COMPUTED_VALUE"""),"MÓDULO 4: GESTÃO DE CARTEIRA E EXPANSÃO DE RECEITA")</f>
        <v>MÓDULO 4: GESTÃO DE CARTEIRA E EXPANSÃO DE RECEITA</v>
      </c>
      <c r="D944" s="1280" t="str">
        <f>IFERROR(__xludf.DUMMYFUNCTION("""COMPUTED_VALUE"""),"Diego Azevedo")</f>
        <v>Diego Azevedo</v>
      </c>
      <c r="E944" s="1246" t="str">
        <f>IFERROR(__xludf.DUMMYFUNCTION("""COMPUTED_VALUE"""),"Founder ")</f>
        <v>Founder </v>
      </c>
      <c r="F944" s="1275" t="str">
        <f>IFERROR(__xludf.DUMMYFUNCTION("""COMPUTED_VALUE"""),"CS Academy")</f>
        <v>CS Academy</v>
      </c>
      <c r="G944" s="1077" t="str">
        <f>IFERROR(__xludf.DUMMYFUNCTION("""COMPUTED_VALUE"""),"https://www.linkedin.com/in/diegoazevedo1/")</f>
        <v>https://www.linkedin.com/in/diegoazevedo1/</v>
      </c>
      <c r="H944" s="1276" t="str">
        <f>IFERROR(__xludf.DUMMYFUNCTION("""COMPUTED_VALUE"""),"Conhecimento Técnico")</f>
        <v>Conhecimento Técnico</v>
      </c>
      <c r="I944" s="1276" t="str">
        <f>IFERROR(__xludf.DUMMYFUNCTION("""COMPUTED_VALUE"""),"Técnicas de Vendas")</f>
        <v>Técnicas de Vendas</v>
      </c>
      <c r="J944" s="1275" t="str">
        <f>IFERROR(__xludf.DUMMYFUNCTION("""COMPUTED_VALUE"""),"Gestão de Carteira de Clientes")</f>
        <v>Gestão de Carteira de Clientes</v>
      </c>
      <c r="K944" s="1281" t="str">
        <f>IFERROR(__xludf.DUMMYFUNCTION("""COMPUTED_VALUE"""),"https://pipelovers.curseduca.pro/m/lessons/modulo-4-certificacao-de-vendedores-b2b-gestao-de-carteira-e-expansao-de-receita-1774629783806?classId=3851")</f>
        <v>https://pipelovers.curseduca.pro/m/lessons/modulo-4-certificacao-de-vendedores-b2b-gestao-de-carteira-e-expansao-de-receita-1774629783806?classId=3851</v>
      </c>
      <c r="L944" s="1281" t="str">
        <f>IFERROR(__xludf.DUMMYFUNCTION("""COMPUTED_VALUE"""),"https://pipelovers.curseduca.pro/m/lessons/modulo-4-certificacao-de-vendedores-b2b-gestao-de-carteira-e-expansao-de-receita-1774629783806?classId=3851")</f>
        <v>https://pipelovers.curseduca.pro/m/lessons/modulo-4-certificacao-de-vendedores-b2b-gestao-de-carteira-e-expansao-de-receita-1774629783806?classId=3851</v>
      </c>
      <c r="M944" s="1254">
        <f>IFERROR(__xludf.DUMMYFUNCTION("""COMPUTED_VALUE"""),5.0)</f>
        <v>5</v>
      </c>
      <c r="N944" s="1246" t="str">
        <f>IFERROR(__xludf.DUMMYFUNCTION("""COMPUTED_VALUE"""),"Módulo 4  Certificação de Vendedores B2B Gestão de Carteira e Expansão de Receita - descript.mp4")</f>
        <v>Módulo 4  Certificação de Vendedores B2B Gestão de Carteira e Expansão de Receita - descript.mp4</v>
      </c>
      <c r="O944" s="1246" t="str">
        <f>IFERROR(__xludf.DUMMYFUNCTION("""COMPUTED_VALUE"""),"")</f>
        <v/>
      </c>
      <c r="P944" s="1249">
        <f>IFERROR(__xludf.DUMMYFUNCTION("""COMPUTED_VALUE"""),46090.0)</f>
        <v>46090</v>
      </c>
      <c r="Q944" s="1246"/>
    </row>
    <row r="945">
      <c r="A945" s="73"/>
      <c r="B945" s="886" t="str">
        <f>IFERROR(__xludf.DUMMYFUNCTION("""COMPUTED_VALUE"""),"Class")</f>
        <v>Class</v>
      </c>
      <c r="C945" s="1280" t="str">
        <f>IFERROR(__xludf.DUMMYFUNCTION("""COMPUTED_VALUE"""),"MÓDULO 5:  ROTINAS E HABILIDADES ESSENCIAIS DO VENDEDOR")</f>
        <v>MÓDULO 5:  ROTINAS E HABILIDADES ESSENCIAIS DO VENDEDOR</v>
      </c>
      <c r="D945" s="1280" t="str">
        <f>IFERROR(__xludf.DUMMYFUNCTION("""COMPUTED_VALUE"""),"Gustavo Pagotto")</f>
        <v>Gustavo Pagotto</v>
      </c>
      <c r="E945" s="1246" t="str">
        <f>IFERROR(__xludf.DUMMYFUNCTION("""COMPUTED_VALUE"""),"Founder ")</f>
        <v>Founder </v>
      </c>
      <c r="F945" s="1275" t="str">
        <f>IFERROR(__xludf.DUMMYFUNCTION("""COMPUTED_VALUE"""),"PipeLovers")</f>
        <v>PipeLovers</v>
      </c>
      <c r="G945" s="1077" t="str">
        <f>IFERROR(__xludf.DUMMYFUNCTION("""COMPUTED_VALUE"""),"https://www.linkedin.com/in/gpagotto/")</f>
        <v>https://www.linkedin.com/in/gpagotto/</v>
      </c>
      <c r="H945" s="1276" t="str">
        <f>IFERROR(__xludf.DUMMYFUNCTION("""COMPUTED_VALUE"""),"Autodesenvolvimento")</f>
        <v>Autodesenvolvimento</v>
      </c>
      <c r="I945" s="1276" t="str">
        <f>IFERROR(__xludf.DUMMYFUNCTION("""COMPUTED_VALUE"""),"Gestão de Tempo e da Informação")</f>
        <v>Gestão de Tempo e da Informação</v>
      </c>
      <c r="J945" s="1275" t="str">
        <f>IFERROR(__xludf.DUMMYFUNCTION("""COMPUTED_VALUE"""),"Técnicas de Organização e Rotina")</f>
        <v>Técnicas de Organização e Rotina</v>
      </c>
      <c r="K945" s="1281" t="str">
        <f>IFERROR(__xludf.DUMMYFUNCTION("""COMPUTED_VALUE"""),"https://pipelovers.curseduca.pro/m/lessons/modulo-5-habilidades-essenciais-e-rotina-do-vendedor-1775063260546")</f>
        <v>https://pipelovers.curseduca.pro/m/lessons/modulo-5-habilidades-essenciais-e-rotina-do-vendedor-1775063260546</v>
      </c>
      <c r="L945" s="1281" t="str">
        <f>IFERROR(__xludf.DUMMYFUNCTION("""COMPUTED_VALUE"""),"https://pipelovers.curseduca.pro/m/lessons/modulo-5-habilidades-essenciais-e-rotina-do-vendedor-1775063260546")</f>
        <v>https://pipelovers.curseduca.pro/m/lessons/modulo-5-habilidades-essenciais-e-rotina-do-vendedor-1775063260546</v>
      </c>
      <c r="M945" s="1254">
        <f>IFERROR(__xludf.DUMMYFUNCTION("""COMPUTED_VALUE"""),5.0)</f>
        <v>5</v>
      </c>
      <c r="N945" s="1246" t="str">
        <f>IFERROR(__xludf.DUMMYFUNCTION("""COMPUTED_VALUE"""),"Módulo 5  Certificação de Vendedores B2B Habilidades Essenciais e Rotina do Vendedor - descript.mp4")</f>
        <v>Módulo 5  Certificação de Vendedores B2B Habilidades Essenciais e Rotina do Vendedor - descript.mp4</v>
      </c>
      <c r="O945" s="1246" t="str">
        <f>IFERROR(__xludf.DUMMYFUNCTION("""COMPUTED_VALUE"""),"")</f>
        <v/>
      </c>
      <c r="P945" s="1249">
        <f>IFERROR(__xludf.DUMMYFUNCTION("""COMPUTED_VALUE"""),46105.0)</f>
        <v>46105</v>
      </c>
      <c r="Q945" s="1246"/>
    </row>
    <row r="946">
      <c r="A946" s="73"/>
      <c r="B946" s="886" t="str">
        <f>IFERROR(__xludf.DUMMYFUNCTION("""COMPUTED_VALUE"""),"")</f>
        <v/>
      </c>
      <c r="C946" s="1280" t="str">
        <f>IFERROR(__xludf.DUMMYFUNCTION("""COMPUTED_VALUE"""),"")</f>
        <v/>
      </c>
      <c r="D946" s="1280" t="str">
        <f>IFERROR(__xludf.DUMMYFUNCTION("""COMPUTED_VALUE"""),"")</f>
        <v/>
      </c>
      <c r="E946" s="1246" t="str">
        <f>IFERROR(__xludf.DUMMYFUNCTION("""COMPUTED_VALUE"""),"")</f>
        <v/>
      </c>
      <c r="F946" s="1275" t="str">
        <f>IFERROR(__xludf.DUMMYFUNCTION("""COMPUTED_VALUE"""),"")</f>
        <v/>
      </c>
      <c r="G946" s="1276" t="str">
        <f>IFERROR(__xludf.DUMMYFUNCTION("""COMPUTED_VALUE"""),"")</f>
        <v/>
      </c>
      <c r="H946" s="1276" t="str">
        <f>IFERROR(__xludf.DUMMYFUNCTION("""COMPUTED_VALUE"""),"")</f>
        <v/>
      </c>
      <c r="I946" s="1276" t="str">
        <f>IFERROR(__xludf.DUMMYFUNCTION("""COMPUTED_VALUE"""),"")</f>
        <v/>
      </c>
      <c r="J946" s="1275" t="str">
        <f>IFERROR(__xludf.DUMMYFUNCTION("""COMPUTED_VALUE"""),"")</f>
        <v/>
      </c>
      <c r="K946" s="1246" t="str">
        <f>IFERROR(__xludf.DUMMYFUNCTION("""COMPUTED_VALUE"""),"")</f>
        <v/>
      </c>
      <c r="L946" s="1246" t="str">
        <f>IFERROR(__xludf.DUMMYFUNCTION("""COMPUTED_VALUE"""),"")</f>
        <v/>
      </c>
      <c r="M946" s="1254" t="str">
        <f>IFERROR(__xludf.DUMMYFUNCTION("""COMPUTED_VALUE"""),"")</f>
        <v/>
      </c>
      <c r="N946" s="1246" t="str">
        <f>IFERROR(__xludf.DUMMYFUNCTION("""COMPUTED_VALUE"""),"")</f>
        <v/>
      </c>
      <c r="O946" s="1246" t="str">
        <f>IFERROR(__xludf.DUMMYFUNCTION("""COMPUTED_VALUE"""),"")</f>
        <v/>
      </c>
      <c r="P946" s="1249" t="str">
        <f>IFERROR(__xludf.DUMMYFUNCTION("""COMPUTED_VALUE"""),"")</f>
        <v/>
      </c>
      <c r="Q946" s="1246"/>
    </row>
    <row r="947">
      <c r="A947" s="73"/>
      <c r="B947" s="886" t="str">
        <f>IFERROR(__xludf.DUMMYFUNCTION("""COMPUTED_VALUE"""),"Class")</f>
        <v>Class</v>
      </c>
      <c r="C947" s="1280" t="str">
        <f>IFERROR(__xludf.DUMMYFUNCTION("""COMPUTED_VALUE"""),"MÓDULO 1: PROSPECÇÃO INTELIGENTE E GERAÇÃO DE DEMANDA")</f>
        <v>MÓDULO 1: PROSPECÇÃO INTELIGENTE E GERAÇÃO DE DEMANDA</v>
      </c>
      <c r="D947" s="1280" t="str">
        <f>IFERROR(__xludf.DUMMYFUNCTION("""COMPUTED_VALUE"""),"Marcelo Baratella ")</f>
        <v>Marcelo Baratella </v>
      </c>
      <c r="E947" s="1246" t="str">
        <f>IFERROR(__xludf.DUMMYFUNCTION("""COMPUTED_VALUE"""),"CEO e Founder ")</f>
        <v>CEO e Founder </v>
      </c>
      <c r="F947" s="1275" t="str">
        <f>IFERROR(__xludf.DUMMYFUNCTION("""COMPUTED_VALUE"""),"Vendoria")</f>
        <v>Vendoria</v>
      </c>
      <c r="G947" s="1077" t="str">
        <f>IFERROR(__xludf.DUMMYFUNCTION("""COMPUTED_VALUE"""),"https://www.linkedin.com/in/marcelobaratella/")</f>
        <v>https://www.linkedin.com/in/marcelobaratella/</v>
      </c>
      <c r="H947" s="1276" t="str">
        <f>IFERROR(__xludf.DUMMYFUNCTION("""COMPUTED_VALUE"""),"Conhecimento Técnico")</f>
        <v>Conhecimento Técnico</v>
      </c>
      <c r="I947" s="1276" t="str">
        <f>IFERROR(__xludf.DUMMYFUNCTION("""COMPUTED_VALUE"""),"Técnicas de Vendas")</f>
        <v>Técnicas de Vendas</v>
      </c>
      <c r="J947" s="1275" t="str">
        <f>IFERROR(__xludf.DUMMYFUNCTION("""COMPUTED_VALUE"""),"Abordagem e Prospecção")</f>
        <v>Abordagem e Prospecção</v>
      </c>
      <c r="K947" s="1281" t="str">
        <f>IFERROR(__xludf.DUMMYFUNCTION("""COMPUTED_VALUE"""),"https://pipelovers.curseduca.pro/m/lessons/modulo-1-certificacao-de-vendedores-b2b-prospeccao-inteligente-e-geracao-de-demanda-1774620432269")</f>
        <v>https://pipelovers.curseduca.pro/m/lessons/modulo-1-certificacao-de-vendedores-b2b-prospeccao-inteligente-e-geracao-de-demanda-1774620432269</v>
      </c>
      <c r="L947" s="1281" t="str">
        <f>IFERROR(__xludf.DUMMYFUNCTION("""COMPUTED_VALUE"""),"https://pipelovers.curseduca.pro/m/lessons/modulo-1-certificacao-de-vendedores-b2b-prospeccao-inteligente-e-geracao-de-demanda-1774620432269")</f>
        <v>https://pipelovers.curseduca.pro/m/lessons/modulo-1-certificacao-de-vendedores-b2b-prospeccao-inteligente-e-geracao-de-demanda-1774620432269</v>
      </c>
      <c r="M947" s="1254">
        <f>IFERROR(__xludf.DUMMYFUNCTION("""COMPUTED_VALUE"""),5.0)</f>
        <v>5</v>
      </c>
      <c r="N947" s="1246" t="str">
        <f>IFERROR(__xludf.DUMMYFUNCTION("""COMPUTED_VALUE"""),"Módulo 1  Certificação de Vendedores B2B Prospecção Inteligente e Geração de Demanda.mp4")</f>
        <v>Módulo 1  Certificação de Vendedores B2B Prospecção Inteligente e Geração de Demanda.mp4</v>
      </c>
      <c r="O947" s="1246" t="str">
        <f>IFERROR(__xludf.DUMMYFUNCTION("""COMPUTED_VALUE"""),"")</f>
        <v/>
      </c>
      <c r="P947" s="1249">
        <f>IFERROR(__xludf.DUMMYFUNCTION("""COMPUTED_VALUE"""),46122.0)</f>
        <v>46122</v>
      </c>
      <c r="Q947" s="1246"/>
    </row>
    <row r="948">
      <c r="A948" s="73"/>
      <c r="B948" s="886" t="str">
        <f>IFERROR(__xludf.DUMMYFUNCTION("""COMPUTED_VALUE"""),"Class")</f>
        <v>Class</v>
      </c>
      <c r="C948" s="1280" t="str">
        <f>IFERROR(__xludf.DUMMYFUNCTION("""COMPUTED_VALUE"""),"MÓDULO 2: Engenharia da Atenção - Especialização Prospecção")</f>
        <v>MÓDULO 2: Engenharia da Atenção - Especialização Prospecção</v>
      </c>
      <c r="D948" s="1280" t="str">
        <f>IFERROR(__xludf.DUMMYFUNCTION("""COMPUTED_VALUE"""),"Ricardo Correa")</f>
        <v>Ricardo Correa</v>
      </c>
      <c r="E948" s="1246" t="str">
        <f>IFERROR(__xludf.DUMMYFUNCTION("""COMPUTED_VALUE"""),"CEO")</f>
        <v>CEO</v>
      </c>
      <c r="F948" s="1275" t="str">
        <f>IFERROR(__xludf.DUMMYFUNCTION("""COMPUTED_VALUE"""),"Ramper")</f>
        <v>Ramper</v>
      </c>
      <c r="G948" s="1077" t="str">
        <f>IFERROR(__xludf.DUMMYFUNCTION("""COMPUTED_VALUE"""),"https://www.linkedin.com/in/rlcorrea/")</f>
        <v>https://www.linkedin.com/in/rlcorrea/</v>
      </c>
      <c r="H948" s="1276" t="str">
        <f>IFERROR(__xludf.DUMMYFUNCTION("""COMPUTED_VALUE"""),"Conhecimento Técnico")</f>
        <v>Conhecimento Técnico</v>
      </c>
      <c r="I948" s="1276" t="str">
        <f>IFERROR(__xludf.DUMMYFUNCTION("""COMPUTED_VALUE"""),"Técnicas de Vendas")</f>
        <v>Técnicas de Vendas</v>
      </c>
      <c r="J948" s="1275" t="str">
        <f>IFERROR(__xludf.DUMMYFUNCTION("""COMPUTED_VALUE"""),"Abordagem e Prospecção")</f>
        <v>Abordagem e Prospecção</v>
      </c>
      <c r="K948" s="1277" t="str">
        <f>IFERROR(__xludf.DUMMYFUNCTION("""COMPUTED_VALUE"""),"https://pipelovers.curseduca.pro/m/lessons/engenharia-da-atencao-por-que-o-prospect-responde-ou-ignora-voce-1774645021735?classId=3855")</f>
        <v>https://pipelovers.curseduca.pro/m/lessons/engenharia-da-atencao-por-que-o-prospect-responde-ou-ignora-voce-1774645021735?classId=3855</v>
      </c>
      <c r="L948" s="1281" t="str">
        <f>IFERROR(__xludf.DUMMYFUNCTION("""COMPUTED_VALUE"""),"https://pipelovers.curseduca.pro/m/lessons/engenharia-da-atencao-por-que-o-prospect-responde-ou-ignora-voce-1774645021735?classId=3855")</f>
        <v>https://pipelovers.curseduca.pro/m/lessons/engenharia-da-atencao-por-que-o-prospect-responde-ou-ignora-voce-1774645021735?classId=3855</v>
      </c>
      <c r="M948" s="1254">
        <f>IFERROR(__xludf.DUMMYFUNCTION("""COMPUTED_VALUE"""),5.0)</f>
        <v>5</v>
      </c>
      <c r="N948" s="1246" t="str">
        <f>IFERROR(__xludf.DUMMYFUNCTION("""COMPUTED_VALUE"""),"Módulo 2  Especialização em prospecção Engenharia da atenção Por que o prospect responde (ou ignora) você -descript.mp4")</f>
        <v>Módulo 2  Especialização em prospecção Engenharia da atenção Por que o prospect responde (ou ignora) você -descript.mp4</v>
      </c>
      <c r="O948" s="1246" t="str">
        <f>IFERROR(__xludf.DUMMYFUNCTION("""COMPUTED_VALUE"""),"")</f>
        <v/>
      </c>
      <c r="P948" s="1249">
        <f>IFERROR(__xludf.DUMMYFUNCTION("""COMPUTED_VALUE"""),46129.0)</f>
        <v>46129</v>
      </c>
      <c r="Q948" s="1246"/>
    </row>
    <row r="949">
      <c r="A949" s="73"/>
      <c r="B949" s="886" t="str">
        <f>IFERROR(__xludf.DUMMYFUNCTION("""COMPUTED_VALUE"""),"Class")</f>
        <v>Class</v>
      </c>
      <c r="C949" s="1280" t="str">
        <f>IFERROR(__xludf.DUMMYFUNCTION("""COMPUTED_VALUE"""),"MÓDULO 3: Produtividade, Cadência e Consistência")</f>
        <v>MÓDULO 3: Produtividade, Cadência e Consistência</v>
      </c>
      <c r="D949" s="1280" t="str">
        <f>IFERROR(__xludf.DUMMYFUNCTION("""COMPUTED_VALUE"""),"Diego Cordovez")</f>
        <v>Diego Cordovez</v>
      </c>
      <c r="E949" s="1246" t="str">
        <f>IFERROR(__xludf.DUMMYFUNCTION("""COMPUTED_VALUE"""),"Palestrante e Mentor")</f>
        <v>Palestrante e Mentor</v>
      </c>
      <c r="F949" s="1275"/>
      <c r="G949" s="1077" t="str">
        <f>IFERROR(__xludf.DUMMYFUNCTION("""COMPUTED_VALUE"""),"https://www.linkedin.com/in/diegocordovez/")</f>
        <v>https://www.linkedin.com/in/diegocordovez/</v>
      </c>
      <c r="H949" s="1276" t="str">
        <f>IFERROR(__xludf.DUMMYFUNCTION("""COMPUTED_VALUE"""),"Autodesenvolvimento")</f>
        <v>Autodesenvolvimento</v>
      </c>
      <c r="I949" s="1276" t="str">
        <f>IFERROR(__xludf.DUMMYFUNCTION("""COMPUTED_VALUE"""),"Gestão de Tempo e da Informação")</f>
        <v>Gestão de Tempo e da Informação</v>
      </c>
      <c r="J949" s="1275" t="str">
        <f>IFERROR(__xludf.DUMMYFUNCTION("""COMPUTED_VALUE"""),"Técnicas de Organização e Rotina")</f>
        <v>Técnicas de Organização e Rotina</v>
      </c>
      <c r="K949" s="1277" t="str">
        <f>IFERROR(__xludf.DUMMYFUNCTION("""COMPUTED_VALUE"""),"https://pipelovers.curseduca.pro/m/lessons/programa-especializacao-em-prospeccao-1775859580421")</f>
        <v>https://pipelovers.curseduca.pro/m/lessons/programa-especializacao-em-prospeccao-1775859580421</v>
      </c>
      <c r="L949" s="1281" t="str">
        <f>IFERROR(__xludf.DUMMYFUNCTION("""COMPUTED_VALUE"""),"https://pipelovers.curseduca.pro/m/lessons/programa-especializacao-em-prospeccao-1775859580421")</f>
        <v>https://pipelovers.curseduca.pro/m/lessons/programa-especializacao-em-prospeccao-1775859580421</v>
      </c>
      <c r="M949" s="1254">
        <f>IFERROR(__xludf.DUMMYFUNCTION("""COMPUTED_VALUE"""),5.0)</f>
        <v>5</v>
      </c>
      <c r="N949" s="1246" t="str">
        <f>IFERROR(__xludf.DUMMYFUNCTION("""COMPUTED_VALUE"""),"Módulo 3  - Especialização em prospecção Produtividade, cadência e consistência - descript.mp4")</f>
        <v>Módulo 3  - Especialização em prospecção Produtividade, cadência e consistência - descript.mp4</v>
      </c>
      <c r="O949" s="1246" t="str">
        <f>IFERROR(__xludf.DUMMYFUNCTION("""COMPUTED_VALUE"""),"")</f>
        <v/>
      </c>
      <c r="P949" s="1249">
        <f>IFERROR(__xludf.DUMMYFUNCTION("""COMPUTED_VALUE"""),46150.0)</f>
        <v>46150</v>
      </c>
      <c r="Q949" s="1246"/>
    </row>
    <row r="950">
      <c r="A950" s="73"/>
      <c r="B950" s="886" t="str">
        <f>IFERROR(__xludf.DUMMYFUNCTION("""COMPUTED_VALUE"""),"Class")</f>
        <v>Class</v>
      </c>
      <c r="C950" s="1280" t="str">
        <f>IFERROR(__xludf.DUMMYFUNCTION("""COMPUTED_VALUE"""),"MÓDULO 4: Mensagens que geram conversão: WhatsApp, Linkedin e E-mail     ")</f>
        <v>MÓDULO 4: Mensagens que geram conversão: WhatsApp, Linkedin e E-mail     </v>
      </c>
      <c r="D950" s="1280" t="str">
        <f>IFERROR(__xludf.DUMMYFUNCTION("""COMPUTED_VALUE"""),"Jessica Bosco")</f>
        <v>Jessica Bosco</v>
      </c>
      <c r="E950" s="1246" t="str">
        <f>IFERROR(__xludf.DUMMYFUNCTION("""COMPUTED_VALUE"""),"Head de Produto")</f>
        <v>Head de Produto</v>
      </c>
      <c r="F950" s="1275" t="str">
        <f>IFERROR(__xludf.DUMMYFUNCTION("""COMPUTED_VALUE"""),"PipeLovers")</f>
        <v>PipeLovers</v>
      </c>
      <c r="G950" s="1077" t="str">
        <f>IFERROR(__xludf.DUMMYFUNCTION("""COMPUTED_VALUE"""),"https://www.linkedin.com/in/jessicabosco/")</f>
        <v>https://www.linkedin.com/in/jessicabosco/</v>
      </c>
      <c r="H950" s="1276" t="str">
        <f>IFERROR(__xludf.DUMMYFUNCTION("""COMPUTED_VALUE"""),"Relacionamento Interpessoal")</f>
        <v>Relacionamento Interpessoal</v>
      </c>
      <c r="I950" s="1276" t="str">
        <f>IFERROR(__xludf.DUMMYFUNCTION("""COMPUTED_VALUE"""),"Comunicação e Relacionamento")</f>
        <v>Comunicação e Relacionamento</v>
      </c>
      <c r="J950" s="1275" t="str">
        <f>IFERROR(__xludf.DUMMYFUNCTION("""COMPUTED_VALUE"""),"Comunicação Virtual")</f>
        <v>Comunicação Virtual</v>
      </c>
      <c r="K950" s="1277" t="str">
        <f>IFERROR(__xludf.DUMMYFUNCTION("""COMPUTED_VALUE"""),"https://pipelovers.curseduca.pro/m/lessons/programa-especializacao-em-prospeccao-1775859580421")</f>
        <v>https://pipelovers.curseduca.pro/m/lessons/programa-especializacao-em-prospeccao-1775859580421</v>
      </c>
      <c r="L950" s="1281" t="str">
        <f>IFERROR(__xludf.DUMMYFUNCTION("""COMPUTED_VALUE"""),"https://pipelovers.curseduca.pro/m/lessons/programa-especializacao-em-prospeccao-1775859580421")</f>
        <v>https://pipelovers.curseduca.pro/m/lessons/programa-especializacao-em-prospeccao-1775859580421</v>
      </c>
      <c r="M950" s="1254">
        <f>IFERROR(__xludf.DUMMYFUNCTION("""COMPUTED_VALUE"""),5.0)</f>
        <v>5</v>
      </c>
      <c r="N950" s="1246" t="str">
        <f>IFERROR(__xludf.DUMMYFUNCTION("""COMPUTED_VALUE"""),"Módulo 4  Especialização em prospecção Mensagens que geram conversão (WhatsApp, LinkedIn e e-mail) - descript.mp4")</f>
        <v>Módulo 4  Especialização em prospecção Mensagens que geram conversão (WhatsApp, LinkedIn e e-mail) - descript.mp4</v>
      </c>
      <c r="O950" s="1246" t="str">
        <f>IFERROR(__xludf.DUMMYFUNCTION("""COMPUTED_VALUE"""),"")</f>
        <v/>
      </c>
      <c r="P950" s="1249">
        <f>IFERROR(__xludf.DUMMYFUNCTION("""COMPUTED_VALUE"""),46164.0)</f>
        <v>46164</v>
      </c>
      <c r="Q950" s="1246"/>
    </row>
    <row r="951">
      <c r="A951" s="73"/>
      <c r="B951" s="886" t="str">
        <f>IFERROR(__xludf.DUMMYFUNCTION("""COMPUTED_VALUE"""),"Class")</f>
        <v>Class</v>
      </c>
      <c r="C951" s="1280" t="str">
        <f>IFERROR(__xludf.DUMMYFUNCTION("""COMPUTED_VALUE"""),"MÓDULO 5: Gestão de Objeções")</f>
        <v>MÓDULO 5: Gestão de Objeções</v>
      </c>
      <c r="D951" s="1280" t="str">
        <f>IFERROR(__xludf.DUMMYFUNCTION("""COMPUTED_VALUE"""),"Samanta Lopes")</f>
        <v>Samanta Lopes</v>
      </c>
      <c r="E951" s="1246" t="str">
        <f>IFERROR(__xludf.DUMMYFUNCTION("""COMPUTED_VALUE"""),"Gerente de Prospecção de Negócios")</f>
        <v>Gerente de Prospecção de Negócios</v>
      </c>
      <c r="F951" s="1275" t="str">
        <f>IFERROR(__xludf.DUMMYFUNCTION("""COMPUTED_VALUE"""),"TOTVS")</f>
        <v>TOTVS</v>
      </c>
      <c r="G951" s="1077" t="str">
        <f>IFERROR(__xludf.DUMMYFUNCTION("""COMPUTED_VALUE"""),"https://www.linkedin.com/in/samantalopesvieira/")</f>
        <v>https://www.linkedin.com/in/samantalopesvieira/</v>
      </c>
      <c r="H951" s="1276" t="str">
        <f>IFERROR(__xludf.DUMMYFUNCTION("""COMPUTED_VALUE"""),"Conhecimento Técnico")</f>
        <v>Conhecimento Técnico</v>
      </c>
      <c r="I951" s="1276" t="str">
        <f>IFERROR(__xludf.DUMMYFUNCTION("""COMPUTED_VALUE"""),"Técnicas de Vendas")</f>
        <v>Técnicas de Vendas</v>
      </c>
      <c r="J951" s="1275" t="str">
        <f>IFERROR(__xludf.DUMMYFUNCTION("""COMPUTED_VALUE"""),"Contorno de Objeções")</f>
        <v>Contorno de Objeções</v>
      </c>
      <c r="K951" s="1277" t="str">
        <f>IFERROR(__xludf.DUMMYFUNCTION("""COMPUTED_VALUE"""),"https://pipelovers.curseduca.pro/m/lessons/programa-especializacao-em-prospeccao-1775859580421")</f>
        <v>https://pipelovers.curseduca.pro/m/lessons/programa-especializacao-em-prospeccao-1775859580421</v>
      </c>
      <c r="L951" s="1281" t="str">
        <f>IFERROR(__xludf.DUMMYFUNCTION("""COMPUTED_VALUE"""),"https://pipelovers.curseduca.pro/m/lessons/programa-especializacao-em-prospeccao-1775859580421")</f>
        <v>https://pipelovers.curseduca.pro/m/lessons/programa-especializacao-em-prospeccao-1775859580421</v>
      </c>
      <c r="M951" s="1254">
        <f>IFERROR(__xludf.DUMMYFUNCTION("""COMPUTED_VALUE"""),5.0)</f>
        <v>5</v>
      </c>
      <c r="N951" s="1246" t="str">
        <f>IFERROR(__xludf.DUMMYFUNCTION("""COMPUTED_VALUE"""),"Módulo 5 -  Especialização em prospecção Gestão de objeções.mp4")</f>
        <v>Módulo 5 -  Especialização em prospecção Gestão de objeções.mp4</v>
      </c>
      <c r="O951" s="1246" t="str">
        <f>IFERROR(__xludf.DUMMYFUNCTION("""COMPUTED_VALUE"""),"")</f>
        <v/>
      </c>
      <c r="P951" s="1249">
        <f>IFERROR(__xludf.DUMMYFUNCTION("""COMPUTED_VALUE"""),46175.0)</f>
        <v>46175</v>
      </c>
      <c r="Q951" s="1246"/>
    </row>
    <row r="952">
      <c r="A952" s="73"/>
      <c r="B952" s="886" t="str">
        <f>IFERROR(__xludf.DUMMYFUNCTION("""COMPUTED_VALUE"""),"Class")</f>
        <v>Class</v>
      </c>
      <c r="C952" s="1280" t="str">
        <f>IFERROR(__xludf.DUMMYFUNCTION("""COMPUTED_VALUE"""),"MÓDULO 6: Mapa de Poder &amp; Multithreading - Pagotto - Especialização Prospecção")</f>
        <v>MÓDULO 6: Mapa de Poder &amp; Multithreading - Pagotto - Especialização Prospecção</v>
      </c>
      <c r="D952" s="1280" t="str">
        <f>IFERROR(__xludf.DUMMYFUNCTION("""COMPUTED_VALUE"""),"Gustavo Pagotto")</f>
        <v>Gustavo Pagotto</v>
      </c>
      <c r="E952" s="1246" t="str">
        <f>IFERROR(__xludf.DUMMYFUNCTION("""COMPUTED_VALUE"""),"Fundador")</f>
        <v>Fundador</v>
      </c>
      <c r="F952" s="1275" t="str">
        <f>IFERROR(__xludf.DUMMYFUNCTION("""COMPUTED_VALUE"""),"PipeLovers")</f>
        <v>PipeLovers</v>
      </c>
      <c r="G952" s="1077" t="str">
        <f>IFERROR(__xludf.DUMMYFUNCTION("""COMPUTED_VALUE"""),"https://www.linkedin.com/in/gpagotto/")</f>
        <v>https://www.linkedin.com/in/gpagotto/</v>
      </c>
      <c r="H952" s="1276" t="str">
        <f>IFERROR(__xludf.DUMMYFUNCTION("""COMPUTED_VALUE"""),"Conhecimento Técnico")</f>
        <v>Conhecimento Técnico</v>
      </c>
      <c r="I952" s="1276" t="str">
        <f>IFERROR(__xludf.DUMMYFUNCTION("""COMPUTED_VALUE"""),"Técnicas de Vendas")</f>
        <v>Técnicas de Vendas</v>
      </c>
      <c r="J952" s="1275" t="str">
        <f>IFERROR(__xludf.DUMMYFUNCTION("""COMPUTED_VALUE"""),"Stakeholder Management")</f>
        <v>Stakeholder Management</v>
      </c>
      <c r="K952" s="1277" t="str">
        <f>IFERROR(__xludf.DUMMYFUNCTION("""COMPUTED_VALUE"""),"https://pipelovers.curseduca.pro/m/lessons/mapa-de-poder-multi-threading-1774647109566")</f>
        <v>https://pipelovers.curseduca.pro/m/lessons/mapa-de-poder-multi-threading-1774647109566</v>
      </c>
      <c r="L952" s="1281" t="str">
        <f>IFERROR(__xludf.DUMMYFUNCTION("""COMPUTED_VALUE"""),"https://pipelovers.curseduca.pro/m/lessons/mapa-de-poder-multi-threading-1774647109566")</f>
        <v>https://pipelovers.curseduca.pro/m/lessons/mapa-de-poder-multi-threading-1774647109566</v>
      </c>
      <c r="M952" s="1254">
        <f>IFERROR(__xludf.DUMMYFUNCTION("""COMPUTED_VALUE"""),5.0)</f>
        <v>5</v>
      </c>
      <c r="N952" s="1246"/>
      <c r="O952" s="1246" t="str">
        <f>IFERROR(__xludf.DUMMYFUNCTION("""COMPUTED_VALUE"""),"")</f>
        <v/>
      </c>
      <c r="P952" s="1249">
        <f>IFERROR(__xludf.DUMMYFUNCTION("""COMPUTED_VALUE"""),46192.0)</f>
        <v>46192</v>
      </c>
      <c r="Q952" s="1246"/>
    </row>
    <row r="953">
      <c r="A953" s="73"/>
      <c r="B953" s="886"/>
      <c r="C953" s="1280"/>
      <c r="D953" s="1280"/>
      <c r="E953" s="1246"/>
      <c r="F953" s="1275"/>
      <c r="G953" s="1276"/>
      <c r="H953" s="1276"/>
      <c r="I953" s="1276"/>
      <c r="J953" s="1275"/>
      <c r="K953" s="1275"/>
      <c r="L953" s="1246"/>
      <c r="M953" s="1254"/>
      <c r="N953" s="1246"/>
      <c r="O953" s="1246"/>
      <c r="P953" s="1249"/>
      <c r="Q953" s="1246"/>
    </row>
    <row r="954">
      <c r="A954" s="73"/>
      <c r="B954" s="886"/>
      <c r="C954" s="1280"/>
      <c r="D954" s="1280"/>
      <c r="E954" s="1246"/>
      <c r="F954" s="1275"/>
      <c r="G954" s="1276"/>
      <c r="H954" s="1276"/>
      <c r="I954" s="1276"/>
      <c r="J954" s="1275"/>
      <c r="K954" s="1275"/>
      <c r="L954" s="1246"/>
      <c r="M954" s="1254"/>
      <c r="N954" s="1246"/>
      <c r="O954" s="1246"/>
      <c r="P954" s="1249"/>
      <c r="Q954" s="1246"/>
    </row>
    <row r="955">
      <c r="A955" s="73"/>
      <c r="B955" s="886"/>
      <c r="C955" s="1280"/>
      <c r="D955" s="1280"/>
      <c r="E955" s="1246"/>
      <c r="F955" s="1275"/>
      <c r="G955" s="1276"/>
      <c r="H955" s="1276"/>
      <c r="I955" s="1276"/>
      <c r="J955" s="1275"/>
      <c r="K955" s="1275"/>
      <c r="L955" s="1246"/>
      <c r="M955" s="1254"/>
      <c r="N955" s="1246"/>
      <c r="O955" s="1246"/>
      <c r="P955" s="1249"/>
      <c r="Q955" s="1246"/>
    </row>
    <row r="956">
      <c r="A956" s="73"/>
      <c r="B956" s="886"/>
      <c r="C956" s="1280"/>
      <c r="D956" s="1280"/>
      <c r="E956" s="1246"/>
      <c r="F956" s="1275"/>
      <c r="G956" s="1276"/>
      <c r="H956" s="1276"/>
      <c r="I956" s="1276"/>
      <c r="J956" s="1275"/>
      <c r="K956" s="1275"/>
      <c r="L956" s="1246"/>
      <c r="M956" s="1254"/>
      <c r="N956" s="1246"/>
      <c r="O956" s="1246"/>
      <c r="P956" s="1249"/>
      <c r="Q956" s="1246"/>
    </row>
    <row r="957">
      <c r="A957" s="73"/>
      <c r="B957" s="886"/>
      <c r="C957" s="1280"/>
      <c r="D957" s="1280"/>
      <c r="E957" s="1246"/>
      <c r="F957" s="1275"/>
      <c r="G957" s="1276"/>
      <c r="H957" s="1276"/>
      <c r="I957" s="1276"/>
      <c r="J957" s="1275"/>
      <c r="K957" s="1275"/>
      <c r="L957" s="1246"/>
      <c r="M957" s="1254"/>
      <c r="N957" s="1246"/>
      <c r="O957" s="1246"/>
      <c r="P957" s="1249"/>
      <c r="Q957" s="1246"/>
    </row>
    <row r="958">
      <c r="A958" s="73"/>
      <c r="B958" s="886"/>
      <c r="C958" s="1280"/>
      <c r="D958" s="1280"/>
      <c r="E958" s="1246"/>
      <c r="F958" s="1275"/>
      <c r="G958" s="1276"/>
      <c r="H958" s="1276"/>
      <c r="I958" s="1276"/>
      <c r="J958" s="1275"/>
      <c r="K958" s="1275"/>
      <c r="L958" s="1246"/>
      <c r="M958" s="1254"/>
      <c r="N958" s="1246"/>
      <c r="O958" s="1246"/>
      <c r="P958" s="1249"/>
      <c r="Q958" s="1246"/>
    </row>
    <row r="959">
      <c r="A959" s="73"/>
      <c r="B959" s="886"/>
      <c r="C959" s="1280"/>
      <c r="D959" s="1280"/>
      <c r="E959" s="1246"/>
      <c r="F959" s="1275"/>
      <c r="G959" s="1276"/>
      <c r="H959" s="1276"/>
      <c r="I959" s="1276"/>
      <c r="J959" s="1275"/>
      <c r="K959" s="1275"/>
      <c r="L959" s="1246"/>
      <c r="M959" s="1254"/>
      <c r="N959" s="1246"/>
      <c r="O959" s="1246"/>
      <c r="P959" s="1249"/>
      <c r="Q959" s="1246"/>
    </row>
    <row r="960">
      <c r="A960" s="73"/>
      <c r="B960" s="886"/>
      <c r="C960" s="1280"/>
      <c r="D960" s="1280"/>
      <c r="E960" s="1246"/>
      <c r="F960" s="1275"/>
      <c r="G960" s="1276"/>
      <c r="H960" s="1276"/>
      <c r="I960" s="1276"/>
      <c r="J960" s="1275"/>
      <c r="K960" s="1275"/>
      <c r="L960" s="1246"/>
      <c r="M960" s="1254"/>
      <c r="N960" s="1246"/>
      <c r="O960" s="1246"/>
      <c r="P960" s="1249"/>
      <c r="Q960" s="1246"/>
    </row>
    <row r="961">
      <c r="A961" s="73"/>
      <c r="B961" s="886"/>
      <c r="C961" s="1280"/>
      <c r="D961" s="1280"/>
      <c r="E961" s="1246"/>
      <c r="F961" s="1275"/>
      <c r="G961" s="1276"/>
      <c r="H961" s="1276"/>
      <c r="I961" s="1276"/>
      <c r="J961" s="1275"/>
      <c r="K961" s="1275"/>
      <c r="L961" s="1246"/>
      <c r="M961" s="1254"/>
      <c r="N961" s="1246"/>
      <c r="O961" s="1246"/>
      <c r="P961" s="1249"/>
      <c r="Q961" s="1246"/>
    </row>
    <row r="962">
      <c r="A962" s="73"/>
      <c r="B962" s="886"/>
      <c r="C962" s="1280"/>
      <c r="D962" s="1280"/>
      <c r="E962" s="1246"/>
      <c r="F962" s="1275"/>
      <c r="G962" s="1276"/>
      <c r="H962" s="1276"/>
      <c r="I962" s="1276"/>
      <c r="J962" s="1275"/>
      <c r="K962" s="1275"/>
      <c r="L962" s="1246"/>
      <c r="M962" s="1254"/>
      <c r="N962" s="1246"/>
      <c r="O962" s="1246"/>
      <c r="P962" s="1249"/>
      <c r="Q962" s="1246"/>
    </row>
    <row r="963">
      <c r="A963" s="73"/>
      <c r="B963" s="886"/>
      <c r="C963" s="1280"/>
      <c r="D963" s="1280"/>
      <c r="E963" s="1246"/>
      <c r="F963" s="1275"/>
      <c r="G963" s="1276"/>
      <c r="H963" s="1276"/>
      <c r="I963" s="1276"/>
      <c r="J963" s="1275"/>
      <c r="K963" s="1275"/>
      <c r="L963" s="1246"/>
      <c r="M963" s="1254"/>
      <c r="N963" s="1246"/>
      <c r="O963" s="1246"/>
      <c r="P963" s="1249"/>
      <c r="Q963" s="1246"/>
    </row>
    <row r="964">
      <c r="A964" s="73"/>
      <c r="B964" s="886"/>
      <c r="C964" s="1280"/>
      <c r="D964" s="1280"/>
      <c r="E964" s="1246"/>
      <c r="F964" s="1275"/>
      <c r="G964" s="1276"/>
      <c r="H964" s="1276"/>
      <c r="I964" s="1276"/>
      <c r="J964" s="1275"/>
      <c r="K964" s="1275"/>
      <c r="L964" s="1246"/>
      <c r="M964" s="1254"/>
      <c r="N964" s="1246"/>
      <c r="O964" s="1246"/>
      <c r="P964" s="1249"/>
      <c r="Q964" s="1246"/>
    </row>
    <row r="965">
      <c r="A965" s="73"/>
      <c r="B965" s="886"/>
      <c r="C965" s="1280"/>
      <c r="D965" s="1280"/>
      <c r="E965" s="1246"/>
      <c r="F965" s="1275"/>
      <c r="G965" s="1276"/>
      <c r="H965" s="1276"/>
      <c r="I965" s="1276"/>
      <c r="J965" s="1275"/>
      <c r="K965" s="1275"/>
      <c r="L965" s="1246"/>
      <c r="M965" s="1254"/>
      <c r="N965" s="1246"/>
      <c r="O965" s="1246"/>
      <c r="P965" s="1249"/>
      <c r="Q965" s="1246"/>
    </row>
    <row r="966">
      <c r="A966" s="73"/>
      <c r="B966" s="886"/>
      <c r="C966" s="1280"/>
      <c r="D966" s="1280"/>
      <c r="E966" s="1246"/>
      <c r="F966" s="1275"/>
      <c r="G966" s="1276"/>
      <c r="H966" s="1276"/>
      <c r="I966" s="1276"/>
      <c r="J966" s="1275"/>
      <c r="K966" s="1275"/>
      <c r="L966" s="1246"/>
      <c r="M966" s="1254"/>
      <c r="N966" s="1246"/>
      <c r="O966" s="1246"/>
      <c r="P966" s="1249"/>
      <c r="Q966" s="1246"/>
    </row>
    <row r="967">
      <c r="A967" s="73"/>
      <c r="B967" s="886"/>
      <c r="C967" s="1280"/>
      <c r="D967" s="1280"/>
      <c r="E967" s="1246"/>
      <c r="F967" s="1275"/>
      <c r="G967" s="1276"/>
      <c r="H967" s="1276"/>
      <c r="I967" s="1276"/>
      <c r="J967" s="1275"/>
      <c r="K967" s="1275"/>
      <c r="L967" s="1246"/>
      <c r="M967" s="1254"/>
      <c r="N967" s="1246"/>
      <c r="O967" s="1246"/>
      <c r="P967" s="1249"/>
      <c r="Q967" s="1246"/>
    </row>
    <row r="968">
      <c r="A968" s="73"/>
      <c r="B968" s="886"/>
      <c r="C968" s="1280"/>
      <c r="D968" s="1280"/>
      <c r="E968" s="1246"/>
      <c r="F968" s="1275"/>
      <c r="G968" s="1276"/>
      <c r="H968" s="1276"/>
      <c r="I968" s="1276"/>
      <c r="J968" s="1275"/>
      <c r="K968" s="1275"/>
      <c r="L968" s="1246"/>
      <c r="M968" s="1254"/>
      <c r="N968" s="1246"/>
      <c r="O968" s="1246"/>
      <c r="P968" s="1249"/>
      <c r="Q968" s="1246"/>
    </row>
    <row r="969">
      <c r="A969" s="73"/>
      <c r="B969" s="886"/>
      <c r="C969" s="1280"/>
      <c r="D969" s="1280"/>
      <c r="E969" s="1246"/>
      <c r="F969" s="1275"/>
      <c r="G969" s="1276"/>
      <c r="H969" s="1276"/>
      <c r="I969" s="1276"/>
      <c r="J969" s="1275"/>
      <c r="K969" s="1275"/>
      <c r="L969" s="1246"/>
      <c r="M969" s="1254"/>
      <c r="N969" s="1246"/>
      <c r="O969" s="1246"/>
      <c r="P969" s="1249"/>
      <c r="Q969" s="1246"/>
    </row>
    <row r="970">
      <c r="A970" s="73"/>
      <c r="B970" s="886"/>
      <c r="C970" s="1280"/>
      <c r="D970" s="1280"/>
      <c r="E970" s="1246"/>
      <c r="F970" s="1275"/>
      <c r="G970" s="1276"/>
      <c r="H970" s="1276"/>
      <c r="I970" s="1276"/>
      <c r="J970" s="1275"/>
      <c r="K970" s="1275"/>
      <c r="L970" s="1246"/>
      <c r="M970" s="1254"/>
      <c r="N970" s="1246"/>
      <c r="O970" s="1246"/>
      <c r="P970" s="1249"/>
      <c r="Q970" s="1246"/>
    </row>
    <row r="971">
      <c r="A971" s="73"/>
      <c r="B971" s="886"/>
      <c r="C971" s="1280"/>
      <c r="D971" s="1280"/>
      <c r="E971" s="1246"/>
      <c r="F971" s="1275"/>
      <c r="G971" s="1276"/>
      <c r="H971" s="1276"/>
      <c r="I971" s="1276"/>
      <c r="J971" s="1275"/>
      <c r="K971" s="1275"/>
      <c r="L971" s="1246"/>
      <c r="M971" s="1254"/>
      <c r="N971" s="1246"/>
      <c r="O971" s="1246"/>
      <c r="P971" s="1249"/>
      <c r="Q971" s="1246"/>
    </row>
    <row r="972">
      <c r="A972" s="73"/>
      <c r="B972" s="886"/>
      <c r="C972" s="1280"/>
      <c r="D972" s="1280"/>
      <c r="E972" s="1246"/>
      <c r="F972" s="1275"/>
      <c r="G972" s="1276"/>
      <c r="H972" s="1276"/>
      <c r="I972" s="1276"/>
      <c r="J972" s="1275"/>
      <c r="K972" s="1275"/>
      <c r="L972" s="1246"/>
      <c r="M972" s="1254"/>
      <c r="N972" s="1246"/>
      <c r="O972" s="1246"/>
      <c r="P972" s="1249"/>
      <c r="Q972" s="1246"/>
    </row>
    <row r="973">
      <c r="A973" s="73"/>
      <c r="B973" s="886"/>
      <c r="C973" s="1280"/>
      <c r="D973" s="1280"/>
      <c r="E973" s="1246"/>
      <c r="F973" s="1275"/>
      <c r="G973" s="1276"/>
      <c r="H973" s="1276"/>
      <c r="I973" s="1276"/>
      <c r="J973" s="1275"/>
      <c r="K973" s="1275"/>
      <c r="L973" s="1246"/>
      <c r="M973" s="1254"/>
      <c r="N973" s="1246"/>
      <c r="O973" s="1246"/>
      <c r="P973" s="1249"/>
      <c r="Q973" s="1246"/>
    </row>
    <row r="974">
      <c r="A974" s="73"/>
      <c r="B974" s="886"/>
      <c r="C974" s="1280"/>
      <c r="D974" s="1280"/>
      <c r="E974" s="1246"/>
      <c r="F974" s="1275"/>
      <c r="G974" s="1276"/>
      <c r="H974" s="1276"/>
      <c r="I974" s="1276"/>
      <c r="J974" s="1275"/>
      <c r="K974" s="1275"/>
      <c r="L974" s="1246"/>
      <c r="M974" s="1254"/>
      <c r="N974" s="1246"/>
      <c r="O974" s="1246"/>
      <c r="P974" s="1249"/>
      <c r="Q974" s="1246"/>
    </row>
    <row r="975">
      <c r="A975" s="73"/>
      <c r="B975" s="886"/>
      <c r="C975" s="1280"/>
      <c r="D975" s="1280"/>
      <c r="E975" s="1246"/>
      <c r="F975" s="1275"/>
      <c r="G975" s="1276"/>
      <c r="H975" s="1276"/>
      <c r="I975" s="1276"/>
      <c r="J975" s="1275"/>
      <c r="K975" s="1275"/>
      <c r="L975" s="1246"/>
      <c r="M975" s="1254"/>
      <c r="N975" s="1246"/>
      <c r="O975" s="1246"/>
      <c r="P975" s="1249"/>
      <c r="Q975" s="1246"/>
    </row>
    <row r="976">
      <c r="A976" s="73"/>
      <c r="B976" s="886"/>
      <c r="C976" s="1280"/>
      <c r="D976" s="1280"/>
      <c r="E976" s="1246"/>
      <c r="F976" s="1275"/>
      <c r="G976" s="1276"/>
      <c r="H976" s="1276"/>
      <c r="I976" s="1276"/>
      <c r="J976" s="1275"/>
      <c r="K976" s="1275"/>
      <c r="L976" s="1246"/>
      <c r="M976" s="1254"/>
      <c r="N976" s="1246"/>
      <c r="O976" s="1246"/>
      <c r="P976" s="1249"/>
      <c r="Q976" s="1246"/>
    </row>
    <row r="977">
      <c r="A977" s="73"/>
      <c r="B977" s="886"/>
      <c r="C977" s="1280"/>
      <c r="D977" s="1280"/>
      <c r="E977" s="1246"/>
      <c r="F977" s="1275"/>
      <c r="G977" s="1276"/>
      <c r="H977" s="1276"/>
      <c r="I977" s="1276"/>
      <c r="J977" s="1275"/>
      <c r="K977" s="1275"/>
      <c r="L977" s="1246"/>
      <c r="M977" s="1254"/>
      <c r="N977" s="1246"/>
      <c r="O977" s="1246"/>
      <c r="P977" s="1249"/>
      <c r="Q977" s="1246"/>
    </row>
    <row r="978">
      <c r="A978" s="73"/>
      <c r="B978" s="886"/>
      <c r="C978" s="1280"/>
      <c r="D978" s="1280"/>
      <c r="E978" s="1246"/>
      <c r="F978" s="1275"/>
      <c r="G978" s="1276"/>
      <c r="H978" s="1276"/>
      <c r="I978" s="1276"/>
      <c r="J978" s="1275"/>
      <c r="K978" s="1275"/>
      <c r="L978" s="1246"/>
      <c r="M978" s="1254"/>
      <c r="N978" s="1246"/>
      <c r="O978" s="1246"/>
      <c r="P978" s="1249"/>
      <c r="Q978" s="1246"/>
    </row>
    <row r="979">
      <c r="A979" s="73"/>
      <c r="B979" s="886"/>
      <c r="C979" s="1280"/>
      <c r="D979" s="1280"/>
      <c r="E979" s="1246"/>
      <c r="F979" s="1275"/>
      <c r="G979" s="1276"/>
      <c r="H979" s="1276"/>
      <c r="I979" s="1276"/>
      <c r="J979" s="1275"/>
      <c r="K979" s="1275"/>
      <c r="L979" s="1246"/>
      <c r="M979" s="1254"/>
      <c r="N979" s="1246"/>
      <c r="O979" s="1246"/>
      <c r="P979" s="1249"/>
      <c r="Q979" s="1246"/>
    </row>
    <row r="980">
      <c r="A980" s="73"/>
      <c r="B980" s="886"/>
      <c r="C980" s="1280"/>
      <c r="D980" s="1280"/>
      <c r="E980" s="1246"/>
      <c r="F980" s="1275"/>
      <c r="G980" s="1276"/>
      <c r="H980" s="1276"/>
      <c r="I980" s="1276"/>
      <c r="J980" s="1275"/>
      <c r="K980" s="1275"/>
      <c r="L980" s="1246"/>
      <c r="M980" s="1254"/>
      <c r="N980" s="1246"/>
      <c r="O980" s="1246"/>
      <c r="P980" s="1249"/>
      <c r="Q980" s="1246"/>
    </row>
    <row r="981">
      <c r="A981" s="73"/>
      <c r="B981" s="886"/>
      <c r="C981" s="1280"/>
      <c r="D981" s="1280"/>
      <c r="E981" s="1246"/>
      <c r="F981" s="1275"/>
      <c r="G981" s="1276"/>
      <c r="H981" s="1276"/>
      <c r="I981" s="1276"/>
      <c r="J981" s="1275"/>
      <c r="K981" s="1275"/>
      <c r="L981" s="1246"/>
      <c r="M981" s="1254"/>
      <c r="N981" s="1246"/>
      <c r="O981" s="1246"/>
      <c r="P981" s="1249"/>
      <c r="Q981" s="1246"/>
    </row>
    <row r="982">
      <c r="A982" s="73"/>
      <c r="B982" s="886"/>
      <c r="C982" s="1280"/>
      <c r="D982" s="1280"/>
      <c r="E982" s="1246"/>
      <c r="F982" s="1275"/>
      <c r="G982" s="1276"/>
      <c r="H982" s="1276"/>
      <c r="I982" s="1276"/>
      <c r="J982" s="1275"/>
      <c r="K982" s="1275"/>
      <c r="L982" s="1246"/>
      <c r="M982" s="1254"/>
      <c r="N982" s="1246"/>
      <c r="O982" s="1246"/>
      <c r="P982" s="1249"/>
      <c r="Q982" s="1246"/>
    </row>
    <row r="983">
      <c r="A983" s="73"/>
      <c r="B983" s="886"/>
      <c r="C983" s="1280"/>
      <c r="D983" s="1280"/>
      <c r="E983" s="1246"/>
      <c r="F983" s="1275"/>
      <c r="G983" s="1276"/>
      <c r="H983" s="1276"/>
      <c r="I983" s="1276"/>
      <c r="J983" s="1275"/>
      <c r="K983" s="1275"/>
      <c r="L983" s="1246"/>
      <c r="M983" s="1254"/>
      <c r="N983" s="1246"/>
      <c r="O983" s="1246"/>
      <c r="P983" s="1249"/>
      <c r="Q983" s="1246"/>
    </row>
    <row r="984">
      <c r="A984" s="73"/>
      <c r="B984" s="886"/>
      <c r="C984" s="1280"/>
      <c r="D984" s="1280"/>
      <c r="E984" s="1246"/>
      <c r="F984" s="1275"/>
      <c r="G984" s="1276"/>
      <c r="H984" s="1276"/>
      <c r="I984" s="1276"/>
      <c r="J984" s="1275"/>
      <c r="K984" s="1275"/>
      <c r="L984" s="1246"/>
      <c r="M984" s="1254"/>
      <c r="N984" s="1246"/>
      <c r="O984" s="1246"/>
      <c r="P984" s="1249"/>
      <c r="Q984" s="1246"/>
    </row>
    <row r="985">
      <c r="A985" s="73"/>
      <c r="B985" s="886"/>
      <c r="C985" s="1280"/>
      <c r="D985" s="1280"/>
      <c r="E985" s="1246"/>
      <c r="F985" s="1275"/>
      <c r="G985" s="1276"/>
      <c r="H985" s="1276"/>
      <c r="I985" s="1276"/>
      <c r="J985" s="1275"/>
      <c r="K985" s="1275"/>
      <c r="L985" s="1246"/>
      <c r="M985" s="1254"/>
      <c r="N985" s="1246"/>
      <c r="O985" s="1246"/>
      <c r="P985" s="1249"/>
      <c r="Q985" s="1246"/>
    </row>
    <row r="986">
      <c r="A986" s="73"/>
      <c r="B986" s="886"/>
      <c r="C986" s="1280"/>
      <c r="D986" s="1280"/>
      <c r="E986" s="1246"/>
      <c r="F986" s="1275"/>
      <c r="G986" s="1276"/>
      <c r="H986" s="1276"/>
      <c r="I986" s="1276"/>
      <c r="J986" s="1275"/>
      <c r="K986" s="1275"/>
      <c r="L986" s="1246"/>
      <c r="M986" s="1254"/>
      <c r="N986" s="1246"/>
      <c r="O986" s="1246"/>
      <c r="P986" s="1249"/>
      <c r="Q986" s="1246"/>
    </row>
    <row r="987">
      <c r="A987" s="73"/>
      <c r="B987" s="886"/>
      <c r="C987" s="1280"/>
      <c r="D987" s="1280"/>
      <c r="E987" s="1246"/>
      <c r="F987" s="1275"/>
      <c r="G987" s="1276"/>
      <c r="H987" s="1276"/>
      <c r="I987" s="1276"/>
      <c r="J987" s="1275"/>
      <c r="K987" s="1275"/>
      <c r="L987" s="1246"/>
      <c r="M987" s="1254"/>
      <c r="N987" s="1246"/>
      <c r="O987" s="1246"/>
      <c r="P987" s="1249"/>
      <c r="Q987" s="1246"/>
    </row>
    <row r="988">
      <c r="A988" s="73"/>
      <c r="B988" s="886"/>
      <c r="C988" s="1280"/>
      <c r="D988" s="1280"/>
      <c r="E988" s="1246"/>
      <c r="F988" s="1275"/>
      <c r="G988" s="1276"/>
      <c r="H988" s="1276"/>
      <c r="I988" s="1276"/>
      <c r="J988" s="1275"/>
      <c r="K988" s="1275"/>
      <c r="L988" s="1246"/>
      <c r="M988" s="1254"/>
      <c r="N988" s="1246"/>
      <c r="O988" s="1246"/>
      <c r="P988" s="1249"/>
      <c r="Q988" s="1246"/>
    </row>
    <row r="989">
      <c r="A989" s="73"/>
      <c r="B989" s="886"/>
      <c r="C989" s="1280"/>
      <c r="D989" s="1280"/>
      <c r="E989" s="1246"/>
      <c r="F989" s="1275"/>
      <c r="G989" s="1276"/>
      <c r="H989" s="1276"/>
      <c r="I989" s="1276"/>
      <c r="J989" s="1275"/>
      <c r="K989" s="1275"/>
      <c r="L989" s="1246"/>
      <c r="M989" s="1254"/>
      <c r="N989" s="1246"/>
      <c r="O989" s="1246"/>
      <c r="P989" s="1249"/>
      <c r="Q989" s="1246"/>
    </row>
    <row r="990">
      <c r="A990" s="73"/>
      <c r="B990" s="886"/>
      <c r="C990" s="1280"/>
      <c r="D990" s="1280"/>
      <c r="E990" s="1246"/>
      <c r="F990" s="1275"/>
      <c r="G990" s="1276"/>
      <c r="H990" s="1276"/>
      <c r="I990" s="1276"/>
      <c r="J990" s="1275"/>
      <c r="K990" s="1275"/>
      <c r="L990" s="1246"/>
      <c r="M990" s="1254"/>
      <c r="N990" s="1246"/>
      <c r="O990" s="1246"/>
      <c r="P990" s="1249"/>
      <c r="Q990" s="1246"/>
    </row>
    <row r="991">
      <c r="A991" s="73"/>
      <c r="B991" s="886"/>
      <c r="C991" s="1280"/>
      <c r="D991" s="1280"/>
      <c r="E991" s="1246"/>
      <c r="F991" s="1275"/>
      <c r="G991" s="1276"/>
      <c r="H991" s="1276"/>
      <c r="I991" s="1276"/>
      <c r="J991" s="1275"/>
      <c r="K991" s="1275"/>
      <c r="L991" s="1246"/>
      <c r="M991" s="1254"/>
      <c r="N991" s="1246"/>
      <c r="O991" s="1246"/>
      <c r="P991" s="1249"/>
      <c r="Q991" s="1246"/>
    </row>
    <row r="992">
      <c r="A992" s="73"/>
      <c r="B992" s="886"/>
      <c r="C992" s="1280"/>
      <c r="D992" s="1280"/>
      <c r="E992" s="1246"/>
      <c r="F992" s="1275"/>
      <c r="G992" s="1276"/>
      <c r="H992" s="1276"/>
      <c r="I992" s="1276"/>
      <c r="J992" s="1275"/>
      <c r="K992" s="1275"/>
      <c r="L992" s="1246"/>
      <c r="M992" s="1254"/>
      <c r="N992" s="1246"/>
      <c r="O992" s="1246"/>
      <c r="P992" s="1249"/>
      <c r="Q992" s="1246"/>
    </row>
    <row r="993">
      <c r="A993" s="73"/>
      <c r="B993" s="886"/>
      <c r="C993" s="1280"/>
      <c r="D993" s="1280"/>
      <c r="E993" s="1246"/>
      <c r="F993" s="1275"/>
      <c r="G993" s="1276"/>
      <c r="H993" s="1276"/>
      <c r="I993" s="1276"/>
      <c r="J993" s="1275"/>
      <c r="K993" s="1275"/>
      <c r="L993" s="1246"/>
      <c r="M993" s="1254"/>
      <c r="N993" s="1246"/>
      <c r="O993" s="1246"/>
      <c r="P993" s="1249"/>
      <c r="Q993" s="1246"/>
    </row>
    <row r="994">
      <c r="A994" s="73"/>
      <c r="B994" s="886"/>
      <c r="C994" s="1280"/>
      <c r="D994" s="1280"/>
      <c r="E994" s="1246"/>
      <c r="F994" s="1275"/>
      <c r="G994" s="1276"/>
      <c r="H994" s="1276"/>
      <c r="I994" s="1276"/>
      <c r="J994" s="1275"/>
      <c r="K994" s="1275"/>
      <c r="L994" s="1246"/>
      <c r="M994" s="1254"/>
      <c r="N994" s="1246"/>
      <c r="O994" s="1246"/>
      <c r="P994" s="1249"/>
      <c r="Q994" s="1246"/>
    </row>
    <row r="995">
      <c r="A995" s="73"/>
      <c r="B995" s="886"/>
      <c r="C995" s="1280"/>
      <c r="D995" s="1280"/>
      <c r="E995" s="1246"/>
      <c r="F995" s="1275"/>
      <c r="G995" s="1276"/>
      <c r="H995" s="1276"/>
      <c r="I995" s="1276"/>
      <c r="J995" s="1275"/>
      <c r="K995" s="1275"/>
      <c r="L995" s="1246"/>
      <c r="M995" s="1254"/>
      <c r="N995" s="1246"/>
      <c r="O995" s="1246"/>
      <c r="P995" s="1249"/>
      <c r="Q995" s="1246"/>
    </row>
    <row r="996">
      <c r="A996" s="73"/>
      <c r="B996" s="886"/>
      <c r="C996" s="1280"/>
      <c r="D996" s="1280"/>
      <c r="E996" s="1246"/>
      <c r="F996" s="1275"/>
      <c r="G996" s="1276"/>
      <c r="H996" s="1276"/>
      <c r="I996" s="1276"/>
      <c r="J996" s="1275"/>
      <c r="K996" s="1275"/>
      <c r="L996" s="1246"/>
      <c r="M996" s="1254"/>
      <c r="N996" s="1246"/>
      <c r="O996" s="1246"/>
      <c r="P996" s="1249"/>
      <c r="Q996" s="1246"/>
    </row>
    <row r="997">
      <c r="A997" s="73"/>
      <c r="B997" s="886"/>
      <c r="C997" s="1280"/>
      <c r="D997" s="1280"/>
      <c r="E997" s="1246"/>
      <c r="F997" s="1275"/>
      <c r="G997" s="1276"/>
      <c r="H997" s="1276"/>
      <c r="I997" s="1276"/>
      <c r="J997" s="1275"/>
      <c r="K997" s="1275"/>
      <c r="L997" s="1246"/>
      <c r="M997" s="1254"/>
      <c r="N997" s="1246"/>
      <c r="O997" s="1246"/>
      <c r="P997" s="1249"/>
      <c r="Q997" s="1246"/>
    </row>
    <row r="998">
      <c r="A998" s="73"/>
      <c r="B998" s="886"/>
      <c r="C998" s="1280"/>
      <c r="D998" s="1280"/>
      <c r="E998" s="1246"/>
      <c r="F998" s="1275"/>
      <c r="G998" s="1276"/>
      <c r="H998" s="1276"/>
      <c r="I998" s="1276"/>
      <c r="J998" s="1275"/>
      <c r="K998" s="1275"/>
      <c r="L998" s="1246"/>
      <c r="M998" s="1254"/>
      <c r="N998" s="1246"/>
      <c r="O998" s="1246"/>
      <c r="P998" s="1249"/>
      <c r="Q998" s="1246"/>
    </row>
    <row r="999">
      <c r="A999" s="73"/>
      <c r="B999" s="886"/>
      <c r="C999" s="1280"/>
      <c r="D999" s="1280"/>
      <c r="E999" s="1246"/>
      <c r="F999" s="1275"/>
      <c r="G999" s="1276"/>
      <c r="H999" s="1276"/>
      <c r="I999" s="1276"/>
      <c r="J999" s="1275"/>
      <c r="K999" s="1275"/>
      <c r="L999" s="1246"/>
      <c r="M999" s="1254"/>
      <c r="N999" s="1246"/>
      <c r="O999" s="1246"/>
      <c r="P999" s="1249"/>
      <c r="Q999" s="1246"/>
    </row>
    <row r="1000">
      <c r="A1000" s="73"/>
      <c r="B1000" s="886"/>
      <c r="C1000" s="1280"/>
      <c r="D1000" s="1280"/>
      <c r="E1000" s="1246"/>
      <c r="F1000" s="1275"/>
      <c r="G1000" s="1276"/>
      <c r="H1000" s="1276"/>
      <c r="I1000" s="1276"/>
      <c r="J1000" s="1275"/>
      <c r="K1000" s="1275"/>
      <c r="L1000" s="1246"/>
      <c r="M1000" s="1254"/>
      <c r="N1000" s="1246"/>
      <c r="O1000" s="1246"/>
      <c r="P1000" s="1249"/>
      <c r="Q1000" s="1246"/>
    </row>
    <row r="1001">
      <c r="A1001" s="73"/>
      <c r="B1001" s="886"/>
      <c r="C1001" s="1280"/>
      <c r="D1001" s="1280"/>
      <c r="E1001" s="1246"/>
      <c r="F1001" s="1275"/>
      <c r="G1001" s="1276"/>
      <c r="H1001" s="1276"/>
      <c r="I1001" s="1276"/>
      <c r="J1001" s="1275"/>
      <c r="K1001" s="1275"/>
      <c r="L1001" s="1246"/>
      <c r="M1001" s="1254"/>
      <c r="N1001" s="1246"/>
      <c r="O1001" s="1246"/>
      <c r="P1001" s="1249"/>
      <c r="Q1001" s="1246"/>
    </row>
    <row r="1002">
      <c r="A1002" s="73"/>
      <c r="B1002" s="886"/>
      <c r="C1002" s="1280"/>
      <c r="D1002" s="1280"/>
      <c r="E1002" s="1246"/>
      <c r="F1002" s="1275"/>
      <c r="G1002" s="1276"/>
      <c r="H1002" s="1276"/>
      <c r="I1002" s="1276"/>
      <c r="J1002" s="1275"/>
      <c r="K1002" s="1275"/>
      <c r="L1002" s="1246"/>
      <c r="M1002" s="1254"/>
      <c r="N1002" s="1246"/>
      <c r="O1002" s="1246"/>
      <c r="P1002" s="1249"/>
      <c r="Q1002" s="1246"/>
    </row>
    <row r="1003">
      <c r="A1003" s="73"/>
      <c r="B1003" s="886"/>
      <c r="C1003" s="1280"/>
      <c r="D1003" s="1280"/>
      <c r="E1003" s="1246"/>
      <c r="F1003" s="1275"/>
      <c r="G1003" s="1276"/>
      <c r="H1003" s="1276"/>
      <c r="I1003" s="1276"/>
      <c r="J1003" s="1275"/>
      <c r="K1003" s="1275"/>
      <c r="L1003" s="1246"/>
      <c r="M1003" s="1254"/>
      <c r="N1003" s="1246"/>
      <c r="O1003" s="1246"/>
      <c r="P1003" s="1249"/>
      <c r="Q1003" s="1246"/>
    </row>
    <row r="1004">
      <c r="A1004" s="73"/>
      <c r="B1004" s="886"/>
      <c r="C1004" s="1280"/>
      <c r="D1004" s="1280"/>
      <c r="E1004" s="1246"/>
      <c r="F1004" s="1275"/>
      <c r="G1004" s="1276"/>
      <c r="H1004" s="1276"/>
      <c r="I1004" s="1276"/>
      <c r="J1004" s="1275"/>
      <c r="K1004" s="1275"/>
      <c r="L1004" s="1246"/>
      <c r="M1004" s="1254"/>
      <c r="N1004" s="1246"/>
      <c r="O1004" s="1246"/>
      <c r="P1004" s="1249"/>
      <c r="Q1004" s="1246"/>
    </row>
    <row r="1005">
      <c r="A1005" s="73"/>
      <c r="B1005" s="886"/>
      <c r="C1005" s="1280"/>
      <c r="D1005" s="1280"/>
      <c r="E1005" s="1246"/>
      <c r="F1005" s="1275"/>
      <c r="G1005" s="1276"/>
      <c r="H1005" s="1276"/>
      <c r="I1005" s="1276"/>
      <c r="J1005" s="1275"/>
      <c r="K1005" s="1275"/>
      <c r="L1005" s="1246"/>
      <c r="M1005" s="1254"/>
      <c r="N1005" s="1246"/>
      <c r="O1005" s="1246"/>
      <c r="P1005" s="1249"/>
      <c r="Q1005" s="1246"/>
    </row>
    <row r="1006">
      <c r="A1006" s="73"/>
      <c r="B1006" s="886"/>
      <c r="C1006" s="1280"/>
      <c r="D1006" s="1280"/>
      <c r="E1006" s="1246"/>
      <c r="F1006" s="1275"/>
      <c r="G1006" s="1276"/>
      <c r="H1006" s="1276"/>
      <c r="I1006" s="1276"/>
      <c r="J1006" s="1275"/>
      <c r="K1006" s="1275"/>
      <c r="L1006" s="1246"/>
      <c r="M1006" s="1254"/>
      <c r="N1006" s="1246"/>
      <c r="O1006" s="1246"/>
      <c r="P1006" s="1249"/>
      <c r="Q1006" s="1246"/>
    </row>
    <row r="1007">
      <c r="A1007" s="73"/>
      <c r="B1007" s="886"/>
      <c r="C1007" s="1280"/>
      <c r="D1007" s="1280"/>
      <c r="E1007" s="1246"/>
      <c r="F1007" s="1275"/>
      <c r="G1007" s="1276"/>
      <c r="H1007" s="1276"/>
      <c r="I1007" s="1276"/>
      <c r="J1007" s="1275"/>
      <c r="K1007" s="1275"/>
      <c r="L1007" s="1246"/>
      <c r="M1007" s="1254"/>
      <c r="N1007" s="1246"/>
      <c r="O1007" s="1246"/>
      <c r="P1007" s="1249"/>
      <c r="Q1007" s="1246"/>
    </row>
    <row r="1008">
      <c r="A1008" s="73"/>
      <c r="B1008" s="886"/>
      <c r="C1008" s="1280"/>
      <c r="D1008" s="1280"/>
      <c r="E1008" s="1246"/>
      <c r="F1008" s="1275"/>
      <c r="G1008" s="1276"/>
      <c r="H1008" s="1276"/>
      <c r="I1008" s="1276"/>
      <c r="J1008" s="1275"/>
      <c r="K1008" s="1275"/>
      <c r="L1008" s="1246"/>
      <c r="M1008" s="1254"/>
      <c r="N1008" s="1246"/>
      <c r="O1008" s="1246"/>
      <c r="P1008" s="1249"/>
      <c r="Q1008" s="1246"/>
    </row>
    <row r="1009">
      <c r="A1009" s="73"/>
      <c r="B1009" s="886"/>
      <c r="C1009" s="1280"/>
      <c r="D1009" s="1280"/>
      <c r="E1009" s="1246"/>
      <c r="F1009" s="1275"/>
      <c r="G1009" s="1276"/>
      <c r="H1009" s="1276"/>
      <c r="I1009" s="1276"/>
      <c r="J1009" s="1275"/>
      <c r="K1009" s="1275"/>
      <c r="L1009" s="1246"/>
      <c r="M1009" s="1254"/>
      <c r="N1009" s="1246"/>
      <c r="O1009" s="1246"/>
      <c r="P1009" s="1249"/>
      <c r="Q1009" s="1246"/>
    </row>
    <row r="1010">
      <c r="A1010" s="73"/>
      <c r="B1010" s="886"/>
      <c r="C1010" s="1280"/>
      <c r="D1010" s="1280"/>
      <c r="E1010" s="1246"/>
      <c r="F1010" s="1275"/>
      <c r="G1010" s="1276"/>
      <c r="H1010" s="1276"/>
      <c r="I1010" s="1276"/>
      <c r="J1010" s="1275"/>
      <c r="K1010" s="1275"/>
      <c r="L1010" s="1246"/>
      <c r="M1010" s="1254"/>
      <c r="N1010" s="1246"/>
      <c r="O1010" s="1246"/>
      <c r="P1010" s="1249"/>
      <c r="Q1010" s="1246"/>
    </row>
    <row r="1011">
      <c r="A1011" s="73"/>
      <c r="B1011" s="886"/>
      <c r="C1011" s="1280"/>
      <c r="D1011" s="1280"/>
      <c r="E1011" s="1246"/>
      <c r="F1011" s="1275"/>
      <c r="G1011" s="1276"/>
      <c r="H1011" s="1276"/>
      <c r="I1011" s="1276"/>
      <c r="J1011" s="1275"/>
      <c r="K1011" s="1275"/>
      <c r="L1011" s="1246"/>
      <c r="M1011" s="1254"/>
      <c r="N1011" s="1246"/>
      <c r="O1011" s="1246"/>
      <c r="P1011" s="1249"/>
      <c r="Q1011" s="1246"/>
    </row>
    <row r="1012">
      <c r="A1012" s="73"/>
      <c r="B1012" s="886"/>
      <c r="C1012" s="1280"/>
      <c r="D1012" s="1280"/>
      <c r="E1012" s="1246"/>
      <c r="F1012" s="1275"/>
      <c r="G1012" s="1276"/>
      <c r="H1012" s="1276"/>
      <c r="I1012" s="1276"/>
      <c r="J1012" s="1275"/>
      <c r="K1012" s="1275"/>
      <c r="L1012" s="1246"/>
      <c r="M1012" s="1254"/>
      <c r="N1012" s="1246"/>
      <c r="O1012" s="1246"/>
      <c r="P1012" s="1249"/>
      <c r="Q1012" s="1246"/>
    </row>
    <row r="1013">
      <c r="A1013" s="73"/>
      <c r="B1013" s="1282"/>
      <c r="C1013" s="1280"/>
      <c r="D1013" s="1280"/>
      <c r="E1013" s="1246"/>
      <c r="F1013" s="1275"/>
      <c r="G1013" s="1276"/>
      <c r="H1013" s="1276"/>
      <c r="I1013" s="1276"/>
      <c r="J1013" s="1275"/>
      <c r="K1013" s="1275"/>
      <c r="L1013" s="1246"/>
      <c r="M1013" s="1254"/>
      <c r="N1013" s="1246"/>
      <c r="O1013" s="1246"/>
      <c r="P1013" s="1249"/>
      <c r="Q1013" s="1246"/>
    </row>
    <row r="1014">
      <c r="A1014" s="73"/>
      <c r="B1014" s="1282"/>
      <c r="C1014" s="1280"/>
      <c r="D1014" s="1280"/>
      <c r="E1014" s="1246"/>
      <c r="F1014" s="1275"/>
      <c r="G1014" s="1276"/>
      <c r="H1014" s="1276"/>
      <c r="I1014" s="1276"/>
      <c r="J1014" s="1275"/>
      <c r="K1014" s="1275"/>
      <c r="L1014" s="1246"/>
      <c r="M1014" s="1254"/>
      <c r="N1014" s="1246"/>
      <c r="O1014" s="1246"/>
      <c r="P1014" s="1249"/>
      <c r="Q1014" s="1246"/>
    </row>
    <row r="1015">
      <c r="A1015" s="73"/>
      <c r="B1015" s="1282"/>
      <c r="C1015" s="1280"/>
      <c r="D1015" s="1280"/>
      <c r="E1015" s="1246"/>
      <c r="F1015" s="1275"/>
      <c r="G1015" s="1276"/>
      <c r="H1015" s="1276"/>
      <c r="I1015" s="1276"/>
      <c r="J1015" s="1275"/>
      <c r="K1015" s="1275"/>
      <c r="L1015" s="1246"/>
      <c r="M1015" s="1254"/>
      <c r="N1015" s="1246"/>
      <c r="O1015" s="1246"/>
      <c r="P1015" s="1249"/>
      <c r="Q1015" s="1246"/>
    </row>
    <row r="1016">
      <c r="A1016" s="73"/>
      <c r="B1016" s="1282"/>
      <c r="C1016" s="1280"/>
      <c r="D1016" s="1280"/>
      <c r="E1016" s="1246"/>
      <c r="F1016" s="1275"/>
      <c r="G1016" s="1276"/>
      <c r="H1016" s="1276"/>
      <c r="I1016" s="1276"/>
      <c r="J1016" s="1275"/>
      <c r="K1016" s="1275"/>
      <c r="L1016" s="1246"/>
      <c r="M1016" s="1254"/>
      <c r="N1016" s="1246"/>
      <c r="O1016" s="1246"/>
      <c r="P1016" s="1249"/>
      <c r="Q1016" s="1246"/>
    </row>
    <row r="1017">
      <c r="A1017" s="73"/>
      <c r="B1017" s="1282"/>
      <c r="C1017" s="1280"/>
      <c r="D1017" s="1280"/>
      <c r="E1017" s="1246"/>
      <c r="F1017" s="1275"/>
      <c r="G1017" s="1276"/>
      <c r="H1017" s="1276"/>
      <c r="I1017" s="1276"/>
      <c r="J1017" s="1275"/>
      <c r="K1017" s="1275"/>
      <c r="L1017" s="1246"/>
      <c r="M1017" s="1254"/>
      <c r="N1017" s="1246"/>
      <c r="O1017" s="1246"/>
      <c r="P1017" s="1249"/>
      <c r="Q1017" s="1246"/>
    </row>
    <row r="1018">
      <c r="A1018" s="73"/>
      <c r="B1018" s="1282"/>
      <c r="C1018" s="1280"/>
      <c r="D1018" s="1280"/>
      <c r="E1018" s="1246"/>
      <c r="F1018" s="1275"/>
      <c r="G1018" s="1276"/>
      <c r="H1018" s="1276"/>
      <c r="I1018" s="1276"/>
      <c r="J1018" s="1275"/>
      <c r="K1018" s="1275"/>
      <c r="L1018" s="1246"/>
      <c r="M1018" s="1254"/>
      <c r="N1018" s="1246"/>
      <c r="O1018" s="1246"/>
      <c r="P1018" s="1249"/>
      <c r="Q1018" s="1246"/>
    </row>
    <row r="1019">
      <c r="A1019" s="73"/>
      <c r="B1019" s="1282"/>
      <c r="C1019" s="1280"/>
      <c r="D1019" s="1280"/>
      <c r="E1019" s="1246"/>
      <c r="F1019" s="1275"/>
      <c r="G1019" s="1276"/>
      <c r="H1019" s="1276"/>
      <c r="I1019" s="1276"/>
      <c r="J1019" s="1275"/>
      <c r="K1019" s="1275"/>
      <c r="L1019" s="1246"/>
      <c r="M1019" s="1254"/>
      <c r="N1019" s="1246"/>
      <c r="O1019" s="1246"/>
      <c r="P1019" s="1249"/>
      <c r="Q1019" s="1246"/>
    </row>
    <row r="1020">
      <c r="A1020" s="73"/>
      <c r="B1020" s="1282"/>
      <c r="C1020" s="1280"/>
      <c r="D1020" s="1280"/>
      <c r="E1020" s="1246"/>
      <c r="F1020" s="1275"/>
      <c r="G1020" s="1276"/>
      <c r="H1020" s="1276"/>
      <c r="I1020" s="1276"/>
      <c r="J1020" s="1275"/>
      <c r="K1020" s="1275"/>
      <c r="L1020" s="1246"/>
      <c r="M1020" s="1254"/>
      <c r="N1020" s="1246"/>
      <c r="O1020" s="1246"/>
      <c r="P1020" s="1249"/>
      <c r="Q1020" s="1246"/>
    </row>
    <row r="1021">
      <c r="A1021" s="73"/>
      <c r="B1021" s="1282"/>
      <c r="C1021" s="1280"/>
      <c r="D1021" s="1280"/>
      <c r="E1021" s="1246"/>
      <c r="F1021" s="1275"/>
      <c r="G1021" s="1276"/>
      <c r="H1021" s="1276"/>
      <c r="I1021" s="1276"/>
      <c r="J1021" s="1275"/>
      <c r="K1021" s="1275"/>
      <c r="L1021" s="1246"/>
      <c r="M1021" s="1254"/>
      <c r="N1021" s="1246"/>
      <c r="O1021" s="1246"/>
      <c r="P1021" s="1249"/>
      <c r="Q1021" s="1246"/>
    </row>
    <row r="1022">
      <c r="A1022" s="73"/>
      <c r="B1022" s="1282"/>
      <c r="C1022" s="1280"/>
      <c r="D1022" s="1280"/>
      <c r="E1022" s="1246"/>
      <c r="F1022" s="1275"/>
      <c r="G1022" s="1276"/>
      <c r="H1022" s="1276"/>
      <c r="I1022" s="1276"/>
      <c r="J1022" s="1275"/>
      <c r="K1022" s="1275"/>
      <c r="L1022" s="1246"/>
      <c r="M1022" s="1254"/>
      <c r="N1022" s="1246"/>
      <c r="O1022" s="1246"/>
      <c r="P1022" s="1249"/>
      <c r="Q1022" s="1246"/>
    </row>
    <row r="1023">
      <c r="A1023" s="73"/>
      <c r="B1023" s="1282"/>
      <c r="C1023" s="1280"/>
      <c r="D1023" s="1280"/>
      <c r="E1023" s="1246"/>
      <c r="F1023" s="1275"/>
      <c r="G1023" s="1276"/>
      <c r="H1023" s="1276"/>
      <c r="I1023" s="1276"/>
      <c r="J1023" s="1275"/>
      <c r="K1023" s="1275"/>
      <c r="L1023" s="1246"/>
      <c r="M1023" s="1254"/>
      <c r="N1023" s="1246"/>
      <c r="O1023" s="1246"/>
      <c r="P1023" s="1249"/>
      <c r="Q1023" s="1246"/>
    </row>
    <row r="1024">
      <c r="A1024" s="73"/>
      <c r="B1024" s="1282"/>
      <c r="C1024" s="1280"/>
      <c r="D1024" s="1280"/>
      <c r="E1024" s="1246"/>
      <c r="F1024" s="1275"/>
      <c r="G1024" s="1276"/>
      <c r="H1024" s="1276"/>
      <c r="I1024" s="1276"/>
      <c r="J1024" s="1275"/>
      <c r="K1024" s="1275"/>
      <c r="L1024" s="1246"/>
      <c r="M1024" s="1254"/>
      <c r="N1024" s="1246"/>
      <c r="O1024" s="1246"/>
      <c r="P1024" s="1249"/>
      <c r="Q1024" s="1246"/>
    </row>
    <row r="1025">
      <c r="A1025" s="73"/>
      <c r="B1025" s="1282"/>
      <c r="C1025" s="1280"/>
      <c r="D1025" s="1280"/>
      <c r="E1025" s="1246"/>
      <c r="F1025" s="1275"/>
      <c r="G1025" s="1276"/>
      <c r="H1025" s="1276"/>
      <c r="I1025" s="1276"/>
      <c r="J1025" s="1275"/>
      <c r="K1025" s="1275"/>
      <c r="L1025" s="1246"/>
      <c r="M1025" s="1254"/>
      <c r="N1025" s="1246"/>
      <c r="O1025" s="1246"/>
      <c r="P1025" s="1249"/>
      <c r="Q1025" s="1246"/>
    </row>
    <row r="1026">
      <c r="A1026" s="73"/>
      <c r="B1026" s="1282"/>
      <c r="C1026" s="1280"/>
      <c r="D1026" s="1280"/>
      <c r="E1026" s="1246"/>
      <c r="F1026" s="1275"/>
      <c r="G1026" s="1276"/>
      <c r="H1026" s="1276"/>
      <c r="I1026" s="1276"/>
      <c r="J1026" s="1275"/>
      <c r="K1026" s="1275"/>
      <c r="L1026" s="1246"/>
      <c r="M1026" s="1254"/>
      <c r="N1026" s="1246"/>
      <c r="O1026" s="1246"/>
      <c r="P1026" s="1249"/>
      <c r="Q1026" s="1246"/>
    </row>
    <row r="1027">
      <c r="A1027" s="73"/>
      <c r="B1027" s="1282"/>
      <c r="C1027" s="1280"/>
      <c r="D1027" s="1280"/>
      <c r="E1027" s="1246"/>
      <c r="F1027" s="1275"/>
      <c r="G1027" s="1276"/>
      <c r="H1027" s="1276"/>
      <c r="I1027" s="1276"/>
      <c r="J1027" s="1275"/>
      <c r="K1027" s="1275"/>
      <c r="L1027" s="1246"/>
      <c r="M1027" s="1254"/>
      <c r="N1027" s="1246"/>
      <c r="O1027" s="1246"/>
      <c r="P1027" s="1249"/>
      <c r="Q1027" s="1246"/>
    </row>
    <row r="1028">
      <c r="A1028" s="73"/>
      <c r="B1028" s="1282"/>
      <c r="C1028" s="1280"/>
      <c r="D1028" s="1280"/>
      <c r="E1028" s="1246"/>
      <c r="F1028" s="1275"/>
      <c r="G1028" s="1276"/>
      <c r="H1028" s="1276"/>
      <c r="I1028" s="1276"/>
      <c r="J1028" s="1275"/>
      <c r="K1028" s="1275"/>
      <c r="L1028" s="1246"/>
      <c r="M1028" s="1254"/>
      <c r="N1028" s="1246"/>
      <c r="O1028" s="1246"/>
      <c r="P1028" s="1249"/>
      <c r="Q1028" s="1246"/>
    </row>
    <row r="1029">
      <c r="A1029" s="73"/>
      <c r="B1029" s="1282"/>
      <c r="C1029" s="1280"/>
      <c r="D1029" s="1280"/>
      <c r="E1029" s="1246"/>
      <c r="F1029" s="1275"/>
      <c r="G1029" s="1276"/>
      <c r="H1029" s="1276"/>
      <c r="I1029" s="1276"/>
      <c r="J1029" s="1275"/>
      <c r="K1029" s="1275"/>
      <c r="L1029" s="1246"/>
      <c r="M1029" s="1254"/>
      <c r="N1029" s="1246"/>
      <c r="O1029" s="1246"/>
      <c r="P1029" s="1249"/>
      <c r="Q1029" s="1246"/>
    </row>
    <row r="1030">
      <c r="A1030" s="73"/>
      <c r="B1030" s="1282"/>
      <c r="C1030" s="1280"/>
      <c r="D1030" s="1280"/>
      <c r="E1030" s="1246"/>
      <c r="F1030" s="1275"/>
      <c r="G1030" s="1276"/>
      <c r="H1030" s="1276"/>
      <c r="I1030" s="1276"/>
      <c r="J1030" s="1275"/>
      <c r="K1030" s="1275"/>
      <c r="L1030" s="1246"/>
      <c r="M1030" s="1254"/>
      <c r="N1030" s="1246"/>
      <c r="O1030" s="1246"/>
      <c r="P1030" s="1249"/>
      <c r="Q1030" s="1246"/>
    </row>
    <row r="1031">
      <c r="A1031" s="73"/>
      <c r="B1031" s="1282"/>
      <c r="C1031" s="1280"/>
      <c r="D1031" s="1280"/>
      <c r="E1031" s="1246"/>
      <c r="F1031" s="1275"/>
      <c r="G1031" s="1276"/>
      <c r="H1031" s="1276"/>
      <c r="I1031" s="1276"/>
      <c r="J1031" s="1275"/>
      <c r="K1031" s="1275"/>
      <c r="L1031" s="1246"/>
      <c r="M1031" s="1254"/>
      <c r="N1031" s="1246"/>
      <c r="O1031" s="1246"/>
      <c r="P1031" s="1249"/>
      <c r="Q1031" s="1246"/>
    </row>
    <row r="1032">
      <c r="A1032" s="73"/>
      <c r="B1032" s="1282"/>
      <c r="C1032" s="1280"/>
      <c r="D1032" s="1280"/>
      <c r="E1032" s="1246"/>
      <c r="F1032" s="1275"/>
      <c r="G1032" s="1276"/>
      <c r="H1032" s="1276"/>
      <c r="I1032" s="1276"/>
      <c r="J1032" s="1275"/>
      <c r="K1032" s="1275"/>
      <c r="L1032" s="1246"/>
      <c r="M1032" s="1254"/>
      <c r="N1032" s="1246"/>
      <c r="O1032" s="1246"/>
      <c r="P1032" s="1249"/>
      <c r="Q1032" s="1246"/>
    </row>
    <row r="1033">
      <c r="A1033" s="73"/>
      <c r="B1033" s="1282"/>
      <c r="C1033" s="1280"/>
      <c r="D1033" s="1280"/>
      <c r="E1033" s="1246"/>
      <c r="F1033" s="1275"/>
      <c r="G1033" s="1276"/>
      <c r="H1033" s="1276"/>
      <c r="I1033" s="1276"/>
      <c r="J1033" s="1275"/>
      <c r="K1033" s="1275"/>
      <c r="L1033" s="1246"/>
      <c r="M1033" s="1254"/>
      <c r="N1033" s="1246"/>
      <c r="O1033" s="1246"/>
      <c r="P1033" s="1249"/>
      <c r="Q1033" s="1246"/>
    </row>
    <row r="1034">
      <c r="A1034" s="73"/>
      <c r="B1034" s="1282"/>
      <c r="C1034" s="1280"/>
      <c r="D1034" s="1280"/>
      <c r="E1034" s="1246"/>
      <c r="F1034" s="1275"/>
      <c r="G1034" s="1276"/>
      <c r="H1034" s="1276"/>
      <c r="I1034" s="1276"/>
      <c r="J1034" s="1275"/>
      <c r="K1034" s="1275"/>
      <c r="L1034" s="1246"/>
      <c r="M1034" s="1254"/>
      <c r="N1034" s="1246"/>
      <c r="O1034" s="1246"/>
      <c r="P1034" s="1249"/>
      <c r="Q1034" s="1246"/>
    </row>
    <row r="1035">
      <c r="A1035" s="73"/>
      <c r="B1035" s="1282"/>
      <c r="C1035" s="1280"/>
      <c r="D1035" s="1280"/>
      <c r="E1035" s="1246"/>
      <c r="F1035" s="1275"/>
      <c r="G1035" s="1276"/>
      <c r="H1035" s="1276"/>
      <c r="I1035" s="1276"/>
      <c r="J1035" s="1275"/>
      <c r="K1035" s="1275"/>
      <c r="L1035" s="1246"/>
      <c r="M1035" s="1254"/>
      <c r="N1035" s="1246"/>
      <c r="O1035" s="1246"/>
      <c r="P1035" s="1249"/>
      <c r="Q1035" s="1246"/>
    </row>
    <row r="1036">
      <c r="A1036" s="73"/>
      <c r="B1036" s="1282"/>
      <c r="C1036" s="1280"/>
      <c r="D1036" s="1280"/>
      <c r="E1036" s="1246"/>
      <c r="F1036" s="1275"/>
      <c r="G1036" s="1276"/>
      <c r="H1036" s="1276"/>
      <c r="I1036" s="1276"/>
      <c r="J1036" s="1275"/>
      <c r="K1036" s="1275"/>
      <c r="L1036" s="1246"/>
      <c r="M1036" s="1254"/>
      <c r="N1036" s="1246"/>
      <c r="O1036" s="1246"/>
      <c r="P1036" s="1249"/>
      <c r="Q1036" s="1246"/>
    </row>
    <row r="1037">
      <c r="A1037" s="73"/>
      <c r="B1037" s="1282"/>
      <c r="C1037" s="1280"/>
      <c r="D1037" s="1280"/>
      <c r="E1037" s="1246"/>
      <c r="F1037" s="1275"/>
      <c r="G1037" s="1276"/>
      <c r="H1037" s="1276"/>
      <c r="I1037" s="1276"/>
      <c r="J1037" s="1275"/>
      <c r="K1037" s="1275"/>
      <c r="L1037" s="1246"/>
      <c r="M1037" s="1254"/>
      <c r="N1037" s="1246"/>
      <c r="O1037" s="1246"/>
      <c r="P1037" s="1249"/>
      <c r="Q1037" s="1246"/>
    </row>
    <row r="1038">
      <c r="A1038" s="73"/>
      <c r="B1038" s="1282"/>
      <c r="C1038" s="1280"/>
      <c r="D1038" s="1280"/>
      <c r="E1038" s="1246"/>
      <c r="F1038" s="1275"/>
      <c r="G1038" s="1276"/>
      <c r="H1038" s="1276"/>
      <c r="I1038" s="1276"/>
      <c r="J1038" s="1275"/>
      <c r="K1038" s="1275"/>
      <c r="L1038" s="1246"/>
      <c r="M1038" s="1254"/>
      <c r="N1038" s="1246"/>
      <c r="O1038" s="1246"/>
      <c r="P1038" s="1249"/>
      <c r="Q1038" s="1246"/>
    </row>
    <row r="1039">
      <c r="A1039" s="73"/>
      <c r="B1039" s="1282"/>
      <c r="C1039" s="1280"/>
      <c r="D1039" s="1280"/>
      <c r="E1039" s="1246"/>
      <c r="F1039" s="1275"/>
      <c r="G1039" s="1276"/>
      <c r="H1039" s="1276"/>
      <c r="I1039" s="1276"/>
      <c r="J1039" s="1275"/>
      <c r="K1039" s="1275"/>
      <c r="L1039" s="1246"/>
      <c r="M1039" s="1254"/>
      <c r="N1039" s="1246"/>
      <c r="O1039" s="1246"/>
      <c r="P1039" s="1249"/>
      <c r="Q1039" s="1246"/>
    </row>
    <row r="1040">
      <c r="A1040" s="73"/>
      <c r="B1040" s="1282"/>
      <c r="C1040" s="1280"/>
      <c r="D1040" s="1280"/>
      <c r="E1040" s="1246"/>
      <c r="F1040" s="1275"/>
      <c r="G1040" s="1276"/>
      <c r="H1040" s="1276"/>
      <c r="I1040" s="1276"/>
      <c r="J1040" s="1275"/>
      <c r="K1040" s="1275"/>
      <c r="L1040" s="1246"/>
      <c r="M1040" s="1254"/>
      <c r="N1040" s="1246"/>
      <c r="O1040" s="1246"/>
      <c r="P1040" s="1249"/>
      <c r="Q1040" s="1246"/>
    </row>
    <row r="1041">
      <c r="A1041" s="73"/>
      <c r="B1041" s="1282"/>
      <c r="C1041" s="1280"/>
      <c r="D1041" s="1280"/>
      <c r="E1041" s="1246"/>
      <c r="F1041" s="1275"/>
      <c r="G1041" s="1276"/>
      <c r="H1041" s="1276"/>
      <c r="I1041" s="1276"/>
      <c r="J1041" s="1275"/>
      <c r="K1041" s="1275"/>
      <c r="L1041" s="1246"/>
      <c r="M1041" s="1254"/>
      <c r="N1041" s="1246"/>
      <c r="O1041" s="1246"/>
      <c r="P1041" s="1249"/>
      <c r="Q1041" s="1246"/>
    </row>
    <row r="1042">
      <c r="A1042" s="73"/>
      <c r="B1042" s="1282"/>
      <c r="C1042" s="1280"/>
      <c r="D1042" s="1280"/>
      <c r="E1042" s="1246"/>
      <c r="F1042" s="1275"/>
      <c r="G1042" s="1276"/>
      <c r="H1042" s="1276"/>
      <c r="I1042" s="1276"/>
      <c r="J1042" s="1275"/>
      <c r="K1042" s="1275"/>
      <c r="L1042" s="1246"/>
      <c r="M1042" s="1254"/>
      <c r="N1042" s="1246"/>
      <c r="O1042" s="1246"/>
      <c r="P1042" s="1249"/>
      <c r="Q1042" s="1246"/>
    </row>
    <row r="1043">
      <c r="A1043" s="73"/>
      <c r="B1043" s="1282"/>
      <c r="C1043" s="1280"/>
      <c r="D1043" s="1280"/>
      <c r="E1043" s="1246"/>
      <c r="F1043" s="1275"/>
      <c r="G1043" s="1276"/>
      <c r="H1043" s="1276"/>
      <c r="I1043" s="1276"/>
      <c r="J1043" s="1275"/>
      <c r="K1043" s="1275"/>
      <c r="L1043" s="1246"/>
      <c r="M1043" s="1254"/>
      <c r="N1043" s="1246"/>
      <c r="O1043" s="1246"/>
      <c r="P1043" s="1249"/>
      <c r="Q1043" s="1246"/>
    </row>
    <row r="1044">
      <c r="A1044" s="73"/>
      <c r="B1044" s="1282"/>
      <c r="C1044" s="1280"/>
      <c r="D1044" s="1280"/>
      <c r="E1044" s="1246"/>
      <c r="F1044" s="1275"/>
      <c r="G1044" s="1276"/>
      <c r="H1044" s="1276"/>
      <c r="I1044" s="1276"/>
      <c r="J1044" s="1275"/>
      <c r="K1044" s="1275"/>
      <c r="L1044" s="1246"/>
      <c r="M1044" s="1254"/>
      <c r="N1044" s="1246"/>
      <c r="O1044" s="1246"/>
      <c r="P1044" s="1249"/>
      <c r="Q1044" s="1246"/>
    </row>
    <row r="1045">
      <c r="A1045" s="73"/>
      <c r="B1045" s="1282"/>
      <c r="C1045" s="1280"/>
      <c r="D1045" s="1280"/>
      <c r="E1045" s="1246"/>
      <c r="F1045" s="1275"/>
      <c r="G1045" s="1276"/>
      <c r="H1045" s="1276"/>
      <c r="I1045" s="1276"/>
      <c r="J1045" s="1275"/>
      <c r="K1045" s="1275"/>
      <c r="L1045" s="1246"/>
      <c r="M1045" s="1254"/>
      <c r="N1045" s="1246"/>
      <c r="O1045" s="1246"/>
      <c r="P1045" s="1249"/>
      <c r="Q1045" s="1246"/>
    </row>
    <row r="1046">
      <c r="A1046" s="73"/>
      <c r="B1046" s="1282"/>
      <c r="C1046" s="1280"/>
      <c r="D1046" s="1280"/>
      <c r="E1046" s="1246"/>
      <c r="F1046" s="1275"/>
      <c r="G1046" s="1276"/>
      <c r="H1046" s="1276"/>
      <c r="I1046" s="1276"/>
      <c r="J1046" s="1275"/>
      <c r="K1046" s="1275"/>
      <c r="L1046" s="1246"/>
      <c r="M1046" s="1254"/>
      <c r="N1046" s="1246"/>
      <c r="O1046" s="1246"/>
      <c r="P1046" s="1249"/>
      <c r="Q1046" s="1246"/>
    </row>
    <row r="1047">
      <c r="A1047" s="73"/>
      <c r="B1047" s="1282"/>
      <c r="C1047" s="1280"/>
      <c r="D1047" s="1280"/>
      <c r="E1047" s="1246"/>
      <c r="F1047" s="1275"/>
      <c r="G1047" s="1276"/>
      <c r="H1047" s="1276"/>
      <c r="I1047" s="1276"/>
      <c r="J1047" s="1275"/>
      <c r="K1047" s="1275"/>
      <c r="L1047" s="1246"/>
      <c r="M1047" s="1254"/>
      <c r="N1047" s="1246"/>
      <c r="O1047" s="1246"/>
      <c r="P1047" s="1249"/>
      <c r="Q1047" s="1246"/>
    </row>
    <row r="1048">
      <c r="A1048" s="73"/>
      <c r="B1048" s="1282"/>
      <c r="C1048" s="1280"/>
      <c r="D1048" s="1280"/>
      <c r="E1048" s="1246"/>
      <c r="F1048" s="1275"/>
      <c r="G1048" s="1276"/>
      <c r="H1048" s="1276"/>
      <c r="I1048" s="1276"/>
      <c r="J1048" s="1275"/>
      <c r="K1048" s="1275"/>
      <c r="L1048" s="1246"/>
      <c r="M1048" s="1254"/>
      <c r="N1048" s="1246"/>
      <c r="O1048" s="1246"/>
      <c r="P1048" s="1249"/>
      <c r="Q1048" s="1246"/>
    </row>
    <row r="1049">
      <c r="A1049" s="73"/>
      <c r="B1049" s="1282"/>
      <c r="C1049" s="1280"/>
      <c r="D1049" s="1280"/>
      <c r="E1049" s="1246"/>
      <c r="F1049" s="1275"/>
      <c r="G1049" s="1276"/>
      <c r="H1049" s="1276"/>
      <c r="I1049" s="1276"/>
      <c r="J1049" s="1275"/>
      <c r="K1049" s="1275"/>
      <c r="L1049" s="1246"/>
      <c r="M1049" s="1254"/>
      <c r="N1049" s="1246"/>
      <c r="O1049" s="1246"/>
      <c r="P1049" s="1249"/>
      <c r="Q1049" s="1246"/>
    </row>
    <row r="1050">
      <c r="A1050" s="73"/>
      <c r="B1050" s="1282"/>
      <c r="C1050" s="1280"/>
      <c r="D1050" s="1280"/>
      <c r="E1050" s="1246"/>
      <c r="F1050" s="1275"/>
      <c r="G1050" s="1276"/>
      <c r="H1050" s="1276"/>
      <c r="I1050" s="1276"/>
      <c r="J1050" s="1275"/>
      <c r="K1050" s="1275"/>
      <c r="L1050" s="1246"/>
      <c r="M1050" s="1254"/>
      <c r="N1050" s="1246"/>
      <c r="O1050" s="1246"/>
      <c r="P1050" s="1249"/>
      <c r="Q1050" s="1246"/>
    </row>
    <row r="1051">
      <c r="A1051" s="73"/>
      <c r="B1051" s="1282"/>
      <c r="C1051" s="1280"/>
      <c r="D1051" s="1280"/>
      <c r="E1051" s="1246"/>
      <c r="F1051" s="1275"/>
      <c r="G1051" s="1276"/>
      <c r="H1051" s="1276"/>
      <c r="I1051" s="1276"/>
      <c r="J1051" s="1275"/>
      <c r="K1051" s="1275"/>
      <c r="L1051" s="1246"/>
      <c r="M1051" s="1254"/>
      <c r="N1051" s="1246"/>
      <c r="O1051" s="1246"/>
      <c r="P1051" s="1249"/>
      <c r="Q1051" s="1246"/>
    </row>
    <row r="1052">
      <c r="A1052" s="73"/>
      <c r="B1052" s="1282"/>
      <c r="C1052" s="1280"/>
      <c r="D1052" s="1280"/>
      <c r="E1052" s="1246"/>
      <c r="F1052" s="1275"/>
      <c r="G1052" s="1276"/>
      <c r="H1052" s="1276"/>
      <c r="I1052" s="1276"/>
      <c r="J1052" s="1275"/>
      <c r="K1052" s="1275"/>
      <c r="L1052" s="1246"/>
      <c r="M1052" s="1254"/>
      <c r="N1052" s="1246"/>
      <c r="O1052" s="1246"/>
      <c r="P1052" s="1249"/>
      <c r="Q1052" s="1246"/>
    </row>
    <row r="1053">
      <c r="A1053" s="73"/>
      <c r="B1053" s="1282"/>
      <c r="C1053" s="1280"/>
      <c r="D1053" s="1280"/>
      <c r="E1053" s="1246"/>
      <c r="F1053" s="1275"/>
      <c r="G1053" s="1276"/>
      <c r="H1053" s="1276"/>
      <c r="I1053" s="1276"/>
      <c r="J1053" s="1275"/>
      <c r="K1053" s="1275"/>
      <c r="L1053" s="1246"/>
      <c r="M1053" s="1254"/>
      <c r="N1053" s="1246"/>
      <c r="O1053" s="1246"/>
      <c r="P1053" s="1249"/>
      <c r="Q1053" s="1246"/>
    </row>
    <row r="1054">
      <c r="A1054" s="73"/>
      <c r="B1054" s="1282"/>
      <c r="C1054" s="1280"/>
      <c r="D1054" s="1280"/>
      <c r="E1054" s="1246"/>
      <c r="F1054" s="1275"/>
      <c r="G1054" s="1276"/>
      <c r="H1054" s="1276"/>
      <c r="I1054" s="1276"/>
      <c r="J1054" s="1275"/>
      <c r="K1054" s="1275"/>
      <c r="L1054" s="1246"/>
      <c r="M1054" s="1254"/>
      <c r="N1054" s="1246"/>
      <c r="O1054" s="1246"/>
      <c r="P1054" s="1249"/>
      <c r="Q1054" s="1246"/>
    </row>
    <row r="1055">
      <c r="A1055" s="73"/>
      <c r="B1055" s="1282"/>
      <c r="C1055" s="1280"/>
      <c r="D1055" s="1280"/>
      <c r="E1055" s="1246"/>
      <c r="F1055" s="1275"/>
      <c r="G1055" s="1276"/>
      <c r="H1055" s="1276"/>
      <c r="I1055" s="1276"/>
      <c r="J1055" s="1275"/>
      <c r="K1055" s="1275"/>
      <c r="L1055" s="1246"/>
      <c r="M1055" s="1254"/>
      <c r="N1055" s="1246"/>
      <c r="O1055" s="1246"/>
      <c r="P1055" s="1249"/>
      <c r="Q1055" s="1246"/>
    </row>
    <row r="1056">
      <c r="A1056" s="73"/>
      <c r="B1056" s="1282"/>
      <c r="C1056" s="1280"/>
      <c r="D1056" s="1280"/>
      <c r="E1056" s="1246"/>
      <c r="F1056" s="1275"/>
      <c r="G1056" s="1276"/>
      <c r="H1056" s="1276"/>
      <c r="I1056" s="1276"/>
      <c r="J1056" s="1275"/>
      <c r="K1056" s="1275"/>
      <c r="L1056" s="1246"/>
      <c r="M1056" s="1254"/>
      <c r="N1056" s="1246"/>
      <c r="O1056" s="1246"/>
      <c r="P1056" s="1249"/>
      <c r="Q1056" s="1246"/>
    </row>
    <row r="1057">
      <c r="A1057" s="73"/>
      <c r="B1057" s="1282"/>
      <c r="C1057" s="1280"/>
      <c r="D1057" s="1280"/>
      <c r="E1057" s="1246"/>
      <c r="F1057" s="1275"/>
      <c r="G1057" s="1276"/>
      <c r="H1057" s="1276"/>
      <c r="I1057" s="1276"/>
      <c r="J1057" s="1275"/>
      <c r="K1057" s="1275"/>
      <c r="L1057" s="1246"/>
      <c r="M1057" s="1254"/>
      <c r="N1057" s="1246"/>
      <c r="O1057" s="1246"/>
      <c r="P1057" s="1249"/>
      <c r="Q1057" s="1246"/>
    </row>
    <row r="1058">
      <c r="A1058" s="73"/>
      <c r="B1058" s="1282"/>
      <c r="C1058" s="1280"/>
      <c r="D1058" s="1280"/>
      <c r="E1058" s="1246"/>
      <c r="F1058" s="1275"/>
      <c r="G1058" s="1276"/>
      <c r="H1058" s="1276"/>
      <c r="I1058" s="1276"/>
      <c r="J1058" s="1275"/>
      <c r="K1058" s="1275"/>
      <c r="L1058" s="1246"/>
      <c r="M1058" s="1254"/>
      <c r="N1058" s="1246"/>
      <c r="O1058" s="1246"/>
      <c r="P1058" s="1249"/>
      <c r="Q1058" s="1246"/>
    </row>
    <row r="1059">
      <c r="A1059" s="73"/>
      <c r="B1059" s="1282"/>
      <c r="C1059" s="1280"/>
      <c r="D1059" s="1280"/>
      <c r="E1059" s="1246"/>
      <c r="F1059" s="1275"/>
      <c r="G1059" s="1276"/>
      <c r="H1059" s="1276"/>
      <c r="I1059" s="1276"/>
      <c r="J1059" s="1275"/>
      <c r="K1059" s="1275"/>
      <c r="L1059" s="1246"/>
      <c r="M1059" s="1254"/>
      <c r="N1059" s="1246"/>
      <c r="O1059" s="1246"/>
      <c r="P1059" s="1249"/>
      <c r="Q1059" s="1246"/>
    </row>
    <row r="1060">
      <c r="A1060" s="73"/>
      <c r="B1060" s="1282"/>
      <c r="C1060" s="1280"/>
      <c r="D1060" s="1280"/>
      <c r="E1060" s="1246"/>
      <c r="F1060" s="1275"/>
      <c r="G1060" s="1276"/>
      <c r="H1060" s="1276"/>
      <c r="I1060" s="1276"/>
      <c r="J1060" s="1275"/>
      <c r="K1060" s="1275"/>
      <c r="L1060" s="1246"/>
      <c r="M1060" s="1254"/>
      <c r="N1060" s="1246"/>
      <c r="O1060" s="1246"/>
      <c r="P1060" s="1249"/>
      <c r="Q1060" s="1246"/>
    </row>
    <row r="1061">
      <c r="A1061" s="73"/>
      <c r="B1061" s="1282"/>
      <c r="C1061" s="1280"/>
      <c r="D1061" s="1280"/>
      <c r="E1061" s="1246"/>
      <c r="F1061" s="1275"/>
      <c r="G1061" s="1276"/>
      <c r="H1061" s="1276"/>
      <c r="I1061" s="1276"/>
      <c r="J1061" s="1275"/>
      <c r="K1061" s="1275"/>
      <c r="L1061" s="1246"/>
      <c r="M1061" s="1254"/>
      <c r="N1061" s="1246"/>
      <c r="O1061" s="1246"/>
      <c r="P1061" s="1249"/>
      <c r="Q1061" s="1246"/>
    </row>
    <row r="1062">
      <c r="A1062" s="73"/>
      <c r="B1062" s="1282"/>
      <c r="C1062" s="1280"/>
      <c r="D1062" s="1280"/>
      <c r="E1062" s="1246"/>
      <c r="F1062" s="1275"/>
      <c r="G1062" s="1276"/>
      <c r="H1062" s="1276"/>
      <c r="I1062" s="1276"/>
      <c r="J1062" s="1275"/>
      <c r="K1062" s="1275"/>
      <c r="L1062" s="1246"/>
      <c r="M1062" s="1254"/>
      <c r="N1062" s="1246"/>
      <c r="O1062" s="1246"/>
      <c r="P1062" s="1249"/>
      <c r="Q1062" s="1246"/>
    </row>
    <row r="1063">
      <c r="A1063" s="73"/>
      <c r="B1063" s="1282"/>
      <c r="C1063" s="1280"/>
      <c r="D1063" s="1280"/>
      <c r="E1063" s="1246"/>
      <c r="F1063" s="1275"/>
      <c r="G1063" s="1276"/>
      <c r="H1063" s="1276"/>
      <c r="I1063" s="1276"/>
      <c r="J1063" s="1275"/>
      <c r="K1063" s="1275"/>
      <c r="L1063" s="1246"/>
      <c r="M1063" s="1254"/>
      <c r="N1063" s="1246"/>
      <c r="O1063" s="1246"/>
      <c r="P1063" s="1249"/>
      <c r="Q1063" s="1246"/>
    </row>
    <row r="1064">
      <c r="A1064" s="73"/>
      <c r="B1064" s="1282"/>
      <c r="C1064" s="1280"/>
      <c r="D1064" s="1280"/>
      <c r="E1064" s="1246"/>
      <c r="F1064" s="1275"/>
      <c r="G1064" s="1276"/>
      <c r="H1064" s="1276"/>
      <c r="I1064" s="1276"/>
      <c r="J1064" s="1275"/>
      <c r="K1064" s="1275"/>
      <c r="L1064" s="1246"/>
      <c r="M1064" s="1254"/>
      <c r="N1064" s="1246"/>
      <c r="O1064" s="1246"/>
      <c r="P1064" s="1249"/>
      <c r="Q1064" s="1246"/>
    </row>
    <row r="1065">
      <c r="A1065" s="73"/>
      <c r="B1065" s="1282"/>
      <c r="C1065" s="1280"/>
      <c r="D1065" s="1280"/>
      <c r="E1065" s="1246"/>
      <c r="F1065" s="1275"/>
      <c r="G1065" s="1276"/>
      <c r="H1065" s="1276"/>
      <c r="I1065" s="1276"/>
      <c r="J1065" s="1275"/>
      <c r="K1065" s="1275"/>
      <c r="L1065" s="1246"/>
      <c r="M1065" s="1254"/>
      <c r="N1065" s="1246"/>
      <c r="O1065" s="1246"/>
      <c r="P1065" s="1249"/>
      <c r="Q1065" s="1246"/>
    </row>
    <row r="1066">
      <c r="A1066" s="73"/>
      <c r="B1066" s="1282"/>
      <c r="C1066" s="1280"/>
      <c r="D1066" s="1280"/>
      <c r="E1066" s="1246"/>
      <c r="F1066" s="1275"/>
      <c r="G1066" s="1276"/>
      <c r="H1066" s="1276"/>
      <c r="I1066" s="1276"/>
      <c r="J1066" s="1275"/>
      <c r="K1066" s="1275"/>
      <c r="L1066" s="1246"/>
      <c r="M1066" s="1254"/>
      <c r="N1066" s="1246"/>
      <c r="O1066" s="1246"/>
      <c r="P1066" s="1249"/>
      <c r="Q1066" s="1246"/>
    </row>
    <row r="1067">
      <c r="A1067" s="73"/>
      <c r="B1067" s="1282"/>
      <c r="C1067" s="1280"/>
      <c r="D1067" s="1280"/>
      <c r="E1067" s="1246"/>
      <c r="F1067" s="1275"/>
      <c r="G1067" s="1276"/>
      <c r="H1067" s="1276"/>
      <c r="I1067" s="1276"/>
      <c r="J1067" s="1275"/>
      <c r="K1067" s="1275"/>
      <c r="L1067" s="1246"/>
      <c r="M1067" s="1254"/>
      <c r="N1067" s="1246"/>
      <c r="O1067" s="1246"/>
      <c r="P1067" s="1249"/>
      <c r="Q1067" s="1246"/>
    </row>
    <row r="1068">
      <c r="A1068" s="73"/>
      <c r="B1068" s="1282"/>
      <c r="C1068" s="1280"/>
      <c r="D1068" s="1280"/>
      <c r="E1068" s="1246"/>
      <c r="F1068" s="1275"/>
      <c r="G1068" s="1276"/>
      <c r="H1068" s="1276"/>
      <c r="I1068" s="1276"/>
      <c r="J1068" s="1275"/>
      <c r="K1068" s="1275"/>
      <c r="L1068" s="1246"/>
      <c r="M1068" s="1254"/>
      <c r="N1068" s="1246"/>
      <c r="O1068" s="1246"/>
      <c r="P1068" s="1249"/>
      <c r="Q1068" s="1246"/>
    </row>
    <row r="1069">
      <c r="A1069" s="73"/>
      <c r="B1069" s="1282"/>
      <c r="C1069" s="1280"/>
      <c r="D1069" s="1280"/>
      <c r="E1069" s="1246"/>
      <c r="F1069" s="1275"/>
      <c r="G1069" s="1276"/>
      <c r="H1069" s="1276"/>
      <c r="I1069" s="1276"/>
      <c r="J1069" s="1275"/>
      <c r="K1069" s="1275"/>
      <c r="L1069" s="1246"/>
      <c r="M1069" s="1254"/>
      <c r="N1069" s="1246"/>
      <c r="O1069" s="1246"/>
      <c r="P1069" s="1249"/>
      <c r="Q1069" s="1246"/>
    </row>
    <row r="1070">
      <c r="A1070" s="73"/>
      <c r="B1070" s="1282"/>
      <c r="C1070" s="1280"/>
      <c r="D1070" s="1280"/>
      <c r="E1070" s="1246"/>
      <c r="F1070" s="1275"/>
      <c r="G1070" s="1276"/>
      <c r="H1070" s="1276"/>
      <c r="I1070" s="1276"/>
      <c r="J1070" s="1275"/>
      <c r="K1070" s="1275"/>
      <c r="L1070" s="1246"/>
      <c r="M1070" s="1254"/>
      <c r="N1070" s="1246"/>
      <c r="O1070" s="1246"/>
      <c r="P1070" s="1249"/>
      <c r="Q1070" s="1246"/>
    </row>
    <row r="1071">
      <c r="A1071" s="73"/>
      <c r="B1071" s="1282"/>
      <c r="C1071" s="1280"/>
      <c r="D1071" s="1280"/>
      <c r="E1071" s="1246"/>
      <c r="F1071" s="1275"/>
      <c r="G1071" s="1276"/>
      <c r="H1071" s="1276"/>
      <c r="I1071" s="1276"/>
      <c r="J1071" s="1275"/>
      <c r="K1071" s="1275"/>
      <c r="L1071" s="1246"/>
      <c r="M1071" s="1254"/>
      <c r="N1071" s="1246"/>
      <c r="O1071" s="1246"/>
      <c r="P1071" s="1249"/>
      <c r="Q1071" s="1246"/>
    </row>
    <row r="1072">
      <c r="A1072" s="73"/>
      <c r="B1072" s="1282"/>
      <c r="C1072" s="1280"/>
      <c r="D1072" s="1280"/>
      <c r="E1072" s="1246"/>
      <c r="F1072" s="1275"/>
      <c r="G1072" s="1276"/>
      <c r="H1072" s="1276"/>
      <c r="I1072" s="1276"/>
      <c r="J1072" s="1275"/>
      <c r="K1072" s="1275"/>
      <c r="L1072" s="1246"/>
      <c r="M1072" s="1254"/>
      <c r="N1072" s="1246"/>
      <c r="O1072" s="1246"/>
      <c r="P1072" s="1249"/>
      <c r="Q1072" s="1246"/>
    </row>
    <row r="1073">
      <c r="A1073" s="73"/>
      <c r="B1073" s="1282"/>
      <c r="C1073" s="1280"/>
      <c r="D1073" s="1280"/>
      <c r="E1073" s="1246"/>
      <c r="F1073" s="1275"/>
      <c r="G1073" s="1276"/>
      <c r="H1073" s="1276"/>
      <c r="I1073" s="1276"/>
      <c r="J1073" s="1275"/>
      <c r="K1073" s="1275"/>
      <c r="L1073" s="1246"/>
      <c r="M1073" s="1254"/>
      <c r="N1073" s="1246"/>
      <c r="O1073" s="1246"/>
      <c r="P1073" s="1249"/>
      <c r="Q1073" s="1246"/>
    </row>
    <row r="1074">
      <c r="A1074" s="73"/>
      <c r="B1074" s="1282"/>
      <c r="C1074" s="1280"/>
      <c r="D1074" s="1280"/>
      <c r="E1074" s="1246"/>
      <c r="F1074" s="1275"/>
      <c r="G1074" s="1276"/>
      <c r="H1074" s="1276"/>
      <c r="I1074" s="1276"/>
      <c r="J1074" s="1275"/>
      <c r="K1074" s="1275"/>
      <c r="L1074" s="1246"/>
      <c r="M1074" s="1254"/>
      <c r="N1074" s="1246"/>
      <c r="O1074" s="1246"/>
      <c r="P1074" s="1249"/>
      <c r="Q1074" s="1246"/>
    </row>
    <row r="1075">
      <c r="A1075" s="73"/>
      <c r="B1075" s="1282"/>
      <c r="C1075" s="1280"/>
      <c r="D1075" s="1280"/>
      <c r="E1075" s="1246"/>
      <c r="F1075" s="1275"/>
      <c r="G1075" s="1276"/>
      <c r="H1075" s="1276"/>
      <c r="I1075" s="1276"/>
      <c r="J1075" s="1275"/>
      <c r="K1075" s="1275"/>
      <c r="L1075" s="1246"/>
      <c r="M1075" s="1254"/>
      <c r="N1075" s="1246"/>
      <c r="O1075" s="1246"/>
      <c r="P1075" s="1249"/>
      <c r="Q1075" s="1246"/>
    </row>
    <row r="1076">
      <c r="A1076" s="73"/>
      <c r="B1076" s="1282"/>
      <c r="C1076" s="1280"/>
      <c r="D1076" s="1280"/>
      <c r="E1076" s="1246"/>
      <c r="F1076" s="1275"/>
      <c r="G1076" s="1276"/>
      <c r="H1076" s="1276"/>
      <c r="I1076" s="1276"/>
      <c r="J1076" s="1275"/>
      <c r="K1076" s="1275"/>
      <c r="L1076" s="1246"/>
      <c r="M1076" s="1254"/>
      <c r="N1076" s="1246"/>
      <c r="O1076" s="1246"/>
      <c r="P1076" s="1249"/>
      <c r="Q1076" s="1246"/>
    </row>
    <row r="1077">
      <c r="A1077" s="73"/>
      <c r="B1077" s="1282"/>
      <c r="C1077" s="1280"/>
      <c r="D1077" s="1280"/>
      <c r="E1077" s="1246"/>
      <c r="F1077" s="1275"/>
      <c r="G1077" s="1276"/>
      <c r="H1077" s="1276"/>
      <c r="I1077" s="1276"/>
      <c r="J1077" s="1275"/>
      <c r="K1077" s="1275"/>
      <c r="L1077" s="1246"/>
      <c r="M1077" s="1254"/>
      <c r="N1077" s="1246"/>
      <c r="O1077" s="1246"/>
      <c r="P1077" s="1249"/>
      <c r="Q1077" s="1246"/>
    </row>
    <row r="1078">
      <c r="A1078" s="73"/>
      <c r="B1078" s="1282"/>
      <c r="C1078" s="1280"/>
      <c r="D1078" s="1280"/>
      <c r="E1078" s="1246"/>
      <c r="F1078" s="1275"/>
      <c r="G1078" s="1276"/>
      <c r="H1078" s="1276"/>
      <c r="I1078" s="1276"/>
      <c r="J1078" s="1275"/>
      <c r="K1078" s="1275"/>
      <c r="L1078" s="1246"/>
      <c r="M1078" s="1254"/>
      <c r="N1078" s="1246"/>
      <c r="O1078" s="1246"/>
      <c r="P1078" s="1249"/>
      <c r="Q1078" s="1246"/>
    </row>
    <row r="1079">
      <c r="A1079" s="73"/>
      <c r="B1079" s="1282"/>
      <c r="C1079" s="1280"/>
      <c r="D1079" s="1280"/>
      <c r="E1079" s="1246"/>
      <c r="F1079" s="1275"/>
      <c r="G1079" s="1276"/>
      <c r="H1079" s="1276"/>
      <c r="I1079" s="1276"/>
      <c r="J1079" s="1275"/>
      <c r="K1079" s="1275"/>
      <c r="L1079" s="1246"/>
      <c r="M1079" s="1254"/>
      <c r="N1079" s="1246"/>
      <c r="O1079" s="1246"/>
      <c r="P1079" s="1249"/>
      <c r="Q1079" s="1246"/>
    </row>
    <row r="1080">
      <c r="A1080" s="73"/>
      <c r="B1080" s="1282"/>
      <c r="C1080" s="1280"/>
      <c r="D1080" s="1280"/>
      <c r="E1080" s="1246"/>
      <c r="F1080" s="1275"/>
      <c r="G1080" s="1276"/>
      <c r="H1080" s="1276"/>
      <c r="I1080" s="1276"/>
      <c r="J1080" s="1275"/>
      <c r="K1080" s="1275"/>
      <c r="L1080" s="1246"/>
      <c r="M1080" s="1254"/>
      <c r="N1080" s="1246"/>
      <c r="O1080" s="1246"/>
      <c r="P1080" s="1249"/>
      <c r="Q1080" s="1246"/>
    </row>
    <row r="1081">
      <c r="A1081" s="73"/>
      <c r="B1081" s="1282"/>
      <c r="C1081" s="1280"/>
      <c r="D1081" s="1280"/>
      <c r="E1081" s="1246"/>
      <c r="F1081" s="1275"/>
      <c r="G1081" s="1276"/>
      <c r="H1081" s="1276"/>
      <c r="I1081" s="1276"/>
      <c r="J1081" s="1275"/>
      <c r="K1081" s="1275"/>
      <c r="L1081" s="1246"/>
      <c r="M1081" s="1254"/>
      <c r="N1081" s="1246"/>
      <c r="O1081" s="1246"/>
      <c r="P1081" s="1249"/>
      <c r="Q1081" s="1246"/>
    </row>
    <row r="1082">
      <c r="A1082" s="73"/>
      <c r="B1082" s="1282"/>
      <c r="C1082" s="1280"/>
      <c r="D1082" s="1280"/>
      <c r="E1082" s="1246"/>
      <c r="F1082" s="1275"/>
      <c r="G1082" s="1276"/>
      <c r="H1082" s="1276"/>
      <c r="I1082" s="1276"/>
      <c r="J1082" s="1275"/>
      <c r="K1082" s="1275"/>
      <c r="L1082" s="1246"/>
      <c r="M1082" s="1254"/>
      <c r="N1082" s="1246"/>
      <c r="O1082" s="1246"/>
      <c r="P1082" s="1249"/>
      <c r="Q1082" s="1246"/>
    </row>
    <row r="1083">
      <c r="A1083" s="73"/>
      <c r="B1083" s="1282"/>
      <c r="C1083" s="1280"/>
      <c r="D1083" s="1280"/>
      <c r="E1083" s="1246"/>
      <c r="F1083" s="1275"/>
      <c r="G1083" s="1276"/>
      <c r="H1083" s="1276"/>
      <c r="I1083" s="1276"/>
      <c r="J1083" s="1275"/>
      <c r="K1083" s="1275"/>
      <c r="L1083" s="1246"/>
      <c r="M1083" s="1254"/>
      <c r="N1083" s="1246"/>
      <c r="O1083" s="1246"/>
      <c r="P1083" s="1249"/>
      <c r="Q1083" s="1246"/>
    </row>
    <row r="1084">
      <c r="A1084" s="73"/>
      <c r="B1084" s="1282"/>
      <c r="C1084" s="1280"/>
      <c r="D1084" s="1280"/>
      <c r="E1084" s="1246"/>
      <c r="F1084" s="1275"/>
      <c r="G1084" s="1276"/>
      <c r="H1084" s="1276"/>
      <c r="I1084" s="1276"/>
      <c r="J1084" s="1275"/>
      <c r="K1084" s="1275"/>
      <c r="L1084" s="1246"/>
      <c r="M1084" s="1254"/>
      <c r="N1084" s="1246"/>
      <c r="O1084" s="1246"/>
      <c r="P1084" s="1249"/>
      <c r="Q1084" s="1246"/>
    </row>
    <row r="1085">
      <c r="A1085" s="73"/>
      <c r="B1085" s="1282"/>
      <c r="C1085" s="1280"/>
      <c r="D1085" s="1280"/>
      <c r="E1085" s="1246"/>
      <c r="F1085" s="1275"/>
      <c r="G1085" s="1276"/>
      <c r="H1085" s="1276"/>
      <c r="I1085" s="1276"/>
      <c r="J1085" s="1275"/>
      <c r="K1085" s="1275"/>
      <c r="L1085" s="1246"/>
      <c r="M1085" s="1254"/>
      <c r="N1085" s="1246"/>
      <c r="O1085" s="1246"/>
      <c r="P1085" s="1249"/>
      <c r="Q1085" s="1246"/>
    </row>
    <row r="1086">
      <c r="A1086" s="73"/>
      <c r="B1086" s="1282"/>
      <c r="C1086" s="1280"/>
      <c r="D1086" s="1280"/>
      <c r="E1086" s="1246"/>
      <c r="F1086" s="1275"/>
      <c r="G1086" s="1276"/>
      <c r="H1086" s="1276"/>
      <c r="I1086" s="1276"/>
      <c r="J1086" s="1275"/>
      <c r="K1086" s="1275"/>
      <c r="L1086" s="1246"/>
      <c r="M1086" s="1254"/>
      <c r="N1086" s="1246"/>
      <c r="O1086" s="1246"/>
      <c r="P1086" s="1249"/>
      <c r="Q1086" s="1246"/>
    </row>
    <row r="1087">
      <c r="A1087" s="73"/>
      <c r="B1087" s="1282"/>
      <c r="C1087" s="1280"/>
      <c r="D1087" s="1280"/>
      <c r="E1087" s="1246"/>
      <c r="F1087" s="1275"/>
      <c r="G1087" s="1276"/>
      <c r="H1087" s="1276"/>
      <c r="I1087" s="1276"/>
      <c r="J1087" s="1275"/>
      <c r="K1087" s="1275"/>
      <c r="L1087" s="1246"/>
      <c r="M1087" s="1254"/>
      <c r="N1087" s="1246"/>
      <c r="O1087" s="1246"/>
      <c r="P1087" s="1249"/>
      <c r="Q1087" s="1246"/>
    </row>
    <row r="1088">
      <c r="A1088" s="73"/>
      <c r="B1088" s="1282"/>
      <c r="C1088" s="1280"/>
      <c r="D1088" s="1280"/>
      <c r="E1088" s="1246"/>
      <c r="F1088" s="1275"/>
      <c r="G1088" s="1276"/>
      <c r="H1088" s="1276"/>
      <c r="I1088" s="1276"/>
      <c r="J1088" s="1275"/>
      <c r="K1088" s="1275"/>
      <c r="L1088" s="1246"/>
      <c r="M1088" s="1254"/>
      <c r="N1088" s="1246"/>
      <c r="O1088" s="1246"/>
      <c r="P1088" s="1249"/>
      <c r="Q1088" s="1246"/>
    </row>
    <row r="1089">
      <c r="A1089" s="73"/>
      <c r="B1089" s="1282"/>
      <c r="C1089" s="1280"/>
      <c r="D1089" s="1280"/>
      <c r="E1089" s="1246"/>
      <c r="F1089" s="1275"/>
      <c r="G1089" s="1276"/>
      <c r="H1089" s="1276"/>
      <c r="I1089" s="1276"/>
      <c r="J1089" s="1275"/>
      <c r="K1089" s="1275"/>
      <c r="L1089" s="1246"/>
      <c r="M1089" s="1254"/>
      <c r="N1089" s="1246"/>
      <c r="O1089" s="1246"/>
      <c r="P1089" s="1249"/>
      <c r="Q1089" s="1246"/>
    </row>
    <row r="1090">
      <c r="A1090" s="73"/>
      <c r="B1090" s="1282"/>
      <c r="C1090" s="1280"/>
      <c r="D1090" s="1280"/>
      <c r="E1090" s="1246"/>
      <c r="F1090" s="1275"/>
      <c r="G1090" s="1276"/>
      <c r="H1090" s="1276"/>
      <c r="I1090" s="1276"/>
      <c r="J1090" s="1275"/>
      <c r="K1090" s="1275"/>
      <c r="L1090" s="1246"/>
      <c r="M1090" s="1254"/>
      <c r="N1090" s="1246"/>
      <c r="O1090" s="1246"/>
      <c r="P1090" s="1249"/>
      <c r="Q1090" s="1246"/>
    </row>
    <row r="1091">
      <c r="A1091" s="73"/>
      <c r="B1091" s="1282"/>
      <c r="C1091" s="1280"/>
      <c r="D1091" s="1280"/>
      <c r="E1091" s="1246"/>
      <c r="F1091" s="1275"/>
      <c r="G1091" s="1276"/>
      <c r="H1091" s="1276"/>
      <c r="I1091" s="1276"/>
      <c r="J1091" s="1275"/>
      <c r="K1091" s="1275"/>
      <c r="L1091" s="1246"/>
      <c r="M1091" s="1254"/>
      <c r="N1091" s="1246"/>
      <c r="O1091" s="1246"/>
      <c r="P1091" s="1249"/>
      <c r="Q1091" s="1246"/>
    </row>
    <row r="1092">
      <c r="A1092" s="73"/>
      <c r="B1092" s="1282"/>
      <c r="C1092" s="1280"/>
      <c r="D1092" s="1280"/>
      <c r="E1092" s="1246"/>
      <c r="F1092" s="1275"/>
      <c r="G1092" s="1276"/>
      <c r="H1092" s="1276"/>
      <c r="I1092" s="1276"/>
      <c r="J1092" s="1275"/>
      <c r="K1092" s="1275"/>
      <c r="L1092" s="1246"/>
      <c r="M1092" s="1254"/>
      <c r="N1092" s="1246"/>
      <c r="O1092" s="1246"/>
      <c r="P1092" s="1249"/>
      <c r="Q1092" s="1246"/>
    </row>
    <row r="1093">
      <c r="A1093" s="73"/>
      <c r="B1093" s="1282"/>
      <c r="C1093" s="1280"/>
      <c r="D1093" s="1280"/>
      <c r="E1093" s="1246"/>
      <c r="F1093" s="1275"/>
      <c r="G1093" s="1276"/>
      <c r="H1093" s="1276"/>
      <c r="I1093" s="1276"/>
      <c r="J1093" s="1275"/>
      <c r="K1093" s="1275"/>
      <c r="L1093" s="1246"/>
      <c r="M1093" s="1254"/>
      <c r="N1093" s="1246"/>
      <c r="O1093" s="1246"/>
      <c r="P1093" s="1249"/>
      <c r="Q1093" s="1246"/>
    </row>
    <row r="1094">
      <c r="A1094" s="73"/>
      <c r="B1094" s="1282"/>
      <c r="C1094" s="1280"/>
      <c r="D1094" s="1280"/>
      <c r="E1094" s="1246"/>
      <c r="F1094" s="1275"/>
      <c r="G1094" s="1276"/>
      <c r="H1094" s="1276"/>
      <c r="I1094" s="1276"/>
      <c r="J1094" s="1275"/>
      <c r="K1094" s="1275"/>
      <c r="L1094" s="1246"/>
      <c r="M1094" s="1254"/>
      <c r="N1094" s="1246"/>
      <c r="O1094" s="1246"/>
      <c r="P1094" s="1249"/>
      <c r="Q1094" s="1246"/>
    </row>
    <row r="1095">
      <c r="A1095" s="73"/>
      <c r="B1095" s="1282"/>
      <c r="C1095" s="1280"/>
      <c r="D1095" s="1280"/>
      <c r="E1095" s="1246"/>
      <c r="F1095" s="1275"/>
      <c r="G1095" s="1276"/>
      <c r="H1095" s="1276"/>
      <c r="I1095" s="1276"/>
      <c r="J1095" s="1275"/>
      <c r="K1095" s="1275"/>
      <c r="L1095" s="1246"/>
      <c r="M1095" s="1254"/>
      <c r="N1095" s="1246"/>
      <c r="O1095" s="1246"/>
      <c r="P1095" s="1249"/>
      <c r="Q1095" s="1246"/>
    </row>
    <row r="1096">
      <c r="A1096" s="73"/>
      <c r="B1096" s="1282"/>
      <c r="C1096" s="1280"/>
      <c r="D1096" s="1280"/>
      <c r="E1096" s="1246"/>
      <c r="F1096" s="1275"/>
      <c r="G1096" s="1276"/>
      <c r="H1096" s="1276"/>
      <c r="I1096" s="1276"/>
      <c r="J1096" s="1275"/>
      <c r="K1096" s="1275"/>
      <c r="L1096" s="1246"/>
      <c r="M1096" s="1254"/>
      <c r="N1096" s="1246"/>
      <c r="O1096" s="1246"/>
      <c r="P1096" s="1249"/>
      <c r="Q1096" s="1246"/>
    </row>
    <row r="1097">
      <c r="A1097" s="73"/>
      <c r="B1097" s="1282"/>
      <c r="C1097" s="1280"/>
      <c r="D1097" s="1280"/>
      <c r="E1097" s="1246"/>
      <c r="F1097" s="1275"/>
      <c r="G1097" s="1276"/>
      <c r="H1097" s="1276"/>
      <c r="I1097" s="1276"/>
      <c r="J1097" s="1275"/>
      <c r="K1097" s="1275"/>
      <c r="L1097" s="1246"/>
      <c r="M1097" s="1254"/>
      <c r="N1097" s="1246"/>
      <c r="O1097" s="1246"/>
      <c r="P1097" s="1249"/>
      <c r="Q1097" s="1246"/>
    </row>
    <row r="1098">
      <c r="A1098" s="73"/>
      <c r="B1098" s="1282"/>
      <c r="C1098" s="1280"/>
      <c r="D1098" s="1280"/>
      <c r="E1098" s="1246"/>
      <c r="F1098" s="1275"/>
      <c r="G1098" s="1276"/>
      <c r="H1098" s="1276"/>
      <c r="I1098" s="1276"/>
      <c r="J1098" s="1275"/>
      <c r="K1098" s="1275"/>
      <c r="L1098" s="1246"/>
      <c r="M1098" s="1254"/>
      <c r="N1098" s="1246"/>
      <c r="O1098" s="1246"/>
      <c r="P1098" s="1249"/>
      <c r="Q1098" s="1246"/>
    </row>
    <row r="1099">
      <c r="A1099" s="73"/>
      <c r="B1099" s="1282"/>
      <c r="C1099" s="1280"/>
      <c r="D1099" s="1280"/>
      <c r="E1099" s="1246"/>
      <c r="F1099" s="1275"/>
      <c r="G1099" s="1276"/>
      <c r="H1099" s="1276"/>
      <c r="I1099" s="1276"/>
      <c r="J1099" s="1275"/>
      <c r="K1099" s="1275"/>
      <c r="L1099" s="1246"/>
      <c r="M1099" s="1254"/>
      <c r="N1099" s="1246"/>
      <c r="O1099" s="1246"/>
      <c r="P1099" s="1249"/>
      <c r="Q1099" s="1246"/>
    </row>
    <row r="1100">
      <c r="A1100" s="73"/>
      <c r="B1100" s="1282"/>
      <c r="C1100" s="1280"/>
      <c r="D1100" s="1280"/>
      <c r="E1100" s="1246"/>
      <c r="F1100" s="1275"/>
      <c r="G1100" s="1276"/>
      <c r="H1100" s="1276"/>
      <c r="I1100" s="1276"/>
      <c r="J1100" s="1275"/>
      <c r="K1100" s="1275"/>
      <c r="L1100" s="1246"/>
      <c r="M1100" s="1254"/>
      <c r="N1100" s="1246"/>
      <c r="O1100" s="1246"/>
      <c r="P1100" s="1249"/>
      <c r="Q1100" s="1246"/>
    </row>
    <row r="1101">
      <c r="A1101" s="73"/>
      <c r="B1101" s="1282"/>
      <c r="C1101" s="1280"/>
      <c r="D1101" s="1280"/>
      <c r="E1101" s="1246"/>
      <c r="F1101" s="1275"/>
      <c r="G1101" s="1276"/>
      <c r="H1101" s="1276"/>
      <c r="I1101" s="1276"/>
      <c r="J1101" s="1275"/>
      <c r="K1101" s="1275"/>
      <c r="L1101" s="1246"/>
      <c r="M1101" s="1254"/>
      <c r="N1101" s="1246"/>
      <c r="O1101" s="1246"/>
      <c r="P1101" s="1249"/>
      <c r="Q1101" s="1246"/>
    </row>
    <row r="1102">
      <c r="A1102" s="73"/>
      <c r="B1102" s="1282"/>
      <c r="C1102" s="1280"/>
      <c r="D1102" s="1280"/>
      <c r="E1102" s="1246"/>
      <c r="F1102" s="1275"/>
      <c r="G1102" s="1276"/>
      <c r="H1102" s="1276"/>
      <c r="I1102" s="1276"/>
      <c r="J1102" s="1275"/>
      <c r="K1102" s="1275"/>
      <c r="L1102" s="1246"/>
      <c r="M1102" s="1254"/>
      <c r="N1102" s="1246"/>
      <c r="O1102" s="1246"/>
      <c r="P1102" s="1249"/>
      <c r="Q1102" s="1246"/>
    </row>
    <row r="1103">
      <c r="A1103" s="73"/>
      <c r="B1103" s="1282"/>
      <c r="C1103" s="1280"/>
      <c r="D1103" s="1280"/>
      <c r="E1103" s="1246"/>
      <c r="F1103" s="1275"/>
      <c r="G1103" s="1276"/>
      <c r="H1103" s="1276"/>
      <c r="I1103" s="1276"/>
      <c r="J1103" s="1275"/>
      <c r="K1103" s="1275"/>
      <c r="L1103" s="1246"/>
      <c r="M1103" s="1254"/>
      <c r="N1103" s="1246"/>
      <c r="O1103" s="1246"/>
      <c r="P1103" s="1249"/>
      <c r="Q1103" s="1246"/>
    </row>
    <row r="1104">
      <c r="A1104" s="73"/>
      <c r="B1104" s="1282"/>
      <c r="C1104" s="1280"/>
      <c r="D1104" s="1280"/>
      <c r="E1104" s="1246"/>
      <c r="F1104" s="1275"/>
      <c r="G1104" s="1276"/>
      <c r="H1104" s="1276"/>
      <c r="I1104" s="1276"/>
      <c r="J1104" s="1275"/>
      <c r="K1104" s="1275"/>
      <c r="L1104" s="1246"/>
      <c r="M1104" s="1254"/>
      <c r="N1104" s="1246"/>
      <c r="O1104" s="1246"/>
      <c r="P1104" s="1249"/>
      <c r="Q1104" s="1246"/>
    </row>
    <row r="1105">
      <c r="A1105" s="73"/>
      <c r="B1105" s="1282"/>
      <c r="C1105" s="1280"/>
      <c r="D1105" s="1280"/>
      <c r="E1105" s="1246"/>
      <c r="F1105" s="1275"/>
      <c r="G1105" s="1276"/>
      <c r="H1105" s="1276"/>
      <c r="I1105" s="1276"/>
      <c r="J1105" s="1275"/>
      <c r="K1105" s="1275"/>
      <c r="L1105" s="1246"/>
      <c r="M1105" s="1254"/>
      <c r="N1105" s="1246"/>
      <c r="O1105" s="1246"/>
      <c r="P1105" s="1249"/>
      <c r="Q1105" s="1246"/>
    </row>
    <row r="1106">
      <c r="A1106" s="73"/>
      <c r="B1106" s="1282"/>
      <c r="C1106" s="1280"/>
      <c r="D1106" s="1280"/>
      <c r="E1106" s="1246"/>
      <c r="F1106" s="1275"/>
      <c r="G1106" s="1276"/>
      <c r="H1106" s="1276"/>
      <c r="I1106" s="1276"/>
      <c r="J1106" s="1275"/>
      <c r="K1106" s="1275"/>
      <c r="L1106" s="1246"/>
      <c r="M1106" s="1254"/>
      <c r="N1106" s="1246"/>
      <c r="O1106" s="1246"/>
      <c r="P1106" s="1249"/>
      <c r="Q1106" s="1246"/>
    </row>
    <row r="1107">
      <c r="A1107" s="73"/>
      <c r="B1107" s="1282"/>
      <c r="C1107" s="1280"/>
      <c r="D1107" s="1280"/>
      <c r="E1107" s="1246"/>
      <c r="F1107" s="1275"/>
      <c r="G1107" s="1276"/>
      <c r="H1107" s="1276"/>
      <c r="I1107" s="1276"/>
      <c r="J1107" s="1275"/>
      <c r="K1107" s="1275"/>
      <c r="L1107" s="1246"/>
      <c r="M1107" s="1254"/>
      <c r="N1107" s="1246"/>
      <c r="O1107" s="1246"/>
      <c r="P1107" s="1249"/>
      <c r="Q1107" s="1246"/>
    </row>
    <row r="1108">
      <c r="A1108" s="73"/>
      <c r="B1108" s="1282"/>
      <c r="C1108" s="1280"/>
      <c r="D1108" s="1280"/>
      <c r="E1108" s="1246"/>
      <c r="F1108" s="1275"/>
      <c r="G1108" s="1276"/>
      <c r="H1108" s="1276"/>
      <c r="I1108" s="1276"/>
      <c r="J1108" s="1275"/>
      <c r="K1108" s="1275"/>
      <c r="L1108" s="1246"/>
      <c r="M1108" s="1254"/>
      <c r="N1108" s="1246"/>
      <c r="O1108" s="1246"/>
      <c r="P1108" s="1249"/>
      <c r="Q1108" s="1246"/>
    </row>
    <row r="1109">
      <c r="A1109" s="73"/>
      <c r="B1109" s="1282"/>
      <c r="C1109" s="1280"/>
      <c r="D1109" s="1280"/>
      <c r="E1109" s="1246"/>
      <c r="F1109" s="1275"/>
      <c r="G1109" s="1276"/>
      <c r="H1109" s="1276"/>
      <c r="I1109" s="1276"/>
      <c r="J1109" s="1275"/>
      <c r="K1109" s="1275"/>
      <c r="L1109" s="1246"/>
      <c r="M1109" s="1254"/>
      <c r="N1109" s="1246"/>
      <c r="O1109" s="1246"/>
      <c r="P1109" s="1249"/>
      <c r="Q1109" s="1246"/>
    </row>
    <row r="1110">
      <c r="A1110" s="73"/>
      <c r="B1110" s="1282"/>
      <c r="C1110" s="1280"/>
      <c r="D1110" s="1280"/>
      <c r="E1110" s="1246"/>
      <c r="F1110" s="1275"/>
      <c r="G1110" s="1276"/>
      <c r="H1110" s="1276"/>
      <c r="I1110" s="1276"/>
      <c r="J1110" s="1275"/>
      <c r="K1110" s="1275"/>
      <c r="L1110" s="1246"/>
      <c r="M1110" s="1254"/>
      <c r="N1110" s="1246"/>
      <c r="O1110" s="1246"/>
      <c r="P1110" s="1249"/>
      <c r="Q1110" s="1246"/>
    </row>
    <row r="1111">
      <c r="A1111" s="73"/>
      <c r="B1111" s="1282"/>
      <c r="C1111" s="1280"/>
      <c r="D1111" s="1280"/>
      <c r="E1111" s="1246"/>
      <c r="F1111" s="1275"/>
      <c r="G1111" s="1276"/>
      <c r="H1111" s="1276"/>
      <c r="I1111" s="1276"/>
      <c r="J1111" s="1275"/>
      <c r="K1111" s="1275"/>
      <c r="L1111" s="1246"/>
      <c r="M1111" s="1254"/>
      <c r="N1111" s="1246"/>
      <c r="O1111" s="1246"/>
      <c r="P1111" s="1249"/>
      <c r="Q1111" s="1246"/>
    </row>
    <row r="1112">
      <c r="A1112" s="73"/>
      <c r="B1112" s="1282"/>
      <c r="C1112" s="1280"/>
      <c r="D1112" s="1280"/>
      <c r="E1112" s="1246"/>
      <c r="F1112" s="1275"/>
      <c r="G1112" s="1276"/>
      <c r="H1112" s="1276"/>
      <c r="I1112" s="1276"/>
      <c r="J1112" s="1275"/>
      <c r="K1112" s="1275"/>
      <c r="L1112" s="1246"/>
      <c r="M1112" s="1254"/>
      <c r="N1112" s="1246"/>
      <c r="O1112" s="1246"/>
      <c r="P1112" s="1249"/>
      <c r="Q1112" s="1246"/>
    </row>
    <row r="1113">
      <c r="A1113" s="73"/>
      <c r="B1113" s="1282"/>
      <c r="C1113" s="1280"/>
      <c r="D1113" s="1280"/>
      <c r="E1113" s="1246"/>
      <c r="F1113" s="1275"/>
      <c r="G1113" s="1276"/>
      <c r="H1113" s="1276"/>
      <c r="I1113" s="1276"/>
      <c r="J1113" s="1275"/>
      <c r="K1113" s="1275"/>
      <c r="L1113" s="1246"/>
      <c r="M1113" s="1254"/>
      <c r="N1113" s="1246"/>
      <c r="O1113" s="1246"/>
      <c r="P1113" s="1249"/>
      <c r="Q1113" s="1246"/>
    </row>
    <row r="1114">
      <c r="A1114" s="73"/>
      <c r="B1114" s="1282"/>
      <c r="C1114" s="1280"/>
      <c r="D1114" s="1280"/>
      <c r="E1114" s="1246"/>
      <c r="F1114" s="1275"/>
      <c r="G1114" s="1276"/>
      <c r="H1114" s="1276"/>
      <c r="I1114" s="1276"/>
      <c r="J1114" s="1275"/>
      <c r="K1114" s="1275"/>
      <c r="L1114" s="1246"/>
      <c r="M1114" s="1254"/>
      <c r="N1114" s="1246"/>
      <c r="O1114" s="1246"/>
      <c r="P1114" s="1249"/>
      <c r="Q1114" s="1246"/>
    </row>
    <row r="1115">
      <c r="A1115" s="73"/>
      <c r="B1115" s="1282"/>
      <c r="C1115" s="1280"/>
      <c r="D1115" s="1280"/>
      <c r="E1115" s="1246"/>
      <c r="F1115" s="1275"/>
      <c r="G1115" s="1276"/>
      <c r="H1115" s="1276"/>
      <c r="I1115" s="1276"/>
      <c r="J1115" s="1275"/>
      <c r="K1115" s="1275"/>
      <c r="L1115" s="1246"/>
      <c r="M1115" s="1254"/>
      <c r="N1115" s="1246"/>
      <c r="O1115" s="1246"/>
      <c r="P1115" s="1249"/>
      <c r="Q1115" s="1246"/>
    </row>
    <row r="1116">
      <c r="A1116" s="73"/>
      <c r="B1116" s="1282"/>
      <c r="C1116" s="1280"/>
      <c r="D1116" s="1280"/>
      <c r="E1116" s="1246"/>
      <c r="F1116" s="1275"/>
      <c r="G1116" s="1276"/>
      <c r="H1116" s="1276"/>
      <c r="I1116" s="1276"/>
      <c r="J1116" s="1275"/>
      <c r="K1116" s="1275"/>
      <c r="L1116" s="1246"/>
      <c r="M1116" s="1254"/>
      <c r="N1116" s="1246"/>
      <c r="O1116" s="1246"/>
      <c r="P1116" s="1249"/>
      <c r="Q1116" s="1246"/>
    </row>
    <row r="1117">
      <c r="A1117" s="73"/>
      <c r="B1117" s="1282"/>
      <c r="C1117" s="1280"/>
      <c r="D1117" s="1280"/>
      <c r="E1117" s="1246"/>
      <c r="F1117" s="1275"/>
      <c r="G1117" s="1276"/>
      <c r="H1117" s="1276"/>
      <c r="I1117" s="1276"/>
      <c r="J1117" s="1275"/>
      <c r="K1117" s="1275"/>
      <c r="L1117" s="1246"/>
      <c r="M1117" s="1254"/>
      <c r="N1117" s="1246"/>
      <c r="O1117" s="1246"/>
      <c r="P1117" s="1249"/>
      <c r="Q1117" s="1246"/>
    </row>
    <row r="1118">
      <c r="A1118" s="73"/>
      <c r="B1118" s="1282"/>
      <c r="C1118" s="1280"/>
      <c r="D1118" s="1280"/>
      <c r="E1118" s="1246"/>
      <c r="F1118" s="1275"/>
      <c r="G1118" s="1276"/>
      <c r="H1118" s="1276"/>
      <c r="I1118" s="1276"/>
      <c r="J1118" s="1275"/>
      <c r="K1118" s="1275"/>
      <c r="L1118" s="1246"/>
      <c r="M1118" s="1254"/>
      <c r="N1118" s="1246"/>
      <c r="O1118" s="1246"/>
      <c r="P1118" s="1249"/>
      <c r="Q1118" s="1246"/>
    </row>
    <row r="1119">
      <c r="A1119" s="73"/>
      <c r="B1119" s="1282"/>
      <c r="C1119" s="1280"/>
      <c r="D1119" s="1280"/>
      <c r="E1119" s="1246"/>
      <c r="F1119" s="1275"/>
      <c r="G1119" s="1276"/>
      <c r="H1119" s="1276"/>
      <c r="I1119" s="1276"/>
      <c r="J1119" s="1275"/>
      <c r="K1119" s="1275"/>
      <c r="L1119" s="1246"/>
      <c r="M1119" s="1254"/>
      <c r="N1119" s="1246"/>
      <c r="O1119" s="1246"/>
      <c r="P1119" s="1249"/>
      <c r="Q1119" s="1246"/>
    </row>
    <row r="1120">
      <c r="A1120" s="73"/>
      <c r="B1120" s="1282"/>
      <c r="C1120" s="1280"/>
      <c r="D1120" s="1280"/>
      <c r="E1120" s="1246"/>
      <c r="F1120" s="1275"/>
      <c r="G1120" s="1276"/>
      <c r="H1120" s="1276"/>
      <c r="I1120" s="1276"/>
      <c r="J1120" s="1275"/>
      <c r="K1120" s="1275"/>
      <c r="L1120" s="1246"/>
      <c r="M1120" s="1254"/>
      <c r="N1120" s="1246"/>
      <c r="O1120" s="1246"/>
      <c r="P1120" s="1249"/>
      <c r="Q1120" s="1246"/>
    </row>
    <row r="1121">
      <c r="A1121" s="73"/>
      <c r="B1121" s="1282"/>
      <c r="C1121" s="1280"/>
      <c r="D1121" s="1280"/>
      <c r="E1121" s="1246"/>
      <c r="F1121" s="1275"/>
      <c r="G1121" s="1276"/>
      <c r="H1121" s="1276"/>
      <c r="I1121" s="1276"/>
      <c r="J1121" s="1275"/>
      <c r="K1121" s="1275"/>
      <c r="L1121" s="1246"/>
      <c r="M1121" s="1254"/>
      <c r="N1121" s="1246"/>
      <c r="O1121" s="1246"/>
      <c r="P1121" s="1249"/>
      <c r="Q1121" s="1246"/>
    </row>
    <row r="1122">
      <c r="A1122" s="73"/>
      <c r="B1122" s="1282"/>
      <c r="C1122" s="1280"/>
      <c r="D1122" s="1280"/>
      <c r="E1122" s="1246"/>
      <c r="F1122" s="1275"/>
      <c r="G1122" s="1276"/>
      <c r="H1122" s="1276"/>
      <c r="I1122" s="1276"/>
      <c r="J1122" s="1275"/>
      <c r="K1122" s="1275"/>
      <c r="L1122" s="1246"/>
      <c r="M1122" s="1254"/>
      <c r="N1122" s="1246"/>
      <c r="O1122" s="1246"/>
      <c r="P1122" s="1249"/>
      <c r="Q1122" s="1246"/>
    </row>
    <row r="1123">
      <c r="A1123" s="73"/>
      <c r="B1123" s="1282"/>
      <c r="C1123" s="1280"/>
      <c r="D1123" s="1280"/>
      <c r="E1123" s="1246"/>
      <c r="F1123" s="1275"/>
      <c r="G1123" s="1276"/>
      <c r="H1123" s="1276"/>
      <c r="I1123" s="1276"/>
      <c r="J1123" s="1275"/>
      <c r="K1123" s="1275"/>
      <c r="L1123" s="1246"/>
      <c r="M1123" s="1254"/>
      <c r="N1123" s="1246"/>
      <c r="O1123" s="1246"/>
      <c r="P1123" s="1249"/>
      <c r="Q1123" s="1246"/>
    </row>
    <row r="1124">
      <c r="A1124" s="73"/>
      <c r="B1124" s="1282"/>
      <c r="C1124" s="1280"/>
      <c r="D1124" s="1280"/>
      <c r="E1124" s="1246"/>
      <c r="F1124" s="1275"/>
      <c r="G1124" s="1276"/>
      <c r="H1124" s="1276"/>
      <c r="I1124" s="1276"/>
      <c r="J1124" s="1275"/>
      <c r="K1124" s="1275"/>
      <c r="L1124" s="1246"/>
      <c r="M1124" s="1254"/>
      <c r="N1124" s="1246"/>
      <c r="O1124" s="1246"/>
      <c r="P1124" s="1249"/>
      <c r="Q1124" s="1246"/>
    </row>
    <row r="1125">
      <c r="A1125" s="73"/>
      <c r="B1125" s="1282"/>
      <c r="C1125" s="1280"/>
      <c r="D1125" s="1280"/>
      <c r="E1125" s="1246"/>
      <c r="F1125" s="1275"/>
      <c r="G1125" s="1276"/>
      <c r="H1125" s="1276"/>
      <c r="I1125" s="1276"/>
      <c r="J1125" s="1275"/>
      <c r="K1125" s="1275"/>
      <c r="L1125" s="1246"/>
      <c r="M1125" s="1254"/>
      <c r="N1125" s="1246"/>
      <c r="O1125" s="1246"/>
      <c r="P1125" s="1249"/>
      <c r="Q1125" s="1246"/>
    </row>
    <row r="1126">
      <c r="A1126" s="73"/>
      <c r="B1126" s="1282"/>
      <c r="C1126" s="1280"/>
      <c r="D1126" s="1280"/>
      <c r="E1126" s="1246"/>
      <c r="F1126" s="1275"/>
      <c r="G1126" s="1276"/>
      <c r="H1126" s="1276"/>
      <c r="I1126" s="1276"/>
      <c r="J1126" s="1275"/>
      <c r="K1126" s="1275"/>
      <c r="L1126" s="1246"/>
      <c r="M1126" s="1254"/>
      <c r="N1126" s="1246"/>
      <c r="O1126" s="1246"/>
      <c r="P1126" s="1249"/>
      <c r="Q1126" s="1246"/>
    </row>
    <row r="1127">
      <c r="A1127" s="73"/>
      <c r="B1127" s="1282"/>
      <c r="C1127" s="1280"/>
      <c r="D1127" s="1280"/>
      <c r="E1127" s="1246"/>
      <c r="F1127" s="1275"/>
      <c r="G1127" s="1276"/>
      <c r="H1127" s="1276"/>
      <c r="I1127" s="1276"/>
      <c r="J1127" s="1275"/>
      <c r="K1127" s="1275"/>
      <c r="L1127" s="1246"/>
      <c r="M1127" s="1254"/>
      <c r="N1127" s="1246"/>
      <c r="O1127" s="1246"/>
      <c r="P1127" s="1249"/>
      <c r="Q1127" s="1246"/>
    </row>
    <row r="1128">
      <c r="A1128" s="73"/>
      <c r="B1128" s="1282"/>
      <c r="C1128" s="1280"/>
      <c r="D1128" s="1280"/>
      <c r="E1128" s="1246"/>
      <c r="F1128" s="1275"/>
      <c r="G1128" s="1276"/>
      <c r="H1128" s="1276"/>
      <c r="I1128" s="1276"/>
      <c r="J1128" s="1275"/>
      <c r="K1128" s="1275"/>
      <c r="L1128" s="1246"/>
      <c r="M1128" s="1254"/>
      <c r="N1128" s="1246"/>
      <c r="O1128" s="1246"/>
      <c r="P1128" s="1249"/>
      <c r="Q1128" s="1246"/>
    </row>
    <row r="1129">
      <c r="A1129" s="73"/>
      <c r="B1129" s="1282"/>
      <c r="C1129" s="1280"/>
      <c r="D1129" s="1280"/>
      <c r="E1129" s="1246"/>
      <c r="F1129" s="1275"/>
      <c r="G1129" s="1276"/>
      <c r="H1129" s="1276"/>
      <c r="I1129" s="1276"/>
      <c r="J1129" s="1275"/>
      <c r="K1129" s="1275"/>
      <c r="L1129" s="1246"/>
      <c r="M1129" s="1254"/>
      <c r="N1129" s="1246"/>
      <c r="O1129" s="1246"/>
      <c r="P1129" s="1249"/>
      <c r="Q1129" s="1246"/>
    </row>
    <row r="1130">
      <c r="A1130" s="73"/>
      <c r="B1130" s="1282"/>
      <c r="C1130" s="1280"/>
      <c r="D1130" s="1280"/>
      <c r="E1130" s="1246"/>
      <c r="F1130" s="1275"/>
      <c r="G1130" s="1276"/>
      <c r="H1130" s="1276"/>
      <c r="I1130" s="1276"/>
      <c r="J1130" s="1275"/>
      <c r="K1130" s="1275"/>
      <c r="L1130" s="1246"/>
      <c r="M1130" s="1254"/>
      <c r="N1130" s="1246"/>
      <c r="O1130" s="1246"/>
      <c r="P1130" s="1249"/>
      <c r="Q1130" s="1246"/>
    </row>
    <row r="1131">
      <c r="A1131" s="73"/>
      <c r="B1131" s="1282"/>
      <c r="C1131" s="1280"/>
      <c r="D1131" s="1280"/>
      <c r="E1131" s="1246"/>
      <c r="F1131" s="1275"/>
      <c r="G1131" s="1276"/>
      <c r="H1131" s="1276"/>
      <c r="I1131" s="1276"/>
      <c r="J1131" s="1275"/>
      <c r="K1131" s="1275"/>
      <c r="L1131" s="1246"/>
      <c r="M1131" s="1254"/>
      <c r="N1131" s="1246"/>
      <c r="O1131" s="1246"/>
      <c r="P1131" s="1249"/>
      <c r="Q1131" s="1246"/>
    </row>
    <row r="1132">
      <c r="A1132" s="73"/>
      <c r="B1132" s="1282"/>
      <c r="C1132" s="1280"/>
      <c r="D1132" s="1280"/>
      <c r="E1132" s="1246"/>
      <c r="F1132" s="1275"/>
      <c r="G1132" s="1276"/>
      <c r="H1132" s="1276"/>
      <c r="I1132" s="1276"/>
      <c r="J1132" s="1275"/>
      <c r="K1132" s="1275"/>
      <c r="L1132" s="1246"/>
      <c r="M1132" s="1254"/>
      <c r="N1132" s="1246"/>
      <c r="O1132" s="1246"/>
      <c r="P1132" s="1249"/>
      <c r="Q1132" s="1246"/>
    </row>
    <row r="1133">
      <c r="A1133" s="73"/>
      <c r="B1133" s="1282"/>
      <c r="C1133" s="1280"/>
      <c r="D1133" s="1280"/>
      <c r="E1133" s="1246"/>
      <c r="F1133" s="1275"/>
      <c r="G1133" s="1276"/>
      <c r="H1133" s="1276"/>
      <c r="I1133" s="1276"/>
      <c r="J1133" s="1275"/>
      <c r="K1133" s="1275"/>
      <c r="L1133" s="1246"/>
      <c r="M1133" s="1254"/>
      <c r="N1133" s="1246"/>
      <c r="O1133" s="1246"/>
      <c r="P1133" s="1249"/>
      <c r="Q1133" s="1246"/>
    </row>
    <row r="1134">
      <c r="A1134" s="73"/>
      <c r="B1134" s="1282"/>
      <c r="C1134" s="1280"/>
      <c r="D1134" s="1280"/>
      <c r="E1134" s="1246"/>
      <c r="F1134" s="1275"/>
      <c r="G1134" s="1276"/>
      <c r="H1134" s="1276"/>
      <c r="I1134" s="1276"/>
      <c r="J1134" s="1275"/>
      <c r="K1134" s="1275"/>
      <c r="L1134" s="1246"/>
      <c r="M1134" s="1254"/>
      <c r="N1134" s="1246"/>
      <c r="O1134" s="1246"/>
      <c r="P1134" s="1249"/>
      <c r="Q1134" s="1246"/>
    </row>
    <row r="1135">
      <c r="A1135" s="73"/>
      <c r="B1135" s="1282"/>
      <c r="C1135" s="1280"/>
      <c r="D1135" s="1280"/>
      <c r="E1135" s="1246"/>
      <c r="F1135" s="1275"/>
      <c r="G1135" s="1276"/>
      <c r="H1135" s="1276"/>
      <c r="I1135" s="1276"/>
      <c r="J1135" s="1275"/>
      <c r="K1135" s="1275"/>
      <c r="L1135" s="1246"/>
      <c r="M1135" s="1254"/>
      <c r="N1135" s="1246"/>
      <c r="O1135" s="1246"/>
      <c r="P1135" s="1249"/>
      <c r="Q1135" s="1246"/>
    </row>
    <row r="1136">
      <c r="A1136" s="73"/>
      <c r="B1136" s="1282"/>
      <c r="C1136" s="1280"/>
      <c r="D1136" s="1280"/>
      <c r="E1136" s="1246"/>
      <c r="F1136" s="1275"/>
      <c r="G1136" s="1276"/>
      <c r="H1136" s="1276"/>
      <c r="I1136" s="1276"/>
      <c r="J1136" s="1275"/>
      <c r="K1136" s="1275"/>
      <c r="L1136" s="1246"/>
      <c r="M1136" s="1254"/>
      <c r="N1136" s="1246"/>
      <c r="O1136" s="1246"/>
      <c r="P1136" s="1249"/>
      <c r="Q1136" s="1246"/>
    </row>
    <row r="1137">
      <c r="A1137" s="73"/>
      <c r="B1137" s="1282"/>
      <c r="C1137" s="1280"/>
      <c r="D1137" s="1280"/>
      <c r="E1137" s="1246"/>
      <c r="F1137" s="1275"/>
      <c r="G1137" s="1276"/>
      <c r="H1137" s="1276"/>
      <c r="I1137" s="1276"/>
      <c r="J1137" s="1275"/>
      <c r="K1137" s="1275"/>
      <c r="L1137" s="1246"/>
      <c r="M1137" s="1254"/>
      <c r="N1137" s="1246"/>
      <c r="O1137" s="1246"/>
      <c r="P1137" s="1249"/>
      <c r="Q1137" s="1246"/>
    </row>
    <row r="1138">
      <c r="A1138" s="73"/>
      <c r="B1138" s="1282"/>
      <c r="C1138" s="1280"/>
      <c r="D1138" s="1280"/>
      <c r="E1138" s="1246"/>
      <c r="F1138" s="1275"/>
      <c r="G1138" s="1276"/>
      <c r="H1138" s="1276"/>
      <c r="I1138" s="1276"/>
      <c r="J1138" s="1275"/>
      <c r="K1138" s="1275"/>
      <c r="L1138" s="1246"/>
      <c r="M1138" s="1254"/>
      <c r="N1138" s="1246"/>
      <c r="O1138" s="1246"/>
      <c r="P1138" s="1249"/>
      <c r="Q1138" s="1246"/>
    </row>
    <row r="1139">
      <c r="A1139" s="73"/>
      <c r="B1139" s="1282"/>
      <c r="C1139" s="1280"/>
      <c r="D1139" s="1280"/>
      <c r="E1139" s="1246"/>
      <c r="F1139" s="1275"/>
      <c r="G1139" s="1276"/>
      <c r="H1139" s="1276"/>
      <c r="I1139" s="1276"/>
      <c r="J1139" s="1275"/>
      <c r="K1139" s="1275"/>
      <c r="L1139" s="1246"/>
      <c r="M1139" s="1254"/>
      <c r="N1139" s="1246"/>
      <c r="O1139" s="1246"/>
      <c r="P1139" s="1249"/>
      <c r="Q1139" s="1246"/>
    </row>
    <row r="1140">
      <c r="A1140" s="73"/>
      <c r="B1140" s="1282"/>
      <c r="C1140" s="1280"/>
      <c r="D1140" s="1280"/>
      <c r="E1140" s="1246"/>
      <c r="F1140" s="1275"/>
      <c r="G1140" s="1276"/>
      <c r="H1140" s="1276"/>
      <c r="I1140" s="1276"/>
      <c r="J1140" s="1275"/>
      <c r="K1140" s="1275"/>
      <c r="L1140" s="1246"/>
      <c r="M1140" s="1254"/>
      <c r="N1140" s="1246"/>
      <c r="O1140" s="1246"/>
      <c r="P1140" s="1249"/>
      <c r="Q1140" s="1246"/>
    </row>
    <row r="1141">
      <c r="A1141" s="73"/>
      <c r="B1141" s="1282"/>
      <c r="C1141" s="1280"/>
      <c r="D1141" s="1280"/>
      <c r="E1141" s="1246"/>
      <c r="F1141" s="1275"/>
      <c r="G1141" s="1276"/>
      <c r="H1141" s="1276"/>
      <c r="I1141" s="1276"/>
      <c r="J1141" s="1275"/>
      <c r="K1141" s="1275"/>
      <c r="L1141" s="1246"/>
      <c r="M1141" s="1254"/>
      <c r="N1141" s="1246"/>
      <c r="O1141" s="1246"/>
      <c r="P1141" s="1249"/>
      <c r="Q1141" s="1246"/>
    </row>
    <row r="1142">
      <c r="A1142" s="73"/>
      <c r="B1142" s="1282"/>
      <c r="C1142" s="1280"/>
      <c r="D1142" s="1280"/>
      <c r="E1142" s="1246"/>
      <c r="F1142" s="1275"/>
      <c r="G1142" s="1276"/>
      <c r="H1142" s="1276"/>
      <c r="I1142" s="1276"/>
      <c r="J1142" s="1275"/>
      <c r="K1142" s="1275"/>
      <c r="L1142" s="1246"/>
      <c r="M1142" s="1254"/>
      <c r="N1142" s="1246"/>
      <c r="O1142" s="1246"/>
      <c r="P1142" s="1249"/>
      <c r="Q1142" s="1246"/>
    </row>
    <row r="1143">
      <c r="A1143" s="73"/>
      <c r="B1143" s="1282"/>
      <c r="C1143" s="1280"/>
      <c r="D1143" s="1280"/>
      <c r="E1143" s="1246"/>
      <c r="F1143" s="1275"/>
      <c r="G1143" s="1276"/>
      <c r="H1143" s="1276"/>
      <c r="I1143" s="1276"/>
      <c r="J1143" s="1275"/>
      <c r="K1143" s="1275"/>
      <c r="L1143" s="1246"/>
      <c r="M1143" s="1254"/>
      <c r="N1143" s="1246"/>
      <c r="O1143" s="1246"/>
      <c r="P1143" s="1249"/>
      <c r="Q1143" s="1246"/>
    </row>
    <row r="1144">
      <c r="A1144" s="73"/>
      <c r="B1144" s="1282"/>
      <c r="C1144" s="1280"/>
      <c r="D1144" s="1280"/>
      <c r="E1144" s="1246"/>
      <c r="F1144" s="1275"/>
      <c r="G1144" s="1276"/>
      <c r="H1144" s="1276"/>
      <c r="I1144" s="1276"/>
      <c r="J1144" s="1275"/>
      <c r="K1144" s="1275"/>
      <c r="L1144" s="1246"/>
      <c r="M1144" s="1254"/>
      <c r="N1144" s="1246"/>
      <c r="O1144" s="1246"/>
      <c r="P1144" s="1249"/>
      <c r="Q1144" s="1246"/>
    </row>
    <row r="1145">
      <c r="A1145" s="73"/>
      <c r="B1145" s="1282"/>
      <c r="C1145" s="1280"/>
      <c r="D1145" s="1280"/>
      <c r="E1145" s="1246"/>
      <c r="F1145" s="1275"/>
      <c r="G1145" s="1276"/>
      <c r="H1145" s="1276"/>
      <c r="I1145" s="1276"/>
      <c r="J1145" s="1275"/>
      <c r="K1145" s="1275"/>
      <c r="L1145" s="1246"/>
      <c r="M1145" s="1254"/>
      <c r="N1145" s="1246"/>
      <c r="O1145" s="1246"/>
      <c r="P1145" s="1249"/>
      <c r="Q1145" s="1246"/>
    </row>
    <row r="1146">
      <c r="A1146" s="73"/>
      <c r="B1146" s="1282"/>
      <c r="C1146" s="1280"/>
      <c r="D1146" s="1280"/>
      <c r="E1146" s="1246"/>
      <c r="F1146" s="1275"/>
      <c r="G1146" s="1276"/>
      <c r="H1146" s="1276"/>
      <c r="I1146" s="1276"/>
      <c r="J1146" s="1275"/>
      <c r="K1146" s="1275"/>
      <c r="L1146" s="1246"/>
      <c r="M1146" s="1254"/>
      <c r="N1146" s="1246"/>
      <c r="O1146" s="1246"/>
      <c r="P1146" s="1249"/>
      <c r="Q1146" s="1246"/>
    </row>
    <row r="1147">
      <c r="A1147" s="73"/>
      <c r="B1147" s="1282"/>
      <c r="C1147" s="1280"/>
      <c r="D1147" s="1280"/>
      <c r="E1147" s="1246"/>
      <c r="F1147" s="1275"/>
      <c r="G1147" s="1276"/>
      <c r="H1147" s="1276"/>
      <c r="I1147" s="1276"/>
      <c r="J1147" s="1275"/>
      <c r="K1147" s="1275"/>
      <c r="L1147" s="1246"/>
      <c r="M1147" s="1254"/>
      <c r="N1147" s="1246"/>
      <c r="O1147" s="1246"/>
      <c r="P1147" s="1249"/>
      <c r="Q1147" s="1246"/>
    </row>
    <row r="1148">
      <c r="A1148" s="73"/>
      <c r="B1148" s="1282"/>
      <c r="C1148" s="1280"/>
      <c r="D1148" s="1280"/>
      <c r="E1148" s="1246"/>
      <c r="F1148" s="1275"/>
      <c r="G1148" s="1276"/>
      <c r="H1148" s="1276"/>
      <c r="I1148" s="1276"/>
      <c r="J1148" s="1275"/>
      <c r="K1148" s="1275"/>
      <c r="L1148" s="1246"/>
      <c r="M1148" s="1254"/>
      <c r="N1148" s="1246"/>
      <c r="O1148" s="1246"/>
      <c r="P1148" s="1249"/>
      <c r="Q1148" s="1246"/>
    </row>
    <row r="1149">
      <c r="A1149" s="73"/>
      <c r="B1149" s="1282"/>
      <c r="C1149" s="1280"/>
      <c r="D1149" s="1280"/>
      <c r="E1149" s="1246"/>
      <c r="F1149" s="1275"/>
      <c r="G1149" s="1276"/>
      <c r="H1149" s="1276"/>
      <c r="I1149" s="1276"/>
      <c r="J1149" s="1275"/>
      <c r="K1149" s="1275"/>
      <c r="L1149" s="1246"/>
      <c r="M1149" s="1254"/>
      <c r="N1149" s="1246"/>
      <c r="O1149" s="1246"/>
      <c r="P1149" s="1249"/>
      <c r="Q1149" s="1246"/>
    </row>
    <row r="1150">
      <c r="A1150" s="73"/>
      <c r="B1150" s="1282"/>
      <c r="C1150" s="1280"/>
      <c r="D1150" s="1280"/>
      <c r="E1150" s="1246"/>
      <c r="F1150" s="1275"/>
      <c r="G1150" s="1276"/>
      <c r="H1150" s="1276"/>
      <c r="I1150" s="1276"/>
      <c r="J1150" s="1275"/>
      <c r="K1150" s="1275"/>
      <c r="L1150" s="1246"/>
      <c r="M1150" s="1254"/>
      <c r="N1150" s="1246"/>
      <c r="O1150" s="1246"/>
      <c r="P1150" s="1249"/>
      <c r="Q1150" s="1246"/>
    </row>
    <row r="1151">
      <c r="A1151" s="73"/>
      <c r="B1151" s="1282"/>
      <c r="C1151" s="1280"/>
      <c r="D1151" s="1280"/>
      <c r="E1151" s="1246"/>
      <c r="F1151" s="1275"/>
      <c r="G1151" s="1276"/>
      <c r="H1151" s="1276"/>
      <c r="I1151" s="1276"/>
      <c r="J1151" s="1275"/>
      <c r="K1151" s="1275"/>
      <c r="L1151" s="1246"/>
      <c r="M1151" s="1254"/>
      <c r="N1151" s="1246"/>
      <c r="O1151" s="1246"/>
      <c r="P1151" s="1249"/>
      <c r="Q1151" s="1246"/>
    </row>
    <row r="1152">
      <c r="A1152" s="73"/>
      <c r="B1152" s="1282"/>
      <c r="C1152" s="1280"/>
      <c r="D1152" s="1280"/>
      <c r="E1152" s="1246"/>
      <c r="F1152" s="1275"/>
      <c r="G1152" s="1276"/>
      <c r="H1152" s="1276"/>
      <c r="I1152" s="1276"/>
      <c r="J1152" s="1275"/>
      <c r="K1152" s="1275"/>
      <c r="L1152" s="1246"/>
      <c r="M1152" s="1254"/>
      <c r="N1152" s="1246"/>
      <c r="O1152" s="1246"/>
      <c r="P1152" s="1249"/>
      <c r="Q1152" s="1246"/>
    </row>
    <row r="1153">
      <c r="A1153" s="73"/>
      <c r="B1153" s="1282"/>
      <c r="C1153" s="1280"/>
      <c r="D1153" s="1280"/>
      <c r="E1153" s="1246"/>
      <c r="F1153" s="1275"/>
      <c r="G1153" s="1276"/>
      <c r="H1153" s="1276"/>
      <c r="I1153" s="1276"/>
      <c r="J1153" s="1275"/>
      <c r="K1153" s="1275"/>
      <c r="L1153" s="1246"/>
      <c r="M1153" s="1254"/>
      <c r="N1153" s="1246"/>
      <c r="O1153" s="1246"/>
      <c r="P1153" s="1249"/>
      <c r="Q1153" s="1246"/>
    </row>
    <row r="1154">
      <c r="A1154" s="73"/>
      <c r="B1154" s="1282"/>
      <c r="C1154" s="1280"/>
      <c r="D1154" s="1280"/>
      <c r="E1154" s="1246"/>
      <c r="F1154" s="1275"/>
      <c r="G1154" s="1276"/>
      <c r="H1154" s="1276"/>
      <c r="I1154" s="1276"/>
      <c r="J1154" s="1275"/>
      <c r="K1154" s="1275"/>
      <c r="L1154" s="1246"/>
      <c r="M1154" s="1254"/>
      <c r="N1154" s="1246"/>
      <c r="O1154" s="1246"/>
      <c r="P1154" s="1249"/>
      <c r="Q1154" s="1246"/>
    </row>
    <row r="1155">
      <c r="A1155" s="73"/>
      <c r="B1155" s="1282"/>
      <c r="C1155" s="1280"/>
      <c r="D1155" s="1280"/>
      <c r="E1155" s="1246"/>
      <c r="F1155" s="1275"/>
      <c r="G1155" s="1276"/>
      <c r="H1155" s="1276"/>
      <c r="I1155" s="1276"/>
      <c r="J1155" s="1275"/>
      <c r="K1155" s="1275"/>
      <c r="L1155" s="1246"/>
      <c r="M1155" s="1254"/>
      <c r="N1155" s="1246"/>
      <c r="O1155" s="1246"/>
      <c r="P1155" s="1249"/>
      <c r="Q1155" s="1246"/>
    </row>
    <row r="1156">
      <c r="A1156" s="73"/>
      <c r="B1156" s="1282"/>
      <c r="C1156" s="1280"/>
      <c r="D1156" s="1280"/>
      <c r="E1156" s="1246"/>
      <c r="F1156" s="1275"/>
      <c r="G1156" s="1276"/>
      <c r="H1156" s="1276"/>
      <c r="I1156" s="1276"/>
      <c r="J1156" s="1275"/>
      <c r="K1156" s="1275"/>
      <c r="L1156" s="1246"/>
      <c r="M1156" s="1254"/>
      <c r="N1156" s="1246"/>
      <c r="O1156" s="1246"/>
      <c r="P1156" s="1249"/>
      <c r="Q1156" s="1246"/>
    </row>
    <row r="1157">
      <c r="A1157" s="73"/>
      <c r="B1157" s="1282"/>
      <c r="C1157" s="1280"/>
      <c r="D1157" s="1280"/>
      <c r="E1157" s="1246"/>
      <c r="F1157" s="1275"/>
      <c r="G1157" s="1276"/>
      <c r="H1157" s="1276"/>
      <c r="I1157" s="1276"/>
      <c r="J1157" s="1275"/>
      <c r="K1157" s="1275"/>
      <c r="L1157" s="1246"/>
      <c r="M1157" s="1254"/>
      <c r="N1157" s="1246"/>
      <c r="O1157" s="1246"/>
      <c r="P1157" s="1249"/>
      <c r="Q1157" s="1246"/>
    </row>
    <row r="1158">
      <c r="A1158" s="73"/>
      <c r="B1158" s="1282"/>
      <c r="C1158" s="1280"/>
      <c r="D1158" s="1280"/>
      <c r="E1158" s="1246"/>
      <c r="F1158" s="1275"/>
      <c r="G1158" s="1276"/>
      <c r="H1158" s="1276"/>
      <c r="I1158" s="1276"/>
      <c r="J1158" s="1275"/>
      <c r="K1158" s="1275"/>
      <c r="L1158" s="1246"/>
      <c r="M1158" s="1254"/>
      <c r="N1158" s="1246"/>
      <c r="O1158" s="1246"/>
      <c r="P1158" s="1249"/>
      <c r="Q1158" s="1246"/>
    </row>
    <row r="1159">
      <c r="A1159" s="73"/>
      <c r="B1159" s="1282"/>
      <c r="C1159" s="1280"/>
      <c r="D1159" s="1280"/>
      <c r="E1159" s="1246"/>
      <c r="F1159" s="1275"/>
      <c r="G1159" s="1276"/>
      <c r="H1159" s="1276"/>
      <c r="I1159" s="1276"/>
      <c r="J1159" s="1275"/>
      <c r="K1159" s="1275"/>
      <c r="L1159" s="1246"/>
      <c r="M1159" s="1254"/>
      <c r="N1159" s="1246"/>
      <c r="O1159" s="1246"/>
      <c r="P1159" s="1249"/>
      <c r="Q1159" s="1246"/>
    </row>
    <row r="1160">
      <c r="A1160" s="73"/>
      <c r="B1160" s="1282"/>
      <c r="C1160" s="1280"/>
      <c r="D1160" s="1280"/>
      <c r="E1160" s="1246"/>
      <c r="F1160" s="1275"/>
      <c r="G1160" s="1276"/>
      <c r="H1160" s="1276"/>
      <c r="I1160" s="1276"/>
      <c r="J1160" s="1275"/>
      <c r="K1160" s="1275"/>
      <c r="L1160" s="1246"/>
      <c r="M1160" s="1254"/>
      <c r="N1160" s="1246"/>
      <c r="O1160" s="1246"/>
      <c r="P1160" s="1249"/>
      <c r="Q1160" s="1246"/>
    </row>
    <row r="1161">
      <c r="A1161" s="73"/>
      <c r="B1161" s="1282"/>
      <c r="C1161" s="1280"/>
      <c r="D1161" s="1280"/>
      <c r="E1161" s="1246"/>
      <c r="F1161" s="1275"/>
      <c r="G1161" s="1276"/>
      <c r="H1161" s="1276"/>
      <c r="I1161" s="1276"/>
      <c r="J1161" s="1275"/>
      <c r="K1161" s="1275"/>
      <c r="L1161" s="1246"/>
      <c r="M1161" s="1254"/>
      <c r="N1161" s="1246"/>
      <c r="O1161" s="1246"/>
      <c r="P1161" s="1249"/>
      <c r="Q1161" s="1246"/>
    </row>
    <row r="1162">
      <c r="A1162" s="73"/>
      <c r="B1162" s="1282"/>
      <c r="C1162" s="1280"/>
      <c r="D1162" s="1280"/>
      <c r="E1162" s="1246"/>
      <c r="F1162" s="1275"/>
      <c r="G1162" s="1276"/>
      <c r="H1162" s="1276"/>
      <c r="I1162" s="1276"/>
      <c r="J1162" s="1275"/>
      <c r="K1162" s="1275"/>
      <c r="L1162" s="1246"/>
      <c r="M1162" s="1254"/>
      <c r="N1162" s="1246"/>
      <c r="O1162" s="1246"/>
      <c r="P1162" s="1249"/>
      <c r="Q1162" s="1246"/>
    </row>
    <row r="1163">
      <c r="A1163" s="73"/>
      <c r="B1163" s="1282"/>
      <c r="C1163" s="1280"/>
      <c r="D1163" s="1280"/>
      <c r="E1163" s="1246"/>
      <c r="F1163" s="1275"/>
      <c r="G1163" s="1276"/>
      <c r="H1163" s="1276"/>
      <c r="I1163" s="1276"/>
      <c r="J1163" s="1275"/>
      <c r="K1163" s="1275"/>
      <c r="L1163" s="1246"/>
      <c r="M1163" s="1254"/>
      <c r="N1163" s="1246"/>
      <c r="O1163" s="1246"/>
      <c r="P1163" s="1249"/>
      <c r="Q1163" s="1246"/>
    </row>
    <row r="1164">
      <c r="A1164" s="73"/>
      <c r="B1164" s="1282"/>
      <c r="C1164" s="1280"/>
      <c r="D1164" s="1280"/>
      <c r="E1164" s="1246"/>
      <c r="F1164" s="1275"/>
      <c r="G1164" s="1276"/>
      <c r="H1164" s="1276"/>
      <c r="I1164" s="1276"/>
      <c r="J1164" s="1275"/>
      <c r="K1164" s="1275"/>
      <c r="L1164" s="1246"/>
      <c r="M1164" s="1254"/>
      <c r="N1164" s="1246"/>
      <c r="O1164" s="1246"/>
      <c r="P1164" s="1249"/>
      <c r="Q1164" s="1246"/>
    </row>
    <row r="1165">
      <c r="A1165" s="73"/>
      <c r="B1165" s="1282"/>
      <c r="C1165" s="1280"/>
      <c r="D1165" s="1280"/>
      <c r="E1165" s="1246"/>
      <c r="F1165" s="1275"/>
      <c r="G1165" s="1276"/>
      <c r="H1165" s="1276"/>
      <c r="I1165" s="1276"/>
      <c r="J1165" s="1275"/>
      <c r="K1165" s="1275"/>
      <c r="L1165" s="1246"/>
      <c r="M1165" s="1254"/>
      <c r="N1165" s="1246"/>
      <c r="O1165" s="1246"/>
      <c r="P1165" s="1249"/>
      <c r="Q1165" s="1246"/>
    </row>
    <row r="1166">
      <c r="A1166" s="73"/>
      <c r="B1166" s="1282"/>
      <c r="C1166" s="1280"/>
      <c r="D1166" s="1280"/>
      <c r="E1166" s="1246"/>
      <c r="F1166" s="1275"/>
      <c r="G1166" s="1276"/>
      <c r="H1166" s="1276"/>
      <c r="I1166" s="1276"/>
      <c r="J1166" s="1275"/>
      <c r="K1166" s="1275"/>
      <c r="L1166" s="1246"/>
      <c r="M1166" s="1254"/>
      <c r="N1166" s="1246"/>
      <c r="O1166" s="1246"/>
      <c r="P1166" s="1249"/>
      <c r="Q1166" s="1246"/>
    </row>
    <row r="1167">
      <c r="A1167" s="73"/>
      <c r="B1167" s="1282"/>
      <c r="C1167" s="1280"/>
      <c r="D1167" s="1280"/>
      <c r="E1167" s="1246"/>
      <c r="F1167" s="1275"/>
      <c r="G1167" s="1276"/>
      <c r="H1167" s="1276"/>
      <c r="I1167" s="1276"/>
      <c r="J1167" s="1275"/>
      <c r="K1167" s="1275"/>
      <c r="L1167" s="1246"/>
      <c r="M1167" s="1254"/>
      <c r="N1167" s="1246"/>
      <c r="O1167" s="1246"/>
      <c r="P1167" s="1249"/>
      <c r="Q1167" s="1246"/>
    </row>
    <row r="1168">
      <c r="A1168" s="73"/>
      <c r="B1168" s="1282"/>
      <c r="C1168" s="1280"/>
      <c r="D1168" s="1280"/>
      <c r="E1168" s="1246"/>
      <c r="F1168" s="1275"/>
      <c r="G1168" s="1276"/>
      <c r="H1168" s="1276"/>
      <c r="I1168" s="1276"/>
      <c r="J1168" s="1275"/>
      <c r="K1168" s="1275"/>
      <c r="L1168" s="1246"/>
      <c r="M1168" s="1254"/>
      <c r="N1168" s="1246"/>
      <c r="O1168" s="1246"/>
      <c r="P1168" s="1249"/>
      <c r="Q1168" s="1246"/>
    </row>
    <row r="1169">
      <c r="A1169" s="73"/>
      <c r="B1169" s="1282"/>
      <c r="C1169" s="1280"/>
      <c r="D1169" s="1280"/>
      <c r="E1169" s="1246"/>
      <c r="F1169" s="1275"/>
      <c r="G1169" s="1276"/>
      <c r="H1169" s="1276"/>
      <c r="I1169" s="1276"/>
      <c r="J1169" s="1275"/>
      <c r="K1169" s="1275"/>
      <c r="L1169" s="1246"/>
      <c r="M1169" s="1254"/>
      <c r="N1169" s="1246"/>
      <c r="O1169" s="1246"/>
      <c r="P1169" s="1249"/>
      <c r="Q1169" s="1246"/>
    </row>
    <row r="1170">
      <c r="A1170" s="73"/>
      <c r="B1170" s="1282"/>
      <c r="C1170" s="1280"/>
      <c r="D1170" s="1280"/>
      <c r="E1170" s="1246"/>
      <c r="F1170" s="1275"/>
      <c r="G1170" s="1276"/>
      <c r="H1170" s="1276"/>
      <c r="I1170" s="1276"/>
      <c r="J1170" s="1275"/>
      <c r="K1170" s="1275"/>
      <c r="L1170" s="1246"/>
      <c r="M1170" s="1254"/>
      <c r="N1170" s="1246"/>
      <c r="O1170" s="1246"/>
      <c r="P1170" s="1249"/>
      <c r="Q1170" s="1246"/>
    </row>
    <row r="1171">
      <c r="A1171" s="73"/>
      <c r="B1171" s="1282"/>
      <c r="C1171" s="1280"/>
      <c r="D1171" s="1280"/>
      <c r="E1171" s="1246"/>
      <c r="F1171" s="1275"/>
      <c r="G1171" s="1276"/>
      <c r="H1171" s="1276"/>
      <c r="I1171" s="1276"/>
      <c r="J1171" s="1275"/>
      <c r="K1171" s="1275"/>
      <c r="L1171" s="1246"/>
      <c r="M1171" s="1254"/>
      <c r="N1171" s="1246"/>
      <c r="O1171" s="1246"/>
      <c r="P1171" s="1249"/>
      <c r="Q1171" s="1246"/>
    </row>
    <row r="1172">
      <c r="A1172" s="73"/>
      <c r="B1172" s="1282"/>
      <c r="C1172" s="1280"/>
      <c r="D1172" s="1280"/>
      <c r="E1172" s="1246"/>
      <c r="F1172" s="1275"/>
      <c r="G1172" s="1276"/>
      <c r="H1172" s="1276"/>
      <c r="I1172" s="1276"/>
      <c r="J1172" s="1275"/>
      <c r="K1172" s="1275"/>
      <c r="L1172" s="1246"/>
      <c r="M1172" s="1254"/>
      <c r="N1172" s="1246"/>
      <c r="O1172" s="1246"/>
      <c r="P1172" s="1249"/>
      <c r="Q1172" s="1246"/>
    </row>
    <row r="1173">
      <c r="A1173" s="73"/>
      <c r="B1173" s="1282"/>
      <c r="C1173" s="1280"/>
      <c r="D1173" s="1280"/>
      <c r="E1173" s="1246"/>
      <c r="F1173" s="1275"/>
      <c r="G1173" s="1276"/>
      <c r="H1173" s="1276"/>
      <c r="I1173" s="1276"/>
      <c r="J1173" s="1275"/>
      <c r="K1173" s="1275"/>
      <c r="L1173" s="1246"/>
      <c r="M1173" s="1254"/>
      <c r="N1173" s="1246"/>
      <c r="O1173" s="1246"/>
      <c r="P1173" s="1249"/>
      <c r="Q1173" s="1246"/>
    </row>
    <row r="1174">
      <c r="A1174" s="73"/>
      <c r="B1174" s="1282"/>
      <c r="C1174" s="1280"/>
      <c r="D1174" s="1280"/>
      <c r="E1174" s="1246"/>
      <c r="F1174" s="1275"/>
      <c r="G1174" s="1276"/>
      <c r="H1174" s="1276"/>
      <c r="I1174" s="1276"/>
      <c r="J1174" s="1275"/>
      <c r="K1174" s="1275"/>
      <c r="L1174" s="1246"/>
      <c r="M1174" s="1254"/>
      <c r="N1174" s="1246"/>
      <c r="O1174" s="1246"/>
      <c r="P1174" s="1249"/>
      <c r="Q1174" s="1246"/>
    </row>
    <row r="1175">
      <c r="A1175" s="73"/>
      <c r="B1175" s="1282"/>
      <c r="C1175" s="1280"/>
      <c r="D1175" s="1280"/>
      <c r="E1175" s="1246"/>
      <c r="F1175" s="1275"/>
      <c r="G1175" s="1276"/>
      <c r="H1175" s="1276"/>
      <c r="I1175" s="1276"/>
      <c r="J1175" s="1275"/>
      <c r="K1175" s="1275"/>
      <c r="L1175" s="1246"/>
      <c r="M1175" s="1254"/>
      <c r="N1175" s="1246"/>
      <c r="O1175" s="1246"/>
      <c r="P1175" s="1249"/>
      <c r="Q1175" s="1246"/>
    </row>
    <row r="1176">
      <c r="A1176" s="73"/>
      <c r="B1176" s="1282"/>
      <c r="C1176" s="1280"/>
      <c r="D1176" s="1280"/>
      <c r="E1176" s="1246"/>
      <c r="F1176" s="1275"/>
      <c r="G1176" s="1276"/>
      <c r="H1176" s="1276"/>
      <c r="I1176" s="1276"/>
      <c r="J1176" s="1275"/>
      <c r="K1176" s="1275"/>
      <c r="L1176" s="1246"/>
      <c r="M1176" s="1254"/>
      <c r="N1176" s="1246"/>
      <c r="O1176" s="1246"/>
      <c r="P1176" s="1249"/>
      <c r="Q1176" s="1246"/>
    </row>
    <row r="1177">
      <c r="A1177" s="73"/>
      <c r="B1177" s="1282"/>
      <c r="C1177" s="1280"/>
      <c r="D1177" s="1280"/>
      <c r="E1177" s="1246"/>
      <c r="F1177" s="1275"/>
      <c r="G1177" s="1276"/>
      <c r="H1177" s="1276"/>
      <c r="I1177" s="1276"/>
      <c r="J1177" s="1275"/>
      <c r="K1177" s="1275"/>
      <c r="L1177" s="1246"/>
      <c r="M1177" s="1254"/>
      <c r="N1177" s="1246"/>
      <c r="O1177" s="1246"/>
      <c r="P1177" s="1249"/>
      <c r="Q1177" s="1246"/>
    </row>
    <row r="1178">
      <c r="A1178" s="73"/>
      <c r="B1178" s="1282"/>
      <c r="C1178" s="1280"/>
      <c r="D1178" s="1280"/>
      <c r="E1178" s="1246"/>
      <c r="F1178" s="1275"/>
      <c r="G1178" s="1276"/>
      <c r="H1178" s="1276"/>
      <c r="I1178" s="1276"/>
      <c r="J1178" s="1275"/>
      <c r="K1178" s="1275"/>
      <c r="L1178" s="1246"/>
      <c r="M1178" s="1254"/>
      <c r="N1178" s="1246"/>
      <c r="O1178" s="1246"/>
      <c r="P1178" s="1249"/>
      <c r="Q1178" s="1246"/>
    </row>
    <row r="1179">
      <c r="A1179" s="73"/>
      <c r="B1179" s="1282"/>
      <c r="C1179" s="1280"/>
      <c r="D1179" s="1280"/>
      <c r="E1179" s="1246"/>
      <c r="F1179" s="1275"/>
      <c r="G1179" s="1276"/>
      <c r="H1179" s="1276"/>
      <c r="I1179" s="1276"/>
      <c r="J1179" s="1275"/>
      <c r="K1179" s="1275"/>
      <c r="L1179" s="1246"/>
      <c r="M1179" s="1254"/>
      <c r="N1179" s="1246"/>
      <c r="O1179" s="1246"/>
      <c r="P1179" s="1249"/>
      <c r="Q1179" s="1246"/>
    </row>
    <row r="1180">
      <c r="A1180" s="73"/>
      <c r="B1180" s="1282"/>
      <c r="C1180" s="1280"/>
      <c r="D1180" s="1280"/>
      <c r="E1180" s="1246"/>
      <c r="F1180" s="1275"/>
      <c r="G1180" s="1276"/>
      <c r="H1180" s="1276"/>
      <c r="I1180" s="1276"/>
      <c r="J1180" s="1275"/>
      <c r="K1180" s="1275"/>
      <c r="L1180" s="1246"/>
      <c r="M1180" s="1254"/>
      <c r="N1180" s="1246"/>
      <c r="O1180" s="1246"/>
      <c r="P1180" s="1249"/>
      <c r="Q1180" s="1246"/>
    </row>
    <row r="1181">
      <c r="A1181" s="73"/>
      <c r="B1181" s="1282"/>
      <c r="C1181" s="1280"/>
      <c r="D1181" s="1280"/>
      <c r="E1181" s="1246"/>
      <c r="F1181" s="1275"/>
      <c r="G1181" s="1276"/>
      <c r="H1181" s="1276"/>
      <c r="I1181" s="1276"/>
      <c r="J1181" s="1275"/>
      <c r="K1181" s="1275"/>
      <c r="L1181" s="1246"/>
      <c r="M1181" s="1254"/>
      <c r="N1181" s="1246"/>
      <c r="O1181" s="1246"/>
      <c r="P1181" s="1249"/>
      <c r="Q1181" s="1246"/>
    </row>
    <row r="1182">
      <c r="A1182" s="73"/>
      <c r="B1182" s="1282"/>
      <c r="C1182" s="1280"/>
      <c r="D1182" s="1280"/>
      <c r="E1182" s="1246"/>
      <c r="F1182" s="1275"/>
      <c r="G1182" s="1276"/>
      <c r="H1182" s="1276"/>
      <c r="I1182" s="1276"/>
      <c r="J1182" s="1275"/>
      <c r="K1182" s="1275"/>
      <c r="L1182" s="1246"/>
      <c r="M1182" s="1254"/>
      <c r="N1182" s="1246"/>
      <c r="O1182" s="1246"/>
      <c r="P1182" s="1249"/>
      <c r="Q1182" s="1246"/>
    </row>
    <row r="1183">
      <c r="A1183" s="73"/>
      <c r="B1183" s="1282"/>
      <c r="C1183" s="1280"/>
      <c r="D1183" s="1280"/>
      <c r="E1183" s="1246"/>
      <c r="F1183" s="1275"/>
      <c r="G1183" s="1276"/>
      <c r="H1183" s="1276"/>
      <c r="I1183" s="1276"/>
      <c r="J1183" s="1275"/>
      <c r="K1183" s="1275"/>
      <c r="L1183" s="1246"/>
      <c r="M1183" s="1254"/>
      <c r="N1183" s="1246"/>
      <c r="O1183" s="1246"/>
      <c r="P1183" s="1249"/>
      <c r="Q1183" s="1246"/>
    </row>
    <row r="1184">
      <c r="A1184" s="73"/>
      <c r="B1184" s="1282"/>
      <c r="C1184" s="1280"/>
      <c r="D1184" s="1280"/>
      <c r="E1184" s="1246"/>
      <c r="F1184" s="1275"/>
      <c r="G1184" s="1276"/>
      <c r="H1184" s="1276"/>
      <c r="I1184" s="1276"/>
      <c r="J1184" s="1275"/>
      <c r="K1184" s="1275"/>
      <c r="L1184" s="1246"/>
      <c r="M1184" s="1254"/>
      <c r="N1184" s="1246"/>
      <c r="O1184" s="1246"/>
      <c r="P1184" s="1249"/>
      <c r="Q1184" s="1246"/>
    </row>
    <row r="1185">
      <c r="A1185" s="73"/>
      <c r="B1185" s="1282"/>
      <c r="C1185" s="1280"/>
      <c r="D1185" s="1280"/>
      <c r="E1185" s="1246"/>
      <c r="F1185" s="1275"/>
      <c r="G1185" s="1276"/>
      <c r="H1185" s="1276"/>
      <c r="I1185" s="1276"/>
      <c r="J1185" s="1275"/>
      <c r="K1185" s="1275"/>
      <c r="L1185" s="1246"/>
      <c r="M1185" s="1254"/>
      <c r="N1185" s="1246"/>
      <c r="O1185" s="1246"/>
      <c r="P1185" s="1249"/>
      <c r="Q1185" s="1246"/>
    </row>
    <row r="1186">
      <c r="A1186" s="73"/>
      <c r="B1186" s="1282"/>
      <c r="C1186" s="1280"/>
      <c r="D1186" s="1280"/>
      <c r="E1186" s="1246"/>
      <c r="F1186" s="1275"/>
      <c r="G1186" s="1276"/>
      <c r="H1186" s="1276"/>
      <c r="I1186" s="1276"/>
      <c r="J1186" s="1275"/>
      <c r="K1186" s="1275"/>
      <c r="L1186" s="1246"/>
      <c r="M1186" s="1254"/>
      <c r="N1186" s="1246"/>
      <c r="O1186" s="1246"/>
      <c r="P1186" s="1249"/>
      <c r="Q1186" s="1246"/>
    </row>
    <row r="1187">
      <c r="A1187" s="73"/>
      <c r="B1187" s="1282"/>
      <c r="C1187" s="1280"/>
      <c r="D1187" s="1280"/>
      <c r="E1187" s="1246"/>
      <c r="F1187" s="1275"/>
      <c r="G1187" s="1276"/>
      <c r="H1187" s="1276"/>
      <c r="I1187" s="1276"/>
      <c r="J1187" s="1275"/>
      <c r="K1187" s="1275"/>
      <c r="L1187" s="1246"/>
      <c r="M1187" s="1254"/>
      <c r="N1187" s="1246"/>
      <c r="O1187" s="1246"/>
      <c r="P1187" s="1249"/>
      <c r="Q1187" s="1246"/>
    </row>
    <row r="1188">
      <c r="A1188" s="73"/>
      <c r="B1188" s="1282"/>
      <c r="C1188" s="1280"/>
      <c r="D1188" s="1280"/>
      <c r="E1188" s="1246"/>
      <c r="F1188" s="1275"/>
      <c r="G1188" s="1276"/>
      <c r="H1188" s="1276"/>
      <c r="I1188" s="1276"/>
      <c r="J1188" s="1275"/>
      <c r="K1188" s="1275"/>
      <c r="L1188" s="1246"/>
      <c r="M1188" s="1254"/>
      <c r="N1188" s="1246"/>
      <c r="O1188" s="1246"/>
      <c r="P1188" s="1249"/>
      <c r="Q1188" s="1246"/>
    </row>
    <row r="1189">
      <c r="A1189" s="73"/>
      <c r="B1189" s="1282"/>
      <c r="C1189" s="1280"/>
      <c r="D1189" s="1280"/>
      <c r="E1189" s="1246"/>
      <c r="F1189" s="1275"/>
      <c r="G1189" s="1276"/>
      <c r="H1189" s="1276"/>
      <c r="I1189" s="1276"/>
      <c r="J1189" s="1275"/>
      <c r="K1189" s="1275"/>
      <c r="L1189" s="1246"/>
      <c r="M1189" s="1254"/>
      <c r="N1189" s="1246"/>
      <c r="O1189" s="1246"/>
      <c r="P1189" s="1249"/>
      <c r="Q1189" s="1246"/>
    </row>
    <row r="1190">
      <c r="A1190" s="73"/>
      <c r="B1190" s="1282"/>
      <c r="C1190" s="1280"/>
      <c r="D1190" s="1280"/>
      <c r="E1190" s="1246"/>
      <c r="F1190" s="1275"/>
      <c r="G1190" s="1276"/>
      <c r="H1190" s="1276"/>
      <c r="I1190" s="1276"/>
      <c r="J1190" s="1275"/>
      <c r="K1190" s="1275"/>
      <c r="L1190" s="1246"/>
      <c r="M1190" s="1254"/>
      <c r="N1190" s="1246"/>
      <c r="O1190" s="1246"/>
      <c r="P1190" s="1249"/>
      <c r="Q1190" s="1246"/>
    </row>
    <row r="1191">
      <c r="A1191" s="73"/>
      <c r="B1191" s="1282"/>
      <c r="C1191" s="1280"/>
      <c r="D1191" s="1280"/>
      <c r="E1191" s="1246"/>
      <c r="F1191" s="1275"/>
      <c r="G1191" s="1276"/>
      <c r="H1191" s="1276"/>
      <c r="I1191" s="1276"/>
      <c r="J1191" s="1275"/>
      <c r="K1191" s="1275"/>
      <c r="L1191" s="1246"/>
      <c r="M1191" s="1254"/>
      <c r="N1191" s="1246"/>
      <c r="O1191" s="1246"/>
      <c r="P1191" s="1249"/>
      <c r="Q1191" s="1246"/>
    </row>
    <row r="1192">
      <c r="A1192" s="73"/>
      <c r="B1192" s="1282"/>
      <c r="C1192" s="1280"/>
      <c r="D1192" s="1280"/>
      <c r="E1192" s="1246"/>
      <c r="F1192" s="1275"/>
      <c r="G1192" s="1276"/>
      <c r="H1192" s="1276"/>
      <c r="I1192" s="1276"/>
      <c r="J1192" s="1275"/>
      <c r="K1192" s="1275"/>
      <c r="L1192" s="1246"/>
      <c r="M1192" s="1254"/>
      <c r="N1192" s="1246"/>
      <c r="O1192" s="1246"/>
      <c r="P1192" s="1249"/>
      <c r="Q1192" s="1246"/>
    </row>
    <row r="1193">
      <c r="A1193" s="73"/>
      <c r="B1193" s="1282"/>
      <c r="C1193" s="1280"/>
      <c r="D1193" s="1280"/>
      <c r="E1193" s="1246"/>
      <c r="F1193" s="1275"/>
      <c r="G1193" s="1276"/>
      <c r="H1193" s="1276"/>
      <c r="I1193" s="1276"/>
      <c r="J1193" s="1275"/>
      <c r="K1193" s="1275"/>
      <c r="L1193" s="1246"/>
      <c r="M1193" s="1254"/>
      <c r="N1193" s="1246"/>
      <c r="O1193" s="1246"/>
      <c r="P1193" s="1249"/>
      <c r="Q1193" s="1246"/>
    </row>
    <row r="1194">
      <c r="A1194" s="73"/>
      <c r="B1194" s="1282"/>
      <c r="C1194" s="1280"/>
      <c r="D1194" s="1280"/>
      <c r="E1194" s="1246"/>
      <c r="F1194" s="1275"/>
      <c r="G1194" s="1276"/>
      <c r="H1194" s="1276"/>
      <c r="I1194" s="1276"/>
      <c r="J1194" s="1275"/>
      <c r="K1194" s="1275"/>
      <c r="L1194" s="1246"/>
      <c r="M1194" s="1254"/>
      <c r="N1194" s="1246"/>
      <c r="O1194" s="1246"/>
      <c r="P1194" s="1249"/>
      <c r="Q1194" s="1246"/>
    </row>
    <row r="1195">
      <c r="A1195" s="73"/>
      <c r="B1195" s="1282"/>
      <c r="C1195" s="1280"/>
      <c r="D1195" s="1280"/>
      <c r="E1195" s="1246"/>
      <c r="F1195" s="1275"/>
      <c r="G1195" s="1276"/>
      <c r="H1195" s="1276"/>
      <c r="I1195" s="1276"/>
      <c r="J1195" s="1275"/>
      <c r="K1195" s="1275"/>
      <c r="L1195" s="1246"/>
      <c r="M1195" s="1254"/>
      <c r="N1195" s="1246"/>
      <c r="O1195" s="1246"/>
      <c r="P1195" s="1249"/>
      <c r="Q1195" s="1246"/>
    </row>
    <row r="1196">
      <c r="A1196" s="73"/>
      <c r="B1196" s="1282"/>
      <c r="C1196" s="1280"/>
      <c r="D1196" s="1280"/>
      <c r="E1196" s="1246"/>
      <c r="F1196" s="1275"/>
      <c r="G1196" s="1276"/>
      <c r="H1196" s="1276"/>
      <c r="I1196" s="1276"/>
      <c r="J1196" s="1275"/>
      <c r="K1196" s="1275"/>
      <c r="L1196" s="1246"/>
      <c r="M1196" s="1254"/>
      <c r="N1196" s="1246"/>
      <c r="O1196" s="1246"/>
      <c r="P1196" s="1249"/>
      <c r="Q1196" s="1246"/>
    </row>
    <row r="1197">
      <c r="A1197" s="73"/>
      <c r="B1197" s="1282"/>
      <c r="C1197" s="1280"/>
      <c r="D1197" s="1280"/>
      <c r="E1197" s="1246"/>
      <c r="F1197" s="1275"/>
      <c r="G1197" s="1276"/>
      <c r="H1197" s="1276"/>
      <c r="I1197" s="1276"/>
      <c r="J1197" s="1275"/>
      <c r="K1197" s="1275"/>
      <c r="L1197" s="1246"/>
      <c r="M1197" s="1254"/>
      <c r="N1197" s="1246"/>
      <c r="O1197" s="1246"/>
      <c r="P1197" s="1249"/>
      <c r="Q1197" s="1246"/>
    </row>
    <row r="1198">
      <c r="A1198" s="73"/>
      <c r="B1198" s="1282"/>
      <c r="C1198" s="1280"/>
      <c r="D1198" s="1280"/>
      <c r="E1198" s="1246"/>
      <c r="F1198" s="1275"/>
      <c r="G1198" s="1276"/>
      <c r="H1198" s="1276"/>
      <c r="I1198" s="1276"/>
      <c r="J1198" s="1275"/>
      <c r="K1198" s="1275"/>
      <c r="L1198" s="1246"/>
      <c r="M1198" s="1254"/>
      <c r="N1198" s="1246"/>
      <c r="O1198" s="1246"/>
      <c r="P1198" s="1249"/>
      <c r="Q1198" s="1246"/>
    </row>
    <row r="1199">
      <c r="A1199" s="73"/>
      <c r="B1199" s="1282"/>
      <c r="C1199" s="1280"/>
      <c r="D1199" s="1280"/>
      <c r="E1199" s="1246"/>
      <c r="F1199" s="1275"/>
      <c r="G1199" s="1276"/>
      <c r="H1199" s="1276"/>
      <c r="I1199" s="1276"/>
      <c r="J1199" s="1275"/>
      <c r="K1199" s="1275"/>
      <c r="L1199" s="1246"/>
      <c r="M1199" s="1254"/>
      <c r="N1199" s="1246"/>
      <c r="O1199" s="1246"/>
      <c r="P1199" s="1249"/>
      <c r="Q1199" s="1246"/>
    </row>
    <row r="1200">
      <c r="A1200" s="73"/>
      <c r="B1200" s="1282"/>
      <c r="C1200" s="1280"/>
      <c r="D1200" s="1280"/>
      <c r="E1200" s="1246"/>
      <c r="F1200" s="1275"/>
      <c r="G1200" s="1276"/>
      <c r="H1200" s="1276"/>
      <c r="I1200" s="1276"/>
      <c r="J1200" s="1275"/>
      <c r="K1200" s="1275"/>
      <c r="L1200" s="1246"/>
      <c r="M1200" s="1254"/>
      <c r="N1200" s="1246"/>
      <c r="O1200" s="1246"/>
      <c r="P1200" s="1249"/>
      <c r="Q1200" s="1246"/>
    </row>
    <row r="1201">
      <c r="A1201" s="73"/>
      <c r="B1201" s="1282"/>
      <c r="C1201" s="1280"/>
      <c r="D1201" s="1280"/>
      <c r="E1201" s="1246"/>
      <c r="F1201" s="1275"/>
      <c r="G1201" s="1276"/>
      <c r="H1201" s="1276"/>
      <c r="I1201" s="1276"/>
      <c r="J1201" s="1275"/>
      <c r="K1201" s="1275"/>
      <c r="L1201" s="1246"/>
      <c r="M1201" s="1254"/>
      <c r="N1201" s="1246"/>
      <c r="O1201" s="1246"/>
      <c r="P1201" s="1249"/>
      <c r="Q1201" s="1246"/>
    </row>
    <row r="1202">
      <c r="A1202" s="73"/>
      <c r="B1202" s="1282"/>
      <c r="C1202" s="1280"/>
      <c r="D1202" s="1280"/>
      <c r="E1202" s="1246"/>
      <c r="F1202" s="1275"/>
      <c r="G1202" s="1276"/>
      <c r="H1202" s="1276"/>
      <c r="I1202" s="1276"/>
      <c r="J1202" s="1275"/>
      <c r="K1202" s="1275"/>
      <c r="L1202" s="1246"/>
      <c r="M1202" s="1254"/>
      <c r="N1202" s="1246"/>
      <c r="O1202" s="1246"/>
      <c r="P1202" s="1249"/>
      <c r="Q1202" s="1246"/>
    </row>
    <row r="1203">
      <c r="A1203" s="56"/>
      <c r="B1203" s="1283"/>
      <c r="C1203" s="1284"/>
      <c r="D1203" s="1284"/>
      <c r="E1203" s="1285"/>
      <c r="F1203" s="1286"/>
      <c r="G1203" s="1287"/>
      <c r="H1203" s="1287"/>
      <c r="I1203" s="1287"/>
      <c r="J1203" s="1286"/>
      <c r="K1203" s="1286"/>
      <c r="L1203" s="1288"/>
      <c r="M1203" s="1289"/>
      <c r="N1203" s="1290"/>
      <c r="O1203" s="1291"/>
      <c r="P1203" s="1292"/>
      <c r="Q1203" s="1285"/>
    </row>
    <row r="1204">
      <c r="A1204" s="67"/>
      <c r="B1204" s="764"/>
      <c r="C1204" s="575"/>
      <c r="D1204" s="575"/>
      <c r="E1204" s="1293"/>
      <c r="F1204" s="757"/>
      <c r="G1204" s="1294"/>
      <c r="H1204" s="1294"/>
      <c r="I1204" s="1294"/>
      <c r="J1204" s="757"/>
      <c r="K1204" s="757"/>
      <c r="L1204" s="1295"/>
      <c r="M1204" s="1296"/>
      <c r="N1204" s="1297"/>
      <c r="O1204" s="1291"/>
      <c r="P1204" s="1298"/>
      <c r="Q1204" s="1293"/>
    </row>
    <row r="1205">
      <c r="A1205" s="67"/>
      <c r="B1205" s="764"/>
      <c r="C1205" s="575"/>
      <c r="D1205" s="575"/>
      <c r="E1205" s="1293"/>
      <c r="F1205" s="757"/>
      <c r="G1205" s="1294"/>
      <c r="H1205" s="1294"/>
      <c r="I1205" s="1294"/>
      <c r="J1205" s="757"/>
      <c r="K1205" s="757"/>
      <c r="L1205" s="1295"/>
      <c r="M1205" s="1296"/>
      <c r="N1205" s="1297"/>
      <c r="O1205" s="1291"/>
      <c r="P1205" s="1298"/>
      <c r="Q1205" s="1293"/>
    </row>
    <row r="1206">
      <c r="A1206" s="67"/>
      <c r="B1206" s="764"/>
      <c r="C1206" s="575"/>
      <c r="D1206" s="575"/>
      <c r="E1206" s="1293"/>
      <c r="F1206" s="757"/>
      <c r="G1206" s="1294"/>
      <c r="H1206" s="1294"/>
      <c r="I1206" s="1294"/>
      <c r="J1206" s="757"/>
      <c r="K1206" s="757"/>
      <c r="L1206" s="1295"/>
      <c r="M1206" s="1296"/>
      <c r="N1206" s="1297"/>
      <c r="O1206" s="1291"/>
      <c r="P1206" s="1298"/>
      <c r="Q1206" s="1293"/>
    </row>
    <row r="1207">
      <c r="A1207" s="67"/>
      <c r="B1207" s="764"/>
      <c r="C1207" s="575"/>
      <c r="D1207" s="575"/>
      <c r="E1207" s="1293"/>
      <c r="F1207" s="757"/>
      <c r="G1207" s="1294"/>
      <c r="H1207" s="1294"/>
      <c r="I1207" s="1294"/>
      <c r="J1207" s="757"/>
      <c r="K1207" s="757"/>
      <c r="L1207" s="1295"/>
      <c r="M1207" s="1296"/>
      <c r="N1207" s="1297"/>
      <c r="O1207" s="1291"/>
      <c r="P1207" s="1298"/>
      <c r="Q1207" s="1293"/>
    </row>
    <row r="1208">
      <c r="A1208" s="67"/>
      <c r="B1208" s="764"/>
      <c r="C1208" s="575"/>
      <c r="D1208" s="575"/>
      <c r="E1208" s="1293"/>
      <c r="F1208" s="757"/>
      <c r="G1208" s="1294"/>
      <c r="H1208" s="1294"/>
      <c r="I1208" s="1294"/>
      <c r="J1208" s="757"/>
      <c r="K1208" s="757"/>
      <c r="L1208" s="1295"/>
      <c r="M1208" s="1296"/>
      <c r="N1208" s="1297"/>
      <c r="O1208" s="1291"/>
      <c r="P1208" s="1298"/>
      <c r="Q1208" s="1293"/>
    </row>
    <row r="1209">
      <c r="A1209" s="67"/>
      <c r="B1209" s="764"/>
      <c r="C1209" s="575"/>
      <c r="D1209" s="575"/>
      <c r="E1209" s="1293"/>
      <c r="F1209" s="757"/>
      <c r="G1209" s="1294"/>
      <c r="H1209" s="1294"/>
      <c r="I1209" s="1294"/>
      <c r="J1209" s="757"/>
      <c r="K1209" s="757"/>
      <c r="L1209" s="1295"/>
      <c r="M1209" s="1296"/>
      <c r="N1209" s="1297"/>
      <c r="O1209" s="1291"/>
      <c r="P1209" s="1298"/>
      <c r="Q1209" s="1293"/>
    </row>
    <row r="1210">
      <c r="A1210" s="67"/>
      <c r="B1210" s="764"/>
      <c r="C1210" s="575"/>
      <c r="D1210" s="575"/>
      <c r="E1210" s="1293"/>
      <c r="F1210" s="757"/>
      <c r="G1210" s="1294"/>
      <c r="H1210" s="1294"/>
      <c r="I1210" s="1294"/>
      <c r="J1210" s="757"/>
      <c r="K1210" s="757"/>
      <c r="L1210" s="1295"/>
      <c r="M1210" s="1296"/>
      <c r="N1210" s="1297"/>
      <c r="O1210" s="1291"/>
      <c r="P1210" s="1298"/>
      <c r="Q1210" s="1293"/>
    </row>
    <row r="1211">
      <c r="A1211" s="67"/>
      <c r="B1211" s="764"/>
      <c r="C1211" s="575"/>
      <c r="D1211" s="575"/>
      <c r="E1211" s="1293"/>
      <c r="F1211" s="757"/>
      <c r="G1211" s="1294"/>
      <c r="H1211" s="1294"/>
      <c r="I1211" s="1294"/>
      <c r="J1211" s="757"/>
      <c r="K1211" s="757"/>
      <c r="L1211" s="1295"/>
      <c r="M1211" s="1296"/>
      <c r="N1211" s="1297"/>
      <c r="O1211" s="1291"/>
      <c r="P1211" s="1298"/>
      <c r="Q1211" s="1293"/>
    </row>
    <row r="1212">
      <c r="A1212" s="67"/>
      <c r="B1212" s="764"/>
      <c r="C1212" s="575"/>
      <c r="D1212" s="575"/>
      <c r="E1212" s="1293"/>
      <c r="F1212" s="757"/>
      <c r="G1212" s="1294"/>
      <c r="H1212" s="1294"/>
      <c r="I1212" s="1294"/>
      <c r="J1212" s="757"/>
      <c r="K1212" s="757"/>
      <c r="L1212" s="1295"/>
      <c r="M1212" s="1296"/>
      <c r="N1212" s="1297"/>
      <c r="O1212" s="1291"/>
      <c r="P1212" s="1298"/>
      <c r="Q1212" s="1293"/>
    </row>
    <row r="1213">
      <c r="A1213" s="67"/>
      <c r="B1213" s="764"/>
      <c r="C1213" s="575"/>
      <c r="D1213" s="575"/>
      <c r="E1213" s="1293"/>
      <c r="F1213" s="757"/>
      <c r="G1213" s="1294"/>
      <c r="H1213" s="1294"/>
      <c r="I1213" s="1294"/>
      <c r="J1213" s="757"/>
      <c r="K1213" s="757"/>
      <c r="L1213" s="1295"/>
      <c r="M1213" s="1296"/>
      <c r="N1213" s="1297"/>
      <c r="O1213" s="1291"/>
      <c r="P1213" s="1298"/>
      <c r="Q1213" s="1293"/>
    </row>
    <row r="1214">
      <c r="A1214" s="67"/>
      <c r="B1214" s="764"/>
      <c r="C1214" s="575"/>
      <c r="D1214" s="575"/>
      <c r="E1214" s="1293"/>
      <c r="F1214" s="757"/>
      <c r="G1214" s="1294"/>
      <c r="H1214" s="1294"/>
      <c r="I1214" s="1294"/>
      <c r="J1214" s="757"/>
      <c r="K1214" s="757"/>
      <c r="L1214" s="1295"/>
      <c r="M1214" s="1296"/>
      <c r="N1214" s="1297"/>
      <c r="O1214" s="1291"/>
      <c r="P1214" s="1298"/>
      <c r="Q1214" s="1293"/>
    </row>
    <row r="1215">
      <c r="A1215" s="67"/>
      <c r="B1215" s="764"/>
      <c r="C1215" s="575"/>
      <c r="D1215" s="575"/>
      <c r="E1215" s="1293"/>
      <c r="F1215" s="757"/>
      <c r="G1215" s="1294"/>
      <c r="H1215" s="1294"/>
      <c r="I1215" s="1294"/>
      <c r="J1215" s="757"/>
      <c r="K1215" s="757"/>
      <c r="L1215" s="1295"/>
      <c r="M1215" s="1296"/>
      <c r="N1215" s="1297"/>
      <c r="O1215" s="1291"/>
      <c r="P1215" s="1298"/>
      <c r="Q1215" s="1293"/>
    </row>
    <row r="1216">
      <c r="A1216" s="67"/>
      <c r="B1216" s="764"/>
      <c r="C1216" s="575"/>
      <c r="D1216" s="575"/>
      <c r="E1216" s="1293"/>
      <c r="F1216" s="757"/>
      <c r="G1216" s="1294"/>
      <c r="H1216" s="1294"/>
      <c r="I1216" s="1294"/>
      <c r="J1216" s="757"/>
      <c r="K1216" s="757"/>
      <c r="L1216" s="1295"/>
      <c r="M1216" s="1296"/>
      <c r="N1216" s="1297"/>
      <c r="O1216" s="1291"/>
      <c r="P1216" s="1298"/>
      <c r="Q1216" s="1293"/>
    </row>
    <row r="1217">
      <c r="A1217" s="67"/>
      <c r="B1217" s="764"/>
      <c r="C1217" s="575"/>
      <c r="D1217" s="575"/>
      <c r="E1217" s="1293"/>
      <c r="F1217" s="757"/>
      <c r="G1217" s="1294"/>
      <c r="H1217" s="1294"/>
      <c r="I1217" s="1294"/>
      <c r="J1217" s="757"/>
      <c r="K1217" s="757"/>
      <c r="L1217" s="1295"/>
      <c r="M1217" s="1296"/>
      <c r="N1217" s="1297"/>
      <c r="O1217" s="1291"/>
      <c r="P1217" s="1298"/>
      <c r="Q1217" s="1293"/>
    </row>
    <row r="1218">
      <c r="A1218" s="67"/>
      <c r="B1218" s="764"/>
      <c r="C1218" s="575"/>
      <c r="D1218" s="575"/>
      <c r="E1218" s="1293"/>
      <c r="F1218" s="757"/>
      <c r="G1218" s="1294"/>
      <c r="H1218" s="1294"/>
      <c r="I1218" s="1294"/>
      <c r="J1218" s="757"/>
      <c r="K1218" s="757"/>
      <c r="L1218" s="1295"/>
      <c r="M1218" s="1296"/>
      <c r="N1218" s="1297"/>
      <c r="O1218" s="1291"/>
      <c r="P1218" s="1298"/>
      <c r="Q1218" s="1293"/>
    </row>
    <row r="1219">
      <c r="A1219" s="67"/>
      <c r="B1219" s="764"/>
      <c r="C1219" s="575"/>
      <c r="D1219" s="575"/>
      <c r="E1219" s="1293"/>
      <c r="F1219" s="757"/>
      <c r="G1219" s="1294"/>
      <c r="H1219" s="1294"/>
      <c r="I1219" s="1294"/>
      <c r="J1219" s="757"/>
      <c r="K1219" s="757"/>
      <c r="L1219" s="1295"/>
      <c r="M1219" s="1296"/>
      <c r="N1219" s="1297"/>
      <c r="O1219" s="1291"/>
      <c r="P1219" s="1298"/>
      <c r="Q1219" s="1293"/>
    </row>
    <row r="1220">
      <c r="A1220" s="67"/>
      <c r="B1220" s="764"/>
      <c r="C1220" s="575"/>
      <c r="D1220" s="575"/>
      <c r="E1220" s="1293"/>
      <c r="F1220" s="757"/>
      <c r="G1220" s="1294"/>
      <c r="H1220" s="1294"/>
      <c r="I1220" s="1294"/>
      <c r="J1220" s="757"/>
      <c r="K1220" s="757"/>
      <c r="L1220" s="1295"/>
      <c r="M1220" s="1296"/>
      <c r="N1220" s="1297"/>
      <c r="O1220" s="1291"/>
      <c r="P1220" s="1298"/>
      <c r="Q1220" s="1293"/>
    </row>
    <row r="1221">
      <c r="A1221" s="67"/>
      <c r="B1221" s="764"/>
      <c r="C1221" s="575"/>
      <c r="D1221" s="575"/>
      <c r="E1221" s="1293"/>
      <c r="F1221" s="757"/>
      <c r="G1221" s="1294"/>
      <c r="H1221" s="1294"/>
      <c r="I1221" s="1294"/>
      <c r="J1221" s="757"/>
      <c r="K1221" s="757"/>
      <c r="L1221" s="1295"/>
      <c r="M1221" s="1296"/>
      <c r="N1221" s="1297"/>
      <c r="O1221" s="1291"/>
      <c r="P1221" s="1298"/>
      <c r="Q1221" s="1293"/>
    </row>
    <row r="1222">
      <c r="A1222" s="67"/>
      <c r="B1222" s="764"/>
      <c r="C1222" s="575"/>
      <c r="D1222" s="575"/>
      <c r="E1222" s="1293"/>
      <c r="F1222" s="757"/>
      <c r="G1222" s="1294"/>
      <c r="H1222" s="1294"/>
      <c r="I1222" s="1294"/>
      <c r="J1222" s="757"/>
      <c r="K1222" s="757"/>
      <c r="L1222" s="1295"/>
      <c r="M1222" s="1296"/>
      <c r="N1222" s="1297"/>
      <c r="O1222" s="1291"/>
      <c r="P1222" s="1298"/>
      <c r="Q1222" s="1293"/>
    </row>
    <row r="1223">
      <c r="A1223" s="67"/>
      <c r="B1223" s="764"/>
      <c r="C1223" s="575"/>
      <c r="D1223" s="575"/>
      <c r="E1223" s="1293"/>
      <c r="F1223" s="757"/>
      <c r="G1223" s="1294"/>
      <c r="H1223" s="1294"/>
      <c r="I1223" s="1294"/>
      <c r="J1223" s="757"/>
      <c r="K1223" s="757"/>
      <c r="L1223" s="1295"/>
      <c r="M1223" s="1296"/>
      <c r="N1223" s="1297"/>
      <c r="O1223" s="1291"/>
      <c r="P1223" s="1298"/>
      <c r="Q1223" s="1293"/>
    </row>
    <row r="1224">
      <c r="A1224" s="67"/>
      <c r="B1224" s="764"/>
      <c r="C1224" s="575"/>
      <c r="D1224" s="575"/>
      <c r="E1224" s="1293"/>
      <c r="F1224" s="757"/>
      <c r="G1224" s="1294"/>
      <c r="H1224" s="1294"/>
      <c r="I1224" s="1294"/>
      <c r="J1224" s="757"/>
      <c r="K1224" s="757"/>
      <c r="L1224" s="1295"/>
      <c r="M1224" s="1296"/>
      <c r="N1224" s="1297"/>
      <c r="O1224" s="1291"/>
      <c r="P1224" s="1298"/>
      <c r="Q1224" s="1293"/>
    </row>
    <row r="1225">
      <c r="A1225" s="67"/>
      <c r="B1225" s="764"/>
      <c r="C1225" s="575"/>
      <c r="D1225" s="575"/>
      <c r="E1225" s="1293"/>
      <c r="F1225" s="757"/>
      <c r="G1225" s="1294"/>
      <c r="H1225" s="1294"/>
      <c r="I1225" s="1294"/>
      <c r="J1225" s="757"/>
      <c r="K1225" s="757"/>
      <c r="L1225" s="1295"/>
      <c r="M1225" s="1296"/>
      <c r="N1225" s="1297"/>
      <c r="O1225" s="1291"/>
      <c r="P1225" s="1298"/>
      <c r="Q1225" s="1293"/>
    </row>
    <row r="1226">
      <c r="A1226" s="67"/>
      <c r="B1226" s="764"/>
      <c r="C1226" s="575"/>
      <c r="D1226" s="575"/>
      <c r="E1226" s="1293"/>
      <c r="F1226" s="757"/>
      <c r="G1226" s="1294"/>
      <c r="H1226" s="1294"/>
      <c r="I1226" s="1294"/>
      <c r="J1226" s="757"/>
      <c r="K1226" s="757"/>
      <c r="L1226" s="1295"/>
      <c r="M1226" s="1296"/>
      <c r="N1226" s="1297"/>
      <c r="O1226" s="1291"/>
      <c r="P1226" s="1298"/>
      <c r="Q1226" s="1293"/>
    </row>
    <row r="1227">
      <c r="A1227" s="67"/>
      <c r="B1227" s="764"/>
      <c r="C1227" s="575"/>
      <c r="D1227" s="575"/>
      <c r="E1227" s="1293"/>
      <c r="F1227" s="757"/>
      <c r="G1227" s="1294"/>
      <c r="H1227" s="1294"/>
      <c r="I1227" s="1294"/>
      <c r="J1227" s="757"/>
      <c r="K1227" s="757"/>
      <c r="L1227" s="1295"/>
      <c r="M1227" s="1296"/>
      <c r="N1227" s="1297"/>
      <c r="O1227" s="1291"/>
      <c r="P1227" s="1298"/>
      <c r="Q1227" s="1293"/>
    </row>
    <row r="1228">
      <c r="A1228" s="67"/>
      <c r="B1228" s="764"/>
      <c r="C1228" s="575"/>
      <c r="D1228" s="575"/>
      <c r="E1228" s="1293"/>
      <c r="F1228" s="757"/>
      <c r="G1228" s="1294"/>
      <c r="H1228" s="1294"/>
      <c r="I1228" s="1294"/>
      <c r="J1228" s="757"/>
      <c r="K1228" s="757"/>
      <c r="L1228" s="1295"/>
      <c r="M1228" s="1296"/>
      <c r="N1228" s="1297"/>
      <c r="O1228" s="1291"/>
      <c r="P1228" s="1298"/>
      <c r="Q1228" s="1293"/>
    </row>
    <row r="1229">
      <c r="A1229" s="67"/>
      <c r="B1229" s="764"/>
      <c r="C1229" s="575"/>
      <c r="D1229" s="575"/>
      <c r="E1229" s="1293"/>
      <c r="F1229" s="757"/>
      <c r="G1229" s="1294"/>
      <c r="H1229" s="1294"/>
      <c r="I1229" s="1294"/>
      <c r="J1229" s="757"/>
      <c r="K1229" s="757"/>
      <c r="L1229" s="1295"/>
      <c r="M1229" s="1296"/>
      <c r="N1229" s="1297"/>
      <c r="O1229" s="1291"/>
      <c r="P1229" s="1298"/>
      <c r="Q1229" s="1293"/>
    </row>
    <row r="1230">
      <c r="A1230" s="67"/>
      <c r="B1230" s="764"/>
      <c r="C1230" s="575"/>
      <c r="D1230" s="575"/>
      <c r="E1230" s="1293"/>
      <c r="F1230" s="757"/>
      <c r="G1230" s="1294"/>
      <c r="H1230" s="1294"/>
      <c r="I1230" s="1294"/>
      <c r="J1230" s="757"/>
      <c r="K1230" s="757"/>
      <c r="L1230" s="1295"/>
      <c r="M1230" s="1296"/>
      <c r="N1230" s="1297"/>
      <c r="O1230" s="1291"/>
      <c r="P1230" s="1298"/>
      <c r="Q1230" s="1293"/>
    </row>
    <row r="1231">
      <c r="A1231" s="67"/>
      <c r="B1231" s="764"/>
      <c r="C1231" s="575"/>
      <c r="D1231" s="575"/>
      <c r="E1231" s="1293"/>
      <c r="F1231" s="757"/>
      <c r="G1231" s="1294"/>
      <c r="H1231" s="1294"/>
      <c r="I1231" s="1294"/>
      <c r="J1231" s="757"/>
      <c r="K1231" s="757"/>
      <c r="L1231" s="1295"/>
      <c r="M1231" s="1296"/>
      <c r="N1231" s="1297"/>
      <c r="O1231" s="1291"/>
      <c r="P1231" s="1298"/>
      <c r="Q1231" s="1293"/>
    </row>
    <row r="1232">
      <c r="A1232" s="67"/>
      <c r="B1232" s="764"/>
      <c r="C1232" s="575"/>
      <c r="D1232" s="575"/>
      <c r="E1232" s="1293"/>
      <c r="F1232" s="757"/>
      <c r="G1232" s="1294"/>
      <c r="H1232" s="1294"/>
      <c r="I1232" s="1294"/>
      <c r="J1232" s="757"/>
      <c r="K1232" s="757"/>
      <c r="L1232" s="1295"/>
      <c r="M1232" s="1296"/>
      <c r="N1232" s="1297"/>
      <c r="O1232" s="1291"/>
      <c r="P1232" s="1298"/>
      <c r="Q1232" s="1293"/>
    </row>
    <row r="1233">
      <c r="A1233" s="67"/>
      <c r="B1233" s="764"/>
      <c r="C1233" s="575"/>
      <c r="D1233" s="575"/>
      <c r="E1233" s="1293"/>
      <c r="F1233" s="757"/>
      <c r="G1233" s="1294"/>
      <c r="H1233" s="1294"/>
      <c r="I1233" s="1294"/>
      <c r="J1233" s="757"/>
      <c r="K1233" s="757"/>
      <c r="L1233" s="1295"/>
      <c r="M1233" s="1296"/>
      <c r="N1233" s="1297"/>
      <c r="O1233" s="1291"/>
      <c r="P1233" s="1298"/>
      <c r="Q1233" s="1293"/>
    </row>
    <row r="1234">
      <c r="A1234" s="67"/>
      <c r="B1234" s="764"/>
      <c r="C1234" s="575"/>
      <c r="D1234" s="575"/>
      <c r="E1234" s="1293"/>
      <c r="F1234" s="757"/>
      <c r="G1234" s="1294"/>
      <c r="H1234" s="1294"/>
      <c r="I1234" s="1294"/>
      <c r="J1234" s="757"/>
      <c r="K1234" s="757"/>
      <c r="L1234" s="1295"/>
      <c r="M1234" s="1296"/>
      <c r="N1234" s="1297"/>
      <c r="O1234" s="1291"/>
      <c r="P1234" s="1298"/>
      <c r="Q1234" s="1293"/>
    </row>
    <row r="1235">
      <c r="A1235" s="67"/>
      <c r="B1235" s="764"/>
      <c r="C1235" s="575"/>
      <c r="D1235" s="575"/>
      <c r="E1235" s="1293"/>
      <c r="F1235" s="757"/>
      <c r="G1235" s="1294"/>
      <c r="H1235" s="1294"/>
      <c r="I1235" s="1294"/>
      <c r="J1235" s="757"/>
      <c r="K1235" s="757"/>
      <c r="L1235" s="1295"/>
      <c r="M1235" s="1296"/>
      <c r="N1235" s="1297"/>
      <c r="O1235" s="1291"/>
      <c r="P1235" s="1298"/>
      <c r="Q1235" s="1293"/>
    </row>
    <row r="1236">
      <c r="A1236" s="67"/>
      <c r="B1236" s="764"/>
      <c r="C1236" s="575"/>
      <c r="D1236" s="575"/>
      <c r="E1236" s="1293"/>
      <c r="F1236" s="757"/>
      <c r="G1236" s="1294"/>
      <c r="H1236" s="1294"/>
      <c r="I1236" s="1294"/>
      <c r="J1236" s="757"/>
      <c r="K1236" s="757"/>
      <c r="L1236" s="1295"/>
      <c r="M1236" s="1296"/>
      <c r="N1236" s="1297"/>
      <c r="O1236" s="1291"/>
      <c r="P1236" s="1298"/>
      <c r="Q1236" s="1293"/>
    </row>
    <row r="1237">
      <c r="A1237" s="67"/>
      <c r="B1237" s="764"/>
      <c r="C1237" s="575"/>
      <c r="D1237" s="575"/>
      <c r="E1237" s="1293"/>
      <c r="F1237" s="757"/>
      <c r="G1237" s="1294"/>
      <c r="H1237" s="1294"/>
      <c r="I1237" s="1294"/>
      <c r="J1237" s="757"/>
      <c r="K1237" s="757"/>
      <c r="L1237" s="1295"/>
      <c r="M1237" s="1296"/>
      <c r="N1237" s="1297"/>
      <c r="O1237" s="1291"/>
      <c r="P1237" s="1298"/>
      <c r="Q1237" s="1293"/>
    </row>
    <row r="1238">
      <c r="A1238" s="67"/>
      <c r="B1238" s="764"/>
      <c r="C1238" s="575"/>
      <c r="D1238" s="575"/>
      <c r="E1238" s="1293"/>
      <c r="F1238" s="757"/>
      <c r="G1238" s="1294"/>
      <c r="H1238" s="1294"/>
      <c r="I1238" s="1294"/>
      <c r="J1238" s="757"/>
      <c r="K1238" s="757"/>
      <c r="L1238" s="1295"/>
      <c r="M1238" s="1296"/>
      <c r="N1238" s="1297"/>
      <c r="O1238" s="1291"/>
      <c r="P1238" s="1298"/>
      <c r="Q1238" s="1293"/>
    </row>
    <row r="1239">
      <c r="A1239" s="67"/>
      <c r="B1239" s="764"/>
      <c r="C1239" s="575"/>
      <c r="D1239" s="575"/>
      <c r="E1239" s="1293"/>
      <c r="F1239" s="757"/>
      <c r="G1239" s="1294"/>
      <c r="H1239" s="1294"/>
      <c r="I1239" s="1294"/>
      <c r="J1239" s="757"/>
      <c r="K1239" s="757"/>
      <c r="L1239" s="1295"/>
      <c r="M1239" s="1296"/>
      <c r="N1239" s="1297"/>
      <c r="O1239" s="1291"/>
      <c r="P1239" s="1298"/>
      <c r="Q1239" s="1293"/>
    </row>
    <row r="1240">
      <c r="A1240" s="67"/>
      <c r="B1240" s="764"/>
      <c r="C1240" s="575"/>
      <c r="D1240" s="575"/>
      <c r="E1240" s="1293"/>
      <c r="F1240" s="757"/>
      <c r="G1240" s="1294"/>
      <c r="H1240" s="1294"/>
      <c r="I1240" s="1294"/>
      <c r="J1240" s="757"/>
      <c r="K1240" s="757"/>
      <c r="L1240" s="1295"/>
      <c r="M1240" s="1296"/>
      <c r="N1240" s="1297"/>
      <c r="O1240" s="1291"/>
      <c r="P1240" s="1298"/>
      <c r="Q1240" s="1293"/>
    </row>
    <row r="1241">
      <c r="A1241" s="67"/>
      <c r="B1241" s="764"/>
      <c r="C1241" s="575"/>
      <c r="D1241" s="575"/>
      <c r="E1241" s="1293"/>
      <c r="F1241" s="757"/>
      <c r="G1241" s="1294"/>
      <c r="H1241" s="1294"/>
      <c r="I1241" s="1294"/>
      <c r="J1241" s="757"/>
      <c r="K1241" s="757"/>
      <c r="L1241" s="1295"/>
      <c r="M1241" s="1296"/>
      <c r="N1241" s="1297"/>
      <c r="O1241" s="1291"/>
      <c r="P1241" s="1298"/>
      <c r="Q1241" s="1293"/>
    </row>
    <row r="1242">
      <c r="A1242" s="67"/>
      <c r="B1242" s="764"/>
      <c r="C1242" s="575"/>
      <c r="D1242" s="575"/>
      <c r="E1242" s="1293"/>
      <c r="F1242" s="757"/>
      <c r="G1242" s="1294"/>
      <c r="H1242" s="1294"/>
      <c r="I1242" s="1294"/>
      <c r="J1242" s="757"/>
      <c r="K1242" s="757"/>
      <c r="L1242" s="1295"/>
      <c r="M1242" s="1296"/>
      <c r="N1242" s="1297"/>
      <c r="O1242" s="1291"/>
      <c r="P1242" s="1298"/>
      <c r="Q1242" s="1293"/>
    </row>
    <row r="1243">
      <c r="A1243" s="67"/>
      <c r="B1243" s="764"/>
      <c r="C1243" s="575"/>
      <c r="D1243" s="575"/>
      <c r="E1243" s="1293"/>
      <c r="F1243" s="757"/>
      <c r="G1243" s="1294"/>
      <c r="H1243" s="1294"/>
      <c r="I1243" s="1294"/>
      <c r="J1243" s="757"/>
      <c r="K1243" s="757"/>
      <c r="L1243" s="1295"/>
      <c r="M1243" s="1296"/>
      <c r="N1243" s="1297"/>
      <c r="O1243" s="1291"/>
      <c r="P1243" s="1298"/>
      <c r="Q1243" s="1293"/>
    </row>
    <row r="1244">
      <c r="A1244" s="67"/>
      <c r="B1244" s="764"/>
      <c r="C1244" s="575"/>
      <c r="D1244" s="575"/>
      <c r="E1244" s="1293"/>
      <c r="F1244" s="757"/>
      <c r="G1244" s="1294"/>
      <c r="H1244" s="1294"/>
      <c r="I1244" s="1294"/>
      <c r="J1244" s="757"/>
      <c r="K1244" s="757"/>
      <c r="L1244" s="1295"/>
      <c r="M1244" s="1296"/>
      <c r="N1244" s="1297"/>
      <c r="O1244" s="1291"/>
      <c r="P1244" s="1298"/>
      <c r="Q1244" s="1293"/>
    </row>
    <row r="1245">
      <c r="A1245" s="67"/>
      <c r="B1245" s="764"/>
      <c r="C1245" s="575"/>
      <c r="D1245" s="575"/>
      <c r="E1245" s="1293"/>
      <c r="F1245" s="757"/>
      <c r="G1245" s="1294"/>
      <c r="H1245" s="1294"/>
      <c r="I1245" s="1294"/>
      <c r="J1245" s="757"/>
      <c r="K1245" s="757"/>
      <c r="L1245" s="1295"/>
      <c r="M1245" s="1296"/>
      <c r="N1245" s="1297"/>
      <c r="O1245" s="1291"/>
      <c r="P1245" s="1298"/>
      <c r="Q1245" s="1293"/>
    </row>
    <row r="1246">
      <c r="A1246" s="67"/>
      <c r="B1246" s="764"/>
      <c r="C1246" s="575"/>
      <c r="D1246" s="575"/>
      <c r="E1246" s="1293"/>
      <c r="F1246" s="757"/>
      <c r="G1246" s="1294"/>
      <c r="H1246" s="1294"/>
      <c r="I1246" s="1294"/>
      <c r="J1246" s="757"/>
      <c r="K1246" s="757"/>
      <c r="L1246" s="1295"/>
      <c r="M1246" s="1296"/>
      <c r="N1246" s="1297"/>
      <c r="O1246" s="1291"/>
      <c r="P1246" s="1298"/>
      <c r="Q1246" s="1293"/>
    </row>
    <row r="1247">
      <c r="A1247" s="67"/>
      <c r="B1247" s="764"/>
      <c r="C1247" s="575"/>
      <c r="D1247" s="575"/>
      <c r="E1247" s="1293"/>
      <c r="F1247" s="757"/>
      <c r="G1247" s="1294"/>
      <c r="H1247" s="1294"/>
      <c r="I1247" s="1294"/>
      <c r="J1247" s="757"/>
      <c r="K1247" s="757"/>
      <c r="L1247" s="1295"/>
      <c r="M1247" s="1296"/>
      <c r="N1247" s="1297"/>
      <c r="O1247" s="1291"/>
      <c r="P1247" s="1298"/>
      <c r="Q1247" s="1293"/>
    </row>
    <row r="1248">
      <c r="A1248" s="67"/>
      <c r="B1248" s="764"/>
      <c r="C1248" s="575"/>
      <c r="D1248" s="575"/>
      <c r="E1248" s="1293"/>
      <c r="F1248" s="757"/>
      <c r="G1248" s="1294"/>
      <c r="H1248" s="1294"/>
      <c r="I1248" s="1294"/>
      <c r="J1248" s="757"/>
      <c r="K1248" s="757"/>
      <c r="L1248" s="1295"/>
      <c r="M1248" s="1296"/>
      <c r="N1248" s="1297"/>
      <c r="O1248" s="1291"/>
      <c r="P1248" s="1298"/>
      <c r="Q1248" s="1293"/>
    </row>
    <row r="1249">
      <c r="A1249" s="67"/>
      <c r="B1249" s="764"/>
      <c r="C1249" s="575"/>
      <c r="D1249" s="575"/>
      <c r="E1249" s="1293"/>
      <c r="F1249" s="757"/>
      <c r="G1249" s="1294"/>
      <c r="H1249" s="1294"/>
      <c r="I1249" s="1294"/>
      <c r="J1249" s="757"/>
      <c r="K1249" s="757"/>
      <c r="L1249" s="1295"/>
      <c r="M1249" s="1296"/>
      <c r="N1249" s="1297"/>
      <c r="O1249" s="1291"/>
      <c r="P1249" s="1298"/>
      <c r="Q1249" s="1293"/>
    </row>
    <row r="1250">
      <c r="A1250" s="67"/>
      <c r="B1250" s="764"/>
      <c r="C1250" s="575"/>
      <c r="D1250" s="575"/>
      <c r="E1250" s="1293"/>
      <c r="F1250" s="757"/>
      <c r="G1250" s="1294"/>
      <c r="H1250" s="1294"/>
      <c r="I1250" s="1294"/>
      <c r="J1250" s="757"/>
      <c r="K1250" s="757"/>
      <c r="L1250" s="1295"/>
      <c r="M1250" s="1296"/>
      <c r="N1250" s="1297"/>
      <c r="O1250" s="1291"/>
      <c r="P1250" s="1298"/>
      <c r="Q1250" s="1293"/>
    </row>
    <row r="1251">
      <c r="A1251" s="67"/>
      <c r="B1251" s="764"/>
      <c r="C1251" s="575"/>
      <c r="D1251" s="575"/>
      <c r="E1251" s="1293"/>
      <c r="F1251" s="757"/>
      <c r="G1251" s="1294"/>
      <c r="H1251" s="1294"/>
      <c r="I1251" s="1294"/>
      <c r="J1251" s="757"/>
      <c r="K1251" s="757"/>
      <c r="L1251" s="1295"/>
      <c r="M1251" s="1296"/>
      <c r="N1251" s="1297"/>
      <c r="O1251" s="1291"/>
      <c r="P1251" s="1298"/>
      <c r="Q1251" s="1293"/>
    </row>
    <row r="1252">
      <c r="A1252" s="67"/>
      <c r="B1252" s="764"/>
      <c r="C1252" s="575"/>
      <c r="D1252" s="575"/>
      <c r="E1252" s="1293"/>
      <c r="F1252" s="757"/>
      <c r="G1252" s="1294"/>
      <c r="H1252" s="1294"/>
      <c r="I1252" s="1294"/>
      <c r="J1252" s="757"/>
      <c r="K1252" s="757"/>
      <c r="L1252" s="1295"/>
      <c r="M1252" s="1296"/>
      <c r="N1252" s="1297"/>
      <c r="O1252" s="1291"/>
      <c r="P1252" s="1298"/>
      <c r="Q1252" s="1293"/>
    </row>
    <row r="1253">
      <c r="A1253" s="67"/>
      <c r="B1253" s="764"/>
      <c r="C1253" s="575"/>
      <c r="D1253" s="575"/>
      <c r="E1253" s="1293"/>
      <c r="F1253" s="757"/>
      <c r="G1253" s="1294"/>
      <c r="H1253" s="1294"/>
      <c r="I1253" s="1294"/>
      <c r="J1253" s="757"/>
      <c r="K1253" s="757"/>
      <c r="L1253" s="1295"/>
      <c r="M1253" s="1296"/>
      <c r="N1253" s="1297"/>
      <c r="O1253" s="1291"/>
      <c r="P1253" s="1298"/>
      <c r="Q1253" s="1293"/>
    </row>
    <row r="1254">
      <c r="A1254" s="67"/>
      <c r="B1254" s="764"/>
      <c r="C1254" s="575"/>
      <c r="D1254" s="575"/>
      <c r="E1254" s="1293"/>
      <c r="F1254" s="757"/>
      <c r="G1254" s="1294"/>
      <c r="H1254" s="1294"/>
      <c r="I1254" s="1294"/>
      <c r="J1254" s="757"/>
      <c r="K1254" s="757"/>
      <c r="L1254" s="1295"/>
      <c r="M1254" s="1296"/>
      <c r="N1254" s="1297"/>
      <c r="O1254" s="1291"/>
      <c r="P1254" s="1298"/>
      <c r="Q1254" s="1293"/>
    </row>
    <row r="1255">
      <c r="A1255" s="67"/>
      <c r="B1255" s="764"/>
      <c r="C1255" s="575"/>
      <c r="D1255" s="575"/>
      <c r="E1255" s="1293"/>
      <c r="F1255" s="757"/>
      <c r="G1255" s="1294"/>
      <c r="H1255" s="1294"/>
      <c r="I1255" s="1294"/>
      <c r="J1255" s="757"/>
      <c r="K1255" s="757"/>
      <c r="L1255" s="1295"/>
      <c r="M1255" s="1296"/>
      <c r="N1255" s="1297"/>
      <c r="O1255" s="1291"/>
      <c r="P1255" s="1298"/>
      <c r="Q1255" s="1293"/>
    </row>
    <row r="1256">
      <c r="A1256" s="67"/>
      <c r="B1256" s="764"/>
      <c r="C1256" s="575"/>
      <c r="D1256" s="575"/>
      <c r="E1256" s="1293"/>
      <c r="F1256" s="757"/>
      <c r="G1256" s="1294"/>
      <c r="H1256" s="1294"/>
      <c r="I1256" s="1294"/>
      <c r="J1256" s="757"/>
      <c r="K1256" s="757"/>
      <c r="L1256" s="1295"/>
      <c r="M1256" s="1296"/>
      <c r="N1256" s="1297"/>
      <c r="O1256" s="1291"/>
      <c r="P1256" s="1298"/>
      <c r="Q1256" s="1293"/>
    </row>
    <row r="1257">
      <c r="A1257" s="67"/>
      <c r="B1257" s="764"/>
      <c r="C1257" s="575"/>
      <c r="D1257" s="575"/>
      <c r="E1257" s="1293"/>
      <c r="F1257" s="757"/>
      <c r="G1257" s="1294"/>
      <c r="H1257" s="1294"/>
      <c r="I1257" s="1294"/>
      <c r="J1257" s="757"/>
      <c r="K1257" s="757"/>
      <c r="L1257" s="1295"/>
      <c r="M1257" s="1296"/>
      <c r="N1257" s="1297"/>
      <c r="O1257" s="1291"/>
      <c r="P1257" s="1298"/>
      <c r="Q1257" s="1293"/>
    </row>
    <row r="1258">
      <c r="A1258" s="67"/>
      <c r="B1258" s="764"/>
      <c r="C1258" s="575"/>
      <c r="D1258" s="575"/>
      <c r="E1258" s="1293"/>
      <c r="F1258" s="757"/>
      <c r="G1258" s="1294"/>
      <c r="H1258" s="1294"/>
      <c r="I1258" s="1294"/>
      <c r="J1258" s="757"/>
      <c r="K1258" s="757"/>
      <c r="L1258" s="1295"/>
      <c r="M1258" s="1296"/>
      <c r="N1258" s="1297"/>
      <c r="O1258" s="1291"/>
      <c r="P1258" s="1298"/>
      <c r="Q1258" s="1293"/>
    </row>
    <row r="1259">
      <c r="A1259" s="67"/>
      <c r="B1259" s="764"/>
      <c r="C1259" s="575"/>
      <c r="D1259" s="575"/>
      <c r="E1259" s="1293"/>
      <c r="F1259" s="757"/>
      <c r="G1259" s="1294"/>
      <c r="H1259" s="1294"/>
      <c r="I1259" s="1294"/>
      <c r="J1259" s="757"/>
      <c r="K1259" s="757"/>
      <c r="L1259" s="1295"/>
      <c r="M1259" s="1296"/>
      <c r="N1259" s="1297"/>
      <c r="O1259" s="1291"/>
      <c r="P1259" s="1298"/>
      <c r="Q1259" s="1293"/>
    </row>
    <row r="1260">
      <c r="A1260" s="67"/>
      <c r="B1260" s="764"/>
      <c r="C1260" s="575"/>
      <c r="D1260" s="575"/>
      <c r="E1260" s="1293"/>
      <c r="F1260" s="757"/>
      <c r="G1260" s="1294"/>
      <c r="H1260" s="1294"/>
      <c r="I1260" s="1294"/>
      <c r="J1260" s="757"/>
      <c r="K1260" s="757"/>
      <c r="L1260" s="1295"/>
      <c r="M1260" s="1296"/>
      <c r="N1260" s="1297"/>
      <c r="O1260" s="1291"/>
      <c r="P1260" s="1298"/>
      <c r="Q1260" s="1293"/>
    </row>
    <row r="1261">
      <c r="A1261" s="67"/>
      <c r="B1261" s="764"/>
      <c r="C1261" s="575"/>
      <c r="D1261" s="575"/>
      <c r="E1261" s="1293"/>
      <c r="F1261" s="757"/>
      <c r="G1261" s="1294"/>
      <c r="H1261" s="1294"/>
      <c r="I1261" s="1294"/>
      <c r="J1261" s="757"/>
      <c r="K1261" s="757"/>
      <c r="L1261" s="1295"/>
      <c r="M1261" s="1296"/>
      <c r="N1261" s="1297"/>
      <c r="O1261" s="1291"/>
      <c r="P1261" s="1298"/>
      <c r="Q1261" s="1293"/>
    </row>
    <row r="1262">
      <c r="A1262" s="67"/>
      <c r="B1262" s="764"/>
      <c r="C1262" s="575"/>
      <c r="D1262" s="575"/>
      <c r="E1262" s="1293"/>
      <c r="F1262" s="757"/>
      <c r="G1262" s="1294"/>
      <c r="H1262" s="1294"/>
      <c r="I1262" s="1294"/>
      <c r="J1262" s="757"/>
      <c r="K1262" s="757"/>
      <c r="L1262" s="1295"/>
      <c r="M1262" s="1296"/>
      <c r="N1262" s="1297"/>
      <c r="O1262" s="1291"/>
      <c r="P1262" s="1298"/>
      <c r="Q1262" s="1293"/>
    </row>
    <row r="1263">
      <c r="A1263" s="67"/>
      <c r="B1263" s="764"/>
      <c r="C1263" s="575"/>
      <c r="D1263" s="575"/>
      <c r="E1263" s="1293"/>
      <c r="F1263" s="757"/>
      <c r="G1263" s="1294"/>
      <c r="H1263" s="1294"/>
      <c r="I1263" s="1294"/>
      <c r="J1263" s="757"/>
      <c r="K1263" s="757"/>
      <c r="L1263" s="1295"/>
      <c r="M1263" s="1296"/>
      <c r="N1263" s="1297"/>
      <c r="O1263" s="1291"/>
      <c r="P1263" s="1298"/>
      <c r="Q1263" s="1293"/>
    </row>
    <row r="1264">
      <c r="A1264" s="67"/>
      <c r="B1264" s="764"/>
      <c r="C1264" s="575"/>
      <c r="D1264" s="575"/>
      <c r="E1264" s="1293"/>
      <c r="F1264" s="757"/>
      <c r="G1264" s="1294"/>
      <c r="H1264" s="1294"/>
      <c r="I1264" s="1294"/>
      <c r="J1264" s="757"/>
      <c r="K1264" s="757"/>
      <c r="L1264" s="1295"/>
      <c r="M1264" s="1296"/>
      <c r="N1264" s="1297"/>
      <c r="O1264" s="1291"/>
      <c r="P1264" s="1298"/>
      <c r="Q1264" s="1293"/>
    </row>
    <row r="1265">
      <c r="A1265" s="67"/>
      <c r="B1265" s="764"/>
      <c r="C1265" s="575"/>
      <c r="D1265" s="575"/>
      <c r="E1265" s="1293"/>
      <c r="F1265" s="757"/>
      <c r="G1265" s="1294"/>
      <c r="H1265" s="1294"/>
      <c r="I1265" s="1294"/>
      <c r="J1265" s="757"/>
      <c r="K1265" s="757"/>
      <c r="L1265" s="1295"/>
      <c r="M1265" s="1296"/>
      <c r="N1265" s="1297"/>
      <c r="O1265" s="1291"/>
      <c r="P1265" s="1298"/>
      <c r="Q1265" s="1293"/>
    </row>
    <row r="1266">
      <c r="A1266" s="67"/>
      <c r="B1266" s="764"/>
      <c r="C1266" s="575"/>
      <c r="D1266" s="575"/>
      <c r="E1266" s="1293"/>
      <c r="F1266" s="757"/>
      <c r="G1266" s="1294"/>
      <c r="H1266" s="1294"/>
      <c r="I1266" s="1294"/>
      <c r="J1266" s="757"/>
      <c r="K1266" s="757"/>
      <c r="L1266" s="1295"/>
      <c r="M1266" s="1296"/>
      <c r="N1266" s="1297"/>
      <c r="O1266" s="1291"/>
      <c r="P1266" s="1298"/>
      <c r="Q1266" s="1293"/>
    </row>
    <row r="1267">
      <c r="A1267" s="67"/>
      <c r="B1267" s="764"/>
      <c r="C1267" s="575"/>
      <c r="D1267" s="575"/>
      <c r="E1267" s="1293"/>
      <c r="F1267" s="757"/>
      <c r="G1267" s="1294"/>
      <c r="H1267" s="1294"/>
      <c r="I1267" s="1294"/>
      <c r="J1267" s="757"/>
      <c r="K1267" s="757"/>
      <c r="L1267" s="1295"/>
      <c r="M1267" s="1296"/>
      <c r="N1267" s="1297"/>
      <c r="O1267" s="1291"/>
      <c r="P1267" s="1298"/>
      <c r="Q1267" s="1293"/>
    </row>
    <row r="1268">
      <c r="A1268" s="67"/>
      <c r="B1268" s="764"/>
      <c r="C1268" s="575"/>
      <c r="D1268" s="575"/>
      <c r="E1268" s="1293"/>
      <c r="F1268" s="757"/>
      <c r="G1268" s="1294"/>
      <c r="H1268" s="1294"/>
      <c r="I1268" s="1294"/>
      <c r="J1268" s="757"/>
      <c r="K1268" s="757"/>
      <c r="L1268" s="1295"/>
      <c r="M1268" s="1296"/>
      <c r="N1268" s="1297"/>
      <c r="O1268" s="1291"/>
      <c r="P1268" s="1298"/>
      <c r="Q1268" s="1293"/>
    </row>
    <row r="1269">
      <c r="A1269" s="67"/>
      <c r="B1269" s="764"/>
      <c r="C1269" s="575"/>
      <c r="D1269" s="575"/>
      <c r="E1269" s="1293"/>
      <c r="F1269" s="757"/>
      <c r="G1269" s="1294"/>
      <c r="H1269" s="1294"/>
      <c r="I1269" s="1294"/>
      <c r="J1269" s="757"/>
      <c r="K1269" s="757"/>
      <c r="L1269" s="1295"/>
      <c r="M1269" s="1296"/>
      <c r="N1269" s="1297"/>
      <c r="O1269" s="1291"/>
      <c r="P1269" s="1298"/>
      <c r="Q1269" s="1293"/>
    </row>
    <row r="1270">
      <c r="A1270" s="67"/>
      <c r="B1270" s="764"/>
      <c r="C1270" s="575"/>
      <c r="D1270" s="575"/>
      <c r="E1270" s="1293"/>
      <c r="F1270" s="757"/>
      <c r="G1270" s="1294"/>
      <c r="H1270" s="1294"/>
      <c r="I1270" s="1294"/>
      <c r="J1270" s="757"/>
      <c r="K1270" s="757"/>
      <c r="L1270" s="1295"/>
      <c r="M1270" s="1296"/>
      <c r="N1270" s="1297"/>
      <c r="O1270" s="1291"/>
      <c r="P1270" s="1298"/>
      <c r="Q1270" s="1293"/>
    </row>
    <row r="1271">
      <c r="A1271" s="67"/>
      <c r="B1271" s="764"/>
      <c r="C1271" s="575"/>
      <c r="D1271" s="575"/>
      <c r="E1271" s="1293"/>
      <c r="F1271" s="757"/>
      <c r="G1271" s="1294"/>
      <c r="H1271" s="1294"/>
      <c r="I1271" s="1294"/>
      <c r="J1271" s="757"/>
      <c r="K1271" s="757"/>
      <c r="L1271" s="1295"/>
      <c r="M1271" s="1296"/>
      <c r="N1271" s="1297"/>
      <c r="O1271" s="1291"/>
      <c r="P1271" s="1298"/>
      <c r="Q1271" s="1293"/>
    </row>
    <row r="1272">
      <c r="A1272" s="67"/>
      <c r="B1272" s="764"/>
      <c r="C1272" s="575"/>
      <c r="D1272" s="575"/>
      <c r="E1272" s="1293"/>
      <c r="F1272" s="757"/>
      <c r="G1272" s="1294"/>
      <c r="H1272" s="1294"/>
      <c r="I1272" s="1294"/>
      <c r="J1272" s="757"/>
      <c r="K1272" s="757"/>
      <c r="L1272" s="1295"/>
      <c r="M1272" s="1296"/>
      <c r="N1272" s="1297"/>
      <c r="O1272" s="1291"/>
      <c r="P1272" s="1298"/>
      <c r="Q1272" s="1293"/>
    </row>
    <row r="1273">
      <c r="A1273" s="67"/>
      <c r="B1273" s="764"/>
      <c r="C1273" s="575"/>
      <c r="D1273" s="575"/>
      <c r="E1273" s="1293"/>
      <c r="F1273" s="757"/>
      <c r="G1273" s="1294"/>
      <c r="H1273" s="1294"/>
      <c r="I1273" s="1294"/>
      <c r="J1273" s="757"/>
      <c r="K1273" s="757"/>
      <c r="L1273" s="1295"/>
      <c r="M1273" s="1296"/>
      <c r="N1273" s="1297"/>
      <c r="O1273" s="1291"/>
      <c r="P1273" s="1298"/>
      <c r="Q1273" s="1293"/>
    </row>
    <row r="1274">
      <c r="A1274" s="67"/>
      <c r="B1274" s="764"/>
      <c r="C1274" s="575"/>
      <c r="D1274" s="575"/>
      <c r="E1274" s="1293"/>
      <c r="F1274" s="757"/>
      <c r="G1274" s="1294"/>
      <c r="H1274" s="1294"/>
      <c r="I1274" s="1294"/>
      <c r="J1274" s="757"/>
      <c r="K1274" s="757"/>
      <c r="L1274" s="1295"/>
      <c r="M1274" s="1296"/>
      <c r="N1274" s="1297"/>
      <c r="O1274" s="1291"/>
      <c r="P1274" s="1298"/>
      <c r="Q1274" s="1293"/>
    </row>
    <row r="1275">
      <c r="A1275" s="67"/>
      <c r="B1275" s="764"/>
      <c r="C1275" s="575"/>
      <c r="D1275" s="575"/>
      <c r="E1275" s="1293"/>
      <c r="F1275" s="757"/>
      <c r="G1275" s="1294"/>
      <c r="H1275" s="1294"/>
      <c r="I1275" s="1294"/>
      <c r="J1275" s="757"/>
      <c r="K1275" s="757"/>
      <c r="L1275" s="1295"/>
      <c r="M1275" s="1296"/>
      <c r="N1275" s="1297"/>
      <c r="O1275" s="1291"/>
      <c r="P1275" s="1298"/>
      <c r="Q1275" s="1293"/>
    </row>
    <row r="1276">
      <c r="A1276" s="67"/>
      <c r="B1276" s="764"/>
      <c r="C1276" s="575"/>
      <c r="D1276" s="575"/>
      <c r="E1276" s="1293"/>
      <c r="F1276" s="757"/>
      <c r="G1276" s="1294"/>
      <c r="H1276" s="1294"/>
      <c r="I1276" s="1294"/>
      <c r="J1276" s="757"/>
      <c r="K1276" s="757"/>
      <c r="L1276" s="1295"/>
      <c r="M1276" s="1296"/>
      <c r="N1276" s="1297"/>
      <c r="O1276" s="1291"/>
      <c r="P1276" s="1298"/>
      <c r="Q1276" s="1293"/>
    </row>
    <row r="1277">
      <c r="A1277" s="67"/>
      <c r="B1277" s="764"/>
      <c r="C1277" s="575"/>
      <c r="D1277" s="575"/>
      <c r="E1277" s="1293"/>
      <c r="F1277" s="757"/>
      <c r="G1277" s="1294"/>
      <c r="H1277" s="1294"/>
      <c r="I1277" s="1294"/>
      <c r="J1277" s="757"/>
      <c r="K1277" s="757"/>
      <c r="L1277" s="1295"/>
      <c r="M1277" s="1296"/>
      <c r="N1277" s="1297"/>
      <c r="O1277" s="1291"/>
      <c r="P1277" s="1298"/>
      <c r="Q1277" s="1293"/>
    </row>
    <row r="1278">
      <c r="A1278" s="67"/>
      <c r="B1278" s="764"/>
      <c r="C1278" s="575"/>
      <c r="D1278" s="575"/>
      <c r="E1278" s="1293"/>
      <c r="F1278" s="757"/>
      <c r="G1278" s="1294"/>
      <c r="H1278" s="1294"/>
      <c r="I1278" s="1294"/>
      <c r="J1278" s="757"/>
      <c r="K1278" s="757"/>
      <c r="L1278" s="1295"/>
      <c r="M1278" s="1296"/>
      <c r="N1278" s="1297"/>
      <c r="O1278" s="1291"/>
      <c r="P1278" s="1298"/>
      <c r="Q1278" s="1293"/>
    </row>
    <row r="1279">
      <c r="A1279" s="67"/>
      <c r="B1279" s="764"/>
      <c r="C1279" s="575"/>
      <c r="D1279" s="575"/>
      <c r="E1279" s="1293"/>
      <c r="F1279" s="757"/>
      <c r="G1279" s="1294"/>
      <c r="H1279" s="1294"/>
      <c r="I1279" s="1294"/>
      <c r="J1279" s="757"/>
      <c r="K1279" s="757"/>
      <c r="L1279" s="1295"/>
      <c r="M1279" s="1296"/>
      <c r="N1279" s="1297"/>
      <c r="O1279" s="1291"/>
      <c r="P1279" s="1298"/>
      <c r="Q1279" s="1293"/>
    </row>
    <row r="1280">
      <c r="A1280" s="67"/>
      <c r="B1280" s="764"/>
      <c r="C1280" s="575"/>
      <c r="D1280" s="575"/>
      <c r="E1280" s="1293"/>
      <c r="F1280" s="757"/>
      <c r="G1280" s="1294"/>
      <c r="H1280" s="1294"/>
      <c r="I1280" s="1294"/>
      <c r="J1280" s="757"/>
      <c r="K1280" s="757"/>
      <c r="L1280" s="1295"/>
      <c r="M1280" s="1296"/>
      <c r="N1280" s="1297"/>
      <c r="O1280" s="1291"/>
      <c r="P1280" s="1298"/>
      <c r="Q1280" s="1293"/>
    </row>
    <row r="1281">
      <c r="A1281" s="67"/>
      <c r="B1281" s="764"/>
      <c r="C1281" s="575"/>
      <c r="D1281" s="575"/>
      <c r="E1281" s="1293"/>
      <c r="F1281" s="757"/>
      <c r="G1281" s="1294"/>
      <c r="H1281" s="1294"/>
      <c r="I1281" s="1294"/>
      <c r="J1281" s="757"/>
      <c r="K1281" s="757"/>
      <c r="L1281" s="1295"/>
      <c r="M1281" s="1296"/>
      <c r="N1281" s="1297"/>
      <c r="O1281" s="1291"/>
      <c r="P1281" s="1298"/>
      <c r="Q1281" s="1293"/>
    </row>
    <row r="1282">
      <c r="A1282" s="67"/>
      <c r="B1282" s="764"/>
      <c r="C1282" s="575"/>
      <c r="D1282" s="575"/>
      <c r="E1282" s="1293"/>
      <c r="F1282" s="757"/>
      <c r="G1282" s="1294"/>
      <c r="H1282" s="1294"/>
      <c r="I1282" s="1294"/>
      <c r="J1282" s="757"/>
      <c r="K1282" s="757"/>
      <c r="L1282" s="1295"/>
      <c r="M1282" s="1296"/>
      <c r="N1282" s="1297"/>
      <c r="O1282" s="1291"/>
      <c r="P1282" s="1298"/>
      <c r="Q1282" s="1293"/>
    </row>
    <row r="1283">
      <c r="A1283" s="67"/>
      <c r="B1283" s="764"/>
      <c r="C1283" s="575"/>
      <c r="D1283" s="575"/>
      <c r="E1283" s="1293"/>
      <c r="F1283" s="757"/>
      <c r="G1283" s="1294"/>
      <c r="H1283" s="1294"/>
      <c r="I1283" s="1294"/>
      <c r="J1283" s="757"/>
      <c r="K1283" s="757"/>
      <c r="L1283" s="1295"/>
      <c r="M1283" s="1296"/>
      <c r="N1283" s="1297"/>
      <c r="O1283" s="1291"/>
      <c r="P1283" s="1298"/>
      <c r="Q1283" s="1293"/>
    </row>
    <row r="1284">
      <c r="A1284" s="67"/>
      <c r="B1284" s="764"/>
      <c r="C1284" s="575"/>
      <c r="D1284" s="575"/>
      <c r="E1284" s="1293"/>
      <c r="F1284" s="757"/>
      <c r="G1284" s="1294"/>
      <c r="H1284" s="1294"/>
      <c r="I1284" s="1294"/>
      <c r="J1284" s="757"/>
      <c r="K1284" s="757"/>
      <c r="L1284" s="1295"/>
      <c r="M1284" s="1296"/>
      <c r="N1284" s="1297"/>
      <c r="O1284" s="1291"/>
      <c r="P1284" s="1298"/>
      <c r="Q1284" s="1293"/>
    </row>
    <row r="1285">
      <c r="A1285" s="67"/>
      <c r="B1285" s="764"/>
      <c r="C1285" s="575"/>
      <c r="D1285" s="575"/>
      <c r="E1285" s="1293"/>
      <c r="F1285" s="757"/>
      <c r="G1285" s="1294"/>
      <c r="H1285" s="1294"/>
      <c r="I1285" s="1294"/>
      <c r="J1285" s="757"/>
      <c r="K1285" s="757"/>
      <c r="L1285" s="1295"/>
      <c r="M1285" s="1296"/>
      <c r="N1285" s="1297"/>
      <c r="O1285" s="1291"/>
      <c r="P1285" s="1298"/>
      <c r="Q1285" s="1293"/>
    </row>
    <row r="1286">
      <c r="A1286" s="67"/>
      <c r="B1286" s="764"/>
      <c r="C1286" s="575"/>
      <c r="D1286" s="575"/>
      <c r="E1286" s="1293"/>
      <c r="F1286" s="757"/>
      <c r="G1286" s="1294"/>
      <c r="H1286" s="1294"/>
      <c r="I1286" s="1294"/>
      <c r="J1286" s="757"/>
      <c r="K1286" s="757"/>
      <c r="L1286" s="1295"/>
      <c r="M1286" s="1296"/>
      <c r="N1286" s="1297"/>
      <c r="O1286" s="1291"/>
      <c r="P1286" s="1298"/>
      <c r="Q1286" s="1293"/>
    </row>
    <row r="1287">
      <c r="A1287" s="67"/>
      <c r="B1287" s="764"/>
      <c r="C1287" s="575"/>
      <c r="D1287" s="575"/>
      <c r="E1287" s="1293"/>
      <c r="F1287" s="757"/>
      <c r="G1287" s="1294"/>
      <c r="H1287" s="1294"/>
      <c r="I1287" s="1294"/>
      <c r="J1287" s="757"/>
      <c r="K1287" s="757"/>
      <c r="L1287" s="1295"/>
      <c r="M1287" s="1296"/>
      <c r="N1287" s="1297"/>
      <c r="O1287" s="1291"/>
      <c r="P1287" s="1298"/>
      <c r="Q1287" s="1293"/>
    </row>
    <row r="1288">
      <c r="A1288" s="67"/>
      <c r="B1288" s="764"/>
      <c r="C1288" s="575"/>
      <c r="D1288" s="575"/>
      <c r="E1288" s="1293"/>
      <c r="F1288" s="757"/>
      <c r="G1288" s="1294"/>
      <c r="H1288" s="1294"/>
      <c r="I1288" s="1294"/>
      <c r="J1288" s="757"/>
      <c r="K1288" s="757"/>
      <c r="L1288" s="1295"/>
      <c r="M1288" s="1296"/>
      <c r="N1288" s="1297"/>
      <c r="O1288" s="1291"/>
      <c r="P1288" s="1298"/>
      <c r="Q1288" s="1293"/>
    </row>
    <row r="1289">
      <c r="A1289" s="67"/>
      <c r="B1289" s="764"/>
      <c r="C1289" s="575"/>
      <c r="D1289" s="575"/>
      <c r="E1289" s="1293"/>
      <c r="F1289" s="757"/>
      <c r="G1289" s="1294"/>
      <c r="H1289" s="1294"/>
      <c r="I1289" s="1294"/>
      <c r="J1289" s="757"/>
      <c r="K1289" s="757"/>
      <c r="L1289" s="1295"/>
      <c r="M1289" s="1296"/>
      <c r="N1289" s="1297"/>
      <c r="O1289" s="1291"/>
      <c r="P1289" s="1298"/>
      <c r="Q1289" s="1293"/>
    </row>
    <row r="1290">
      <c r="A1290" s="67"/>
      <c r="B1290" s="764"/>
      <c r="C1290" s="575"/>
      <c r="D1290" s="575"/>
      <c r="E1290" s="1293"/>
      <c r="F1290" s="757"/>
      <c r="G1290" s="1294"/>
      <c r="H1290" s="1294"/>
      <c r="I1290" s="1294"/>
      <c r="J1290" s="757"/>
      <c r="K1290" s="757"/>
      <c r="L1290" s="1295"/>
      <c r="M1290" s="1296"/>
      <c r="N1290" s="1297"/>
      <c r="O1290" s="1291"/>
      <c r="P1290" s="1298"/>
      <c r="Q1290" s="1293"/>
    </row>
    <row r="1291">
      <c r="A1291" s="67"/>
      <c r="B1291" s="764"/>
      <c r="C1291" s="575"/>
      <c r="D1291" s="575"/>
      <c r="E1291" s="1293"/>
      <c r="F1291" s="757"/>
      <c r="G1291" s="1294"/>
      <c r="H1291" s="1294"/>
      <c r="I1291" s="1294"/>
      <c r="J1291" s="757"/>
      <c r="K1291" s="757"/>
      <c r="L1291" s="1295"/>
      <c r="M1291" s="1296"/>
      <c r="N1291" s="1297"/>
      <c r="O1291" s="1291"/>
      <c r="P1291" s="1298"/>
      <c r="Q1291" s="1293"/>
    </row>
    <row r="1292">
      <c r="A1292" s="67"/>
      <c r="B1292" s="764"/>
      <c r="C1292" s="575"/>
      <c r="D1292" s="575"/>
      <c r="E1292" s="1293"/>
      <c r="F1292" s="757"/>
      <c r="G1292" s="1294"/>
      <c r="H1292" s="1294"/>
      <c r="I1292" s="1294"/>
      <c r="J1292" s="757"/>
      <c r="K1292" s="757"/>
      <c r="L1292" s="1295"/>
      <c r="M1292" s="1296"/>
      <c r="N1292" s="1297"/>
      <c r="O1292" s="1291"/>
      <c r="P1292" s="1298"/>
      <c r="Q1292" s="1293"/>
    </row>
    <row r="1293">
      <c r="A1293" s="67"/>
      <c r="B1293" s="764"/>
      <c r="C1293" s="575"/>
      <c r="D1293" s="575"/>
      <c r="E1293" s="1293"/>
      <c r="F1293" s="757"/>
      <c r="G1293" s="1294"/>
      <c r="H1293" s="1294"/>
      <c r="I1293" s="1294"/>
      <c r="J1293" s="757"/>
      <c r="K1293" s="757"/>
      <c r="L1293" s="1295"/>
      <c r="M1293" s="1296"/>
      <c r="N1293" s="1297"/>
      <c r="O1293" s="1291"/>
      <c r="P1293" s="1298"/>
      <c r="Q1293" s="1293"/>
    </row>
    <row r="1294">
      <c r="A1294" s="67"/>
      <c r="B1294" s="764"/>
      <c r="C1294" s="575"/>
      <c r="D1294" s="575"/>
      <c r="E1294" s="1293"/>
      <c r="F1294" s="757"/>
      <c r="G1294" s="1294"/>
      <c r="H1294" s="1294"/>
      <c r="I1294" s="1294"/>
      <c r="J1294" s="757"/>
      <c r="K1294" s="757"/>
      <c r="L1294" s="1295"/>
      <c r="M1294" s="1296"/>
      <c r="N1294" s="1297"/>
      <c r="O1294" s="1291"/>
      <c r="P1294" s="1298"/>
      <c r="Q1294" s="1293"/>
    </row>
    <row r="1295">
      <c r="A1295" s="67"/>
      <c r="B1295" s="764"/>
      <c r="C1295" s="575"/>
      <c r="D1295" s="575"/>
      <c r="E1295" s="1293"/>
      <c r="F1295" s="757"/>
      <c r="G1295" s="1294"/>
      <c r="H1295" s="1294"/>
      <c r="I1295" s="1294"/>
      <c r="J1295" s="757"/>
      <c r="K1295" s="757"/>
      <c r="L1295" s="1295"/>
      <c r="M1295" s="1296"/>
      <c r="N1295" s="1297"/>
      <c r="O1295" s="1291"/>
      <c r="P1295" s="1298"/>
      <c r="Q1295" s="1293"/>
    </row>
    <row r="1296">
      <c r="A1296" s="67"/>
      <c r="B1296" s="764"/>
      <c r="C1296" s="575"/>
      <c r="D1296" s="575"/>
      <c r="E1296" s="1293"/>
      <c r="F1296" s="757"/>
      <c r="G1296" s="1294"/>
      <c r="H1296" s="1294"/>
      <c r="I1296" s="1294"/>
      <c r="J1296" s="757"/>
      <c r="K1296" s="757"/>
      <c r="L1296" s="1295"/>
      <c r="M1296" s="1296"/>
      <c r="N1296" s="1297"/>
      <c r="O1296" s="1291"/>
      <c r="P1296" s="1298"/>
      <c r="Q1296" s="1293"/>
    </row>
    <row r="1297">
      <c r="A1297" s="67"/>
      <c r="B1297" s="764"/>
      <c r="C1297" s="575"/>
      <c r="D1297" s="575"/>
      <c r="E1297" s="1293"/>
      <c r="F1297" s="757"/>
      <c r="G1297" s="1294"/>
      <c r="H1297" s="1294"/>
      <c r="I1297" s="1294"/>
      <c r="J1297" s="757"/>
      <c r="K1297" s="757"/>
      <c r="L1297" s="1295"/>
      <c r="M1297" s="1296"/>
      <c r="N1297" s="1297"/>
      <c r="O1297" s="1291"/>
      <c r="P1297" s="1298"/>
      <c r="Q1297" s="1293"/>
    </row>
    <row r="1298">
      <c r="A1298" s="67"/>
      <c r="B1298" s="764"/>
      <c r="C1298" s="575"/>
      <c r="D1298" s="575"/>
      <c r="E1298" s="1293"/>
      <c r="F1298" s="757"/>
      <c r="G1298" s="1294"/>
      <c r="H1298" s="1294"/>
      <c r="I1298" s="1294"/>
      <c r="J1298" s="757"/>
      <c r="K1298" s="757"/>
      <c r="L1298" s="1295"/>
      <c r="M1298" s="1296"/>
      <c r="N1298" s="1297"/>
      <c r="O1298" s="1291"/>
      <c r="P1298" s="1298"/>
      <c r="Q1298" s="1293"/>
    </row>
    <row r="1299">
      <c r="A1299" s="67"/>
      <c r="B1299" s="764"/>
      <c r="C1299" s="575"/>
      <c r="D1299" s="575"/>
      <c r="E1299" s="1293"/>
      <c r="F1299" s="757"/>
      <c r="G1299" s="1294"/>
      <c r="H1299" s="1294"/>
      <c r="I1299" s="1294"/>
      <c r="J1299" s="757"/>
      <c r="K1299" s="757"/>
      <c r="L1299" s="1295"/>
      <c r="M1299" s="1296"/>
      <c r="N1299" s="1297"/>
      <c r="O1299" s="1291"/>
      <c r="P1299" s="1298"/>
      <c r="Q1299" s="1293"/>
    </row>
    <row r="1300">
      <c r="A1300" s="67"/>
      <c r="B1300" s="764"/>
      <c r="C1300" s="575"/>
      <c r="D1300" s="575"/>
      <c r="E1300" s="1293"/>
      <c r="F1300" s="757"/>
      <c r="G1300" s="1294"/>
      <c r="H1300" s="1294"/>
      <c r="I1300" s="1294"/>
      <c r="J1300" s="757"/>
      <c r="K1300" s="757"/>
      <c r="L1300" s="1295"/>
      <c r="M1300" s="1296"/>
      <c r="N1300" s="1297"/>
      <c r="O1300" s="1291"/>
      <c r="P1300" s="1298"/>
      <c r="Q1300" s="1293"/>
    </row>
    <row r="1301">
      <c r="A1301" s="67"/>
      <c r="B1301" s="764"/>
      <c r="C1301" s="575"/>
      <c r="D1301" s="575"/>
      <c r="E1301" s="1293"/>
      <c r="F1301" s="757"/>
      <c r="G1301" s="1294"/>
      <c r="H1301" s="1294"/>
      <c r="I1301" s="1294"/>
      <c r="J1301" s="757"/>
      <c r="K1301" s="757"/>
      <c r="L1301" s="1295"/>
      <c r="M1301" s="1296"/>
      <c r="N1301" s="1297"/>
      <c r="O1301" s="1291"/>
      <c r="P1301" s="1298"/>
      <c r="Q1301" s="1293"/>
    </row>
    <row r="1302">
      <c r="A1302" s="67"/>
      <c r="B1302" s="764"/>
      <c r="C1302" s="575"/>
      <c r="D1302" s="575"/>
      <c r="E1302" s="1293"/>
      <c r="F1302" s="757"/>
      <c r="G1302" s="1294"/>
      <c r="H1302" s="1294"/>
      <c r="I1302" s="1294"/>
      <c r="J1302" s="757"/>
      <c r="K1302" s="757"/>
      <c r="L1302" s="1295"/>
      <c r="M1302" s="1296"/>
      <c r="N1302" s="1297"/>
      <c r="O1302" s="1291"/>
      <c r="P1302" s="1298"/>
      <c r="Q1302" s="1293"/>
    </row>
    <row r="1303">
      <c r="A1303" s="67"/>
      <c r="B1303" s="764"/>
      <c r="C1303" s="575"/>
      <c r="D1303" s="575"/>
      <c r="E1303" s="1293"/>
      <c r="F1303" s="757"/>
      <c r="G1303" s="1294"/>
      <c r="H1303" s="1294"/>
      <c r="I1303" s="1294"/>
      <c r="J1303" s="757"/>
      <c r="K1303" s="757"/>
      <c r="L1303" s="1295"/>
      <c r="M1303" s="1296"/>
      <c r="N1303" s="1297"/>
      <c r="O1303" s="1291"/>
      <c r="P1303" s="1298"/>
      <c r="Q1303" s="1293"/>
    </row>
    <row r="1304">
      <c r="A1304" s="67"/>
      <c r="B1304" s="764"/>
      <c r="C1304" s="575"/>
      <c r="D1304" s="575"/>
      <c r="E1304" s="1293"/>
      <c r="F1304" s="757"/>
      <c r="G1304" s="1294"/>
      <c r="H1304" s="1294"/>
      <c r="I1304" s="1294"/>
      <c r="J1304" s="757"/>
      <c r="K1304" s="757"/>
      <c r="L1304" s="1295"/>
      <c r="M1304" s="1296"/>
      <c r="N1304" s="1297"/>
      <c r="O1304" s="1291"/>
      <c r="P1304" s="1298"/>
      <c r="Q1304" s="1293"/>
    </row>
    <row r="1305">
      <c r="A1305" s="67"/>
      <c r="B1305" s="764"/>
      <c r="C1305" s="575"/>
      <c r="D1305" s="575"/>
      <c r="E1305" s="1293"/>
      <c r="F1305" s="757"/>
      <c r="G1305" s="1294"/>
      <c r="H1305" s="1294"/>
      <c r="I1305" s="1294"/>
      <c r="J1305" s="757"/>
      <c r="K1305" s="757"/>
      <c r="L1305" s="1295"/>
      <c r="M1305" s="1296"/>
      <c r="N1305" s="1297"/>
      <c r="O1305" s="1291"/>
      <c r="P1305" s="1298"/>
      <c r="Q1305" s="1293"/>
    </row>
    <row r="1306">
      <c r="A1306" s="67"/>
      <c r="B1306" s="764"/>
      <c r="C1306" s="575"/>
      <c r="D1306" s="575"/>
      <c r="E1306" s="1293"/>
      <c r="F1306" s="757"/>
      <c r="G1306" s="1294"/>
      <c r="H1306" s="1294"/>
      <c r="I1306" s="1294"/>
      <c r="J1306" s="757"/>
      <c r="K1306" s="757"/>
      <c r="L1306" s="1295"/>
      <c r="M1306" s="1296"/>
      <c r="N1306" s="1297"/>
      <c r="O1306" s="1291"/>
      <c r="P1306" s="1298"/>
      <c r="Q1306" s="1293"/>
    </row>
    <row r="1307">
      <c r="A1307" s="67"/>
      <c r="B1307" s="764"/>
      <c r="C1307" s="575"/>
      <c r="D1307" s="575"/>
      <c r="E1307" s="1293"/>
      <c r="F1307" s="757"/>
      <c r="G1307" s="1294"/>
      <c r="H1307" s="1294"/>
      <c r="I1307" s="1294"/>
      <c r="J1307" s="757"/>
      <c r="K1307" s="757"/>
      <c r="L1307" s="1295"/>
      <c r="M1307" s="1296"/>
      <c r="N1307" s="1297"/>
      <c r="O1307" s="1291"/>
      <c r="P1307" s="1298"/>
      <c r="Q1307" s="1293"/>
    </row>
    <row r="1308">
      <c r="A1308" s="67"/>
      <c r="B1308" s="764"/>
      <c r="C1308" s="575"/>
      <c r="D1308" s="575"/>
      <c r="E1308" s="1293"/>
      <c r="F1308" s="757"/>
      <c r="G1308" s="1294"/>
      <c r="H1308" s="1294"/>
      <c r="I1308" s="1294"/>
      <c r="J1308" s="757"/>
      <c r="K1308" s="757"/>
      <c r="L1308" s="1295"/>
      <c r="M1308" s="1296"/>
      <c r="N1308" s="1297"/>
      <c r="O1308" s="1291"/>
      <c r="P1308" s="1298"/>
      <c r="Q1308" s="1293"/>
    </row>
    <row r="1309">
      <c r="A1309" s="67"/>
      <c r="B1309" s="764"/>
      <c r="C1309" s="575"/>
      <c r="D1309" s="575"/>
      <c r="E1309" s="1293"/>
      <c r="F1309" s="757"/>
      <c r="G1309" s="1294"/>
      <c r="H1309" s="1294"/>
      <c r="I1309" s="1294"/>
      <c r="J1309" s="757"/>
      <c r="K1309" s="757"/>
      <c r="L1309" s="1295"/>
      <c r="M1309" s="1296"/>
      <c r="N1309" s="1297"/>
      <c r="O1309" s="1291"/>
      <c r="P1309" s="1298"/>
      <c r="Q1309" s="1293"/>
    </row>
    <row r="1310">
      <c r="A1310" s="67"/>
      <c r="B1310" s="764"/>
      <c r="C1310" s="575"/>
      <c r="D1310" s="575"/>
      <c r="E1310" s="1293"/>
      <c r="F1310" s="757"/>
      <c r="G1310" s="1294"/>
      <c r="H1310" s="1294"/>
      <c r="I1310" s="1294"/>
      <c r="J1310" s="757"/>
      <c r="K1310" s="757"/>
      <c r="L1310" s="1295"/>
      <c r="M1310" s="1296"/>
      <c r="N1310" s="1297"/>
      <c r="O1310" s="1291"/>
      <c r="P1310" s="1298"/>
      <c r="Q1310" s="1293"/>
    </row>
    <row r="1311">
      <c r="A1311" s="67"/>
      <c r="B1311" s="764"/>
      <c r="C1311" s="575"/>
      <c r="D1311" s="575"/>
      <c r="E1311" s="1293"/>
      <c r="F1311" s="757"/>
      <c r="G1311" s="1294"/>
      <c r="H1311" s="1294"/>
      <c r="I1311" s="1294"/>
      <c r="J1311" s="757"/>
      <c r="K1311" s="757"/>
      <c r="L1311" s="1295"/>
      <c r="M1311" s="1296"/>
      <c r="N1311" s="1297"/>
      <c r="O1311" s="1291"/>
      <c r="P1311" s="1298"/>
      <c r="Q1311" s="1293"/>
    </row>
    <row r="1312">
      <c r="A1312" s="67"/>
      <c r="B1312" s="764"/>
      <c r="C1312" s="575"/>
      <c r="D1312" s="575"/>
      <c r="E1312" s="1293"/>
      <c r="F1312" s="757"/>
      <c r="G1312" s="1294"/>
      <c r="H1312" s="1294"/>
      <c r="I1312" s="1294"/>
      <c r="J1312" s="757"/>
      <c r="K1312" s="757"/>
      <c r="L1312" s="1295"/>
      <c r="M1312" s="1296"/>
      <c r="N1312" s="1297"/>
      <c r="O1312" s="1291"/>
      <c r="P1312" s="1298"/>
      <c r="Q1312" s="1293"/>
    </row>
    <row r="1313">
      <c r="A1313" s="67"/>
      <c r="B1313" s="764"/>
      <c r="C1313" s="575"/>
      <c r="D1313" s="575"/>
      <c r="E1313" s="1293"/>
      <c r="F1313" s="757"/>
      <c r="G1313" s="1294"/>
      <c r="H1313" s="1294"/>
      <c r="I1313" s="1294"/>
      <c r="J1313" s="757"/>
      <c r="K1313" s="757"/>
      <c r="L1313" s="1295"/>
      <c r="M1313" s="1296"/>
      <c r="N1313" s="1297"/>
      <c r="O1313" s="1291"/>
      <c r="P1313" s="1298"/>
      <c r="Q1313" s="1293"/>
    </row>
    <row r="1314">
      <c r="A1314" s="67"/>
      <c r="B1314" s="764"/>
      <c r="C1314" s="575"/>
      <c r="D1314" s="575"/>
      <c r="E1314" s="1293"/>
      <c r="F1314" s="757"/>
      <c r="G1314" s="1294"/>
      <c r="H1314" s="1294"/>
      <c r="I1314" s="1294"/>
      <c r="J1314" s="757"/>
      <c r="K1314" s="757"/>
      <c r="L1314" s="1295"/>
      <c r="M1314" s="1296"/>
      <c r="N1314" s="1297"/>
      <c r="O1314" s="1291"/>
      <c r="P1314" s="1298"/>
      <c r="Q1314" s="1293"/>
    </row>
    <row r="1315">
      <c r="A1315" s="67"/>
      <c r="B1315" s="764"/>
      <c r="C1315" s="575"/>
      <c r="D1315" s="575"/>
      <c r="E1315" s="1293"/>
      <c r="F1315" s="757"/>
      <c r="G1315" s="1294"/>
      <c r="H1315" s="1294"/>
      <c r="I1315" s="1294"/>
      <c r="J1315" s="757"/>
      <c r="K1315" s="757"/>
      <c r="L1315" s="1295"/>
      <c r="M1315" s="1296"/>
      <c r="N1315" s="1297"/>
      <c r="O1315" s="1291"/>
      <c r="P1315" s="1298"/>
      <c r="Q1315" s="1293"/>
    </row>
    <row r="1316">
      <c r="A1316" s="67"/>
      <c r="B1316" s="764"/>
      <c r="C1316" s="575"/>
      <c r="D1316" s="575"/>
      <c r="E1316" s="1293"/>
      <c r="F1316" s="757"/>
      <c r="G1316" s="1294"/>
      <c r="H1316" s="1294"/>
      <c r="I1316" s="1294"/>
      <c r="J1316" s="757"/>
      <c r="K1316" s="757"/>
      <c r="L1316" s="1295"/>
      <c r="M1316" s="1296"/>
      <c r="N1316" s="1297"/>
      <c r="O1316" s="1291"/>
      <c r="P1316" s="1298"/>
      <c r="Q1316" s="1293"/>
    </row>
    <row r="1317">
      <c r="A1317" s="67"/>
      <c r="B1317" s="764"/>
      <c r="C1317" s="575"/>
      <c r="D1317" s="575"/>
      <c r="E1317" s="1293"/>
      <c r="F1317" s="757"/>
      <c r="G1317" s="1294"/>
      <c r="H1317" s="1294"/>
      <c r="I1317" s="1294"/>
      <c r="J1317" s="757"/>
      <c r="K1317" s="757"/>
      <c r="L1317" s="1295"/>
      <c r="M1317" s="1296"/>
      <c r="N1317" s="1297"/>
      <c r="O1317" s="1291"/>
      <c r="P1317" s="1298"/>
      <c r="Q1317" s="1293"/>
    </row>
    <row r="1318">
      <c r="A1318" s="67"/>
      <c r="B1318" s="764"/>
      <c r="C1318" s="575"/>
      <c r="D1318" s="575"/>
      <c r="E1318" s="1293"/>
      <c r="F1318" s="757"/>
      <c r="G1318" s="1294"/>
      <c r="H1318" s="1294"/>
      <c r="I1318" s="1294"/>
      <c r="J1318" s="757"/>
      <c r="K1318" s="757"/>
      <c r="L1318" s="1295"/>
      <c r="M1318" s="1296"/>
      <c r="N1318" s="1297"/>
      <c r="O1318" s="1291"/>
      <c r="P1318" s="1298"/>
      <c r="Q1318" s="1293"/>
    </row>
    <row r="1319">
      <c r="A1319" s="67"/>
      <c r="B1319" s="764"/>
      <c r="C1319" s="575"/>
      <c r="D1319" s="575"/>
      <c r="E1319" s="1293"/>
      <c r="F1319" s="757"/>
      <c r="G1319" s="1294"/>
      <c r="H1319" s="1294"/>
      <c r="I1319" s="1294"/>
      <c r="J1319" s="757"/>
      <c r="K1319" s="757"/>
      <c r="L1319" s="1295"/>
      <c r="M1319" s="1296"/>
      <c r="N1319" s="1297"/>
      <c r="O1319" s="1291"/>
      <c r="P1319" s="1298"/>
      <c r="Q1319" s="1293"/>
    </row>
    <row r="1320">
      <c r="A1320" s="67"/>
      <c r="B1320" s="764"/>
      <c r="C1320" s="575"/>
      <c r="D1320" s="575"/>
      <c r="E1320" s="1293"/>
      <c r="F1320" s="757"/>
      <c r="G1320" s="1294"/>
      <c r="H1320" s="1294"/>
      <c r="I1320" s="1294"/>
      <c r="J1320" s="757"/>
      <c r="K1320" s="757"/>
      <c r="L1320" s="1295"/>
      <c r="M1320" s="1296"/>
      <c r="N1320" s="1297"/>
      <c r="O1320" s="1291"/>
      <c r="P1320" s="1298"/>
      <c r="Q1320" s="1293"/>
    </row>
    <row r="1321">
      <c r="A1321" s="67"/>
      <c r="B1321" s="764"/>
      <c r="C1321" s="575"/>
      <c r="D1321" s="575"/>
      <c r="E1321" s="1293"/>
      <c r="F1321" s="757"/>
      <c r="G1321" s="1294"/>
      <c r="H1321" s="1294"/>
      <c r="I1321" s="1294"/>
      <c r="J1321" s="757"/>
      <c r="K1321" s="757"/>
      <c r="L1321" s="1295"/>
      <c r="M1321" s="1296"/>
      <c r="N1321" s="1297"/>
      <c r="O1321" s="1291"/>
      <c r="P1321" s="1298"/>
      <c r="Q1321" s="1293"/>
    </row>
    <row r="1322">
      <c r="A1322" s="67"/>
      <c r="B1322" s="764"/>
      <c r="C1322" s="575"/>
      <c r="D1322" s="575"/>
      <c r="E1322" s="1293"/>
      <c r="F1322" s="757"/>
      <c r="G1322" s="1294"/>
      <c r="H1322" s="1294"/>
      <c r="I1322" s="1294"/>
      <c r="J1322" s="757"/>
      <c r="K1322" s="757"/>
      <c r="L1322" s="1295"/>
      <c r="M1322" s="1296"/>
      <c r="N1322" s="1297"/>
      <c r="O1322" s="1291"/>
      <c r="P1322" s="1298"/>
      <c r="Q1322" s="1293"/>
    </row>
    <row r="1323">
      <c r="A1323" s="67"/>
      <c r="B1323" s="764"/>
      <c r="C1323" s="575"/>
      <c r="D1323" s="575"/>
      <c r="E1323" s="1293"/>
      <c r="F1323" s="757"/>
      <c r="G1323" s="1294"/>
      <c r="H1323" s="1294"/>
      <c r="I1323" s="1294"/>
      <c r="J1323" s="757"/>
      <c r="K1323" s="757"/>
      <c r="L1323" s="1295"/>
      <c r="M1323" s="1296"/>
      <c r="N1323" s="1297"/>
      <c r="O1323" s="1291"/>
      <c r="P1323" s="1298"/>
      <c r="Q1323" s="1293"/>
    </row>
    <row r="1324">
      <c r="A1324" s="67"/>
      <c r="B1324" s="764"/>
      <c r="C1324" s="575"/>
      <c r="D1324" s="575"/>
      <c r="E1324" s="1293"/>
      <c r="F1324" s="757"/>
      <c r="G1324" s="1294"/>
      <c r="H1324" s="1294"/>
      <c r="I1324" s="1294"/>
      <c r="J1324" s="757"/>
      <c r="K1324" s="757"/>
      <c r="L1324" s="1295"/>
      <c r="M1324" s="1296"/>
      <c r="N1324" s="1297"/>
      <c r="O1324" s="1291"/>
      <c r="P1324" s="1298"/>
      <c r="Q1324" s="1293"/>
    </row>
    <row r="1325">
      <c r="A1325" s="67"/>
      <c r="B1325" s="764"/>
      <c r="C1325" s="575"/>
      <c r="D1325" s="575"/>
      <c r="E1325" s="1293"/>
      <c r="F1325" s="757"/>
      <c r="G1325" s="1294"/>
      <c r="H1325" s="1294"/>
      <c r="I1325" s="1294"/>
      <c r="J1325" s="757"/>
      <c r="K1325" s="757"/>
      <c r="L1325" s="1295"/>
      <c r="M1325" s="1296"/>
      <c r="N1325" s="1297"/>
      <c r="O1325" s="1291"/>
      <c r="P1325" s="1298"/>
      <c r="Q1325" s="1293"/>
    </row>
    <row r="1326">
      <c r="A1326" s="67"/>
      <c r="B1326" s="764"/>
      <c r="C1326" s="575"/>
      <c r="D1326" s="575"/>
      <c r="E1326" s="1293"/>
      <c r="F1326" s="757"/>
      <c r="G1326" s="1294"/>
      <c r="H1326" s="1294"/>
      <c r="I1326" s="1294"/>
      <c r="J1326" s="757"/>
      <c r="K1326" s="757"/>
      <c r="L1326" s="1295"/>
      <c r="M1326" s="1296"/>
      <c r="N1326" s="1297"/>
      <c r="O1326" s="1291"/>
      <c r="P1326" s="1298"/>
      <c r="Q1326" s="1293"/>
    </row>
    <row r="1327">
      <c r="A1327" s="67"/>
      <c r="B1327" s="764"/>
      <c r="C1327" s="575"/>
      <c r="D1327" s="575"/>
      <c r="E1327" s="1293"/>
      <c r="F1327" s="757"/>
      <c r="G1327" s="1294"/>
      <c r="H1327" s="1294"/>
      <c r="I1327" s="1294"/>
      <c r="J1327" s="757"/>
      <c r="K1327" s="757"/>
      <c r="L1327" s="1295"/>
      <c r="M1327" s="1296"/>
      <c r="N1327" s="1297"/>
      <c r="O1327" s="1291"/>
      <c r="P1327" s="1298"/>
      <c r="Q1327" s="1293"/>
    </row>
    <row r="1328">
      <c r="A1328" s="67"/>
      <c r="B1328" s="764"/>
      <c r="C1328" s="575"/>
      <c r="D1328" s="575"/>
      <c r="E1328" s="1293"/>
      <c r="F1328" s="757"/>
      <c r="G1328" s="1294"/>
      <c r="H1328" s="1294"/>
      <c r="I1328" s="1294"/>
      <c r="J1328" s="757"/>
      <c r="K1328" s="757"/>
      <c r="L1328" s="1295"/>
      <c r="M1328" s="1296"/>
      <c r="N1328" s="1297"/>
      <c r="O1328" s="1291"/>
      <c r="P1328" s="1298"/>
      <c r="Q1328" s="1293"/>
    </row>
    <row r="1329">
      <c r="A1329" s="67"/>
      <c r="B1329" s="764"/>
      <c r="C1329" s="575"/>
      <c r="D1329" s="575"/>
      <c r="E1329" s="1293"/>
      <c r="F1329" s="757"/>
      <c r="G1329" s="1294"/>
      <c r="H1329" s="1294"/>
      <c r="I1329" s="1294"/>
      <c r="J1329" s="757"/>
      <c r="K1329" s="757"/>
      <c r="L1329" s="1295"/>
      <c r="M1329" s="1296"/>
      <c r="N1329" s="1297"/>
      <c r="O1329" s="1291"/>
      <c r="P1329" s="1298"/>
      <c r="Q1329" s="1293"/>
    </row>
    <row r="1330">
      <c r="A1330" s="67"/>
      <c r="B1330" s="764"/>
      <c r="C1330" s="575"/>
      <c r="D1330" s="575"/>
      <c r="E1330" s="1293"/>
      <c r="F1330" s="757"/>
      <c r="G1330" s="1294"/>
      <c r="H1330" s="1294"/>
      <c r="I1330" s="1294"/>
      <c r="J1330" s="757"/>
      <c r="K1330" s="757"/>
      <c r="L1330" s="1295"/>
      <c r="M1330" s="1296"/>
      <c r="N1330" s="1297"/>
      <c r="O1330" s="1291"/>
      <c r="P1330" s="1298"/>
      <c r="Q1330" s="1293"/>
    </row>
    <row r="1331">
      <c r="A1331" s="67"/>
      <c r="B1331" s="764"/>
      <c r="C1331" s="575"/>
      <c r="D1331" s="575"/>
      <c r="E1331" s="1293"/>
      <c r="F1331" s="757"/>
      <c r="G1331" s="1294"/>
      <c r="H1331" s="1294"/>
      <c r="I1331" s="1294"/>
      <c r="J1331" s="757"/>
      <c r="K1331" s="757"/>
      <c r="L1331" s="1295"/>
      <c r="M1331" s="1296"/>
      <c r="N1331" s="1297"/>
      <c r="O1331" s="1291"/>
      <c r="P1331" s="1298"/>
      <c r="Q1331" s="1293"/>
    </row>
    <row r="1332">
      <c r="A1332" s="67"/>
      <c r="B1332" s="764"/>
      <c r="C1332" s="575"/>
      <c r="D1332" s="575"/>
      <c r="E1332" s="1293"/>
      <c r="F1332" s="757"/>
      <c r="G1332" s="1294"/>
      <c r="H1332" s="1294"/>
      <c r="I1332" s="1294"/>
      <c r="J1332" s="757"/>
      <c r="K1332" s="757"/>
      <c r="L1332" s="1295"/>
      <c r="M1332" s="1296"/>
      <c r="N1332" s="1297"/>
      <c r="O1332" s="1291"/>
      <c r="P1332" s="1298"/>
      <c r="Q1332" s="1293"/>
    </row>
    <row r="1333">
      <c r="A1333" s="67"/>
      <c r="B1333" s="764"/>
      <c r="C1333" s="575"/>
      <c r="D1333" s="575"/>
      <c r="E1333" s="1293"/>
      <c r="F1333" s="757"/>
      <c r="G1333" s="1294"/>
      <c r="H1333" s="1294"/>
      <c r="I1333" s="1294"/>
      <c r="J1333" s="757"/>
      <c r="K1333" s="757"/>
      <c r="L1333" s="1295"/>
      <c r="M1333" s="1296"/>
      <c r="N1333" s="1297"/>
      <c r="O1333" s="1291"/>
      <c r="P1333" s="1298"/>
      <c r="Q1333" s="1293"/>
    </row>
    <row r="1334">
      <c r="A1334" s="67"/>
      <c r="B1334" s="764"/>
      <c r="C1334" s="575"/>
      <c r="D1334" s="575"/>
      <c r="E1334" s="1293"/>
      <c r="F1334" s="757"/>
      <c r="G1334" s="1294"/>
      <c r="H1334" s="1294"/>
      <c r="I1334" s="1294"/>
      <c r="J1334" s="757"/>
      <c r="K1334" s="757"/>
      <c r="L1334" s="1295"/>
      <c r="M1334" s="1296"/>
      <c r="N1334" s="1297"/>
      <c r="O1334" s="1291"/>
      <c r="P1334" s="1298"/>
      <c r="Q1334" s="1293"/>
    </row>
    <row r="1335">
      <c r="A1335" s="67"/>
      <c r="B1335" s="764"/>
      <c r="C1335" s="575"/>
      <c r="D1335" s="575"/>
      <c r="E1335" s="1293"/>
      <c r="F1335" s="757"/>
      <c r="G1335" s="1294"/>
      <c r="H1335" s="1294"/>
      <c r="I1335" s="1294"/>
      <c r="J1335" s="757"/>
      <c r="K1335" s="757"/>
      <c r="L1335" s="1295"/>
      <c r="M1335" s="1296"/>
      <c r="N1335" s="1297"/>
      <c r="O1335" s="1291"/>
      <c r="P1335" s="1298"/>
      <c r="Q1335" s="1293"/>
    </row>
    <row r="1336">
      <c r="A1336" s="67"/>
      <c r="B1336" s="764"/>
      <c r="C1336" s="575"/>
      <c r="D1336" s="575"/>
      <c r="E1336" s="1293"/>
      <c r="F1336" s="757"/>
      <c r="G1336" s="1294"/>
      <c r="H1336" s="1294"/>
      <c r="I1336" s="1294"/>
      <c r="J1336" s="757"/>
      <c r="K1336" s="757"/>
      <c r="L1336" s="1295"/>
      <c r="M1336" s="1296"/>
      <c r="N1336" s="1297"/>
      <c r="O1336" s="1291"/>
      <c r="P1336" s="1298"/>
      <c r="Q1336" s="1293"/>
    </row>
    <row r="1337">
      <c r="A1337" s="67"/>
      <c r="B1337" s="764"/>
      <c r="C1337" s="575"/>
      <c r="D1337" s="575"/>
      <c r="E1337" s="1293"/>
      <c r="F1337" s="757"/>
      <c r="G1337" s="1294"/>
      <c r="H1337" s="1294"/>
      <c r="I1337" s="1294"/>
      <c r="J1337" s="757"/>
      <c r="K1337" s="757"/>
      <c r="L1337" s="1295"/>
      <c r="M1337" s="1296"/>
      <c r="N1337" s="1297"/>
      <c r="O1337" s="1291"/>
      <c r="P1337" s="1298"/>
      <c r="Q1337" s="1293"/>
    </row>
    <row r="1338">
      <c r="A1338" s="67"/>
      <c r="B1338" s="764"/>
      <c r="C1338" s="575"/>
      <c r="D1338" s="575"/>
      <c r="E1338" s="1293"/>
      <c r="F1338" s="757"/>
      <c r="G1338" s="1294"/>
      <c r="H1338" s="1294"/>
      <c r="I1338" s="1294"/>
      <c r="J1338" s="757"/>
      <c r="K1338" s="757"/>
      <c r="L1338" s="1295"/>
      <c r="M1338" s="1296"/>
      <c r="N1338" s="1297"/>
      <c r="O1338" s="1291"/>
      <c r="P1338" s="1298"/>
      <c r="Q1338" s="1293"/>
    </row>
    <row r="1339">
      <c r="A1339" s="67"/>
      <c r="B1339" s="764"/>
      <c r="C1339" s="575"/>
      <c r="D1339" s="575"/>
      <c r="E1339" s="1293"/>
      <c r="F1339" s="757"/>
      <c r="G1339" s="1294"/>
      <c r="H1339" s="1294"/>
      <c r="I1339" s="1294"/>
      <c r="J1339" s="757"/>
      <c r="K1339" s="757"/>
      <c r="L1339" s="1295"/>
      <c r="M1339" s="1296"/>
      <c r="N1339" s="1297"/>
      <c r="O1339" s="1291"/>
      <c r="P1339" s="1298"/>
      <c r="Q1339" s="1293"/>
    </row>
    <row r="1340">
      <c r="A1340" s="67"/>
      <c r="B1340" s="764"/>
      <c r="C1340" s="575"/>
      <c r="D1340" s="575"/>
      <c r="E1340" s="1293"/>
      <c r="F1340" s="757"/>
      <c r="G1340" s="1294"/>
      <c r="H1340" s="1294"/>
      <c r="I1340" s="1294"/>
      <c r="J1340" s="757"/>
      <c r="K1340" s="757"/>
      <c r="L1340" s="1295"/>
      <c r="M1340" s="1296"/>
      <c r="N1340" s="1297"/>
      <c r="O1340" s="1291"/>
      <c r="P1340" s="1298"/>
      <c r="Q1340" s="1293"/>
    </row>
    <row r="1341">
      <c r="A1341" s="67"/>
      <c r="B1341" s="764"/>
      <c r="C1341" s="575"/>
      <c r="D1341" s="575"/>
      <c r="E1341" s="1293"/>
      <c r="F1341" s="757"/>
      <c r="G1341" s="1294"/>
      <c r="H1341" s="1294"/>
      <c r="I1341" s="1294"/>
      <c r="J1341" s="757"/>
      <c r="K1341" s="757"/>
      <c r="L1341" s="1295"/>
      <c r="M1341" s="1296"/>
      <c r="N1341" s="1297"/>
      <c r="O1341" s="1291"/>
      <c r="P1341" s="1298"/>
      <c r="Q1341" s="1293"/>
    </row>
    <row r="1342">
      <c r="A1342" s="67"/>
      <c r="B1342" s="764"/>
      <c r="C1342" s="575"/>
      <c r="D1342" s="575"/>
      <c r="E1342" s="1293"/>
      <c r="F1342" s="757"/>
      <c r="G1342" s="1294"/>
      <c r="H1342" s="1294"/>
      <c r="I1342" s="1294"/>
      <c r="J1342" s="757"/>
      <c r="K1342" s="757"/>
      <c r="L1342" s="1295"/>
      <c r="M1342" s="1296"/>
      <c r="N1342" s="1297"/>
      <c r="O1342" s="1291"/>
      <c r="P1342" s="1298"/>
      <c r="Q1342" s="1293"/>
    </row>
    <row r="1343">
      <c r="A1343" s="67"/>
      <c r="B1343" s="764"/>
      <c r="C1343" s="575"/>
      <c r="D1343" s="575"/>
      <c r="E1343" s="1293"/>
      <c r="F1343" s="757"/>
      <c r="G1343" s="1294"/>
      <c r="H1343" s="1294"/>
      <c r="I1343" s="1294"/>
      <c r="J1343" s="757"/>
      <c r="K1343" s="757"/>
      <c r="L1343" s="1295"/>
      <c r="M1343" s="1296"/>
      <c r="N1343" s="1297"/>
      <c r="O1343" s="1291"/>
      <c r="P1343" s="1298"/>
      <c r="Q1343" s="1293"/>
    </row>
    <row r="1344">
      <c r="A1344" s="67"/>
      <c r="B1344" s="764"/>
      <c r="C1344" s="575"/>
      <c r="D1344" s="575"/>
      <c r="E1344" s="1293"/>
      <c r="F1344" s="757"/>
      <c r="G1344" s="1294"/>
      <c r="H1344" s="1294"/>
      <c r="I1344" s="1294"/>
      <c r="J1344" s="757"/>
      <c r="K1344" s="757"/>
      <c r="L1344" s="1295"/>
      <c r="M1344" s="1296"/>
      <c r="N1344" s="1297"/>
      <c r="O1344" s="1291"/>
      <c r="P1344" s="1298"/>
      <c r="Q1344" s="1293"/>
    </row>
    <row r="1345">
      <c r="A1345" s="67"/>
      <c r="B1345" s="764"/>
      <c r="C1345" s="575"/>
      <c r="D1345" s="575"/>
      <c r="E1345" s="1293"/>
      <c r="F1345" s="757"/>
      <c r="G1345" s="1294"/>
      <c r="H1345" s="1294"/>
      <c r="I1345" s="1294"/>
      <c r="J1345" s="757"/>
      <c r="K1345" s="757"/>
      <c r="L1345" s="1295"/>
      <c r="M1345" s="1296"/>
      <c r="N1345" s="1297"/>
      <c r="O1345" s="1291"/>
      <c r="P1345" s="1298"/>
      <c r="Q1345" s="1293"/>
    </row>
    <row r="1346">
      <c r="A1346" s="67"/>
      <c r="B1346" s="764"/>
      <c r="C1346" s="575"/>
      <c r="D1346" s="575"/>
      <c r="E1346" s="1293"/>
      <c r="F1346" s="757"/>
      <c r="G1346" s="1294"/>
      <c r="H1346" s="1294"/>
      <c r="I1346" s="1294"/>
      <c r="J1346" s="757"/>
      <c r="K1346" s="757"/>
      <c r="L1346" s="1295"/>
      <c r="M1346" s="1296"/>
      <c r="N1346" s="1297"/>
      <c r="O1346" s="1291"/>
      <c r="P1346" s="1298"/>
      <c r="Q1346" s="1293"/>
    </row>
    <row r="1347">
      <c r="A1347" s="67"/>
      <c r="B1347" s="764"/>
      <c r="C1347" s="575"/>
      <c r="D1347" s="575"/>
      <c r="E1347" s="1293"/>
      <c r="F1347" s="757"/>
      <c r="G1347" s="1294"/>
      <c r="H1347" s="1294"/>
      <c r="I1347" s="1294"/>
      <c r="J1347" s="757"/>
      <c r="K1347" s="757"/>
      <c r="L1347" s="1295"/>
      <c r="M1347" s="1296"/>
      <c r="N1347" s="1297"/>
      <c r="O1347" s="1291"/>
      <c r="P1347" s="1298"/>
      <c r="Q1347" s="1293"/>
    </row>
    <row r="1348">
      <c r="A1348" s="67"/>
      <c r="B1348" s="764"/>
      <c r="C1348" s="575"/>
      <c r="D1348" s="575"/>
      <c r="E1348" s="1293"/>
      <c r="F1348" s="757"/>
      <c r="G1348" s="1294"/>
      <c r="H1348" s="1294"/>
      <c r="I1348" s="1294"/>
      <c r="J1348" s="757"/>
      <c r="K1348" s="757"/>
      <c r="L1348" s="1295"/>
      <c r="M1348" s="1296"/>
      <c r="N1348" s="1297"/>
      <c r="O1348" s="1291"/>
      <c r="P1348" s="1298"/>
      <c r="Q1348" s="1293"/>
    </row>
    <row r="1349">
      <c r="A1349" s="67"/>
      <c r="B1349" s="764"/>
      <c r="C1349" s="575"/>
      <c r="D1349" s="575"/>
      <c r="E1349" s="1293"/>
      <c r="F1349" s="757"/>
      <c r="G1349" s="1294"/>
      <c r="H1349" s="1294"/>
      <c r="I1349" s="1294"/>
      <c r="J1349" s="757"/>
      <c r="K1349" s="757"/>
      <c r="L1349" s="1295"/>
      <c r="M1349" s="1296"/>
      <c r="N1349" s="1297"/>
      <c r="O1349" s="1291"/>
      <c r="P1349" s="1298"/>
      <c r="Q1349" s="1293"/>
    </row>
    <row r="1350">
      <c r="A1350" s="67"/>
      <c r="B1350" s="764"/>
      <c r="C1350" s="575"/>
      <c r="D1350" s="575"/>
      <c r="E1350" s="1293"/>
      <c r="F1350" s="757"/>
      <c r="G1350" s="1294"/>
      <c r="H1350" s="1294"/>
      <c r="I1350" s="1294"/>
      <c r="J1350" s="757"/>
      <c r="K1350" s="757"/>
      <c r="L1350" s="1295"/>
      <c r="M1350" s="1296"/>
      <c r="N1350" s="1297"/>
      <c r="O1350" s="1291"/>
      <c r="P1350" s="1298"/>
      <c r="Q1350" s="1293"/>
    </row>
    <row r="1351">
      <c r="A1351" s="67"/>
      <c r="B1351" s="764"/>
      <c r="C1351" s="575"/>
      <c r="D1351" s="575"/>
      <c r="E1351" s="1293"/>
      <c r="F1351" s="757"/>
      <c r="G1351" s="1294"/>
      <c r="H1351" s="1294"/>
      <c r="I1351" s="1294"/>
      <c r="J1351" s="757"/>
      <c r="K1351" s="757"/>
      <c r="L1351" s="1295"/>
      <c r="M1351" s="1296"/>
      <c r="N1351" s="1297"/>
      <c r="O1351" s="1291"/>
      <c r="P1351" s="1298"/>
      <c r="Q1351" s="1293"/>
    </row>
    <row r="1352">
      <c r="A1352" s="67"/>
      <c r="B1352" s="764"/>
      <c r="C1352" s="575"/>
      <c r="D1352" s="575"/>
      <c r="E1352" s="1293"/>
      <c r="F1352" s="757"/>
      <c r="G1352" s="1294"/>
      <c r="H1352" s="1294"/>
      <c r="I1352" s="1294"/>
      <c r="J1352" s="757"/>
      <c r="K1352" s="757"/>
      <c r="L1352" s="1295"/>
      <c r="M1352" s="1296"/>
      <c r="N1352" s="1297"/>
      <c r="O1352" s="1291"/>
      <c r="P1352" s="1298"/>
      <c r="Q1352" s="1293"/>
    </row>
    <row r="1353">
      <c r="A1353" s="67"/>
      <c r="B1353" s="764"/>
      <c r="C1353" s="575"/>
      <c r="D1353" s="575"/>
      <c r="E1353" s="1293"/>
      <c r="F1353" s="757"/>
      <c r="G1353" s="1294"/>
      <c r="H1353" s="1294"/>
      <c r="I1353" s="1294"/>
      <c r="J1353" s="757"/>
      <c r="K1353" s="757"/>
      <c r="L1353" s="1295"/>
      <c r="M1353" s="1296"/>
      <c r="N1353" s="1297"/>
      <c r="O1353" s="1291"/>
      <c r="P1353" s="1298"/>
      <c r="Q1353" s="1293"/>
    </row>
    <row r="1354">
      <c r="A1354" s="67"/>
      <c r="B1354" s="764"/>
      <c r="C1354" s="575"/>
      <c r="D1354" s="575"/>
      <c r="E1354" s="1293"/>
      <c r="F1354" s="757"/>
      <c r="G1354" s="1294"/>
      <c r="H1354" s="1294"/>
      <c r="I1354" s="1294"/>
      <c r="J1354" s="757"/>
      <c r="K1354" s="757"/>
      <c r="L1354" s="1295"/>
      <c r="M1354" s="1296"/>
      <c r="N1354" s="1297"/>
      <c r="O1354" s="1291"/>
      <c r="P1354" s="1298"/>
      <c r="Q1354" s="1293"/>
    </row>
    <row r="1355">
      <c r="A1355" s="67"/>
      <c r="B1355" s="764"/>
      <c r="C1355" s="575"/>
      <c r="D1355" s="575"/>
      <c r="E1355" s="1293"/>
      <c r="F1355" s="757"/>
      <c r="G1355" s="1294"/>
      <c r="H1355" s="1294"/>
      <c r="I1355" s="1294"/>
      <c r="J1355" s="757"/>
      <c r="K1355" s="757"/>
      <c r="L1355" s="1295"/>
      <c r="M1355" s="1296"/>
      <c r="N1355" s="1297"/>
      <c r="O1355" s="1291"/>
      <c r="P1355" s="1298"/>
      <c r="Q1355" s="1293"/>
    </row>
    <row r="1356">
      <c r="A1356" s="67"/>
      <c r="B1356" s="764"/>
      <c r="C1356" s="575"/>
      <c r="D1356" s="575"/>
      <c r="E1356" s="1293"/>
      <c r="F1356" s="757"/>
      <c r="G1356" s="1294"/>
      <c r="H1356" s="1294"/>
      <c r="I1356" s="1294"/>
      <c r="J1356" s="757"/>
      <c r="K1356" s="757"/>
      <c r="L1356" s="1295"/>
      <c r="M1356" s="1296"/>
      <c r="N1356" s="1297"/>
      <c r="O1356" s="1291"/>
      <c r="P1356" s="1298"/>
      <c r="Q1356" s="1293"/>
    </row>
    <row r="1357">
      <c r="A1357" s="67"/>
      <c r="B1357" s="764"/>
      <c r="C1357" s="575"/>
      <c r="D1357" s="575"/>
      <c r="E1357" s="1293"/>
      <c r="F1357" s="757"/>
      <c r="G1357" s="1294"/>
      <c r="H1357" s="1294"/>
      <c r="I1357" s="1294"/>
      <c r="J1357" s="757"/>
      <c r="K1357" s="757"/>
      <c r="L1357" s="1295"/>
      <c r="M1357" s="1296"/>
      <c r="N1357" s="1297"/>
      <c r="O1357" s="1291"/>
      <c r="P1357" s="1298"/>
      <c r="Q1357" s="1293"/>
    </row>
    <row r="1358">
      <c r="A1358" s="67"/>
      <c r="B1358" s="764"/>
      <c r="C1358" s="575"/>
      <c r="D1358" s="575"/>
      <c r="E1358" s="1293"/>
      <c r="F1358" s="757"/>
      <c r="G1358" s="1294"/>
      <c r="H1358" s="1294"/>
      <c r="I1358" s="1294"/>
      <c r="J1358" s="757"/>
      <c r="K1358" s="757"/>
      <c r="L1358" s="1295"/>
      <c r="M1358" s="1296"/>
      <c r="N1358" s="1297"/>
      <c r="O1358" s="1291"/>
      <c r="P1358" s="1298"/>
      <c r="Q1358" s="1293"/>
    </row>
    <row r="1359">
      <c r="A1359" s="67"/>
      <c r="B1359" s="764"/>
      <c r="C1359" s="575"/>
      <c r="D1359" s="575"/>
      <c r="E1359" s="1293"/>
      <c r="F1359" s="757"/>
      <c r="G1359" s="1294"/>
      <c r="H1359" s="1294"/>
      <c r="I1359" s="1294"/>
      <c r="J1359" s="757"/>
      <c r="K1359" s="757"/>
      <c r="L1359" s="1295"/>
      <c r="M1359" s="1296"/>
      <c r="N1359" s="1297"/>
      <c r="O1359" s="1291"/>
      <c r="P1359" s="1298"/>
      <c r="Q1359" s="1293"/>
    </row>
    <row r="1360">
      <c r="A1360" s="67"/>
      <c r="B1360" s="764"/>
      <c r="C1360" s="575"/>
      <c r="D1360" s="575"/>
      <c r="E1360" s="1293"/>
      <c r="F1360" s="757"/>
      <c r="G1360" s="1294"/>
      <c r="H1360" s="1294"/>
      <c r="I1360" s="1294"/>
      <c r="J1360" s="757"/>
      <c r="K1360" s="757"/>
      <c r="L1360" s="1295"/>
      <c r="M1360" s="1296"/>
      <c r="N1360" s="1297"/>
      <c r="O1360" s="1291"/>
      <c r="P1360" s="1298"/>
      <c r="Q1360" s="1293"/>
    </row>
    <row r="1361">
      <c r="A1361" s="67"/>
      <c r="B1361" s="764"/>
      <c r="C1361" s="575"/>
      <c r="D1361" s="575"/>
      <c r="E1361" s="1293"/>
      <c r="F1361" s="757"/>
      <c r="G1361" s="1294"/>
      <c r="H1361" s="1294"/>
      <c r="I1361" s="1294"/>
      <c r="J1361" s="757"/>
      <c r="K1361" s="757"/>
      <c r="L1361" s="1295"/>
      <c r="M1361" s="1296"/>
      <c r="N1361" s="1297"/>
      <c r="O1361" s="1291"/>
      <c r="P1361" s="1298"/>
      <c r="Q1361" s="1293"/>
    </row>
    <row r="1362">
      <c r="A1362" s="67"/>
      <c r="B1362" s="764"/>
      <c r="C1362" s="575"/>
      <c r="D1362" s="575"/>
      <c r="E1362" s="1293"/>
      <c r="F1362" s="757"/>
      <c r="G1362" s="1294"/>
      <c r="H1362" s="1294"/>
      <c r="I1362" s="1294"/>
      <c r="J1362" s="757"/>
      <c r="K1362" s="757"/>
      <c r="L1362" s="1295"/>
      <c r="M1362" s="1296"/>
      <c r="N1362" s="1297"/>
      <c r="O1362" s="1291"/>
      <c r="P1362" s="1298"/>
      <c r="Q1362" s="1293"/>
    </row>
    <row r="1363">
      <c r="A1363" s="67"/>
      <c r="B1363" s="764"/>
      <c r="C1363" s="575"/>
      <c r="D1363" s="575"/>
      <c r="E1363" s="1293"/>
      <c r="F1363" s="757"/>
      <c r="G1363" s="1294"/>
      <c r="H1363" s="1294"/>
      <c r="I1363" s="1294"/>
      <c r="J1363" s="757"/>
      <c r="K1363" s="757"/>
      <c r="L1363" s="1295"/>
      <c r="M1363" s="1296"/>
      <c r="N1363" s="1297"/>
      <c r="O1363" s="1291"/>
      <c r="P1363" s="1298"/>
      <c r="Q1363" s="1293"/>
    </row>
    <row r="1364">
      <c r="A1364" s="67"/>
      <c r="B1364" s="764"/>
      <c r="C1364" s="575"/>
      <c r="D1364" s="575"/>
      <c r="E1364" s="1293"/>
      <c r="F1364" s="757"/>
      <c r="G1364" s="1294"/>
      <c r="H1364" s="1294"/>
      <c r="I1364" s="1294"/>
      <c r="J1364" s="757"/>
      <c r="K1364" s="757"/>
      <c r="L1364" s="1295"/>
      <c r="M1364" s="1296"/>
      <c r="N1364" s="1297"/>
      <c r="O1364" s="1291"/>
      <c r="P1364" s="1298"/>
      <c r="Q1364" s="1293"/>
    </row>
    <row r="1365">
      <c r="A1365" s="67"/>
      <c r="B1365" s="764"/>
      <c r="C1365" s="575"/>
      <c r="D1365" s="575"/>
      <c r="E1365" s="1293"/>
      <c r="F1365" s="757"/>
      <c r="G1365" s="1294"/>
      <c r="H1365" s="1294"/>
      <c r="I1365" s="1294"/>
      <c r="J1365" s="757"/>
      <c r="K1365" s="757"/>
      <c r="L1365" s="1295"/>
      <c r="M1365" s="1296"/>
      <c r="N1365" s="1297"/>
      <c r="O1365" s="1291"/>
      <c r="P1365" s="1298"/>
      <c r="Q1365" s="1293"/>
    </row>
    <row r="1366">
      <c r="A1366" s="67"/>
      <c r="B1366" s="764"/>
      <c r="C1366" s="575"/>
      <c r="D1366" s="575"/>
      <c r="E1366" s="1293"/>
      <c r="F1366" s="757"/>
      <c r="G1366" s="1294"/>
      <c r="H1366" s="1294"/>
      <c r="I1366" s="1294"/>
      <c r="J1366" s="757"/>
      <c r="K1366" s="757"/>
      <c r="L1366" s="1295"/>
      <c r="M1366" s="1296"/>
      <c r="N1366" s="1297"/>
      <c r="O1366" s="1291"/>
      <c r="P1366" s="1298"/>
      <c r="Q1366" s="1293"/>
    </row>
    <row r="1367">
      <c r="A1367" s="67"/>
      <c r="B1367" s="764"/>
      <c r="C1367" s="575"/>
      <c r="D1367" s="575"/>
      <c r="E1367" s="1293"/>
      <c r="F1367" s="757"/>
      <c r="G1367" s="1294"/>
      <c r="H1367" s="1294"/>
      <c r="I1367" s="1294"/>
      <c r="J1367" s="757"/>
      <c r="K1367" s="757"/>
      <c r="L1367" s="1295"/>
      <c r="M1367" s="1296"/>
      <c r="N1367" s="1297"/>
      <c r="O1367" s="1291"/>
      <c r="P1367" s="1298"/>
      <c r="Q1367" s="1293"/>
    </row>
    <row r="1368">
      <c r="A1368" s="67"/>
      <c r="B1368" s="764"/>
      <c r="C1368" s="575"/>
      <c r="D1368" s="575"/>
      <c r="E1368" s="1293"/>
      <c r="F1368" s="757"/>
      <c r="G1368" s="1294"/>
      <c r="H1368" s="1294"/>
      <c r="I1368" s="1294"/>
      <c r="J1368" s="757"/>
      <c r="K1368" s="757"/>
      <c r="L1368" s="1295"/>
      <c r="M1368" s="1296"/>
      <c r="N1368" s="1297"/>
      <c r="O1368" s="1291"/>
      <c r="P1368" s="1298"/>
      <c r="Q1368" s="1293"/>
    </row>
    <row r="1369">
      <c r="A1369" s="67"/>
      <c r="B1369" s="764"/>
      <c r="C1369" s="575"/>
      <c r="D1369" s="575"/>
      <c r="E1369" s="1293"/>
      <c r="F1369" s="757"/>
      <c r="G1369" s="1294"/>
      <c r="H1369" s="1294"/>
      <c r="I1369" s="1294"/>
      <c r="J1369" s="757"/>
      <c r="K1369" s="757"/>
      <c r="L1369" s="1295"/>
      <c r="M1369" s="1296"/>
      <c r="N1369" s="1297"/>
      <c r="O1369" s="1291"/>
      <c r="P1369" s="1298"/>
      <c r="Q1369" s="1293"/>
    </row>
    <row r="1370">
      <c r="A1370" s="67"/>
      <c r="B1370" s="764"/>
      <c r="C1370" s="575"/>
      <c r="D1370" s="575"/>
      <c r="E1370" s="1293"/>
      <c r="F1370" s="757"/>
      <c r="G1370" s="1294"/>
      <c r="H1370" s="1294"/>
      <c r="I1370" s="1294"/>
      <c r="J1370" s="757"/>
      <c r="K1370" s="757"/>
      <c r="L1370" s="1295"/>
      <c r="M1370" s="1296"/>
      <c r="N1370" s="1297"/>
      <c r="O1370" s="1291"/>
      <c r="P1370" s="1298"/>
      <c r="Q1370" s="1293"/>
    </row>
    <row r="1371">
      <c r="A1371" s="67"/>
      <c r="B1371" s="764"/>
      <c r="C1371" s="575"/>
      <c r="D1371" s="575"/>
      <c r="E1371" s="1293"/>
      <c r="F1371" s="757"/>
      <c r="G1371" s="1294"/>
      <c r="H1371" s="1294"/>
      <c r="I1371" s="1294"/>
      <c r="J1371" s="757"/>
      <c r="K1371" s="757"/>
      <c r="L1371" s="1295"/>
      <c r="M1371" s="1296"/>
      <c r="N1371" s="1297"/>
      <c r="O1371" s="1291"/>
      <c r="P1371" s="1298"/>
      <c r="Q1371" s="1293"/>
    </row>
    <row r="1372">
      <c r="A1372" s="67"/>
      <c r="B1372" s="764"/>
      <c r="C1372" s="575"/>
      <c r="D1372" s="575"/>
      <c r="E1372" s="1293"/>
      <c r="F1372" s="757"/>
      <c r="G1372" s="1294"/>
      <c r="H1372" s="1294"/>
      <c r="I1372" s="1294"/>
      <c r="J1372" s="757"/>
      <c r="K1372" s="757"/>
      <c r="L1372" s="1295"/>
      <c r="M1372" s="1296"/>
      <c r="N1372" s="1297"/>
      <c r="O1372" s="1291"/>
      <c r="P1372" s="1298"/>
      <c r="Q1372" s="1293"/>
    </row>
    <row r="1373">
      <c r="A1373" s="67"/>
      <c r="B1373" s="764"/>
      <c r="C1373" s="575"/>
      <c r="D1373" s="575"/>
      <c r="E1373" s="1293"/>
      <c r="F1373" s="757"/>
      <c r="G1373" s="1294"/>
      <c r="H1373" s="1294"/>
      <c r="I1373" s="1294"/>
      <c r="J1373" s="757"/>
      <c r="K1373" s="757"/>
      <c r="L1373" s="1295"/>
      <c r="M1373" s="1296"/>
      <c r="N1373" s="1297"/>
      <c r="O1373" s="1291"/>
      <c r="P1373" s="1298"/>
      <c r="Q1373" s="1293"/>
    </row>
    <row r="1374">
      <c r="A1374" s="67"/>
      <c r="B1374" s="764"/>
      <c r="C1374" s="575"/>
      <c r="D1374" s="575"/>
      <c r="E1374" s="1293"/>
      <c r="F1374" s="757"/>
      <c r="G1374" s="1294"/>
      <c r="H1374" s="1294"/>
      <c r="I1374" s="1294"/>
      <c r="J1374" s="757"/>
      <c r="K1374" s="757"/>
      <c r="L1374" s="1295"/>
      <c r="M1374" s="1296"/>
      <c r="N1374" s="1297"/>
      <c r="O1374" s="1291"/>
      <c r="P1374" s="1298"/>
      <c r="Q1374" s="1293"/>
    </row>
    <row r="1375">
      <c r="A1375" s="67"/>
      <c r="B1375" s="764"/>
      <c r="C1375" s="575"/>
      <c r="D1375" s="575"/>
      <c r="E1375" s="1293"/>
      <c r="F1375" s="757"/>
      <c r="G1375" s="1294"/>
      <c r="H1375" s="1294"/>
      <c r="I1375" s="1294"/>
      <c r="J1375" s="757"/>
      <c r="K1375" s="757"/>
      <c r="L1375" s="1295"/>
      <c r="M1375" s="1296"/>
      <c r="N1375" s="1297"/>
      <c r="O1375" s="1291"/>
      <c r="P1375" s="1298"/>
      <c r="Q1375" s="1293"/>
    </row>
    <row r="1376">
      <c r="A1376" s="67"/>
      <c r="B1376" s="764"/>
      <c r="C1376" s="575"/>
      <c r="D1376" s="575"/>
      <c r="E1376" s="1293"/>
      <c r="F1376" s="757"/>
      <c r="G1376" s="1294"/>
      <c r="H1376" s="1294"/>
      <c r="I1376" s="1294"/>
      <c r="J1376" s="757"/>
      <c r="K1376" s="757"/>
      <c r="L1376" s="1295"/>
      <c r="M1376" s="1296"/>
      <c r="N1376" s="1297"/>
      <c r="O1376" s="1291"/>
      <c r="P1376" s="1298"/>
      <c r="Q1376" s="1293"/>
    </row>
    <row r="1377">
      <c r="A1377" s="67"/>
      <c r="B1377" s="764"/>
      <c r="C1377" s="575"/>
      <c r="D1377" s="575"/>
      <c r="E1377" s="1293"/>
      <c r="F1377" s="757"/>
      <c r="G1377" s="1294"/>
      <c r="H1377" s="1294"/>
      <c r="I1377" s="1294"/>
      <c r="J1377" s="757"/>
      <c r="K1377" s="757"/>
      <c r="L1377" s="1295"/>
      <c r="M1377" s="1296"/>
      <c r="N1377" s="1297"/>
      <c r="O1377" s="1291"/>
      <c r="P1377" s="1298"/>
      <c r="Q1377" s="1293"/>
    </row>
    <row r="1378">
      <c r="A1378" s="67"/>
      <c r="B1378" s="764"/>
      <c r="C1378" s="575"/>
      <c r="D1378" s="575"/>
      <c r="E1378" s="1293"/>
      <c r="F1378" s="757"/>
      <c r="G1378" s="1294"/>
      <c r="H1378" s="1294"/>
      <c r="I1378" s="1294"/>
      <c r="J1378" s="757"/>
      <c r="K1378" s="757"/>
      <c r="L1378" s="1295"/>
      <c r="M1378" s="1296"/>
      <c r="N1378" s="1297"/>
      <c r="O1378" s="1291"/>
      <c r="P1378" s="1298"/>
      <c r="Q1378" s="1293"/>
    </row>
    <row r="1379">
      <c r="A1379" s="67"/>
      <c r="B1379" s="764"/>
      <c r="C1379" s="575"/>
      <c r="D1379" s="575"/>
      <c r="E1379" s="1293"/>
      <c r="F1379" s="757"/>
      <c r="G1379" s="1294"/>
      <c r="H1379" s="1294"/>
      <c r="I1379" s="1294"/>
      <c r="J1379" s="757"/>
      <c r="K1379" s="757"/>
      <c r="L1379" s="1295"/>
      <c r="M1379" s="1296"/>
      <c r="N1379" s="1297"/>
      <c r="O1379" s="1291"/>
      <c r="P1379" s="1298"/>
      <c r="Q1379" s="1293"/>
    </row>
    <row r="1380">
      <c r="A1380" s="67"/>
      <c r="B1380" s="764"/>
      <c r="C1380" s="575"/>
      <c r="D1380" s="575"/>
      <c r="E1380" s="1293"/>
      <c r="F1380" s="757"/>
      <c r="G1380" s="1294"/>
      <c r="H1380" s="1294"/>
      <c r="I1380" s="1294"/>
      <c r="J1380" s="757"/>
      <c r="K1380" s="757"/>
      <c r="L1380" s="1295"/>
      <c r="M1380" s="1296"/>
      <c r="N1380" s="1297"/>
      <c r="O1380" s="1291"/>
      <c r="P1380" s="1298"/>
      <c r="Q1380" s="1293"/>
    </row>
    <row r="1381">
      <c r="A1381" s="67"/>
      <c r="B1381" s="764"/>
      <c r="C1381" s="575"/>
      <c r="D1381" s="575"/>
      <c r="E1381" s="1293"/>
      <c r="F1381" s="757"/>
      <c r="G1381" s="1294"/>
      <c r="H1381" s="1294"/>
      <c r="I1381" s="1294"/>
      <c r="J1381" s="757"/>
      <c r="K1381" s="757"/>
      <c r="L1381" s="1295"/>
      <c r="M1381" s="1296"/>
      <c r="N1381" s="1297"/>
      <c r="O1381" s="1291"/>
      <c r="P1381" s="1298"/>
      <c r="Q1381" s="1293"/>
    </row>
    <row r="1382">
      <c r="A1382" s="67"/>
      <c r="B1382" s="764"/>
      <c r="C1382" s="575"/>
      <c r="D1382" s="575"/>
      <c r="E1382" s="1293"/>
      <c r="F1382" s="757"/>
      <c r="G1382" s="1294"/>
      <c r="H1382" s="1294"/>
      <c r="I1382" s="1294"/>
      <c r="J1382" s="757"/>
      <c r="K1382" s="757"/>
      <c r="L1382" s="1295"/>
      <c r="M1382" s="1296"/>
      <c r="N1382" s="1297"/>
      <c r="O1382" s="1291"/>
      <c r="P1382" s="1298"/>
      <c r="Q1382" s="1293"/>
    </row>
    <row r="1383">
      <c r="A1383" s="67"/>
      <c r="B1383" s="764"/>
      <c r="C1383" s="575"/>
      <c r="D1383" s="575"/>
      <c r="E1383" s="1293"/>
      <c r="F1383" s="757"/>
      <c r="G1383" s="1294"/>
      <c r="H1383" s="1294"/>
      <c r="I1383" s="1294"/>
      <c r="J1383" s="757"/>
      <c r="K1383" s="757"/>
      <c r="L1383" s="1295"/>
      <c r="M1383" s="1296"/>
      <c r="N1383" s="1297"/>
      <c r="O1383" s="1291"/>
      <c r="P1383" s="1298"/>
      <c r="Q1383" s="1293"/>
    </row>
    <row r="1384">
      <c r="A1384" s="67"/>
      <c r="B1384" s="764"/>
      <c r="C1384" s="575"/>
      <c r="D1384" s="575"/>
      <c r="E1384" s="1293"/>
      <c r="F1384" s="757"/>
      <c r="G1384" s="1294"/>
      <c r="H1384" s="1294"/>
      <c r="I1384" s="1294"/>
      <c r="J1384" s="757"/>
      <c r="K1384" s="757"/>
      <c r="L1384" s="1295"/>
      <c r="M1384" s="1296"/>
      <c r="N1384" s="1297"/>
      <c r="O1384" s="1291"/>
      <c r="P1384" s="1298"/>
      <c r="Q1384" s="1293"/>
    </row>
    <row r="1385">
      <c r="A1385" s="67"/>
      <c r="B1385" s="764"/>
      <c r="C1385" s="575"/>
      <c r="D1385" s="575"/>
      <c r="E1385" s="1293"/>
      <c r="F1385" s="757"/>
      <c r="G1385" s="1294"/>
      <c r="H1385" s="1294"/>
      <c r="I1385" s="1294"/>
      <c r="J1385" s="757"/>
      <c r="K1385" s="757"/>
      <c r="L1385" s="1295"/>
      <c r="M1385" s="1296"/>
      <c r="N1385" s="1297"/>
      <c r="O1385" s="1291"/>
      <c r="P1385" s="1298"/>
      <c r="Q1385" s="1293"/>
    </row>
    <row r="1386">
      <c r="A1386" s="67"/>
      <c r="B1386" s="764"/>
      <c r="C1386" s="575"/>
      <c r="D1386" s="575"/>
      <c r="E1386" s="1293"/>
      <c r="F1386" s="757"/>
      <c r="G1386" s="1294"/>
      <c r="H1386" s="1294"/>
      <c r="I1386" s="1294"/>
      <c r="J1386" s="757"/>
      <c r="K1386" s="757"/>
      <c r="L1386" s="1295"/>
      <c r="M1386" s="1296"/>
      <c r="N1386" s="1297"/>
      <c r="O1386" s="1291"/>
      <c r="P1386" s="1298"/>
      <c r="Q1386" s="1293"/>
    </row>
    <row r="1387">
      <c r="A1387" s="67"/>
      <c r="B1387" s="764"/>
      <c r="C1387" s="575"/>
      <c r="D1387" s="575"/>
      <c r="E1387" s="1293"/>
      <c r="F1387" s="757"/>
      <c r="G1387" s="1294"/>
      <c r="H1387" s="1294"/>
      <c r="I1387" s="1294"/>
      <c r="J1387" s="757"/>
      <c r="K1387" s="757"/>
      <c r="L1387" s="1295"/>
      <c r="M1387" s="1296"/>
      <c r="N1387" s="1297"/>
      <c r="O1387" s="1291"/>
      <c r="P1387" s="1298"/>
      <c r="Q1387" s="1293"/>
    </row>
    <row r="1388">
      <c r="A1388" s="67"/>
      <c r="B1388" s="764"/>
      <c r="C1388" s="575"/>
      <c r="D1388" s="575"/>
      <c r="E1388" s="1293"/>
      <c r="F1388" s="757"/>
      <c r="G1388" s="1294"/>
      <c r="H1388" s="1294"/>
      <c r="I1388" s="1294"/>
      <c r="J1388" s="757"/>
      <c r="K1388" s="757"/>
      <c r="L1388" s="1295"/>
      <c r="M1388" s="1296"/>
      <c r="N1388" s="1297"/>
      <c r="O1388" s="1291"/>
      <c r="P1388" s="1298"/>
      <c r="Q1388" s="1293"/>
    </row>
    <row r="1389">
      <c r="A1389" s="67"/>
      <c r="B1389" s="764"/>
      <c r="C1389" s="575"/>
      <c r="D1389" s="575"/>
      <c r="E1389" s="1293"/>
      <c r="F1389" s="757"/>
      <c r="G1389" s="1294"/>
      <c r="H1389" s="1294"/>
      <c r="I1389" s="1294"/>
      <c r="J1389" s="757"/>
      <c r="K1389" s="757"/>
      <c r="L1389" s="1295"/>
      <c r="M1389" s="1296"/>
      <c r="N1389" s="1297"/>
      <c r="O1389" s="1291"/>
      <c r="P1389" s="1298"/>
      <c r="Q1389" s="1293"/>
    </row>
    <row r="1390">
      <c r="A1390" s="67"/>
      <c r="B1390" s="764"/>
      <c r="C1390" s="575"/>
      <c r="D1390" s="575"/>
      <c r="E1390" s="1293"/>
      <c r="F1390" s="757"/>
      <c r="G1390" s="1294"/>
      <c r="H1390" s="1294"/>
      <c r="I1390" s="1294"/>
      <c r="J1390" s="757"/>
      <c r="K1390" s="757"/>
      <c r="L1390" s="1295"/>
      <c r="M1390" s="1299"/>
      <c r="N1390" s="1300"/>
      <c r="O1390" s="1291"/>
      <c r="P1390" s="1298"/>
      <c r="Q1390" s="1293"/>
    </row>
    <row r="1391">
      <c r="A1391" s="116"/>
      <c r="B1391" s="1301"/>
      <c r="C1391" s="834"/>
      <c r="D1391" s="212"/>
      <c r="E1391" s="432"/>
      <c r="F1391" s="432"/>
      <c r="G1391" s="465"/>
      <c r="H1391" s="432"/>
      <c r="I1391" s="432"/>
      <c r="J1391" s="1165"/>
      <c r="K1391" s="1251"/>
      <c r="L1391" s="1251"/>
      <c r="M1391" s="1302"/>
      <c r="N1391" s="1303"/>
      <c r="O1391" s="1293"/>
      <c r="P1391" s="1298"/>
      <c r="Q1391" s="1293"/>
    </row>
    <row r="1392">
      <c r="A1392" s="116"/>
      <c r="B1392" s="1301"/>
      <c r="C1392" s="1304"/>
      <c r="D1392" s="210"/>
      <c r="E1392" s="406"/>
      <c r="F1392" s="406"/>
      <c r="G1392" s="463"/>
      <c r="H1392" s="406"/>
      <c r="I1392" s="406"/>
      <c r="J1392" s="1165"/>
      <c r="K1392" s="591"/>
      <c r="L1392" s="591"/>
      <c r="M1392" s="1302"/>
      <c r="N1392" s="1303"/>
      <c r="O1392" s="1293"/>
      <c r="P1392" s="1298"/>
      <c r="Q1392" s="1293"/>
    </row>
    <row r="1393">
      <c r="A1393" s="116"/>
      <c r="B1393" s="1301"/>
      <c r="C1393" s="834"/>
      <c r="D1393" s="212"/>
      <c r="E1393" s="432"/>
      <c r="F1393" s="432"/>
      <c r="G1393" s="465"/>
      <c r="H1393" s="432"/>
      <c r="I1393" s="432"/>
      <c r="J1393" s="1165"/>
      <c r="K1393" s="1251"/>
      <c r="L1393" s="1251"/>
      <c r="M1393" s="1305"/>
      <c r="N1393" s="1303"/>
      <c r="O1393" s="1293"/>
      <c r="P1393" s="1298"/>
      <c r="Q1393" s="1293"/>
    </row>
    <row r="1394">
      <c r="A1394" s="116"/>
      <c r="B1394" s="1301"/>
      <c r="C1394" s="1304"/>
      <c r="D1394" s="210"/>
      <c r="E1394" s="406"/>
      <c r="F1394" s="406"/>
      <c r="G1394" s="406"/>
      <c r="H1394" s="406"/>
      <c r="I1394" s="406"/>
      <c r="J1394" s="1165"/>
      <c r="K1394" s="591"/>
      <c r="L1394" s="613"/>
      <c r="M1394" s="1302"/>
      <c r="N1394" s="1303"/>
      <c r="O1394" s="1293"/>
      <c r="P1394" s="1298"/>
      <c r="Q1394" s="1293"/>
    </row>
    <row r="1395">
      <c r="A1395" s="116"/>
      <c r="B1395" s="1301"/>
      <c r="C1395" s="834"/>
      <c r="D1395" s="212"/>
      <c r="E1395" s="432"/>
      <c r="F1395" s="741"/>
      <c r="G1395" s="465"/>
      <c r="H1395" s="432"/>
      <c r="I1395" s="432"/>
      <c r="J1395" s="1165"/>
      <c r="K1395" s="1251"/>
      <c r="L1395" s="1251"/>
      <c r="M1395" s="1306"/>
      <c r="N1395" s="433"/>
      <c r="O1395" s="842"/>
      <c r="P1395" s="841"/>
      <c r="Q1395" s="842"/>
    </row>
    <row r="1396">
      <c r="A1396" s="1307"/>
      <c r="B1396" s="182"/>
      <c r="C1396" s="210"/>
      <c r="D1396" s="210"/>
      <c r="E1396" s="406"/>
      <c r="F1396" s="406"/>
      <c r="G1396" s="407"/>
      <c r="H1396" s="407"/>
      <c r="I1396" s="407"/>
      <c r="J1396" s="613"/>
      <c r="K1396" s="1308"/>
      <c r="L1396" s="1309"/>
      <c r="M1396" s="1310"/>
      <c r="N1396" s="407"/>
      <c r="O1396" s="842"/>
      <c r="P1396" s="841"/>
      <c r="Q1396" s="842"/>
    </row>
    <row r="1397">
      <c r="A1397" s="1307"/>
      <c r="B1397" s="182"/>
      <c r="C1397" s="212"/>
      <c r="D1397" s="212"/>
      <c r="E1397" s="432"/>
      <c r="F1397" s="432"/>
      <c r="G1397" s="433"/>
      <c r="H1397" s="433"/>
      <c r="I1397" s="433"/>
      <c r="J1397" s="1311"/>
      <c r="K1397" s="1311"/>
      <c r="L1397" s="1312"/>
      <c r="M1397" s="1306"/>
      <c r="N1397" s="433"/>
      <c r="O1397" s="842"/>
      <c r="P1397" s="841"/>
      <c r="Q1397" s="842"/>
    </row>
    <row r="1398">
      <c r="A1398" s="1307"/>
      <c r="B1398" s="182"/>
      <c r="C1398" s="210"/>
      <c r="D1398" s="210"/>
      <c r="E1398" s="406"/>
      <c r="F1398" s="406"/>
      <c r="G1398" s="407"/>
      <c r="H1398" s="407"/>
      <c r="I1398" s="407"/>
      <c r="J1398" s="1308"/>
      <c r="K1398" s="1308"/>
      <c r="L1398" s="1309"/>
      <c r="M1398" s="1310"/>
      <c r="N1398" s="407"/>
      <c r="O1398" s="842"/>
      <c r="P1398" s="841"/>
      <c r="Q1398" s="842"/>
    </row>
    <row r="1399">
      <c r="A1399" s="1160"/>
      <c r="B1399" s="1313"/>
      <c r="C1399" s="940"/>
      <c r="D1399" s="940"/>
      <c r="E1399" s="1291"/>
      <c r="F1399" s="1314"/>
      <c r="G1399" s="1315"/>
      <c r="H1399" s="1315"/>
      <c r="I1399" s="1315"/>
      <c r="J1399" s="1314"/>
      <c r="K1399" s="1314"/>
      <c r="L1399" s="1291"/>
      <c r="M1399" s="1316"/>
      <c r="N1399" s="1291"/>
      <c r="O1399" s="1291"/>
      <c r="P1399" s="1317"/>
      <c r="Q1399" s="1291"/>
    </row>
    <row r="1400">
      <c r="A1400" s="1160"/>
      <c r="B1400" s="1313"/>
      <c r="C1400" s="940"/>
      <c r="D1400" s="940"/>
      <c r="E1400" s="1291"/>
      <c r="F1400" s="1314"/>
      <c r="G1400" s="1315"/>
      <c r="H1400" s="1315"/>
      <c r="I1400" s="1315"/>
      <c r="J1400" s="1314"/>
      <c r="K1400" s="1314"/>
      <c r="L1400" s="1291"/>
      <c r="M1400" s="1316"/>
      <c r="N1400" s="1291"/>
      <c r="O1400" s="1291"/>
      <c r="P1400" s="1317"/>
      <c r="Q1400" s="1291"/>
    </row>
    <row r="1401">
      <c r="A1401" s="1160"/>
      <c r="B1401" s="1313"/>
      <c r="C1401" s="940"/>
      <c r="D1401" s="940"/>
      <c r="E1401" s="1291"/>
      <c r="F1401" s="1314"/>
      <c r="G1401" s="1315"/>
      <c r="H1401" s="1315"/>
      <c r="I1401" s="1315"/>
      <c r="J1401" s="1314"/>
      <c r="K1401" s="1314"/>
      <c r="L1401" s="1291"/>
      <c r="M1401" s="1316"/>
      <c r="N1401" s="1291"/>
      <c r="O1401" s="1291"/>
      <c r="P1401" s="1317"/>
      <c r="Q1401" s="1291"/>
    </row>
    <row r="1402">
      <c r="A1402" s="1160"/>
      <c r="B1402" s="1313"/>
      <c r="C1402" s="940"/>
      <c r="D1402" s="940"/>
      <c r="E1402" s="1291"/>
      <c r="F1402" s="1314"/>
      <c r="G1402" s="1315"/>
      <c r="H1402" s="1315"/>
      <c r="I1402" s="1315"/>
      <c r="J1402" s="1314"/>
      <c r="K1402" s="1314"/>
      <c r="L1402" s="1291"/>
      <c r="M1402" s="1316"/>
      <c r="N1402" s="1291"/>
      <c r="O1402" s="1291"/>
      <c r="P1402" s="1317"/>
      <c r="Q1402" s="1291"/>
    </row>
    <row r="1403">
      <c r="A1403" s="1160"/>
      <c r="B1403" s="1313"/>
      <c r="C1403" s="940"/>
      <c r="D1403" s="940"/>
      <c r="E1403" s="1291"/>
      <c r="F1403" s="1314"/>
      <c r="G1403" s="1315"/>
      <c r="H1403" s="1315"/>
      <c r="I1403" s="1315"/>
      <c r="J1403" s="1314"/>
      <c r="K1403" s="1314"/>
      <c r="L1403" s="1291"/>
      <c r="M1403" s="1316"/>
      <c r="N1403" s="1291"/>
      <c r="O1403" s="1291"/>
      <c r="P1403" s="1317"/>
      <c r="Q1403" s="1291"/>
    </row>
    <row r="1404">
      <c r="A1404" s="1160"/>
      <c r="B1404" s="1313"/>
      <c r="C1404" s="940"/>
      <c r="D1404" s="940"/>
      <c r="E1404" s="1291"/>
      <c r="F1404" s="1314"/>
      <c r="G1404" s="1315"/>
      <c r="H1404" s="1315"/>
      <c r="I1404" s="1315"/>
      <c r="J1404" s="1314"/>
      <c r="K1404" s="1314"/>
      <c r="L1404" s="1291"/>
      <c r="M1404" s="1316"/>
      <c r="N1404" s="1291"/>
      <c r="O1404" s="1291"/>
      <c r="P1404" s="1317"/>
      <c r="Q1404" s="1291"/>
    </row>
    <row r="1405">
      <c r="A1405" s="1160"/>
      <c r="B1405" s="1313"/>
      <c r="C1405" s="940"/>
      <c r="D1405" s="940"/>
      <c r="E1405" s="1291"/>
      <c r="F1405" s="1314"/>
      <c r="G1405" s="1315"/>
      <c r="H1405" s="1315"/>
      <c r="I1405" s="1315"/>
      <c r="J1405" s="1314"/>
      <c r="K1405" s="1314"/>
      <c r="L1405" s="1291"/>
      <c r="M1405" s="1316"/>
      <c r="N1405" s="1291"/>
      <c r="O1405" s="1291"/>
      <c r="P1405" s="1317"/>
      <c r="Q1405" s="1291"/>
    </row>
    <row r="1406">
      <c r="A1406" s="1160"/>
      <c r="B1406" s="1313"/>
      <c r="C1406" s="940"/>
      <c r="D1406" s="940"/>
      <c r="E1406" s="1291"/>
      <c r="F1406" s="1314"/>
      <c r="G1406" s="1315"/>
      <c r="H1406" s="1315"/>
      <c r="I1406" s="1315"/>
      <c r="J1406" s="1314"/>
      <c r="K1406" s="1314"/>
      <c r="L1406" s="1291"/>
      <c r="M1406" s="1316"/>
      <c r="N1406" s="1291"/>
      <c r="O1406" s="1291"/>
      <c r="P1406" s="1317"/>
      <c r="Q1406" s="1291"/>
    </row>
    <row r="1407">
      <c r="A1407" s="1160"/>
      <c r="B1407" s="1313"/>
      <c r="C1407" s="940"/>
      <c r="D1407" s="940"/>
      <c r="E1407" s="1291"/>
      <c r="F1407" s="1314"/>
      <c r="G1407" s="1315"/>
      <c r="H1407" s="1315"/>
      <c r="I1407" s="1315"/>
      <c r="J1407" s="1314"/>
      <c r="K1407" s="1314"/>
      <c r="L1407" s="1291"/>
      <c r="M1407" s="1316"/>
      <c r="N1407" s="1291"/>
      <c r="O1407" s="1291"/>
      <c r="P1407" s="1317"/>
      <c r="Q1407" s="1291"/>
    </row>
    <row r="1408">
      <c r="A1408" s="1160"/>
      <c r="B1408" s="1313"/>
      <c r="C1408" s="940"/>
      <c r="D1408" s="940"/>
      <c r="E1408" s="1291"/>
      <c r="F1408" s="1314"/>
      <c r="G1408" s="1315"/>
      <c r="H1408" s="1315"/>
      <c r="I1408" s="1315"/>
      <c r="J1408" s="1314"/>
      <c r="K1408" s="1314"/>
      <c r="L1408" s="1291"/>
      <c r="M1408" s="1316"/>
      <c r="N1408" s="1291"/>
      <c r="O1408" s="1291"/>
      <c r="P1408" s="1317"/>
      <c r="Q1408" s="1291"/>
    </row>
    <row r="1409">
      <c r="A1409" s="1160"/>
      <c r="B1409" s="1313"/>
      <c r="C1409" s="940"/>
      <c r="D1409" s="940"/>
      <c r="E1409" s="1291"/>
      <c r="F1409" s="1314"/>
      <c r="G1409" s="1315"/>
      <c r="H1409" s="1315"/>
      <c r="I1409" s="1315"/>
      <c r="J1409" s="1314"/>
      <c r="K1409" s="1314"/>
      <c r="L1409" s="1291"/>
      <c r="M1409" s="1316"/>
      <c r="N1409" s="1291"/>
      <c r="O1409" s="1291"/>
      <c r="P1409" s="1317"/>
      <c r="Q1409" s="1291"/>
    </row>
    <row r="1410">
      <c r="A1410" s="1160"/>
      <c r="B1410" s="1313"/>
      <c r="C1410" s="940"/>
      <c r="D1410" s="940"/>
      <c r="E1410" s="1291"/>
      <c r="F1410" s="1314"/>
      <c r="G1410" s="1315"/>
      <c r="H1410" s="1315"/>
      <c r="I1410" s="1315"/>
      <c r="J1410" s="1314"/>
      <c r="K1410" s="1314"/>
      <c r="L1410" s="1291"/>
      <c r="M1410" s="1316"/>
      <c r="N1410" s="1291"/>
      <c r="O1410" s="1291"/>
      <c r="P1410" s="1317"/>
      <c r="Q1410" s="1291"/>
    </row>
    <row r="1411">
      <c r="A1411" s="1160"/>
      <c r="B1411" s="1313"/>
      <c r="C1411" s="940"/>
      <c r="D1411" s="940"/>
      <c r="E1411" s="1291"/>
      <c r="F1411" s="1314"/>
      <c r="G1411" s="1315"/>
      <c r="H1411" s="1315"/>
      <c r="I1411" s="1315"/>
      <c r="J1411" s="1314"/>
      <c r="K1411" s="1314"/>
      <c r="L1411" s="1291"/>
      <c r="M1411" s="1316"/>
      <c r="N1411" s="1291"/>
      <c r="O1411" s="1291"/>
      <c r="P1411" s="1317"/>
      <c r="Q1411" s="1291"/>
    </row>
    <row r="1412">
      <c r="A1412" s="1160"/>
      <c r="B1412" s="1313"/>
      <c r="C1412" s="940"/>
      <c r="D1412" s="940"/>
      <c r="E1412" s="1291"/>
      <c r="F1412" s="1314"/>
      <c r="G1412" s="1315"/>
      <c r="H1412" s="1315"/>
      <c r="I1412" s="1315"/>
      <c r="J1412" s="1314"/>
      <c r="K1412" s="1314"/>
      <c r="L1412" s="1291"/>
      <c r="M1412" s="1316"/>
      <c r="N1412" s="1291"/>
      <c r="O1412" s="1291"/>
      <c r="P1412" s="1317"/>
      <c r="Q1412" s="1291"/>
    </row>
    <row r="1413">
      <c r="A1413" s="1160"/>
      <c r="B1413" s="1313"/>
      <c r="C1413" s="940"/>
      <c r="D1413" s="940"/>
      <c r="E1413" s="1291"/>
      <c r="F1413" s="1314"/>
      <c r="G1413" s="1315"/>
      <c r="H1413" s="1315"/>
      <c r="I1413" s="1315"/>
      <c r="J1413" s="1314"/>
      <c r="K1413" s="1314"/>
      <c r="L1413" s="1291"/>
      <c r="M1413" s="1316"/>
      <c r="N1413" s="1291"/>
      <c r="O1413" s="1291"/>
      <c r="P1413" s="1317"/>
      <c r="Q1413" s="1291"/>
    </row>
    <row r="1414">
      <c r="A1414" s="1160"/>
      <c r="B1414" s="1313"/>
      <c r="C1414" s="940"/>
      <c r="D1414" s="940"/>
      <c r="E1414" s="1291"/>
      <c r="F1414" s="1314"/>
      <c r="G1414" s="1315"/>
      <c r="H1414" s="1315"/>
      <c r="I1414" s="1315"/>
      <c r="J1414" s="1314"/>
      <c r="K1414" s="1314"/>
      <c r="L1414" s="1291"/>
      <c r="M1414" s="1316"/>
      <c r="N1414" s="1291"/>
      <c r="O1414" s="1291"/>
      <c r="P1414" s="1317"/>
      <c r="Q1414" s="1291"/>
    </row>
    <row r="1415">
      <c r="A1415" s="1160"/>
      <c r="B1415" s="1313"/>
      <c r="C1415" s="940"/>
      <c r="D1415" s="940"/>
      <c r="E1415" s="1291"/>
      <c r="F1415" s="1314"/>
      <c r="G1415" s="1315"/>
      <c r="H1415" s="1315"/>
      <c r="I1415" s="1315"/>
      <c r="J1415" s="1314"/>
      <c r="K1415" s="1314"/>
      <c r="L1415" s="1291"/>
      <c r="M1415" s="1316"/>
      <c r="N1415" s="1291"/>
      <c r="O1415" s="1291"/>
      <c r="P1415" s="1317"/>
      <c r="Q1415" s="1291"/>
    </row>
    <row r="1416">
      <c r="A1416" s="1160"/>
      <c r="B1416" s="1313"/>
      <c r="C1416" s="940"/>
      <c r="D1416" s="940"/>
      <c r="E1416" s="1291"/>
      <c r="F1416" s="1314"/>
      <c r="G1416" s="1315"/>
      <c r="H1416" s="1315"/>
      <c r="I1416" s="1315"/>
      <c r="J1416" s="1314"/>
      <c r="K1416" s="1314"/>
      <c r="L1416" s="1291"/>
      <c r="M1416" s="1316"/>
      <c r="N1416" s="1291"/>
      <c r="O1416" s="1291"/>
      <c r="P1416" s="1317"/>
      <c r="Q1416" s="1291"/>
    </row>
    <row r="1417">
      <c r="A1417" s="1160"/>
      <c r="B1417" s="1313"/>
      <c r="C1417" s="940"/>
      <c r="D1417" s="940"/>
      <c r="E1417" s="1291"/>
      <c r="F1417" s="1314"/>
      <c r="G1417" s="1315"/>
      <c r="H1417" s="1315"/>
      <c r="I1417" s="1315"/>
      <c r="J1417" s="1314"/>
      <c r="K1417" s="1314"/>
      <c r="L1417" s="1291"/>
      <c r="M1417" s="1316"/>
      <c r="N1417" s="1291"/>
      <c r="O1417" s="1291"/>
      <c r="P1417" s="1317"/>
      <c r="Q1417" s="1291"/>
    </row>
    <row r="1418">
      <c r="A1418" s="1160"/>
      <c r="B1418" s="1313"/>
      <c r="C1418" s="940"/>
      <c r="D1418" s="940"/>
      <c r="E1418" s="1291"/>
      <c r="F1418" s="1314"/>
      <c r="G1418" s="1315"/>
      <c r="H1418" s="1315"/>
      <c r="I1418" s="1315"/>
      <c r="J1418" s="1314"/>
      <c r="K1418" s="1314"/>
      <c r="L1418" s="1291"/>
      <c r="M1418" s="1316"/>
      <c r="N1418" s="1291"/>
      <c r="O1418" s="1291"/>
      <c r="P1418" s="1317"/>
      <c r="Q1418" s="1291"/>
    </row>
    <row r="1419">
      <c r="A1419" s="1160"/>
      <c r="B1419" s="1313"/>
      <c r="C1419" s="940"/>
      <c r="D1419" s="940"/>
      <c r="E1419" s="1291"/>
      <c r="F1419" s="1314"/>
      <c r="G1419" s="1315"/>
      <c r="H1419" s="1315"/>
      <c r="I1419" s="1315"/>
      <c r="J1419" s="1314"/>
      <c r="K1419" s="1314"/>
      <c r="L1419" s="1291"/>
      <c r="M1419" s="1316"/>
      <c r="N1419" s="1291"/>
      <c r="O1419" s="1291"/>
      <c r="P1419" s="1317"/>
      <c r="Q1419" s="1291"/>
    </row>
    <row r="1420">
      <c r="A1420" s="1160"/>
      <c r="B1420" s="1313"/>
      <c r="C1420" s="940"/>
      <c r="D1420" s="940"/>
      <c r="E1420" s="1291"/>
      <c r="F1420" s="1314"/>
      <c r="G1420" s="1315"/>
      <c r="H1420" s="1315"/>
      <c r="I1420" s="1315"/>
      <c r="J1420" s="1314"/>
      <c r="K1420" s="1314"/>
      <c r="L1420" s="1291"/>
      <c r="M1420" s="1316"/>
      <c r="N1420" s="1291"/>
      <c r="O1420" s="1291"/>
      <c r="P1420" s="1317"/>
      <c r="Q1420" s="1291"/>
    </row>
    <row r="1421">
      <c r="A1421" s="1160"/>
      <c r="B1421" s="1313"/>
      <c r="C1421" s="940"/>
      <c r="D1421" s="940"/>
      <c r="E1421" s="1291"/>
      <c r="F1421" s="1314"/>
      <c r="G1421" s="1315"/>
      <c r="H1421" s="1315"/>
      <c r="I1421" s="1315"/>
      <c r="J1421" s="1314"/>
      <c r="K1421" s="1314"/>
      <c r="L1421" s="1291"/>
      <c r="M1421" s="1316"/>
      <c r="N1421" s="1291"/>
      <c r="O1421" s="1291"/>
      <c r="P1421" s="1317"/>
      <c r="Q1421" s="1291"/>
    </row>
    <row r="1422">
      <c r="A1422" s="1160"/>
      <c r="B1422" s="1313"/>
      <c r="C1422" s="940"/>
      <c r="D1422" s="940"/>
      <c r="E1422" s="1291"/>
      <c r="F1422" s="1314"/>
      <c r="G1422" s="1315"/>
      <c r="H1422" s="1315"/>
      <c r="I1422" s="1315"/>
      <c r="J1422" s="1314"/>
      <c r="K1422" s="1314"/>
      <c r="L1422" s="1291"/>
      <c r="M1422" s="1316"/>
      <c r="N1422" s="1291"/>
      <c r="O1422" s="1291"/>
      <c r="P1422" s="1317"/>
      <c r="Q1422" s="1291"/>
    </row>
    <row r="1423">
      <c r="A1423" s="1160"/>
      <c r="B1423" s="1313"/>
      <c r="C1423" s="940"/>
      <c r="D1423" s="940"/>
      <c r="E1423" s="1291"/>
      <c r="F1423" s="1314"/>
      <c r="G1423" s="1315"/>
      <c r="H1423" s="1315"/>
      <c r="I1423" s="1315"/>
      <c r="J1423" s="1314"/>
      <c r="K1423" s="1314"/>
      <c r="L1423" s="1291"/>
      <c r="M1423" s="1316"/>
      <c r="N1423" s="1291"/>
      <c r="O1423" s="1291"/>
      <c r="P1423" s="1317"/>
      <c r="Q1423" s="1291"/>
    </row>
    <row r="1424">
      <c r="A1424" s="1160"/>
      <c r="B1424" s="1313"/>
      <c r="C1424" s="940"/>
      <c r="D1424" s="940"/>
      <c r="E1424" s="1291"/>
      <c r="F1424" s="1314"/>
      <c r="G1424" s="1315"/>
      <c r="H1424" s="1315"/>
      <c r="I1424" s="1315"/>
      <c r="J1424" s="1314"/>
      <c r="K1424" s="1314"/>
      <c r="L1424" s="1291"/>
      <c r="M1424" s="1316"/>
      <c r="N1424" s="1291"/>
      <c r="O1424" s="1291"/>
      <c r="P1424" s="1317"/>
      <c r="Q1424" s="1291"/>
    </row>
    <row r="1425">
      <c r="A1425" s="1160"/>
      <c r="B1425" s="1313"/>
      <c r="C1425" s="940"/>
      <c r="D1425" s="940"/>
      <c r="E1425" s="1291"/>
      <c r="F1425" s="1314"/>
      <c r="G1425" s="1315"/>
      <c r="H1425" s="1315"/>
      <c r="I1425" s="1315"/>
      <c r="J1425" s="1314"/>
      <c r="K1425" s="1314"/>
      <c r="L1425" s="1291"/>
      <c r="M1425" s="1316"/>
      <c r="N1425" s="1291"/>
      <c r="O1425" s="1291"/>
      <c r="P1425" s="1317"/>
      <c r="Q1425" s="1291"/>
    </row>
    <row r="1426">
      <c r="A1426" s="1160"/>
      <c r="B1426" s="1313"/>
      <c r="C1426" s="940"/>
      <c r="D1426" s="940"/>
      <c r="E1426" s="1291"/>
      <c r="F1426" s="1314"/>
      <c r="G1426" s="1315"/>
      <c r="H1426" s="1315"/>
      <c r="I1426" s="1315"/>
      <c r="J1426" s="1314"/>
      <c r="K1426" s="1314"/>
      <c r="L1426" s="1291"/>
      <c r="M1426" s="1316"/>
      <c r="N1426" s="1291"/>
      <c r="O1426" s="1291"/>
      <c r="P1426" s="1317"/>
      <c r="Q1426" s="1291"/>
    </row>
    <row r="1427">
      <c r="A1427" s="1160"/>
      <c r="B1427" s="1313"/>
      <c r="C1427" s="940"/>
      <c r="D1427" s="940"/>
      <c r="E1427" s="1291"/>
      <c r="F1427" s="1314"/>
      <c r="G1427" s="1315"/>
      <c r="H1427" s="1315"/>
      <c r="I1427" s="1315"/>
      <c r="J1427" s="1314"/>
      <c r="K1427" s="1314"/>
      <c r="L1427" s="1291"/>
      <c r="M1427" s="1316"/>
      <c r="N1427" s="1291"/>
      <c r="O1427" s="1291"/>
      <c r="P1427" s="1317"/>
      <c r="Q1427" s="1291"/>
    </row>
    <row r="1428">
      <c r="A1428" s="1160"/>
      <c r="B1428" s="1313"/>
      <c r="C1428" s="940"/>
      <c r="D1428" s="940"/>
      <c r="E1428" s="1291"/>
      <c r="F1428" s="1314"/>
      <c r="G1428" s="1315"/>
      <c r="H1428" s="1315"/>
      <c r="I1428" s="1315"/>
      <c r="J1428" s="1314"/>
      <c r="K1428" s="1314"/>
      <c r="L1428" s="1291"/>
      <c r="M1428" s="1316"/>
      <c r="N1428" s="1291"/>
      <c r="O1428" s="1291"/>
      <c r="P1428" s="1317"/>
      <c r="Q1428" s="1291"/>
    </row>
    <row r="1429">
      <c r="A1429" s="1160"/>
      <c r="B1429" s="1313"/>
      <c r="C1429" s="940"/>
      <c r="D1429" s="940"/>
      <c r="E1429" s="1291"/>
      <c r="F1429" s="1314"/>
      <c r="G1429" s="1315"/>
      <c r="H1429" s="1315"/>
      <c r="I1429" s="1315"/>
      <c r="J1429" s="1314"/>
      <c r="K1429" s="1314"/>
      <c r="L1429" s="1291"/>
      <c r="M1429" s="1316"/>
      <c r="N1429" s="1291"/>
      <c r="O1429" s="1291"/>
      <c r="P1429" s="1317"/>
      <c r="Q1429" s="1291"/>
    </row>
    <row r="1430">
      <c r="A1430" s="1160"/>
      <c r="B1430" s="1313"/>
      <c r="C1430" s="940"/>
      <c r="D1430" s="940"/>
      <c r="E1430" s="1291"/>
      <c r="F1430" s="1314"/>
      <c r="G1430" s="1315"/>
      <c r="H1430" s="1315"/>
      <c r="I1430" s="1315"/>
      <c r="J1430" s="1314"/>
      <c r="K1430" s="1314"/>
      <c r="L1430" s="1291"/>
      <c r="M1430" s="1316"/>
      <c r="N1430" s="1291"/>
      <c r="O1430" s="1291"/>
      <c r="P1430" s="1317"/>
      <c r="Q1430" s="1291"/>
    </row>
    <row r="1431">
      <c r="A1431" s="1160"/>
      <c r="B1431" s="1313"/>
      <c r="C1431" s="940"/>
      <c r="D1431" s="940"/>
      <c r="E1431" s="1291"/>
      <c r="F1431" s="1314"/>
      <c r="G1431" s="1315"/>
      <c r="H1431" s="1315"/>
      <c r="I1431" s="1315"/>
      <c r="J1431" s="1314"/>
      <c r="K1431" s="1314"/>
      <c r="L1431" s="1291"/>
      <c r="M1431" s="1316"/>
      <c r="N1431" s="1291"/>
      <c r="O1431" s="1291"/>
      <c r="P1431" s="1317"/>
      <c r="Q1431" s="1291"/>
    </row>
    <row r="1432">
      <c r="A1432" s="1160"/>
      <c r="B1432" s="1313"/>
      <c r="C1432" s="940"/>
      <c r="D1432" s="940"/>
      <c r="E1432" s="1291"/>
      <c r="F1432" s="1314"/>
      <c r="G1432" s="1315"/>
      <c r="H1432" s="1315"/>
      <c r="I1432" s="1315"/>
      <c r="J1432" s="1314"/>
      <c r="K1432" s="1314"/>
      <c r="L1432" s="1291"/>
      <c r="M1432" s="1316"/>
      <c r="N1432" s="1291"/>
      <c r="O1432" s="1291"/>
      <c r="P1432" s="1317"/>
      <c r="Q1432" s="1291"/>
    </row>
    <row r="1433">
      <c r="A1433" s="1160"/>
      <c r="B1433" s="1313"/>
      <c r="C1433" s="940"/>
      <c r="D1433" s="940"/>
      <c r="E1433" s="1291"/>
      <c r="F1433" s="1314"/>
      <c r="G1433" s="1315"/>
      <c r="H1433" s="1315"/>
      <c r="I1433" s="1315"/>
      <c r="J1433" s="1314"/>
      <c r="K1433" s="1314"/>
      <c r="L1433" s="1291"/>
      <c r="M1433" s="1316"/>
      <c r="N1433" s="1291"/>
      <c r="O1433" s="1291"/>
      <c r="P1433" s="1317"/>
      <c r="Q1433" s="1291"/>
    </row>
    <row r="1434">
      <c r="A1434" s="1160"/>
      <c r="B1434" s="1313"/>
      <c r="C1434" s="940"/>
      <c r="D1434" s="940"/>
      <c r="E1434" s="1291"/>
      <c r="F1434" s="1314"/>
      <c r="G1434" s="1315"/>
      <c r="H1434" s="1315"/>
      <c r="I1434" s="1315"/>
      <c r="J1434" s="1314"/>
      <c r="K1434" s="1314"/>
      <c r="L1434" s="1291"/>
      <c r="M1434" s="1316"/>
      <c r="N1434" s="1291"/>
      <c r="O1434" s="1291"/>
      <c r="P1434" s="1317"/>
      <c r="Q1434" s="1291"/>
    </row>
    <row r="1435">
      <c r="A1435" s="1160"/>
      <c r="B1435" s="1313"/>
      <c r="C1435" s="940"/>
      <c r="D1435" s="940"/>
      <c r="E1435" s="1291"/>
      <c r="F1435" s="1314"/>
      <c r="G1435" s="1315"/>
      <c r="H1435" s="1315"/>
      <c r="I1435" s="1315"/>
      <c r="J1435" s="1314"/>
      <c r="K1435" s="1314"/>
      <c r="L1435" s="1291"/>
      <c r="M1435" s="1316"/>
      <c r="N1435" s="1291"/>
      <c r="O1435" s="1291"/>
      <c r="P1435" s="1317"/>
      <c r="Q1435" s="1291"/>
    </row>
    <row r="1436">
      <c r="A1436" s="1160"/>
      <c r="B1436" s="1313"/>
      <c r="C1436" s="940"/>
      <c r="D1436" s="940"/>
      <c r="E1436" s="1291"/>
      <c r="F1436" s="1314"/>
      <c r="G1436" s="1315"/>
      <c r="H1436" s="1315"/>
      <c r="I1436" s="1315"/>
      <c r="J1436" s="1314"/>
      <c r="K1436" s="1314"/>
      <c r="L1436" s="1291"/>
      <c r="M1436" s="1316"/>
      <c r="N1436" s="1291"/>
      <c r="O1436" s="1291"/>
      <c r="P1436" s="1317"/>
      <c r="Q1436" s="1291"/>
    </row>
    <row r="1437">
      <c r="A1437" s="1160"/>
      <c r="B1437" s="1313"/>
      <c r="C1437" s="940"/>
      <c r="D1437" s="940"/>
      <c r="E1437" s="1291"/>
      <c r="F1437" s="1314"/>
      <c r="G1437" s="1315"/>
      <c r="H1437" s="1315"/>
      <c r="I1437" s="1315"/>
      <c r="J1437" s="1314"/>
      <c r="K1437" s="1314"/>
      <c r="L1437" s="1291"/>
      <c r="M1437" s="1316"/>
      <c r="N1437" s="1291"/>
      <c r="O1437" s="1291"/>
      <c r="P1437" s="1317"/>
      <c r="Q1437" s="1291"/>
    </row>
    <row r="1438">
      <c r="A1438" s="1160"/>
      <c r="B1438" s="1313"/>
      <c r="C1438" s="940"/>
      <c r="D1438" s="940"/>
      <c r="E1438" s="1291"/>
      <c r="F1438" s="1314"/>
      <c r="G1438" s="1315"/>
      <c r="H1438" s="1315"/>
      <c r="I1438" s="1315"/>
      <c r="J1438" s="1314"/>
      <c r="K1438" s="1314"/>
      <c r="L1438" s="1291"/>
      <c r="M1438" s="1316"/>
      <c r="N1438" s="1291"/>
      <c r="O1438" s="1291"/>
      <c r="P1438" s="1317"/>
      <c r="Q1438" s="1291"/>
    </row>
    <row r="1439">
      <c r="A1439" s="1160"/>
      <c r="B1439" s="1313"/>
      <c r="C1439" s="940"/>
      <c r="D1439" s="940"/>
      <c r="E1439" s="1291"/>
      <c r="F1439" s="1314"/>
      <c r="G1439" s="1315"/>
      <c r="H1439" s="1315"/>
      <c r="I1439" s="1315"/>
      <c r="J1439" s="1314"/>
      <c r="K1439" s="1314"/>
      <c r="L1439" s="1291"/>
      <c r="M1439" s="1316"/>
      <c r="N1439" s="1291"/>
      <c r="O1439" s="1291"/>
      <c r="P1439" s="1317"/>
      <c r="Q1439" s="1291"/>
    </row>
    <row r="1440">
      <c r="A1440" s="1160"/>
      <c r="B1440" s="1313"/>
      <c r="C1440" s="940"/>
      <c r="D1440" s="940"/>
      <c r="E1440" s="1291"/>
      <c r="F1440" s="1314"/>
      <c r="G1440" s="1315"/>
      <c r="H1440" s="1315"/>
      <c r="I1440" s="1315"/>
      <c r="J1440" s="1314"/>
      <c r="K1440" s="1314"/>
      <c r="L1440" s="1291"/>
      <c r="M1440" s="1316"/>
      <c r="N1440" s="1291"/>
      <c r="O1440" s="1291"/>
      <c r="P1440" s="1317"/>
      <c r="Q1440" s="1291"/>
    </row>
    <row r="1441">
      <c r="A1441" s="1160"/>
      <c r="B1441" s="1313"/>
      <c r="C1441" s="940"/>
      <c r="D1441" s="940"/>
      <c r="E1441" s="1291"/>
      <c r="F1441" s="1314"/>
      <c r="G1441" s="1315"/>
      <c r="H1441" s="1315"/>
      <c r="I1441" s="1315"/>
      <c r="J1441" s="1314"/>
      <c r="K1441" s="1314"/>
      <c r="L1441" s="1291"/>
      <c r="M1441" s="1316"/>
      <c r="N1441" s="1291"/>
      <c r="O1441" s="1291"/>
      <c r="P1441" s="1317"/>
      <c r="Q1441" s="1291"/>
    </row>
    <row r="1442">
      <c r="A1442" s="1160"/>
      <c r="B1442" s="1313"/>
      <c r="C1442" s="940"/>
      <c r="D1442" s="940"/>
      <c r="E1442" s="1291"/>
      <c r="F1442" s="1314"/>
      <c r="G1442" s="1315"/>
      <c r="H1442" s="1315"/>
      <c r="I1442" s="1315"/>
      <c r="J1442" s="1314"/>
      <c r="K1442" s="1314"/>
      <c r="L1442" s="1291"/>
      <c r="M1442" s="1316"/>
      <c r="N1442" s="1291"/>
      <c r="O1442" s="1291"/>
      <c r="P1442" s="1317"/>
      <c r="Q1442" s="1291"/>
    </row>
    <row r="1443">
      <c r="A1443" s="1160"/>
      <c r="B1443" s="1313"/>
      <c r="C1443" s="940"/>
      <c r="D1443" s="940"/>
      <c r="E1443" s="1291"/>
      <c r="F1443" s="1314"/>
      <c r="G1443" s="1315"/>
      <c r="H1443" s="1315"/>
      <c r="I1443" s="1315"/>
      <c r="J1443" s="1314"/>
      <c r="K1443" s="1314"/>
      <c r="L1443" s="1291"/>
      <c r="M1443" s="1316"/>
      <c r="N1443" s="1291"/>
      <c r="O1443" s="1291"/>
      <c r="P1443" s="1317"/>
      <c r="Q1443" s="1291"/>
    </row>
    <row r="1444">
      <c r="A1444" s="1160"/>
      <c r="B1444" s="1313"/>
      <c r="C1444" s="940"/>
      <c r="D1444" s="940"/>
      <c r="E1444" s="1291"/>
      <c r="F1444" s="1314"/>
      <c r="G1444" s="1315"/>
      <c r="H1444" s="1315"/>
      <c r="I1444" s="1315"/>
      <c r="J1444" s="1314"/>
      <c r="K1444" s="1314"/>
      <c r="L1444" s="1291"/>
      <c r="M1444" s="1316"/>
      <c r="N1444" s="1291"/>
      <c r="O1444" s="1291"/>
      <c r="P1444" s="1317"/>
      <c r="Q1444" s="1291"/>
    </row>
    <row r="1445">
      <c r="A1445" s="1160"/>
      <c r="B1445" s="1313"/>
      <c r="C1445" s="940"/>
      <c r="D1445" s="940"/>
      <c r="E1445" s="1291"/>
      <c r="F1445" s="1314"/>
      <c r="G1445" s="1315"/>
      <c r="H1445" s="1315"/>
      <c r="I1445" s="1315"/>
      <c r="J1445" s="1314"/>
      <c r="K1445" s="1314"/>
      <c r="L1445" s="1291"/>
      <c r="M1445" s="1316"/>
      <c r="N1445" s="1291"/>
      <c r="O1445" s="1291"/>
      <c r="P1445" s="1317"/>
      <c r="Q1445" s="1291"/>
    </row>
    <row r="1446">
      <c r="A1446" s="1160"/>
      <c r="B1446" s="1313"/>
      <c r="C1446" s="940"/>
      <c r="D1446" s="940"/>
      <c r="E1446" s="1291"/>
      <c r="F1446" s="1314"/>
      <c r="G1446" s="1315"/>
      <c r="H1446" s="1315"/>
      <c r="I1446" s="1315"/>
      <c r="J1446" s="1314"/>
      <c r="K1446" s="1314"/>
      <c r="L1446" s="1291"/>
      <c r="M1446" s="1316"/>
      <c r="N1446" s="1291"/>
      <c r="O1446" s="1291"/>
      <c r="P1446" s="1317"/>
      <c r="Q1446" s="1291"/>
    </row>
    <row r="1447">
      <c r="A1447" s="1160"/>
      <c r="B1447" s="1313"/>
      <c r="C1447" s="940"/>
      <c r="D1447" s="940"/>
      <c r="E1447" s="1291"/>
      <c r="F1447" s="1314"/>
      <c r="G1447" s="1315"/>
      <c r="H1447" s="1315"/>
      <c r="I1447" s="1315"/>
      <c r="J1447" s="1314"/>
      <c r="K1447" s="1314"/>
      <c r="L1447" s="1291"/>
      <c r="M1447" s="1316"/>
      <c r="N1447" s="1291"/>
      <c r="O1447" s="1291"/>
      <c r="P1447" s="1317"/>
      <c r="Q1447" s="1291"/>
    </row>
    <row r="1448">
      <c r="A1448" s="1160"/>
      <c r="B1448" s="1313"/>
      <c r="C1448" s="940"/>
      <c r="D1448" s="940"/>
      <c r="E1448" s="1291"/>
      <c r="F1448" s="1314"/>
      <c r="G1448" s="1315"/>
      <c r="H1448" s="1315"/>
      <c r="I1448" s="1315"/>
      <c r="J1448" s="1314"/>
      <c r="K1448" s="1314"/>
      <c r="L1448" s="1291"/>
      <c r="M1448" s="1316"/>
      <c r="N1448" s="1291"/>
      <c r="O1448" s="1291"/>
      <c r="P1448" s="1317"/>
      <c r="Q1448" s="1291"/>
    </row>
    <row r="1449">
      <c r="A1449" s="1160"/>
      <c r="B1449" s="1313"/>
      <c r="C1449" s="940"/>
      <c r="D1449" s="940"/>
      <c r="E1449" s="1291"/>
      <c r="F1449" s="1314"/>
      <c r="G1449" s="1315"/>
      <c r="H1449" s="1315"/>
      <c r="I1449" s="1315"/>
      <c r="J1449" s="1314"/>
      <c r="K1449" s="1314"/>
      <c r="L1449" s="1291"/>
      <c r="M1449" s="1316"/>
      <c r="N1449" s="1291"/>
      <c r="O1449" s="1291"/>
      <c r="P1449" s="1317"/>
      <c r="Q1449" s="1291"/>
    </row>
    <row r="1450">
      <c r="A1450" s="1160"/>
      <c r="B1450" s="1313"/>
      <c r="C1450" s="940"/>
      <c r="D1450" s="940"/>
      <c r="E1450" s="1291"/>
      <c r="F1450" s="1314"/>
      <c r="G1450" s="1315"/>
      <c r="H1450" s="1315"/>
      <c r="I1450" s="1315"/>
      <c r="J1450" s="1314"/>
      <c r="K1450" s="1314"/>
      <c r="L1450" s="1291"/>
      <c r="M1450" s="1316"/>
      <c r="N1450" s="1291"/>
      <c r="O1450" s="1291"/>
      <c r="P1450" s="1317"/>
      <c r="Q1450" s="1291"/>
    </row>
    <row r="1451">
      <c r="A1451" s="1160"/>
      <c r="B1451" s="1313"/>
      <c r="C1451" s="940"/>
      <c r="D1451" s="940"/>
      <c r="E1451" s="1291"/>
      <c r="F1451" s="1314"/>
      <c r="G1451" s="1315"/>
      <c r="H1451" s="1315"/>
      <c r="I1451" s="1315"/>
      <c r="J1451" s="1314"/>
      <c r="K1451" s="1314"/>
      <c r="L1451" s="1291"/>
      <c r="M1451" s="1316"/>
      <c r="N1451" s="1291"/>
      <c r="O1451" s="1291"/>
      <c r="P1451" s="1317"/>
      <c r="Q1451" s="1291"/>
    </row>
    <row r="1452">
      <c r="A1452" s="1160"/>
      <c r="B1452" s="1313"/>
      <c r="C1452" s="940"/>
      <c r="D1452" s="940"/>
      <c r="E1452" s="1291"/>
      <c r="F1452" s="1314"/>
      <c r="G1452" s="1315"/>
      <c r="H1452" s="1315"/>
      <c r="I1452" s="1315"/>
      <c r="J1452" s="1314"/>
      <c r="K1452" s="1314"/>
      <c r="L1452" s="1291"/>
      <c r="M1452" s="1316"/>
      <c r="N1452" s="1291"/>
      <c r="O1452" s="1291"/>
      <c r="P1452" s="1317"/>
      <c r="Q1452" s="1291"/>
    </row>
    <row r="1453">
      <c r="A1453" s="1160"/>
      <c r="B1453" s="1313"/>
      <c r="C1453" s="940"/>
      <c r="D1453" s="940"/>
      <c r="E1453" s="1291"/>
      <c r="F1453" s="1314"/>
      <c r="G1453" s="1315"/>
      <c r="H1453" s="1315"/>
      <c r="I1453" s="1315"/>
      <c r="J1453" s="1314"/>
      <c r="K1453" s="1314"/>
      <c r="L1453" s="1291"/>
      <c r="M1453" s="1316"/>
      <c r="N1453" s="1291"/>
      <c r="O1453" s="1291"/>
      <c r="P1453" s="1317"/>
      <c r="Q1453" s="1291"/>
    </row>
    <row r="1454">
      <c r="A1454" s="1160"/>
      <c r="B1454" s="1313"/>
      <c r="C1454" s="940"/>
      <c r="D1454" s="940"/>
      <c r="E1454" s="1291"/>
      <c r="F1454" s="1314"/>
      <c r="G1454" s="1315"/>
      <c r="H1454" s="1315"/>
      <c r="I1454" s="1315"/>
      <c r="J1454" s="1314"/>
      <c r="K1454" s="1314"/>
      <c r="L1454" s="1291"/>
      <c r="M1454" s="1316"/>
      <c r="N1454" s="1291"/>
      <c r="O1454" s="1291"/>
      <c r="P1454" s="1317"/>
      <c r="Q1454" s="1291"/>
    </row>
    <row r="1455">
      <c r="A1455" s="1160"/>
      <c r="B1455" s="1313"/>
      <c r="C1455" s="940"/>
      <c r="D1455" s="940"/>
      <c r="E1455" s="1291"/>
      <c r="F1455" s="1314"/>
      <c r="G1455" s="1315"/>
      <c r="H1455" s="1315"/>
      <c r="I1455" s="1315"/>
      <c r="J1455" s="1314"/>
      <c r="K1455" s="1314"/>
      <c r="L1455" s="1291"/>
      <c r="M1455" s="1316"/>
      <c r="N1455" s="1291"/>
      <c r="O1455" s="1291"/>
      <c r="P1455" s="1317"/>
      <c r="Q1455" s="1291"/>
    </row>
    <row r="1456">
      <c r="A1456" s="1160"/>
      <c r="B1456" s="1313"/>
      <c r="C1456" s="940"/>
      <c r="D1456" s="940"/>
      <c r="E1456" s="1291"/>
      <c r="F1456" s="1314"/>
      <c r="G1456" s="1315"/>
      <c r="H1456" s="1315"/>
      <c r="I1456" s="1315"/>
      <c r="J1456" s="1314"/>
      <c r="K1456" s="1314"/>
      <c r="L1456" s="1291"/>
      <c r="M1456" s="1316"/>
      <c r="N1456" s="1291"/>
      <c r="O1456" s="1291"/>
      <c r="P1456" s="1317"/>
      <c r="Q1456" s="1291"/>
    </row>
    <row r="1457">
      <c r="A1457" s="1160"/>
      <c r="B1457" s="1313"/>
      <c r="C1457" s="940"/>
      <c r="D1457" s="940"/>
      <c r="E1457" s="1291"/>
      <c r="F1457" s="1314"/>
      <c r="G1457" s="1315"/>
      <c r="H1457" s="1315"/>
      <c r="I1457" s="1315"/>
      <c r="J1457" s="1314"/>
      <c r="K1457" s="1314"/>
      <c r="L1457" s="1291"/>
      <c r="M1457" s="1316"/>
      <c r="N1457" s="1291"/>
      <c r="O1457" s="1291"/>
      <c r="P1457" s="1317"/>
      <c r="Q1457" s="1291"/>
    </row>
    <row r="1458">
      <c r="A1458" s="1160"/>
      <c r="B1458" s="1313"/>
      <c r="C1458" s="940"/>
      <c r="D1458" s="940"/>
      <c r="E1458" s="1291"/>
      <c r="F1458" s="1314"/>
      <c r="G1458" s="1315"/>
      <c r="H1458" s="1315"/>
      <c r="I1458" s="1315"/>
      <c r="J1458" s="1314"/>
      <c r="K1458" s="1314"/>
      <c r="L1458" s="1291"/>
      <c r="M1458" s="1316"/>
      <c r="N1458" s="1291"/>
      <c r="O1458" s="1291"/>
      <c r="P1458" s="1317"/>
      <c r="Q1458" s="1291"/>
    </row>
    <row r="1459">
      <c r="A1459" s="1160"/>
      <c r="B1459" s="1313"/>
      <c r="C1459" s="940"/>
      <c r="D1459" s="940"/>
      <c r="E1459" s="1291"/>
      <c r="F1459" s="1314"/>
      <c r="G1459" s="1315"/>
      <c r="H1459" s="1315"/>
      <c r="I1459" s="1315"/>
      <c r="J1459" s="1314"/>
      <c r="K1459" s="1314"/>
      <c r="L1459" s="1291"/>
      <c r="M1459" s="1316"/>
      <c r="N1459" s="1291"/>
      <c r="O1459" s="1291"/>
      <c r="P1459" s="1317"/>
      <c r="Q1459" s="1291"/>
    </row>
    <row r="1460">
      <c r="A1460" s="1160"/>
      <c r="B1460" s="1313"/>
      <c r="C1460" s="940"/>
      <c r="D1460" s="940"/>
      <c r="E1460" s="1291"/>
      <c r="F1460" s="1314"/>
      <c r="G1460" s="1315"/>
      <c r="H1460" s="1315"/>
      <c r="I1460" s="1315"/>
      <c r="J1460" s="1314"/>
      <c r="K1460" s="1314"/>
      <c r="L1460" s="1291"/>
      <c r="M1460" s="1316"/>
      <c r="N1460" s="1291"/>
      <c r="O1460" s="1291"/>
      <c r="P1460" s="1317"/>
      <c r="Q1460" s="1291"/>
    </row>
    <row r="1461">
      <c r="A1461" s="1160"/>
      <c r="B1461" s="1313"/>
      <c r="C1461" s="940"/>
      <c r="D1461" s="940"/>
      <c r="E1461" s="1291"/>
      <c r="F1461" s="1314"/>
      <c r="G1461" s="1315"/>
      <c r="H1461" s="1315"/>
      <c r="I1461" s="1315"/>
      <c r="J1461" s="1314"/>
      <c r="K1461" s="1314"/>
      <c r="L1461" s="1291"/>
      <c r="M1461" s="1316"/>
      <c r="N1461" s="1291"/>
      <c r="O1461" s="1291"/>
      <c r="P1461" s="1317"/>
      <c r="Q1461" s="1291"/>
    </row>
    <row r="1462">
      <c r="A1462" s="1160"/>
      <c r="B1462" s="1313"/>
      <c r="C1462" s="940"/>
      <c r="D1462" s="940"/>
      <c r="E1462" s="1291"/>
      <c r="F1462" s="1314"/>
      <c r="G1462" s="1315"/>
      <c r="H1462" s="1315"/>
      <c r="I1462" s="1315"/>
      <c r="J1462" s="1314"/>
      <c r="K1462" s="1314"/>
      <c r="L1462" s="1291"/>
      <c r="M1462" s="1316"/>
      <c r="N1462" s="1291"/>
      <c r="O1462" s="1291"/>
      <c r="P1462" s="1317"/>
      <c r="Q1462" s="1291"/>
    </row>
    <row r="1463">
      <c r="A1463" s="1160"/>
      <c r="B1463" s="1313"/>
      <c r="C1463" s="940"/>
      <c r="D1463" s="940"/>
      <c r="E1463" s="1291"/>
      <c r="F1463" s="1314"/>
      <c r="G1463" s="1315"/>
      <c r="H1463" s="1315"/>
      <c r="I1463" s="1315"/>
      <c r="J1463" s="1314"/>
      <c r="K1463" s="1314"/>
      <c r="L1463" s="1291"/>
      <c r="M1463" s="1316"/>
      <c r="N1463" s="1291"/>
      <c r="O1463" s="1291"/>
      <c r="P1463" s="1317"/>
      <c r="Q1463" s="1291"/>
    </row>
    <row r="1464">
      <c r="A1464" s="1160"/>
      <c r="B1464" s="1313"/>
      <c r="C1464" s="940"/>
      <c r="D1464" s="940"/>
      <c r="E1464" s="1291"/>
      <c r="F1464" s="1314"/>
      <c r="G1464" s="1315"/>
      <c r="H1464" s="1315"/>
      <c r="I1464" s="1315"/>
      <c r="J1464" s="1314"/>
      <c r="K1464" s="1314"/>
      <c r="L1464" s="1291"/>
      <c r="M1464" s="1316"/>
      <c r="N1464" s="1291"/>
      <c r="O1464" s="1291"/>
      <c r="P1464" s="1317"/>
      <c r="Q1464" s="1291"/>
    </row>
    <row r="1465">
      <c r="A1465" s="1160"/>
      <c r="B1465" s="1313"/>
      <c r="C1465" s="940"/>
      <c r="D1465" s="940"/>
      <c r="E1465" s="1291"/>
      <c r="F1465" s="1314"/>
      <c r="G1465" s="1315"/>
      <c r="H1465" s="1315"/>
      <c r="I1465" s="1315"/>
      <c r="J1465" s="1314"/>
      <c r="K1465" s="1314"/>
      <c r="L1465" s="1291"/>
      <c r="M1465" s="1316"/>
      <c r="N1465" s="1291"/>
      <c r="O1465" s="1291"/>
      <c r="P1465" s="1317"/>
      <c r="Q1465" s="1291"/>
    </row>
    <row r="1466">
      <c r="A1466" s="1160"/>
      <c r="B1466" s="1313"/>
      <c r="C1466" s="940"/>
      <c r="D1466" s="940"/>
      <c r="E1466" s="1291"/>
      <c r="F1466" s="1314"/>
      <c r="G1466" s="1315"/>
      <c r="H1466" s="1315"/>
      <c r="I1466" s="1315"/>
      <c r="J1466" s="1314"/>
      <c r="K1466" s="1314"/>
      <c r="L1466" s="1291"/>
      <c r="M1466" s="1316"/>
      <c r="N1466" s="1291"/>
      <c r="O1466" s="1291"/>
      <c r="P1466" s="1317"/>
      <c r="Q1466" s="1291"/>
    </row>
    <row r="1467">
      <c r="A1467" s="1160"/>
      <c r="B1467" s="1313"/>
      <c r="C1467" s="940"/>
      <c r="D1467" s="940"/>
      <c r="E1467" s="1291"/>
      <c r="F1467" s="1314"/>
      <c r="G1467" s="1315"/>
      <c r="H1467" s="1315"/>
      <c r="I1467" s="1315"/>
      <c r="J1467" s="1314"/>
      <c r="K1467" s="1314"/>
      <c r="L1467" s="1291"/>
      <c r="M1467" s="1316"/>
      <c r="N1467" s="1291"/>
      <c r="O1467" s="1291"/>
      <c r="P1467" s="1317"/>
      <c r="Q1467" s="1291"/>
    </row>
    <row r="1468">
      <c r="A1468" s="1160"/>
      <c r="B1468" s="1313"/>
      <c r="C1468" s="940"/>
      <c r="D1468" s="940"/>
      <c r="E1468" s="1291"/>
      <c r="F1468" s="1314"/>
      <c r="G1468" s="1315"/>
      <c r="H1468" s="1315"/>
      <c r="I1468" s="1315"/>
      <c r="J1468" s="1314"/>
      <c r="K1468" s="1314"/>
      <c r="L1468" s="1291"/>
      <c r="M1468" s="1316"/>
      <c r="N1468" s="1291"/>
      <c r="O1468" s="1291"/>
      <c r="P1468" s="1317"/>
      <c r="Q1468" s="1291"/>
    </row>
    <row r="1469">
      <c r="A1469" s="1160"/>
      <c r="B1469" s="1313"/>
      <c r="C1469" s="940"/>
      <c r="D1469" s="940"/>
      <c r="E1469" s="1291"/>
      <c r="F1469" s="1314"/>
      <c r="G1469" s="1315"/>
      <c r="H1469" s="1315"/>
      <c r="I1469" s="1315"/>
      <c r="J1469" s="1314"/>
      <c r="K1469" s="1314"/>
      <c r="L1469" s="1291"/>
      <c r="M1469" s="1316"/>
      <c r="N1469" s="1291"/>
      <c r="O1469" s="1291"/>
      <c r="P1469" s="1317"/>
      <c r="Q1469" s="1291"/>
    </row>
    <row r="1470">
      <c r="A1470" s="1160"/>
      <c r="B1470" s="1313"/>
      <c r="C1470" s="940"/>
      <c r="D1470" s="940"/>
      <c r="E1470" s="1291"/>
      <c r="F1470" s="1314"/>
      <c r="G1470" s="1315"/>
      <c r="H1470" s="1315"/>
      <c r="I1470" s="1315"/>
      <c r="J1470" s="1314"/>
      <c r="K1470" s="1314"/>
      <c r="L1470" s="1291"/>
      <c r="M1470" s="1316"/>
      <c r="N1470" s="1291"/>
      <c r="O1470" s="1291"/>
      <c r="P1470" s="1317"/>
      <c r="Q1470" s="1291"/>
    </row>
    <row r="1471">
      <c r="A1471" s="1160"/>
      <c r="B1471" s="1313"/>
      <c r="C1471" s="940"/>
      <c r="D1471" s="940"/>
      <c r="E1471" s="1291"/>
      <c r="F1471" s="1314"/>
      <c r="G1471" s="1315"/>
      <c r="H1471" s="1315"/>
      <c r="I1471" s="1315"/>
      <c r="J1471" s="1314"/>
      <c r="K1471" s="1314"/>
      <c r="L1471" s="1291"/>
      <c r="M1471" s="1316"/>
      <c r="N1471" s="1291"/>
      <c r="O1471" s="1291"/>
      <c r="P1471" s="1317"/>
      <c r="Q1471" s="1291"/>
    </row>
    <row r="1472">
      <c r="A1472" s="1160"/>
      <c r="B1472" s="1313"/>
      <c r="C1472" s="940"/>
      <c r="D1472" s="940"/>
      <c r="E1472" s="1291"/>
      <c r="F1472" s="1314"/>
      <c r="G1472" s="1315"/>
      <c r="H1472" s="1315"/>
      <c r="I1472" s="1315"/>
      <c r="J1472" s="1314"/>
      <c r="K1472" s="1314"/>
      <c r="L1472" s="1291"/>
      <c r="M1472" s="1316"/>
      <c r="N1472" s="1291"/>
      <c r="O1472" s="1291"/>
      <c r="P1472" s="1317"/>
      <c r="Q1472" s="1291"/>
    </row>
    <row r="1473">
      <c r="A1473" s="1160"/>
      <c r="B1473" s="1313"/>
      <c r="C1473" s="940"/>
      <c r="D1473" s="940"/>
      <c r="E1473" s="1291"/>
      <c r="F1473" s="1314"/>
      <c r="G1473" s="1315"/>
      <c r="H1473" s="1315"/>
      <c r="I1473" s="1315"/>
      <c r="J1473" s="1314"/>
      <c r="K1473" s="1314"/>
      <c r="L1473" s="1291"/>
      <c r="M1473" s="1316"/>
      <c r="N1473" s="1291"/>
      <c r="O1473" s="1291"/>
      <c r="P1473" s="1317"/>
      <c r="Q1473" s="1291"/>
    </row>
    <row r="1474">
      <c r="A1474" s="1160"/>
      <c r="B1474" s="1313"/>
      <c r="C1474" s="940"/>
      <c r="D1474" s="940"/>
      <c r="E1474" s="1291"/>
      <c r="F1474" s="1314"/>
      <c r="G1474" s="1315"/>
      <c r="H1474" s="1315"/>
      <c r="I1474" s="1315"/>
      <c r="J1474" s="1314"/>
      <c r="K1474" s="1314"/>
      <c r="L1474" s="1291"/>
      <c r="M1474" s="1316"/>
      <c r="N1474" s="1291"/>
      <c r="O1474" s="1291"/>
      <c r="P1474" s="1317"/>
      <c r="Q1474" s="1291"/>
    </row>
    <row r="1475">
      <c r="A1475" s="1160"/>
      <c r="B1475" s="1313"/>
      <c r="C1475" s="940"/>
      <c r="D1475" s="940"/>
      <c r="E1475" s="1291"/>
      <c r="F1475" s="1314"/>
      <c r="G1475" s="1315"/>
      <c r="H1475" s="1315"/>
      <c r="I1475" s="1315"/>
      <c r="J1475" s="1314"/>
      <c r="K1475" s="1314"/>
      <c r="L1475" s="1291"/>
      <c r="M1475" s="1316"/>
      <c r="N1475" s="1291"/>
      <c r="O1475" s="1291"/>
      <c r="P1475" s="1317"/>
      <c r="Q1475" s="1291"/>
    </row>
    <row r="1476">
      <c r="A1476" s="1160"/>
      <c r="B1476" s="1313"/>
      <c r="C1476" s="940"/>
      <c r="D1476" s="940"/>
      <c r="E1476" s="1291"/>
      <c r="F1476" s="1314"/>
      <c r="G1476" s="1315"/>
      <c r="H1476" s="1315"/>
      <c r="I1476" s="1315"/>
      <c r="J1476" s="1314"/>
      <c r="K1476" s="1314"/>
      <c r="L1476" s="1291"/>
      <c r="M1476" s="1316"/>
      <c r="N1476" s="1291"/>
      <c r="O1476" s="1291"/>
      <c r="P1476" s="1317"/>
      <c r="Q1476" s="1291"/>
    </row>
    <row r="1477">
      <c r="A1477" s="1160"/>
      <c r="B1477" s="1313"/>
      <c r="C1477" s="940"/>
      <c r="D1477" s="940"/>
      <c r="E1477" s="1291"/>
      <c r="F1477" s="1314"/>
      <c r="G1477" s="1315"/>
      <c r="H1477" s="1315"/>
      <c r="I1477" s="1315"/>
      <c r="J1477" s="1314"/>
      <c r="K1477" s="1314"/>
      <c r="L1477" s="1291"/>
      <c r="M1477" s="1316"/>
      <c r="N1477" s="1291"/>
      <c r="O1477" s="1291"/>
      <c r="P1477" s="1317"/>
      <c r="Q1477" s="1291"/>
    </row>
    <row r="1478">
      <c r="A1478" s="1160"/>
      <c r="B1478" s="1313"/>
      <c r="C1478" s="940"/>
      <c r="D1478" s="940"/>
      <c r="E1478" s="1291"/>
      <c r="F1478" s="1314"/>
      <c r="G1478" s="1315"/>
      <c r="H1478" s="1315"/>
      <c r="I1478" s="1315"/>
      <c r="J1478" s="1314"/>
      <c r="K1478" s="1314"/>
      <c r="L1478" s="1291"/>
      <c r="M1478" s="1316"/>
      <c r="N1478" s="1291"/>
      <c r="O1478" s="1291"/>
      <c r="P1478" s="1317"/>
      <c r="Q1478" s="1291"/>
    </row>
    <row r="1479">
      <c r="A1479" s="1160"/>
      <c r="B1479" s="1313"/>
      <c r="C1479" s="940"/>
      <c r="D1479" s="940"/>
      <c r="E1479" s="1291"/>
      <c r="F1479" s="1314"/>
      <c r="G1479" s="1315"/>
      <c r="H1479" s="1315"/>
      <c r="I1479" s="1315"/>
      <c r="J1479" s="1314"/>
      <c r="K1479" s="1314"/>
      <c r="L1479" s="1291"/>
      <c r="M1479" s="1316"/>
      <c r="N1479" s="1291"/>
      <c r="O1479" s="1291"/>
      <c r="P1479" s="1317"/>
      <c r="Q1479" s="1291"/>
    </row>
    <row r="1480">
      <c r="A1480" s="1160"/>
      <c r="B1480" s="1313"/>
      <c r="C1480" s="940"/>
      <c r="D1480" s="940"/>
      <c r="E1480" s="1291"/>
      <c r="F1480" s="1314"/>
      <c r="G1480" s="1315"/>
      <c r="H1480" s="1315"/>
      <c r="I1480" s="1315"/>
      <c r="J1480" s="1314"/>
      <c r="K1480" s="1314"/>
      <c r="L1480" s="1291"/>
      <c r="M1480" s="1316"/>
      <c r="N1480" s="1291"/>
      <c r="O1480" s="1291"/>
      <c r="P1480" s="1317"/>
      <c r="Q1480" s="1291"/>
    </row>
    <row r="1481">
      <c r="A1481" s="1160"/>
      <c r="B1481" s="1313"/>
      <c r="C1481" s="940"/>
      <c r="D1481" s="940"/>
      <c r="E1481" s="1291"/>
      <c r="F1481" s="1314"/>
      <c r="G1481" s="1315"/>
      <c r="H1481" s="1315"/>
      <c r="I1481" s="1315"/>
      <c r="J1481" s="1314"/>
      <c r="K1481" s="1314"/>
      <c r="L1481" s="1291"/>
      <c r="M1481" s="1316"/>
      <c r="N1481" s="1291"/>
      <c r="O1481" s="1291"/>
      <c r="P1481" s="1317"/>
      <c r="Q1481" s="1291"/>
    </row>
    <row r="1482">
      <c r="A1482" s="1160"/>
      <c r="B1482" s="1313"/>
      <c r="C1482" s="940"/>
      <c r="D1482" s="940"/>
      <c r="E1482" s="1291"/>
      <c r="F1482" s="1314"/>
      <c r="G1482" s="1315"/>
      <c r="H1482" s="1315"/>
      <c r="I1482" s="1315"/>
      <c r="J1482" s="1314"/>
      <c r="K1482" s="1314"/>
      <c r="L1482" s="1291"/>
      <c r="M1482" s="1316"/>
      <c r="N1482" s="1291"/>
      <c r="O1482" s="1291"/>
      <c r="P1482" s="1317"/>
      <c r="Q1482" s="1291"/>
    </row>
    <row r="1483">
      <c r="A1483" s="1160"/>
      <c r="B1483" s="1313"/>
      <c r="C1483" s="940"/>
      <c r="D1483" s="940"/>
      <c r="E1483" s="1291"/>
      <c r="F1483" s="1314"/>
      <c r="G1483" s="1315"/>
      <c r="H1483" s="1315"/>
      <c r="I1483" s="1315"/>
      <c r="J1483" s="1314"/>
      <c r="K1483" s="1314"/>
      <c r="L1483" s="1291"/>
      <c r="M1483" s="1316"/>
      <c r="N1483" s="1291"/>
      <c r="O1483" s="1291"/>
      <c r="P1483" s="1317"/>
      <c r="Q1483" s="1291"/>
    </row>
    <row r="1484">
      <c r="A1484" s="1160"/>
      <c r="B1484" s="1313"/>
      <c r="C1484" s="940"/>
      <c r="D1484" s="940"/>
      <c r="E1484" s="1291"/>
      <c r="F1484" s="1314"/>
      <c r="G1484" s="1315"/>
      <c r="H1484" s="1315"/>
      <c r="I1484" s="1315"/>
      <c r="J1484" s="1314"/>
      <c r="K1484" s="1314"/>
      <c r="L1484" s="1291"/>
      <c r="M1484" s="1316"/>
      <c r="N1484" s="1291"/>
      <c r="O1484" s="1291"/>
      <c r="P1484" s="1317"/>
      <c r="Q1484" s="1291"/>
    </row>
    <row r="1485">
      <c r="A1485" s="1160"/>
      <c r="B1485" s="1313"/>
      <c r="C1485" s="940"/>
      <c r="D1485" s="940"/>
      <c r="E1485" s="1291"/>
      <c r="F1485" s="1314"/>
      <c r="G1485" s="1315"/>
      <c r="H1485" s="1315"/>
      <c r="I1485" s="1315"/>
      <c r="J1485" s="1314"/>
      <c r="K1485" s="1314"/>
      <c r="L1485" s="1291"/>
      <c r="M1485" s="1316"/>
      <c r="N1485" s="1291"/>
      <c r="O1485" s="1291"/>
      <c r="P1485" s="1317"/>
      <c r="Q1485" s="1291"/>
    </row>
    <row r="1486">
      <c r="A1486" s="1160"/>
      <c r="B1486" s="1313"/>
      <c r="C1486" s="940"/>
      <c r="D1486" s="940"/>
      <c r="E1486" s="1291"/>
      <c r="F1486" s="1314"/>
      <c r="G1486" s="1315"/>
      <c r="H1486" s="1315"/>
      <c r="I1486" s="1315"/>
      <c r="J1486" s="1314"/>
      <c r="K1486" s="1314"/>
      <c r="L1486" s="1291"/>
      <c r="M1486" s="1316"/>
      <c r="N1486" s="1291"/>
      <c r="O1486" s="1291"/>
      <c r="P1486" s="1317"/>
      <c r="Q1486" s="1291"/>
    </row>
    <row r="1487">
      <c r="A1487" s="1160"/>
      <c r="B1487" s="1313"/>
      <c r="C1487" s="940"/>
      <c r="D1487" s="940"/>
      <c r="E1487" s="1291"/>
      <c r="F1487" s="1314"/>
      <c r="G1487" s="1315"/>
      <c r="H1487" s="1315"/>
      <c r="I1487" s="1315"/>
      <c r="J1487" s="1314"/>
      <c r="K1487" s="1314"/>
      <c r="L1487" s="1291"/>
      <c r="M1487" s="1316"/>
      <c r="N1487" s="1291"/>
      <c r="O1487" s="1291"/>
      <c r="P1487" s="1317"/>
      <c r="Q1487" s="1291"/>
    </row>
    <row r="1488">
      <c r="A1488" s="1160"/>
      <c r="B1488" s="1313"/>
      <c r="C1488" s="940"/>
      <c r="D1488" s="940"/>
      <c r="E1488" s="1291"/>
      <c r="F1488" s="1314"/>
      <c r="G1488" s="1315"/>
      <c r="H1488" s="1315"/>
      <c r="I1488" s="1315"/>
      <c r="J1488" s="1314"/>
      <c r="K1488" s="1314"/>
      <c r="L1488" s="1291"/>
      <c r="M1488" s="1316"/>
      <c r="N1488" s="1291"/>
      <c r="O1488" s="1291"/>
      <c r="P1488" s="1317"/>
      <c r="Q1488" s="1291"/>
    </row>
    <row r="1489">
      <c r="A1489" s="1160"/>
      <c r="B1489" s="1313"/>
      <c r="C1489" s="940"/>
      <c r="D1489" s="940"/>
      <c r="E1489" s="1291"/>
      <c r="F1489" s="1314"/>
      <c r="G1489" s="1315"/>
      <c r="H1489" s="1315"/>
      <c r="I1489" s="1315"/>
      <c r="J1489" s="1314"/>
      <c r="K1489" s="1314"/>
      <c r="L1489" s="1291"/>
      <c r="M1489" s="1316"/>
      <c r="N1489" s="1291"/>
      <c r="O1489" s="1291"/>
      <c r="P1489" s="1317"/>
      <c r="Q1489" s="1291"/>
    </row>
    <row r="1490">
      <c r="A1490" s="1160"/>
      <c r="B1490" s="1313"/>
      <c r="C1490" s="940"/>
      <c r="D1490" s="940"/>
      <c r="E1490" s="1291"/>
      <c r="F1490" s="1314"/>
      <c r="G1490" s="1315"/>
      <c r="H1490" s="1315"/>
      <c r="I1490" s="1315"/>
      <c r="J1490" s="1314"/>
      <c r="K1490" s="1314"/>
      <c r="L1490" s="1291"/>
      <c r="M1490" s="1316"/>
      <c r="N1490" s="1291"/>
      <c r="O1490" s="1291"/>
      <c r="P1490" s="1317"/>
      <c r="Q1490" s="1291"/>
    </row>
    <row r="1491">
      <c r="A1491" s="1160"/>
      <c r="B1491" s="1313"/>
      <c r="C1491" s="940"/>
      <c r="D1491" s="940"/>
      <c r="E1491" s="1291"/>
      <c r="F1491" s="1314"/>
      <c r="G1491" s="1315"/>
      <c r="H1491" s="1315"/>
      <c r="I1491" s="1315"/>
      <c r="J1491" s="1314"/>
      <c r="K1491" s="1314"/>
      <c r="L1491" s="1291"/>
      <c r="M1491" s="1316"/>
      <c r="N1491" s="1291"/>
      <c r="O1491" s="1291"/>
      <c r="P1491" s="1317"/>
      <c r="Q1491" s="1291"/>
    </row>
    <row r="1492">
      <c r="A1492" s="1160"/>
      <c r="B1492" s="1313"/>
      <c r="C1492" s="940"/>
      <c r="D1492" s="940"/>
      <c r="E1492" s="1291"/>
      <c r="F1492" s="1314"/>
      <c r="G1492" s="1315"/>
      <c r="H1492" s="1315"/>
      <c r="I1492" s="1315"/>
      <c r="J1492" s="1314"/>
      <c r="K1492" s="1314"/>
      <c r="L1492" s="1291"/>
      <c r="M1492" s="1316"/>
      <c r="N1492" s="1291"/>
      <c r="O1492" s="1291"/>
      <c r="P1492" s="1317"/>
      <c r="Q1492" s="1291"/>
    </row>
    <row r="1493">
      <c r="A1493" s="1160"/>
      <c r="B1493" s="1313"/>
      <c r="C1493" s="940"/>
      <c r="D1493" s="940"/>
      <c r="E1493" s="1291"/>
      <c r="F1493" s="1314"/>
      <c r="G1493" s="1315"/>
      <c r="H1493" s="1315"/>
      <c r="I1493" s="1315"/>
      <c r="J1493" s="1314"/>
      <c r="K1493" s="1314"/>
      <c r="L1493" s="1291"/>
      <c r="M1493" s="1316"/>
      <c r="N1493" s="1291"/>
      <c r="O1493" s="1291"/>
      <c r="P1493" s="1317"/>
      <c r="Q1493" s="1291"/>
    </row>
    <row r="1494">
      <c r="A1494" s="1160"/>
      <c r="B1494" s="1313"/>
      <c r="C1494" s="940"/>
      <c r="D1494" s="940"/>
      <c r="E1494" s="1291"/>
      <c r="F1494" s="1314"/>
      <c r="G1494" s="1315"/>
      <c r="H1494" s="1315"/>
      <c r="I1494" s="1315"/>
      <c r="J1494" s="1314"/>
      <c r="K1494" s="1314"/>
      <c r="L1494" s="1291"/>
      <c r="M1494" s="1316"/>
      <c r="N1494" s="1291"/>
      <c r="O1494" s="1291"/>
      <c r="P1494" s="1317"/>
      <c r="Q1494" s="1291"/>
    </row>
    <row r="1495">
      <c r="A1495" s="1160"/>
      <c r="B1495" s="1313"/>
      <c r="C1495" s="940"/>
      <c r="D1495" s="940"/>
      <c r="E1495" s="1291"/>
      <c r="F1495" s="1314"/>
      <c r="G1495" s="1315"/>
      <c r="H1495" s="1315"/>
      <c r="I1495" s="1315"/>
      <c r="J1495" s="1314"/>
      <c r="K1495" s="1314"/>
      <c r="L1495" s="1291"/>
      <c r="M1495" s="1316"/>
      <c r="N1495" s="1291"/>
      <c r="O1495" s="1291"/>
      <c r="P1495" s="1317"/>
      <c r="Q1495" s="1291"/>
    </row>
    <row r="1496">
      <c r="A1496" s="1160"/>
      <c r="B1496" s="1313"/>
      <c r="C1496" s="940"/>
      <c r="D1496" s="940"/>
      <c r="E1496" s="1291"/>
      <c r="F1496" s="1314"/>
      <c r="G1496" s="1315"/>
      <c r="H1496" s="1315"/>
      <c r="I1496" s="1315"/>
      <c r="J1496" s="1314"/>
      <c r="K1496" s="1314"/>
      <c r="L1496" s="1291"/>
      <c r="M1496" s="1316"/>
      <c r="N1496" s="1291"/>
      <c r="O1496" s="1291"/>
      <c r="P1496" s="1317"/>
      <c r="Q1496" s="1291"/>
    </row>
    <row r="1497">
      <c r="A1497" s="1160"/>
      <c r="B1497" s="1313"/>
      <c r="C1497" s="940"/>
      <c r="D1497" s="940"/>
      <c r="E1497" s="1291"/>
      <c r="F1497" s="1314"/>
      <c r="G1497" s="1315"/>
      <c r="H1497" s="1315"/>
      <c r="I1497" s="1315"/>
      <c r="J1497" s="1314"/>
      <c r="K1497" s="1314"/>
      <c r="L1497" s="1291"/>
      <c r="M1497" s="1316"/>
      <c r="N1497" s="1291"/>
      <c r="O1497" s="1291"/>
      <c r="P1497" s="1317"/>
      <c r="Q1497" s="1291"/>
    </row>
    <row r="1498">
      <c r="A1498" s="1160"/>
      <c r="B1498" s="1313"/>
      <c r="C1498" s="940"/>
      <c r="D1498" s="940"/>
      <c r="E1498" s="1291"/>
      <c r="F1498" s="1314"/>
      <c r="G1498" s="1315"/>
      <c r="H1498" s="1315"/>
      <c r="I1498" s="1315"/>
      <c r="J1498" s="1314"/>
      <c r="K1498" s="1314"/>
      <c r="L1498" s="1291"/>
      <c r="M1498" s="1316"/>
      <c r="N1498" s="1291"/>
      <c r="O1498" s="1291"/>
      <c r="P1498" s="1317"/>
      <c r="Q1498" s="1291"/>
    </row>
    <row r="1499">
      <c r="A1499" s="1160"/>
      <c r="B1499" s="1313"/>
      <c r="C1499" s="940"/>
      <c r="D1499" s="940"/>
      <c r="E1499" s="1291"/>
      <c r="F1499" s="1314"/>
      <c r="G1499" s="1315"/>
      <c r="H1499" s="1315"/>
      <c r="I1499" s="1315"/>
      <c r="J1499" s="1314"/>
      <c r="K1499" s="1314"/>
      <c r="L1499" s="1291"/>
      <c r="M1499" s="1316"/>
      <c r="N1499" s="1291"/>
      <c r="O1499" s="1291"/>
      <c r="P1499" s="1317"/>
      <c r="Q1499" s="1291"/>
    </row>
    <row r="1500">
      <c r="A1500" s="1160"/>
      <c r="B1500" s="1313"/>
      <c r="C1500" s="940"/>
      <c r="D1500" s="940"/>
      <c r="E1500" s="1291"/>
      <c r="F1500" s="1314"/>
      <c r="G1500" s="1315"/>
      <c r="H1500" s="1315"/>
      <c r="I1500" s="1315"/>
      <c r="J1500" s="1314"/>
      <c r="K1500" s="1314"/>
      <c r="L1500" s="1291"/>
      <c r="M1500" s="1316"/>
      <c r="N1500" s="1291"/>
      <c r="O1500" s="1291"/>
      <c r="P1500" s="1317"/>
      <c r="Q1500" s="1291"/>
    </row>
    <row r="1501">
      <c r="A1501" s="1160"/>
      <c r="B1501" s="1313"/>
      <c r="C1501" s="940"/>
      <c r="D1501" s="940"/>
      <c r="E1501" s="1291"/>
      <c r="F1501" s="1314"/>
      <c r="G1501" s="1315"/>
      <c r="H1501" s="1315"/>
      <c r="I1501" s="1315"/>
      <c r="J1501" s="1314"/>
      <c r="K1501" s="1314"/>
      <c r="L1501" s="1291"/>
      <c r="M1501" s="1316"/>
      <c r="N1501" s="1291"/>
      <c r="O1501" s="1291"/>
      <c r="P1501" s="1317"/>
      <c r="Q1501" s="1291"/>
    </row>
    <row r="1502">
      <c r="A1502" s="1160"/>
      <c r="B1502" s="1313"/>
      <c r="C1502" s="940"/>
      <c r="D1502" s="940"/>
      <c r="E1502" s="1291"/>
      <c r="F1502" s="1314"/>
      <c r="G1502" s="1315"/>
      <c r="H1502" s="1315"/>
      <c r="I1502" s="1315"/>
      <c r="J1502" s="1314"/>
      <c r="K1502" s="1314"/>
      <c r="L1502" s="1291"/>
      <c r="M1502" s="1316"/>
      <c r="N1502" s="1291"/>
      <c r="O1502" s="1291"/>
      <c r="P1502" s="1317"/>
      <c r="Q1502" s="1291"/>
    </row>
    <row r="1503">
      <c r="A1503" s="1160"/>
      <c r="B1503" s="1313"/>
      <c r="C1503" s="940"/>
      <c r="D1503" s="940"/>
      <c r="E1503" s="1291"/>
      <c r="F1503" s="1314"/>
      <c r="G1503" s="1315"/>
      <c r="H1503" s="1315"/>
      <c r="I1503" s="1315"/>
      <c r="J1503" s="1314"/>
      <c r="K1503" s="1314"/>
      <c r="L1503" s="1291"/>
      <c r="M1503" s="1316"/>
      <c r="N1503" s="1291"/>
      <c r="O1503" s="1291"/>
      <c r="P1503" s="1317"/>
      <c r="Q1503" s="1291"/>
    </row>
    <row r="1504">
      <c r="A1504" s="1160"/>
      <c r="B1504" s="1313"/>
      <c r="C1504" s="940"/>
      <c r="D1504" s="940"/>
      <c r="E1504" s="1291"/>
      <c r="F1504" s="1314"/>
      <c r="G1504" s="1315"/>
      <c r="H1504" s="1315"/>
      <c r="I1504" s="1315"/>
      <c r="J1504" s="1314"/>
      <c r="K1504" s="1314"/>
      <c r="L1504" s="1291"/>
      <c r="M1504" s="1316"/>
      <c r="N1504" s="1291"/>
      <c r="O1504" s="1291"/>
      <c r="P1504" s="1317"/>
      <c r="Q1504" s="1291"/>
    </row>
    <row r="1505">
      <c r="A1505" s="1160"/>
      <c r="B1505" s="1313"/>
      <c r="C1505" s="940"/>
      <c r="D1505" s="940"/>
      <c r="E1505" s="1291"/>
      <c r="F1505" s="1314"/>
      <c r="G1505" s="1315"/>
      <c r="H1505" s="1315"/>
      <c r="I1505" s="1315"/>
      <c r="J1505" s="1314"/>
      <c r="K1505" s="1314"/>
      <c r="L1505" s="1291"/>
      <c r="M1505" s="1316"/>
      <c r="N1505" s="1291"/>
      <c r="O1505" s="1291"/>
      <c r="P1505" s="1317"/>
      <c r="Q1505" s="1291"/>
    </row>
    <row r="1506">
      <c r="A1506" s="1160"/>
      <c r="B1506" s="1313"/>
      <c r="C1506" s="940"/>
      <c r="D1506" s="940"/>
      <c r="E1506" s="1291"/>
      <c r="F1506" s="1314"/>
      <c r="G1506" s="1315"/>
      <c r="H1506" s="1315"/>
      <c r="I1506" s="1315"/>
      <c r="J1506" s="1314"/>
      <c r="K1506" s="1314"/>
      <c r="L1506" s="1291"/>
      <c r="M1506" s="1316"/>
      <c r="N1506" s="1291"/>
      <c r="O1506" s="1291"/>
      <c r="P1506" s="1317"/>
      <c r="Q1506" s="1291"/>
    </row>
    <row r="1507">
      <c r="A1507" s="1160"/>
      <c r="B1507" s="1313"/>
      <c r="C1507" s="940"/>
      <c r="D1507" s="940"/>
      <c r="E1507" s="1291"/>
      <c r="F1507" s="1314"/>
      <c r="G1507" s="1315"/>
      <c r="H1507" s="1315"/>
      <c r="I1507" s="1315"/>
      <c r="J1507" s="1314"/>
      <c r="K1507" s="1314"/>
      <c r="L1507" s="1291"/>
      <c r="M1507" s="1316"/>
      <c r="N1507" s="1291"/>
      <c r="O1507" s="1291"/>
      <c r="P1507" s="1317"/>
      <c r="Q1507" s="1291"/>
    </row>
    <row r="1508">
      <c r="A1508" s="1160"/>
      <c r="B1508" s="1313"/>
      <c r="C1508" s="940"/>
      <c r="D1508" s="940"/>
      <c r="E1508" s="1291"/>
      <c r="F1508" s="1314"/>
      <c r="G1508" s="1315"/>
      <c r="H1508" s="1315"/>
      <c r="I1508" s="1315"/>
      <c r="J1508" s="1314"/>
      <c r="K1508" s="1314"/>
      <c r="L1508" s="1291"/>
      <c r="M1508" s="1316"/>
      <c r="N1508" s="1291"/>
      <c r="O1508" s="1291"/>
      <c r="P1508" s="1317"/>
      <c r="Q1508" s="1291"/>
    </row>
    <row r="1509">
      <c r="A1509" s="1160"/>
      <c r="B1509" s="1313"/>
      <c r="C1509" s="940"/>
      <c r="D1509" s="940"/>
      <c r="E1509" s="1291"/>
      <c r="F1509" s="1314"/>
      <c r="G1509" s="1315"/>
      <c r="H1509" s="1315"/>
      <c r="I1509" s="1315"/>
      <c r="J1509" s="1314"/>
      <c r="K1509" s="1314"/>
      <c r="L1509" s="1291"/>
      <c r="M1509" s="1316"/>
      <c r="N1509" s="1291"/>
      <c r="O1509" s="1291"/>
      <c r="P1509" s="1317"/>
      <c r="Q1509" s="1291"/>
    </row>
    <row r="1510">
      <c r="A1510" s="1160"/>
      <c r="B1510" s="1313"/>
      <c r="C1510" s="940"/>
      <c r="D1510" s="940"/>
      <c r="E1510" s="1291"/>
      <c r="F1510" s="1314"/>
      <c r="G1510" s="1315"/>
      <c r="H1510" s="1315"/>
      <c r="I1510" s="1315"/>
      <c r="J1510" s="1314"/>
      <c r="K1510" s="1314"/>
      <c r="L1510" s="1291"/>
      <c r="M1510" s="1316"/>
      <c r="N1510" s="1291"/>
      <c r="O1510" s="1291"/>
      <c r="P1510" s="1317"/>
      <c r="Q1510" s="1291"/>
    </row>
    <row r="1511">
      <c r="A1511" s="1160"/>
      <c r="B1511" s="1313"/>
      <c r="C1511" s="940"/>
      <c r="D1511" s="940"/>
      <c r="E1511" s="1291"/>
      <c r="F1511" s="1314"/>
      <c r="G1511" s="1315"/>
      <c r="H1511" s="1315"/>
      <c r="I1511" s="1315"/>
      <c r="J1511" s="1314"/>
      <c r="K1511" s="1314"/>
      <c r="L1511" s="1291"/>
      <c r="M1511" s="1316"/>
      <c r="N1511" s="1291"/>
      <c r="O1511" s="1291"/>
      <c r="P1511" s="1317"/>
      <c r="Q1511" s="1291"/>
    </row>
    <row r="1512">
      <c r="A1512" s="1160"/>
      <c r="B1512" s="1313"/>
      <c r="C1512" s="940"/>
      <c r="D1512" s="940"/>
      <c r="E1512" s="1291"/>
      <c r="F1512" s="1314"/>
      <c r="G1512" s="1315"/>
      <c r="H1512" s="1315"/>
      <c r="I1512" s="1315"/>
      <c r="J1512" s="1314"/>
      <c r="K1512" s="1314"/>
      <c r="L1512" s="1291"/>
      <c r="M1512" s="1316"/>
      <c r="N1512" s="1291"/>
      <c r="O1512" s="1291"/>
      <c r="P1512" s="1317"/>
      <c r="Q1512" s="1291"/>
    </row>
    <row r="1513">
      <c r="A1513" s="1160"/>
      <c r="B1513" s="1313"/>
      <c r="C1513" s="940"/>
      <c r="D1513" s="940"/>
      <c r="E1513" s="1291"/>
      <c r="F1513" s="1314"/>
      <c r="G1513" s="1315"/>
      <c r="H1513" s="1315"/>
      <c r="I1513" s="1315"/>
      <c r="J1513" s="1314"/>
      <c r="K1513" s="1314"/>
      <c r="L1513" s="1291"/>
      <c r="M1513" s="1316"/>
      <c r="N1513" s="1291"/>
      <c r="O1513" s="1291"/>
      <c r="P1513" s="1317"/>
      <c r="Q1513" s="1291"/>
    </row>
    <row r="1514">
      <c r="A1514" s="1160"/>
      <c r="B1514" s="1313"/>
      <c r="C1514" s="940"/>
      <c r="D1514" s="940"/>
      <c r="E1514" s="1291"/>
      <c r="F1514" s="1314"/>
      <c r="G1514" s="1315"/>
      <c r="H1514" s="1315"/>
      <c r="I1514" s="1315"/>
      <c r="J1514" s="1314"/>
      <c r="K1514" s="1314"/>
      <c r="L1514" s="1291"/>
      <c r="M1514" s="1316"/>
      <c r="N1514" s="1291"/>
      <c r="O1514" s="1291"/>
      <c r="P1514" s="1317"/>
      <c r="Q1514" s="1291"/>
    </row>
    <row r="1515">
      <c r="A1515" s="1160"/>
      <c r="B1515" s="1313"/>
      <c r="C1515" s="940"/>
      <c r="D1515" s="940"/>
      <c r="E1515" s="1291"/>
      <c r="F1515" s="1314"/>
      <c r="G1515" s="1315"/>
      <c r="H1515" s="1315"/>
      <c r="I1515" s="1315"/>
      <c r="J1515" s="1314"/>
      <c r="K1515" s="1314"/>
      <c r="L1515" s="1291"/>
      <c r="M1515" s="1316"/>
      <c r="N1515" s="1291"/>
      <c r="O1515" s="1291"/>
      <c r="P1515" s="1317"/>
      <c r="Q1515" s="1291"/>
    </row>
    <row r="1516">
      <c r="A1516" s="1160"/>
      <c r="B1516" s="1313"/>
      <c r="C1516" s="940"/>
      <c r="D1516" s="940"/>
      <c r="E1516" s="1291"/>
      <c r="F1516" s="1314"/>
      <c r="G1516" s="1315"/>
      <c r="H1516" s="1315"/>
      <c r="I1516" s="1315"/>
      <c r="J1516" s="1314"/>
      <c r="K1516" s="1314"/>
      <c r="L1516" s="1291"/>
      <c r="M1516" s="1316"/>
      <c r="N1516" s="1291"/>
      <c r="O1516" s="1291"/>
      <c r="P1516" s="1317"/>
      <c r="Q1516" s="1291"/>
    </row>
    <row r="1517">
      <c r="A1517" s="1160"/>
      <c r="B1517" s="1313"/>
      <c r="C1517" s="940"/>
      <c r="D1517" s="940"/>
      <c r="E1517" s="1291"/>
      <c r="F1517" s="1314"/>
      <c r="G1517" s="1315"/>
      <c r="H1517" s="1315"/>
      <c r="I1517" s="1315"/>
      <c r="J1517" s="1314"/>
      <c r="K1517" s="1314"/>
      <c r="L1517" s="1291"/>
      <c r="M1517" s="1316"/>
      <c r="N1517" s="1291"/>
      <c r="O1517" s="1291"/>
      <c r="P1517" s="1317"/>
      <c r="Q1517" s="1291"/>
    </row>
    <row r="1518">
      <c r="A1518" s="1160"/>
      <c r="B1518" s="1313"/>
      <c r="C1518" s="940"/>
      <c r="D1518" s="940"/>
      <c r="E1518" s="1291"/>
      <c r="F1518" s="1314"/>
      <c r="G1518" s="1315"/>
      <c r="H1518" s="1315"/>
      <c r="I1518" s="1315"/>
      <c r="J1518" s="1314"/>
      <c r="K1518" s="1314"/>
      <c r="L1518" s="1291"/>
      <c r="M1518" s="1316"/>
      <c r="N1518" s="1291"/>
      <c r="O1518" s="1291"/>
      <c r="P1518" s="1317"/>
      <c r="Q1518" s="1291"/>
    </row>
    <row r="1519">
      <c r="A1519" s="1160"/>
      <c r="B1519" s="1313"/>
      <c r="C1519" s="940"/>
      <c r="D1519" s="940"/>
      <c r="E1519" s="1291"/>
      <c r="F1519" s="1314"/>
      <c r="G1519" s="1315"/>
      <c r="H1519" s="1315"/>
      <c r="I1519" s="1315"/>
      <c r="J1519" s="1314"/>
      <c r="K1519" s="1314"/>
      <c r="L1519" s="1291"/>
      <c r="M1519" s="1316"/>
      <c r="N1519" s="1291"/>
      <c r="O1519" s="1291"/>
      <c r="P1519" s="1317"/>
      <c r="Q1519" s="1291"/>
    </row>
    <row r="1520">
      <c r="A1520" s="1160"/>
      <c r="B1520" s="1313"/>
      <c r="C1520" s="940"/>
      <c r="D1520" s="940"/>
      <c r="E1520" s="1291"/>
      <c r="F1520" s="1314"/>
      <c r="G1520" s="1315"/>
      <c r="H1520" s="1315"/>
      <c r="I1520" s="1315"/>
      <c r="J1520" s="1314"/>
      <c r="K1520" s="1314"/>
      <c r="L1520" s="1291"/>
      <c r="M1520" s="1316"/>
      <c r="N1520" s="1291"/>
      <c r="O1520" s="1291"/>
      <c r="P1520" s="1317"/>
      <c r="Q1520" s="1291"/>
    </row>
    <row r="1521">
      <c r="A1521" s="1160"/>
      <c r="B1521" s="1313"/>
      <c r="C1521" s="940"/>
      <c r="D1521" s="940"/>
      <c r="E1521" s="1291"/>
      <c r="F1521" s="1314"/>
      <c r="G1521" s="1315"/>
      <c r="H1521" s="1315"/>
      <c r="I1521" s="1315"/>
      <c r="J1521" s="1314"/>
      <c r="K1521" s="1314"/>
      <c r="L1521" s="1291"/>
      <c r="M1521" s="1316"/>
      <c r="N1521" s="1291"/>
      <c r="O1521" s="1291"/>
      <c r="P1521" s="1317"/>
      <c r="Q1521" s="1291"/>
    </row>
    <row r="1522">
      <c r="A1522" s="1160"/>
      <c r="B1522" s="1313"/>
      <c r="C1522" s="940"/>
      <c r="D1522" s="940"/>
      <c r="E1522" s="1291"/>
      <c r="F1522" s="1314"/>
      <c r="G1522" s="1315"/>
      <c r="H1522" s="1315"/>
      <c r="I1522" s="1315"/>
      <c r="J1522" s="1314"/>
      <c r="K1522" s="1314"/>
      <c r="L1522" s="1291"/>
      <c r="M1522" s="1316"/>
      <c r="N1522" s="1291"/>
      <c r="O1522" s="1291"/>
      <c r="P1522" s="1317"/>
      <c r="Q1522" s="1291"/>
    </row>
    <row r="1523">
      <c r="A1523" s="1160"/>
      <c r="B1523" s="1313"/>
      <c r="C1523" s="940"/>
      <c r="D1523" s="940"/>
      <c r="E1523" s="1291"/>
      <c r="F1523" s="1314"/>
      <c r="G1523" s="1315"/>
      <c r="H1523" s="1315"/>
      <c r="I1523" s="1315"/>
      <c r="J1523" s="1314"/>
      <c r="K1523" s="1314"/>
      <c r="L1523" s="1291"/>
      <c r="M1523" s="1316"/>
      <c r="N1523" s="1291"/>
      <c r="O1523" s="1291"/>
      <c r="P1523" s="1317"/>
      <c r="Q1523" s="1291"/>
    </row>
    <row r="1524">
      <c r="A1524" s="1160"/>
      <c r="B1524" s="1313"/>
      <c r="C1524" s="940"/>
      <c r="D1524" s="940"/>
      <c r="E1524" s="1291"/>
      <c r="F1524" s="1314"/>
      <c r="G1524" s="1315"/>
      <c r="H1524" s="1315"/>
      <c r="I1524" s="1315"/>
      <c r="J1524" s="1314"/>
      <c r="K1524" s="1314"/>
      <c r="L1524" s="1291"/>
      <c r="M1524" s="1316"/>
      <c r="N1524" s="1291"/>
      <c r="O1524" s="1291"/>
      <c r="P1524" s="1317"/>
      <c r="Q1524" s="1291"/>
    </row>
    <row r="1525">
      <c r="A1525" s="1160"/>
      <c r="B1525" s="1313"/>
      <c r="C1525" s="940"/>
      <c r="D1525" s="940"/>
      <c r="E1525" s="1291"/>
      <c r="F1525" s="1314"/>
      <c r="G1525" s="1315"/>
      <c r="H1525" s="1315"/>
      <c r="I1525" s="1315"/>
      <c r="J1525" s="1314"/>
      <c r="K1525" s="1314"/>
      <c r="L1525" s="1291"/>
      <c r="M1525" s="1316"/>
      <c r="N1525" s="1291"/>
      <c r="O1525" s="1291"/>
      <c r="P1525" s="1317"/>
      <c r="Q1525" s="1291"/>
    </row>
    <row r="1526">
      <c r="A1526" s="1160"/>
      <c r="B1526" s="1313"/>
      <c r="C1526" s="940"/>
      <c r="D1526" s="940"/>
      <c r="E1526" s="1291"/>
      <c r="F1526" s="1314"/>
      <c r="G1526" s="1315"/>
      <c r="H1526" s="1315"/>
      <c r="I1526" s="1315"/>
      <c r="J1526" s="1314"/>
      <c r="K1526" s="1314"/>
      <c r="L1526" s="1291"/>
      <c r="M1526" s="1316"/>
      <c r="N1526" s="1291"/>
      <c r="O1526" s="1291"/>
      <c r="P1526" s="1317"/>
      <c r="Q1526" s="1291"/>
    </row>
    <row r="1527">
      <c r="A1527" s="1160"/>
      <c r="B1527" s="1313"/>
      <c r="C1527" s="940"/>
      <c r="D1527" s="940"/>
      <c r="E1527" s="1291"/>
      <c r="F1527" s="1314"/>
      <c r="G1527" s="1315"/>
      <c r="H1527" s="1315"/>
      <c r="I1527" s="1315"/>
      <c r="J1527" s="1314"/>
      <c r="K1527" s="1314"/>
      <c r="L1527" s="1291"/>
      <c r="M1527" s="1316"/>
      <c r="N1527" s="1291"/>
      <c r="O1527" s="1291"/>
      <c r="P1527" s="1317"/>
      <c r="Q1527" s="1291"/>
    </row>
    <row r="1528">
      <c r="A1528" s="1160"/>
      <c r="B1528" s="1313"/>
      <c r="C1528" s="940"/>
      <c r="D1528" s="940"/>
      <c r="E1528" s="1291"/>
      <c r="F1528" s="1314"/>
      <c r="G1528" s="1315"/>
      <c r="H1528" s="1315"/>
      <c r="I1528" s="1315"/>
      <c r="J1528" s="1314"/>
      <c r="K1528" s="1314"/>
      <c r="L1528" s="1291"/>
      <c r="M1528" s="1316"/>
      <c r="N1528" s="1291"/>
      <c r="O1528" s="1291"/>
      <c r="P1528" s="1317"/>
      <c r="Q1528" s="1291"/>
    </row>
    <row r="1529">
      <c r="A1529" s="1160"/>
      <c r="B1529" s="1313"/>
      <c r="C1529" s="940"/>
      <c r="D1529" s="940"/>
      <c r="E1529" s="1291"/>
      <c r="F1529" s="1314"/>
      <c r="G1529" s="1315"/>
      <c r="H1529" s="1315"/>
      <c r="I1529" s="1315"/>
      <c r="J1529" s="1314"/>
      <c r="K1529" s="1314"/>
      <c r="L1529" s="1291"/>
      <c r="M1529" s="1316"/>
      <c r="N1529" s="1291"/>
      <c r="O1529" s="1291"/>
      <c r="P1529" s="1317"/>
      <c r="Q1529" s="1291"/>
    </row>
    <row r="1530">
      <c r="A1530" s="1160"/>
      <c r="B1530" s="1313"/>
      <c r="C1530" s="940"/>
      <c r="D1530" s="940"/>
      <c r="E1530" s="1291"/>
      <c r="F1530" s="1314"/>
      <c r="G1530" s="1315"/>
      <c r="H1530" s="1315"/>
      <c r="I1530" s="1315"/>
      <c r="J1530" s="1314"/>
      <c r="K1530" s="1314"/>
      <c r="L1530" s="1291"/>
      <c r="M1530" s="1316"/>
      <c r="N1530" s="1291"/>
      <c r="O1530" s="1291"/>
      <c r="P1530" s="1317"/>
      <c r="Q1530" s="1291"/>
    </row>
    <row r="1531">
      <c r="A1531" s="1160"/>
      <c r="B1531" s="1313"/>
      <c r="C1531" s="940"/>
      <c r="D1531" s="940"/>
      <c r="E1531" s="1291"/>
      <c r="F1531" s="1314"/>
      <c r="G1531" s="1315"/>
      <c r="H1531" s="1315"/>
      <c r="I1531" s="1315"/>
      <c r="J1531" s="1314"/>
      <c r="K1531" s="1314"/>
      <c r="L1531" s="1291"/>
      <c r="M1531" s="1316"/>
      <c r="N1531" s="1291"/>
      <c r="O1531" s="1291"/>
      <c r="P1531" s="1317"/>
      <c r="Q1531" s="1291"/>
    </row>
    <row r="1532">
      <c r="A1532" s="1160"/>
      <c r="B1532" s="1313"/>
      <c r="C1532" s="940"/>
      <c r="D1532" s="940"/>
      <c r="E1532" s="1291"/>
      <c r="F1532" s="1314"/>
      <c r="G1532" s="1315"/>
      <c r="H1532" s="1315"/>
      <c r="I1532" s="1315"/>
      <c r="J1532" s="1314"/>
      <c r="K1532" s="1314"/>
      <c r="L1532" s="1291"/>
      <c r="M1532" s="1316"/>
      <c r="N1532" s="1291"/>
      <c r="O1532" s="1291"/>
      <c r="P1532" s="1317"/>
      <c r="Q1532" s="1291"/>
    </row>
    <row r="1533">
      <c r="A1533" s="1160"/>
      <c r="B1533" s="1313"/>
      <c r="C1533" s="940"/>
      <c r="D1533" s="940"/>
      <c r="E1533" s="1291"/>
      <c r="F1533" s="1314"/>
      <c r="G1533" s="1315"/>
      <c r="H1533" s="1315"/>
      <c r="I1533" s="1315"/>
      <c r="J1533" s="1314"/>
      <c r="K1533" s="1314"/>
      <c r="L1533" s="1291"/>
      <c r="M1533" s="1316"/>
      <c r="N1533" s="1291"/>
      <c r="O1533" s="1291"/>
      <c r="P1533" s="1317"/>
      <c r="Q1533" s="1291"/>
    </row>
    <row r="1534">
      <c r="A1534" s="1160"/>
      <c r="B1534" s="1313"/>
      <c r="C1534" s="940"/>
      <c r="D1534" s="940"/>
      <c r="E1534" s="1291"/>
      <c r="F1534" s="1314"/>
      <c r="G1534" s="1315"/>
      <c r="H1534" s="1315"/>
      <c r="I1534" s="1315"/>
      <c r="J1534" s="1314"/>
      <c r="K1534" s="1314"/>
      <c r="L1534" s="1291"/>
      <c r="M1534" s="1316"/>
      <c r="N1534" s="1291"/>
      <c r="O1534" s="1291"/>
      <c r="P1534" s="1317"/>
      <c r="Q1534" s="1291"/>
    </row>
    <row r="1535">
      <c r="A1535" s="1160"/>
      <c r="B1535" s="1313"/>
      <c r="C1535" s="940"/>
      <c r="D1535" s="940"/>
      <c r="E1535" s="1291"/>
      <c r="F1535" s="1314"/>
      <c r="G1535" s="1315"/>
      <c r="H1535" s="1315"/>
      <c r="I1535" s="1315"/>
      <c r="J1535" s="1314"/>
      <c r="K1535" s="1314"/>
      <c r="L1535" s="1291"/>
      <c r="M1535" s="1316"/>
      <c r="N1535" s="1291"/>
      <c r="O1535" s="1291"/>
      <c r="P1535" s="1317"/>
      <c r="Q1535" s="1291"/>
    </row>
    <row r="1536">
      <c r="A1536" s="1160"/>
      <c r="B1536" s="1313"/>
      <c r="C1536" s="940"/>
      <c r="D1536" s="940"/>
      <c r="E1536" s="1291"/>
      <c r="F1536" s="1314"/>
      <c r="G1536" s="1315"/>
      <c r="H1536" s="1315"/>
      <c r="I1536" s="1315"/>
      <c r="J1536" s="1314"/>
      <c r="K1536" s="1314"/>
      <c r="L1536" s="1291"/>
      <c r="M1536" s="1316"/>
      <c r="N1536" s="1291"/>
      <c r="O1536" s="1291"/>
      <c r="P1536" s="1317"/>
      <c r="Q1536" s="1291"/>
    </row>
    <row r="1537">
      <c r="A1537" s="1160"/>
      <c r="B1537" s="1313"/>
      <c r="C1537" s="940"/>
      <c r="D1537" s="940"/>
      <c r="E1537" s="1291"/>
      <c r="F1537" s="1314"/>
      <c r="G1537" s="1315"/>
      <c r="H1537" s="1315"/>
      <c r="I1537" s="1315"/>
      <c r="J1537" s="1314"/>
      <c r="K1537" s="1314"/>
      <c r="L1537" s="1291"/>
      <c r="M1537" s="1316"/>
      <c r="N1537" s="1291"/>
      <c r="O1537" s="1291"/>
      <c r="P1537" s="1317"/>
      <c r="Q1537" s="1291"/>
    </row>
    <row r="1538">
      <c r="A1538" s="1160"/>
      <c r="B1538" s="1313"/>
      <c r="C1538" s="940"/>
      <c r="D1538" s="940"/>
      <c r="E1538" s="1291"/>
      <c r="F1538" s="1314"/>
      <c r="G1538" s="1315"/>
      <c r="H1538" s="1315"/>
      <c r="I1538" s="1315"/>
      <c r="J1538" s="1314"/>
      <c r="K1538" s="1314"/>
      <c r="L1538" s="1291"/>
      <c r="M1538" s="1316"/>
      <c r="N1538" s="1291"/>
      <c r="O1538" s="1291"/>
      <c r="P1538" s="1317"/>
      <c r="Q1538" s="1291"/>
    </row>
    <row r="1539">
      <c r="A1539" s="1160"/>
      <c r="B1539" s="1313"/>
      <c r="C1539" s="940"/>
      <c r="D1539" s="940"/>
      <c r="E1539" s="1291"/>
      <c r="F1539" s="1314"/>
      <c r="G1539" s="1315"/>
      <c r="H1539" s="1315"/>
      <c r="I1539" s="1315"/>
      <c r="J1539" s="1314"/>
      <c r="K1539" s="1314"/>
      <c r="L1539" s="1291"/>
      <c r="M1539" s="1316"/>
      <c r="N1539" s="1291"/>
      <c r="O1539" s="1291"/>
      <c r="P1539" s="1317"/>
      <c r="Q1539" s="1291"/>
    </row>
    <row r="1540">
      <c r="A1540" s="1160"/>
      <c r="B1540" s="1313"/>
      <c r="C1540" s="940"/>
      <c r="D1540" s="940"/>
      <c r="E1540" s="1291"/>
      <c r="F1540" s="1314"/>
      <c r="G1540" s="1315"/>
      <c r="H1540" s="1315"/>
      <c r="I1540" s="1315"/>
      <c r="J1540" s="1314"/>
      <c r="K1540" s="1314"/>
      <c r="L1540" s="1291"/>
      <c r="M1540" s="1316"/>
      <c r="N1540" s="1291"/>
      <c r="O1540" s="1291"/>
      <c r="P1540" s="1317"/>
      <c r="Q1540" s="1291"/>
    </row>
    <row r="1541">
      <c r="A1541" s="1160"/>
      <c r="B1541" s="1313"/>
      <c r="C1541" s="940"/>
      <c r="D1541" s="940"/>
      <c r="E1541" s="1291"/>
      <c r="F1541" s="1314"/>
      <c r="G1541" s="1315"/>
      <c r="H1541" s="1315"/>
      <c r="I1541" s="1315"/>
      <c r="J1541" s="1314"/>
      <c r="K1541" s="1314"/>
      <c r="L1541" s="1291"/>
      <c r="M1541" s="1316"/>
      <c r="N1541" s="1291"/>
      <c r="O1541" s="1291"/>
      <c r="P1541" s="1317"/>
      <c r="Q1541" s="1291"/>
    </row>
    <row r="1542">
      <c r="A1542" s="1160"/>
      <c r="B1542" s="1313"/>
      <c r="C1542" s="940"/>
      <c r="D1542" s="940"/>
      <c r="E1542" s="1291"/>
      <c r="F1542" s="1314"/>
      <c r="G1542" s="1315"/>
      <c r="H1542" s="1315"/>
      <c r="I1542" s="1315"/>
      <c r="J1542" s="1314"/>
      <c r="K1542" s="1314"/>
      <c r="L1542" s="1291"/>
      <c r="M1542" s="1316"/>
      <c r="N1542" s="1291"/>
      <c r="O1542" s="1291"/>
      <c r="P1542" s="1317"/>
      <c r="Q1542" s="1291"/>
    </row>
    <row r="1543">
      <c r="A1543" s="1160"/>
      <c r="B1543" s="1313"/>
      <c r="C1543" s="940"/>
      <c r="D1543" s="940"/>
      <c r="E1543" s="1291"/>
      <c r="F1543" s="1314"/>
      <c r="G1543" s="1315"/>
      <c r="H1543" s="1315"/>
      <c r="I1543" s="1315"/>
      <c r="J1543" s="1314"/>
      <c r="K1543" s="1314"/>
      <c r="L1543" s="1291"/>
      <c r="M1543" s="1316"/>
      <c r="N1543" s="1291"/>
      <c r="O1543" s="1291"/>
      <c r="P1543" s="1317"/>
      <c r="Q1543" s="1291"/>
    </row>
    <row r="1544">
      <c r="A1544" s="1160"/>
      <c r="B1544" s="1313"/>
      <c r="C1544" s="940"/>
      <c r="D1544" s="940"/>
      <c r="E1544" s="1291"/>
      <c r="F1544" s="1314"/>
      <c r="G1544" s="1315"/>
      <c r="H1544" s="1315"/>
      <c r="I1544" s="1315"/>
      <c r="J1544" s="1314"/>
      <c r="K1544" s="1314"/>
      <c r="L1544" s="1291"/>
      <c r="M1544" s="1316"/>
      <c r="N1544" s="1291"/>
      <c r="O1544" s="1291"/>
      <c r="P1544" s="1317"/>
      <c r="Q1544" s="1291"/>
    </row>
    <row r="1545">
      <c r="A1545" s="1160"/>
      <c r="B1545" s="1313"/>
      <c r="C1545" s="940"/>
      <c r="D1545" s="940"/>
      <c r="E1545" s="1291"/>
      <c r="F1545" s="1314"/>
      <c r="G1545" s="1315"/>
      <c r="H1545" s="1315"/>
      <c r="I1545" s="1315"/>
      <c r="J1545" s="1314"/>
      <c r="K1545" s="1314"/>
      <c r="L1545" s="1291"/>
      <c r="M1545" s="1316"/>
      <c r="N1545" s="1291"/>
      <c r="O1545" s="1291"/>
      <c r="P1545" s="1317"/>
      <c r="Q1545" s="1291"/>
    </row>
    <row r="1546">
      <c r="A1546" s="1160"/>
      <c r="B1546" s="1313"/>
      <c r="C1546" s="940"/>
      <c r="D1546" s="940"/>
      <c r="E1546" s="1291"/>
      <c r="F1546" s="1314"/>
      <c r="G1546" s="1315"/>
      <c r="H1546" s="1315"/>
      <c r="I1546" s="1315"/>
      <c r="J1546" s="1314"/>
      <c r="K1546" s="1314"/>
      <c r="L1546" s="1291"/>
      <c r="M1546" s="1316"/>
      <c r="N1546" s="1291"/>
      <c r="O1546" s="1291"/>
      <c r="P1546" s="1317"/>
      <c r="Q1546" s="1291"/>
    </row>
    <row r="1547">
      <c r="A1547" s="1160"/>
      <c r="B1547" s="1313"/>
      <c r="C1547" s="940"/>
      <c r="D1547" s="940"/>
      <c r="E1547" s="1291"/>
      <c r="F1547" s="1314"/>
      <c r="G1547" s="1315"/>
      <c r="H1547" s="1315"/>
      <c r="I1547" s="1315"/>
      <c r="J1547" s="1314"/>
      <c r="K1547" s="1314"/>
      <c r="L1547" s="1291"/>
      <c r="M1547" s="1316"/>
      <c r="N1547" s="1291"/>
      <c r="O1547" s="1291"/>
      <c r="P1547" s="1317"/>
      <c r="Q1547" s="1291"/>
    </row>
    <row r="1548">
      <c r="A1548" s="1160"/>
      <c r="B1548" s="1313"/>
      <c r="C1548" s="940"/>
      <c r="D1548" s="940"/>
      <c r="E1548" s="1291"/>
      <c r="F1548" s="1314"/>
      <c r="G1548" s="1315"/>
      <c r="H1548" s="1315"/>
      <c r="I1548" s="1315"/>
      <c r="J1548" s="1314"/>
      <c r="K1548" s="1314"/>
      <c r="L1548" s="1291"/>
      <c r="M1548" s="1316"/>
      <c r="N1548" s="1291"/>
      <c r="O1548" s="1291"/>
      <c r="P1548" s="1317"/>
      <c r="Q1548" s="1291"/>
    </row>
    <row r="1549">
      <c r="A1549" s="1160"/>
      <c r="B1549" s="1313"/>
      <c r="C1549" s="940"/>
      <c r="D1549" s="940"/>
      <c r="E1549" s="1291"/>
      <c r="F1549" s="1314"/>
      <c r="G1549" s="1315"/>
      <c r="H1549" s="1315"/>
      <c r="I1549" s="1315"/>
      <c r="J1549" s="1314"/>
      <c r="K1549" s="1314"/>
      <c r="L1549" s="1291"/>
      <c r="M1549" s="1316"/>
      <c r="N1549" s="1291"/>
      <c r="O1549" s="1291"/>
      <c r="P1549" s="1317"/>
      <c r="Q1549" s="1291"/>
    </row>
    <row r="1550">
      <c r="A1550" s="1160"/>
      <c r="B1550" s="1313"/>
      <c r="C1550" s="940"/>
      <c r="D1550" s="940"/>
      <c r="E1550" s="1291"/>
      <c r="F1550" s="1314"/>
      <c r="G1550" s="1315"/>
      <c r="H1550" s="1315"/>
      <c r="I1550" s="1315"/>
      <c r="J1550" s="1314"/>
      <c r="K1550" s="1314"/>
      <c r="L1550" s="1291"/>
      <c r="M1550" s="1316"/>
      <c r="N1550" s="1291"/>
      <c r="O1550" s="1291"/>
      <c r="P1550" s="1317"/>
      <c r="Q1550" s="1291"/>
    </row>
    <row r="1551">
      <c r="A1551" s="1160"/>
      <c r="B1551" s="1313"/>
      <c r="C1551" s="940"/>
      <c r="D1551" s="940"/>
      <c r="E1551" s="1291"/>
      <c r="F1551" s="1314"/>
      <c r="G1551" s="1315"/>
      <c r="H1551" s="1315"/>
      <c r="I1551" s="1315"/>
      <c r="J1551" s="1314"/>
      <c r="K1551" s="1314"/>
      <c r="L1551" s="1291"/>
      <c r="M1551" s="1316"/>
      <c r="N1551" s="1291"/>
      <c r="O1551" s="1291"/>
      <c r="P1551" s="1317"/>
      <c r="Q1551" s="1291"/>
    </row>
    <row r="1552">
      <c r="A1552" s="1160"/>
      <c r="B1552" s="1313"/>
      <c r="C1552" s="940"/>
      <c r="D1552" s="940"/>
      <c r="E1552" s="1291"/>
      <c r="F1552" s="1314"/>
      <c r="G1552" s="1315"/>
      <c r="H1552" s="1315"/>
      <c r="I1552" s="1315"/>
      <c r="J1552" s="1314"/>
      <c r="K1552" s="1314"/>
      <c r="L1552" s="1291"/>
      <c r="M1552" s="1316"/>
      <c r="N1552" s="1291"/>
      <c r="O1552" s="1291"/>
      <c r="P1552" s="1317"/>
      <c r="Q1552" s="1291"/>
    </row>
    <row r="1553">
      <c r="A1553" s="1160"/>
      <c r="B1553" s="1313"/>
      <c r="C1553" s="940"/>
      <c r="D1553" s="940"/>
      <c r="E1553" s="1291"/>
      <c r="F1553" s="1314"/>
      <c r="G1553" s="1315"/>
      <c r="H1553" s="1315"/>
      <c r="I1553" s="1315"/>
      <c r="J1553" s="1314"/>
      <c r="K1553" s="1314"/>
      <c r="L1553" s="1291"/>
      <c r="M1553" s="1316"/>
      <c r="N1553" s="1291"/>
      <c r="O1553" s="1291"/>
      <c r="P1553" s="1317"/>
      <c r="Q1553" s="1291"/>
    </row>
    <row r="1554">
      <c r="A1554" s="1160"/>
      <c r="B1554" s="1313"/>
      <c r="C1554" s="940"/>
      <c r="D1554" s="940"/>
      <c r="E1554" s="1291"/>
      <c r="F1554" s="1314"/>
      <c r="G1554" s="1315"/>
      <c r="H1554" s="1315"/>
      <c r="I1554" s="1315"/>
      <c r="J1554" s="1314"/>
      <c r="K1554" s="1314"/>
      <c r="L1554" s="1291"/>
      <c r="M1554" s="1316"/>
      <c r="N1554" s="1291"/>
      <c r="O1554" s="1291"/>
      <c r="P1554" s="1317"/>
      <c r="Q1554" s="1291"/>
    </row>
    <row r="1555">
      <c r="A1555" s="1160"/>
      <c r="B1555" s="1313"/>
      <c r="C1555" s="940"/>
      <c r="D1555" s="940"/>
      <c r="E1555" s="1291"/>
      <c r="F1555" s="1314"/>
      <c r="G1555" s="1315"/>
      <c r="H1555" s="1315"/>
      <c r="I1555" s="1315"/>
      <c r="J1555" s="1314"/>
      <c r="K1555" s="1314"/>
      <c r="L1555" s="1291"/>
      <c r="M1555" s="1316"/>
      <c r="N1555" s="1291"/>
      <c r="O1555" s="1291"/>
      <c r="P1555" s="1317"/>
      <c r="Q1555" s="1291"/>
    </row>
    <row r="1556">
      <c r="A1556" s="1160"/>
      <c r="B1556" s="1313"/>
      <c r="C1556" s="940"/>
      <c r="D1556" s="940"/>
      <c r="E1556" s="1291"/>
      <c r="F1556" s="1314"/>
      <c r="G1556" s="1315"/>
      <c r="H1556" s="1315"/>
      <c r="I1556" s="1315"/>
      <c r="J1556" s="1314"/>
      <c r="K1556" s="1314"/>
      <c r="L1556" s="1291"/>
      <c r="M1556" s="1316"/>
      <c r="N1556" s="1291"/>
      <c r="O1556" s="1291"/>
      <c r="P1556" s="1317"/>
      <c r="Q1556" s="1291"/>
    </row>
    <row r="1557">
      <c r="A1557" s="1160"/>
      <c r="B1557" s="1313"/>
      <c r="C1557" s="940"/>
      <c r="D1557" s="940"/>
      <c r="E1557" s="1291"/>
      <c r="F1557" s="1314"/>
      <c r="G1557" s="1315"/>
      <c r="H1557" s="1315"/>
      <c r="I1557" s="1315"/>
      <c r="J1557" s="1314"/>
      <c r="K1557" s="1314"/>
      <c r="L1557" s="1291"/>
      <c r="M1557" s="1316"/>
      <c r="N1557" s="1291"/>
      <c r="O1557" s="1291"/>
      <c r="P1557" s="1317"/>
      <c r="Q1557" s="1291"/>
    </row>
    <row r="1558">
      <c r="A1558" s="1160"/>
      <c r="B1558" s="1313"/>
      <c r="C1558" s="940"/>
      <c r="D1558" s="940"/>
      <c r="E1558" s="1291"/>
      <c r="F1558" s="1314"/>
      <c r="G1558" s="1315"/>
      <c r="H1558" s="1315"/>
      <c r="I1558" s="1315"/>
      <c r="J1558" s="1314"/>
      <c r="K1558" s="1314"/>
      <c r="L1558" s="1291"/>
      <c r="M1558" s="1316"/>
      <c r="N1558" s="1291"/>
      <c r="O1558" s="1291"/>
      <c r="P1558" s="1317"/>
      <c r="Q1558" s="1291"/>
    </row>
    <row r="1559">
      <c r="A1559" s="1160"/>
      <c r="B1559" s="1313"/>
      <c r="C1559" s="940"/>
      <c r="D1559" s="940"/>
      <c r="E1559" s="1291"/>
      <c r="F1559" s="1314"/>
      <c r="G1559" s="1315"/>
      <c r="H1559" s="1315"/>
      <c r="I1559" s="1315"/>
      <c r="J1559" s="1314"/>
      <c r="K1559" s="1314"/>
      <c r="L1559" s="1291"/>
      <c r="M1559" s="1316"/>
      <c r="N1559" s="1291"/>
      <c r="O1559" s="1291"/>
      <c r="P1559" s="1317"/>
      <c r="Q1559" s="1291"/>
    </row>
    <row r="1560">
      <c r="A1560" s="1160"/>
      <c r="B1560" s="1313"/>
      <c r="C1560" s="940"/>
      <c r="D1560" s="940"/>
      <c r="E1560" s="1291"/>
      <c r="F1560" s="1314"/>
      <c r="G1560" s="1315"/>
      <c r="H1560" s="1315"/>
      <c r="I1560" s="1315"/>
      <c r="J1560" s="1314"/>
      <c r="K1560" s="1314"/>
      <c r="L1560" s="1291"/>
      <c r="M1560" s="1316"/>
      <c r="N1560" s="1291"/>
      <c r="O1560" s="1291"/>
      <c r="P1560" s="1317"/>
      <c r="Q1560" s="1291"/>
    </row>
    <row r="1561">
      <c r="A1561" s="1160"/>
      <c r="B1561" s="1313"/>
      <c r="C1561" s="940"/>
      <c r="D1561" s="940"/>
      <c r="E1561" s="1291"/>
      <c r="F1561" s="1314"/>
      <c r="G1561" s="1315"/>
      <c r="H1561" s="1315"/>
      <c r="I1561" s="1315"/>
      <c r="J1561" s="1314"/>
      <c r="K1561" s="1314"/>
      <c r="L1561" s="1291"/>
      <c r="M1561" s="1316"/>
      <c r="N1561" s="1291"/>
      <c r="O1561" s="1291"/>
      <c r="P1561" s="1317"/>
      <c r="Q1561" s="1291"/>
    </row>
    <row r="1562">
      <c r="A1562" s="1160"/>
      <c r="B1562" s="1313"/>
      <c r="C1562" s="940"/>
      <c r="D1562" s="940"/>
      <c r="E1562" s="1291"/>
      <c r="F1562" s="1314"/>
      <c r="G1562" s="1315"/>
      <c r="H1562" s="1315"/>
      <c r="I1562" s="1315"/>
      <c r="J1562" s="1314"/>
      <c r="K1562" s="1314"/>
      <c r="L1562" s="1291"/>
      <c r="M1562" s="1316"/>
      <c r="N1562" s="1291"/>
      <c r="O1562" s="1291"/>
      <c r="P1562" s="1317"/>
      <c r="Q1562" s="1291"/>
    </row>
    <row r="1563">
      <c r="A1563" s="1160"/>
      <c r="B1563" s="1313"/>
      <c r="C1563" s="940"/>
      <c r="D1563" s="940"/>
      <c r="E1563" s="1291"/>
      <c r="F1563" s="1314"/>
      <c r="G1563" s="1315"/>
      <c r="H1563" s="1315"/>
      <c r="I1563" s="1315"/>
      <c r="J1563" s="1314"/>
      <c r="K1563" s="1314"/>
      <c r="L1563" s="1291"/>
      <c r="M1563" s="1316"/>
      <c r="N1563" s="1291"/>
      <c r="O1563" s="1291"/>
      <c r="P1563" s="1317"/>
      <c r="Q1563" s="1291"/>
    </row>
    <row r="1564">
      <c r="A1564" s="1160"/>
      <c r="B1564" s="1313"/>
      <c r="C1564" s="940"/>
      <c r="D1564" s="940"/>
      <c r="E1564" s="1291"/>
      <c r="F1564" s="1314"/>
      <c r="G1564" s="1315"/>
      <c r="H1564" s="1315"/>
      <c r="I1564" s="1315"/>
      <c r="J1564" s="1314"/>
      <c r="K1564" s="1314"/>
      <c r="L1564" s="1291"/>
      <c r="M1564" s="1316"/>
      <c r="N1564" s="1291"/>
      <c r="O1564" s="1291"/>
      <c r="P1564" s="1317"/>
      <c r="Q1564" s="1291"/>
    </row>
    <row r="1565">
      <c r="A1565" s="1160"/>
      <c r="B1565" s="1313"/>
      <c r="C1565" s="940"/>
      <c r="D1565" s="940"/>
      <c r="E1565" s="1291"/>
      <c r="F1565" s="1314"/>
      <c r="G1565" s="1315"/>
      <c r="H1565" s="1315"/>
      <c r="I1565" s="1315"/>
      <c r="J1565" s="1314"/>
      <c r="K1565" s="1314"/>
      <c r="L1565" s="1291"/>
      <c r="M1565" s="1316"/>
      <c r="N1565" s="1291"/>
      <c r="O1565" s="1291"/>
      <c r="P1565" s="1317"/>
      <c r="Q1565" s="1291"/>
    </row>
    <row r="1566">
      <c r="A1566" s="1160"/>
      <c r="B1566" s="1313"/>
      <c r="C1566" s="940"/>
      <c r="D1566" s="940"/>
      <c r="E1566" s="1291"/>
      <c r="F1566" s="1314"/>
      <c r="G1566" s="1315"/>
      <c r="H1566" s="1315"/>
      <c r="I1566" s="1315"/>
      <c r="J1566" s="1314"/>
      <c r="K1566" s="1314"/>
      <c r="L1566" s="1291"/>
      <c r="M1566" s="1316"/>
      <c r="N1566" s="1291"/>
      <c r="O1566" s="1291"/>
      <c r="P1566" s="1317"/>
      <c r="Q1566" s="1291"/>
    </row>
    <row r="1567">
      <c r="A1567" s="1160"/>
      <c r="B1567" s="1313"/>
      <c r="C1567" s="940"/>
      <c r="D1567" s="940"/>
      <c r="E1567" s="1291"/>
      <c r="F1567" s="1314"/>
      <c r="G1567" s="1315"/>
      <c r="H1567" s="1315"/>
      <c r="I1567" s="1315"/>
      <c r="J1567" s="1314"/>
      <c r="K1567" s="1314"/>
      <c r="L1567" s="1291"/>
      <c r="M1567" s="1316"/>
      <c r="N1567" s="1291"/>
      <c r="O1567" s="1291"/>
      <c r="P1567" s="1317"/>
      <c r="Q1567" s="1291"/>
    </row>
    <row r="1568">
      <c r="A1568" s="1160"/>
      <c r="B1568" s="1313"/>
      <c r="C1568" s="940"/>
      <c r="D1568" s="940"/>
      <c r="E1568" s="1291"/>
      <c r="F1568" s="1314"/>
      <c r="G1568" s="1315"/>
      <c r="H1568" s="1315"/>
      <c r="I1568" s="1315"/>
      <c r="J1568" s="1314"/>
      <c r="K1568" s="1314"/>
      <c r="L1568" s="1291"/>
      <c r="M1568" s="1316"/>
      <c r="N1568" s="1291"/>
      <c r="O1568" s="1291"/>
      <c r="P1568" s="1317"/>
      <c r="Q1568" s="1291"/>
    </row>
    <row r="1569">
      <c r="A1569" s="1160"/>
      <c r="B1569" s="1313"/>
      <c r="C1569" s="940"/>
      <c r="D1569" s="940"/>
      <c r="E1569" s="1291"/>
      <c r="F1569" s="1314"/>
      <c r="G1569" s="1315"/>
      <c r="H1569" s="1315"/>
      <c r="I1569" s="1315"/>
      <c r="J1569" s="1314"/>
      <c r="K1569" s="1314"/>
      <c r="L1569" s="1291"/>
      <c r="M1569" s="1316"/>
      <c r="N1569" s="1291"/>
      <c r="O1569" s="1291"/>
      <c r="P1569" s="1317"/>
      <c r="Q1569" s="1291"/>
    </row>
    <row r="1570">
      <c r="A1570" s="1160"/>
      <c r="B1570" s="1313"/>
      <c r="C1570" s="940"/>
      <c r="D1570" s="940"/>
      <c r="E1570" s="1291"/>
      <c r="F1570" s="1314"/>
      <c r="G1570" s="1315"/>
      <c r="H1570" s="1315"/>
      <c r="I1570" s="1315"/>
      <c r="J1570" s="1314"/>
      <c r="K1570" s="1314"/>
      <c r="L1570" s="1291"/>
      <c r="M1570" s="1316"/>
      <c r="N1570" s="1291"/>
      <c r="O1570" s="1291"/>
      <c r="P1570" s="1317"/>
      <c r="Q1570" s="1291"/>
    </row>
    <row r="1571">
      <c r="A1571" s="1160"/>
      <c r="B1571" s="1313"/>
      <c r="C1571" s="940"/>
      <c r="D1571" s="940"/>
      <c r="E1571" s="1291"/>
      <c r="F1571" s="1314"/>
      <c r="G1571" s="1315"/>
      <c r="H1571" s="1315"/>
      <c r="I1571" s="1315"/>
      <c r="J1571" s="1314"/>
      <c r="K1571" s="1314"/>
      <c r="L1571" s="1291"/>
      <c r="M1571" s="1316"/>
      <c r="N1571" s="1291"/>
      <c r="O1571" s="1291"/>
      <c r="P1571" s="1317"/>
      <c r="Q1571" s="1291"/>
    </row>
    <row r="1572">
      <c r="A1572" s="1160"/>
      <c r="B1572" s="1313"/>
      <c r="C1572" s="940"/>
      <c r="D1572" s="940"/>
      <c r="E1572" s="1291"/>
      <c r="F1572" s="1314"/>
      <c r="G1572" s="1315"/>
      <c r="H1572" s="1315"/>
      <c r="I1572" s="1315"/>
      <c r="J1572" s="1314"/>
      <c r="K1572" s="1314"/>
      <c r="L1572" s="1291"/>
      <c r="M1572" s="1316"/>
      <c r="N1572" s="1291"/>
      <c r="O1572" s="1291"/>
      <c r="P1572" s="1317"/>
      <c r="Q1572" s="1291"/>
    </row>
    <row r="1573">
      <c r="A1573" s="1160"/>
      <c r="B1573" s="1313"/>
      <c r="C1573" s="940"/>
      <c r="D1573" s="940"/>
      <c r="E1573" s="1291"/>
      <c r="F1573" s="1314"/>
      <c r="G1573" s="1315"/>
      <c r="H1573" s="1315"/>
      <c r="I1573" s="1315"/>
      <c r="J1573" s="1314"/>
      <c r="K1573" s="1314"/>
      <c r="L1573" s="1291"/>
      <c r="M1573" s="1316"/>
      <c r="N1573" s="1291"/>
      <c r="O1573" s="1291"/>
      <c r="P1573" s="1317"/>
      <c r="Q1573" s="1291"/>
    </row>
    <row r="1574">
      <c r="A1574" s="1160"/>
      <c r="B1574" s="1313"/>
      <c r="C1574" s="940"/>
      <c r="D1574" s="940"/>
      <c r="E1574" s="1291"/>
      <c r="F1574" s="1314"/>
      <c r="G1574" s="1315"/>
      <c r="H1574" s="1315"/>
      <c r="I1574" s="1315"/>
      <c r="J1574" s="1314"/>
      <c r="K1574" s="1314"/>
      <c r="L1574" s="1291"/>
      <c r="M1574" s="1316"/>
      <c r="N1574" s="1291"/>
      <c r="O1574" s="1291"/>
      <c r="P1574" s="1317"/>
      <c r="Q1574" s="1291"/>
    </row>
    <row r="1575">
      <c r="A1575" s="1160"/>
      <c r="B1575" s="1313"/>
      <c r="C1575" s="940"/>
      <c r="D1575" s="940"/>
      <c r="E1575" s="1291"/>
      <c r="F1575" s="1314"/>
      <c r="G1575" s="1315"/>
      <c r="H1575" s="1315"/>
      <c r="I1575" s="1315"/>
      <c r="J1575" s="1314"/>
      <c r="K1575" s="1314"/>
      <c r="L1575" s="1291"/>
      <c r="M1575" s="1316"/>
      <c r="N1575" s="1291"/>
      <c r="O1575" s="1291"/>
      <c r="P1575" s="1317"/>
      <c r="Q1575" s="1291"/>
    </row>
    <row r="1576">
      <c r="A1576" s="1160"/>
      <c r="B1576" s="1313"/>
      <c r="C1576" s="940"/>
      <c r="D1576" s="940"/>
      <c r="E1576" s="1291"/>
      <c r="F1576" s="1314"/>
      <c r="G1576" s="1315"/>
      <c r="H1576" s="1315"/>
      <c r="I1576" s="1315"/>
      <c r="J1576" s="1314"/>
      <c r="K1576" s="1314"/>
      <c r="L1576" s="1291"/>
      <c r="M1576" s="1316"/>
      <c r="N1576" s="1291"/>
      <c r="O1576" s="1291"/>
      <c r="P1576" s="1317"/>
      <c r="Q1576" s="1291"/>
    </row>
    <row r="1577">
      <c r="A1577" s="1160"/>
      <c r="B1577" s="1313"/>
      <c r="C1577" s="940"/>
      <c r="D1577" s="940"/>
      <c r="E1577" s="1291"/>
      <c r="F1577" s="1314"/>
      <c r="G1577" s="1315"/>
      <c r="H1577" s="1315"/>
      <c r="I1577" s="1315"/>
      <c r="J1577" s="1314"/>
      <c r="K1577" s="1314"/>
      <c r="L1577" s="1291"/>
      <c r="M1577" s="1316"/>
      <c r="N1577" s="1291"/>
      <c r="O1577" s="1291"/>
      <c r="P1577" s="1317"/>
      <c r="Q1577" s="1291"/>
    </row>
    <row r="1578">
      <c r="A1578" s="1160"/>
      <c r="B1578" s="1313"/>
      <c r="C1578" s="940"/>
      <c r="D1578" s="940"/>
      <c r="E1578" s="1291"/>
      <c r="F1578" s="1314"/>
      <c r="G1578" s="1315"/>
      <c r="H1578" s="1315"/>
      <c r="I1578" s="1315"/>
      <c r="J1578" s="1314"/>
      <c r="K1578" s="1314"/>
      <c r="L1578" s="1291"/>
      <c r="M1578" s="1316"/>
      <c r="N1578" s="1291"/>
      <c r="O1578" s="1291"/>
      <c r="P1578" s="1317"/>
      <c r="Q1578" s="1291"/>
    </row>
    <row r="1579">
      <c r="A1579" s="1160"/>
      <c r="B1579" s="1313"/>
      <c r="C1579" s="940"/>
      <c r="D1579" s="940"/>
      <c r="E1579" s="1291"/>
      <c r="F1579" s="1314"/>
      <c r="G1579" s="1315"/>
      <c r="H1579" s="1315"/>
      <c r="I1579" s="1315"/>
      <c r="J1579" s="1314"/>
      <c r="K1579" s="1314"/>
      <c r="L1579" s="1291"/>
      <c r="M1579" s="1316"/>
      <c r="N1579" s="1291"/>
      <c r="O1579" s="1291"/>
      <c r="P1579" s="1317"/>
      <c r="Q1579" s="1291"/>
    </row>
    <row r="1580">
      <c r="A1580" s="1160"/>
      <c r="B1580" s="1313"/>
      <c r="C1580" s="940"/>
      <c r="D1580" s="940"/>
      <c r="E1580" s="1291"/>
      <c r="F1580" s="1314"/>
      <c r="G1580" s="1315"/>
      <c r="H1580" s="1315"/>
      <c r="I1580" s="1315"/>
      <c r="J1580" s="1314"/>
      <c r="K1580" s="1314"/>
      <c r="L1580" s="1291"/>
      <c r="M1580" s="1316"/>
      <c r="N1580" s="1291"/>
      <c r="O1580" s="1291"/>
      <c r="P1580" s="1317"/>
      <c r="Q1580" s="1291"/>
    </row>
    <row r="1581">
      <c r="A1581" s="1160"/>
      <c r="B1581" s="1313"/>
      <c r="C1581" s="940"/>
      <c r="D1581" s="940"/>
      <c r="E1581" s="1291"/>
      <c r="F1581" s="1314"/>
      <c r="G1581" s="1315"/>
      <c r="H1581" s="1315"/>
      <c r="I1581" s="1315"/>
      <c r="J1581" s="1314"/>
      <c r="K1581" s="1314"/>
      <c r="L1581" s="1291"/>
      <c r="M1581" s="1316"/>
      <c r="N1581" s="1291"/>
      <c r="O1581" s="1291"/>
      <c r="P1581" s="1317"/>
      <c r="Q1581" s="1291"/>
    </row>
    <row r="1582">
      <c r="A1582" s="1160"/>
      <c r="B1582" s="1313"/>
      <c r="C1582" s="940"/>
      <c r="D1582" s="940"/>
      <c r="E1582" s="1291"/>
      <c r="F1582" s="1314"/>
      <c r="G1582" s="1315"/>
      <c r="H1582" s="1315"/>
      <c r="I1582" s="1315"/>
      <c r="J1582" s="1314"/>
      <c r="K1582" s="1314"/>
      <c r="L1582" s="1291"/>
      <c r="M1582" s="1316"/>
      <c r="N1582" s="1291"/>
      <c r="O1582" s="1291"/>
      <c r="P1582" s="1317"/>
      <c r="Q1582" s="1291"/>
    </row>
    <row r="1583">
      <c r="A1583" s="1160"/>
      <c r="B1583" s="1313"/>
      <c r="C1583" s="940"/>
      <c r="D1583" s="940"/>
      <c r="E1583" s="1291"/>
      <c r="F1583" s="1314"/>
      <c r="G1583" s="1315"/>
      <c r="H1583" s="1315"/>
      <c r="I1583" s="1315"/>
      <c r="J1583" s="1314"/>
      <c r="K1583" s="1314"/>
      <c r="L1583" s="1291"/>
      <c r="M1583" s="1316"/>
      <c r="N1583" s="1291"/>
      <c r="O1583" s="1291"/>
      <c r="P1583" s="1317"/>
      <c r="Q1583" s="1291"/>
    </row>
    <row r="1584">
      <c r="A1584" s="1160"/>
      <c r="B1584" s="1313"/>
      <c r="C1584" s="940"/>
      <c r="D1584" s="940"/>
      <c r="E1584" s="1291"/>
      <c r="F1584" s="1314"/>
      <c r="G1584" s="1315"/>
      <c r="H1584" s="1315"/>
      <c r="I1584" s="1315"/>
      <c r="J1584" s="1314"/>
      <c r="K1584" s="1314"/>
      <c r="L1584" s="1291"/>
      <c r="M1584" s="1316"/>
      <c r="N1584" s="1291"/>
      <c r="O1584" s="1291"/>
      <c r="P1584" s="1317"/>
      <c r="Q1584" s="1291"/>
    </row>
    <row r="1585">
      <c r="A1585" s="1160"/>
      <c r="B1585" s="1313"/>
      <c r="C1585" s="940"/>
      <c r="D1585" s="940"/>
      <c r="E1585" s="1291"/>
      <c r="F1585" s="1314"/>
      <c r="G1585" s="1315"/>
      <c r="H1585" s="1315"/>
      <c r="I1585" s="1315"/>
      <c r="J1585" s="1314"/>
      <c r="K1585" s="1314"/>
      <c r="L1585" s="1291"/>
      <c r="M1585" s="1316"/>
      <c r="N1585" s="1291"/>
      <c r="O1585" s="1291"/>
      <c r="P1585" s="1317"/>
      <c r="Q1585" s="1291"/>
    </row>
    <row r="1586">
      <c r="A1586" s="1160"/>
      <c r="B1586" s="1313"/>
      <c r="C1586" s="940"/>
      <c r="D1586" s="940"/>
      <c r="E1586" s="1291"/>
      <c r="F1586" s="1314"/>
      <c r="G1586" s="1315"/>
      <c r="H1586" s="1315"/>
      <c r="I1586" s="1315"/>
      <c r="J1586" s="1314"/>
      <c r="K1586" s="1314"/>
      <c r="L1586" s="1291"/>
      <c r="M1586" s="1316"/>
      <c r="N1586" s="1291"/>
      <c r="O1586" s="1291"/>
      <c r="P1586" s="1317"/>
      <c r="Q1586" s="1291"/>
    </row>
    <row r="1587">
      <c r="A1587" s="1160"/>
      <c r="B1587" s="1313"/>
      <c r="C1587" s="940"/>
      <c r="D1587" s="940"/>
      <c r="E1587" s="1291"/>
      <c r="F1587" s="1314"/>
      <c r="G1587" s="1315"/>
      <c r="H1587" s="1315"/>
      <c r="I1587" s="1315"/>
      <c r="J1587" s="1314"/>
      <c r="K1587" s="1314"/>
      <c r="L1587" s="1291"/>
      <c r="M1587" s="1316"/>
      <c r="N1587" s="1291"/>
      <c r="O1587" s="1291"/>
      <c r="P1587" s="1317"/>
      <c r="Q1587" s="1291"/>
    </row>
    <row r="1588">
      <c r="A1588" s="1160"/>
      <c r="B1588" s="1313"/>
      <c r="C1588" s="940"/>
      <c r="D1588" s="940"/>
      <c r="E1588" s="1291"/>
      <c r="F1588" s="1314"/>
      <c r="G1588" s="1315"/>
      <c r="H1588" s="1315"/>
      <c r="I1588" s="1315"/>
      <c r="J1588" s="1314"/>
      <c r="K1588" s="1314"/>
      <c r="L1588" s="1291"/>
      <c r="M1588" s="1316"/>
      <c r="N1588" s="1291"/>
      <c r="O1588" s="1291"/>
      <c r="P1588" s="1317"/>
      <c r="Q1588" s="1291"/>
    </row>
    <row r="1589">
      <c r="A1589" s="1160"/>
      <c r="B1589" s="1313"/>
      <c r="C1589" s="940"/>
      <c r="D1589" s="940"/>
      <c r="E1589" s="1291"/>
      <c r="F1589" s="1314"/>
      <c r="G1589" s="1315"/>
      <c r="H1589" s="1315"/>
      <c r="I1589" s="1315"/>
      <c r="J1589" s="1314"/>
      <c r="K1589" s="1314"/>
      <c r="L1589" s="1291"/>
      <c r="M1589" s="1316"/>
      <c r="N1589" s="1291"/>
      <c r="O1589" s="1291"/>
      <c r="P1589" s="1317"/>
      <c r="Q1589" s="1291"/>
    </row>
    <row r="1590">
      <c r="A1590" s="1160"/>
      <c r="B1590" s="1313"/>
      <c r="C1590" s="940"/>
      <c r="D1590" s="940"/>
      <c r="E1590" s="1291"/>
      <c r="F1590" s="1314"/>
      <c r="G1590" s="1315"/>
      <c r="H1590" s="1315"/>
      <c r="I1590" s="1315"/>
      <c r="J1590" s="1314"/>
      <c r="K1590" s="1314"/>
      <c r="L1590" s="1291"/>
      <c r="M1590" s="1316"/>
      <c r="N1590" s="1291"/>
      <c r="O1590" s="1291"/>
      <c r="P1590" s="1317"/>
      <c r="Q1590" s="1291"/>
    </row>
    <row r="1591">
      <c r="A1591" s="1160"/>
      <c r="B1591" s="1313"/>
      <c r="C1591" s="940"/>
      <c r="D1591" s="940"/>
      <c r="E1591" s="1291"/>
      <c r="F1591" s="1314"/>
      <c r="G1591" s="1315"/>
      <c r="H1591" s="1315"/>
      <c r="I1591" s="1315"/>
      <c r="J1591" s="1314"/>
      <c r="K1591" s="1314"/>
      <c r="L1591" s="1291"/>
      <c r="M1591" s="1316"/>
      <c r="N1591" s="1291"/>
      <c r="O1591" s="1291"/>
      <c r="P1591" s="1317"/>
      <c r="Q1591" s="1291"/>
    </row>
    <row r="1592">
      <c r="A1592" s="1160"/>
      <c r="B1592" s="1313"/>
      <c r="C1592" s="940"/>
      <c r="D1592" s="940"/>
      <c r="E1592" s="1291"/>
      <c r="F1592" s="1314"/>
      <c r="G1592" s="1315"/>
      <c r="H1592" s="1315"/>
      <c r="I1592" s="1315"/>
      <c r="J1592" s="1314"/>
      <c r="K1592" s="1314"/>
      <c r="L1592" s="1291"/>
      <c r="M1592" s="1316"/>
      <c r="N1592" s="1291"/>
      <c r="O1592" s="1291"/>
      <c r="P1592" s="1317"/>
      <c r="Q1592" s="1291"/>
    </row>
    <row r="1593">
      <c r="A1593" s="1160"/>
      <c r="B1593" s="1313"/>
      <c r="C1593" s="940"/>
      <c r="D1593" s="940"/>
      <c r="E1593" s="1291"/>
      <c r="F1593" s="1314"/>
      <c r="G1593" s="1315"/>
      <c r="H1593" s="1315"/>
      <c r="I1593" s="1315"/>
      <c r="J1593" s="1314"/>
      <c r="K1593" s="1314"/>
      <c r="L1593" s="1291"/>
      <c r="M1593" s="1316"/>
      <c r="N1593" s="1291"/>
      <c r="O1593" s="1291"/>
      <c r="P1593" s="1317"/>
      <c r="Q1593" s="1291"/>
    </row>
    <row r="1594">
      <c r="A1594" s="1160"/>
      <c r="B1594" s="1313"/>
      <c r="C1594" s="940"/>
      <c r="D1594" s="940"/>
      <c r="E1594" s="1291"/>
      <c r="F1594" s="1314"/>
      <c r="G1594" s="1315"/>
      <c r="H1594" s="1315"/>
      <c r="I1594" s="1315"/>
      <c r="J1594" s="1314"/>
      <c r="K1594" s="1314"/>
      <c r="L1594" s="1291"/>
      <c r="M1594" s="1316"/>
      <c r="N1594" s="1291"/>
      <c r="O1594" s="1291"/>
      <c r="P1594" s="1317"/>
      <c r="Q1594" s="1291"/>
    </row>
    <row r="1595">
      <c r="A1595" s="1160"/>
      <c r="B1595" s="1313"/>
      <c r="C1595" s="940"/>
      <c r="D1595" s="940"/>
      <c r="E1595" s="1291"/>
      <c r="F1595" s="1314"/>
      <c r="G1595" s="1315"/>
      <c r="H1595" s="1315"/>
      <c r="I1595" s="1315"/>
      <c r="J1595" s="1314"/>
      <c r="K1595" s="1314"/>
      <c r="L1595" s="1291"/>
      <c r="M1595" s="1316"/>
      <c r="N1595" s="1291"/>
      <c r="O1595" s="1291"/>
      <c r="P1595" s="1317"/>
      <c r="Q1595" s="1291"/>
    </row>
    <row r="1596">
      <c r="A1596" s="1160"/>
      <c r="B1596" s="1313"/>
      <c r="C1596" s="940"/>
      <c r="D1596" s="940"/>
      <c r="E1596" s="1291"/>
      <c r="F1596" s="1314"/>
      <c r="G1596" s="1315"/>
      <c r="H1596" s="1315"/>
      <c r="I1596" s="1315"/>
      <c r="J1596" s="1314"/>
      <c r="K1596" s="1314"/>
      <c r="L1596" s="1291"/>
      <c r="M1596" s="1316"/>
      <c r="N1596" s="1291"/>
      <c r="O1596" s="1291"/>
      <c r="P1596" s="1317"/>
      <c r="Q1596" s="1291"/>
    </row>
    <row r="1597">
      <c r="A1597" s="1160"/>
      <c r="B1597" s="1313"/>
      <c r="C1597" s="940"/>
      <c r="D1597" s="940"/>
      <c r="E1597" s="1291"/>
      <c r="F1597" s="1314"/>
      <c r="G1597" s="1315"/>
      <c r="H1597" s="1315"/>
      <c r="I1597" s="1315"/>
      <c r="J1597" s="1314"/>
      <c r="K1597" s="1314"/>
      <c r="L1597" s="1291"/>
      <c r="M1597" s="1316"/>
      <c r="N1597" s="1291"/>
      <c r="O1597" s="1291"/>
      <c r="P1597" s="1317"/>
      <c r="Q1597" s="1291"/>
    </row>
    <row r="1598">
      <c r="A1598" s="1160"/>
      <c r="B1598" s="1313"/>
      <c r="C1598" s="940"/>
      <c r="D1598" s="940"/>
      <c r="E1598" s="1291"/>
      <c r="F1598" s="1314"/>
      <c r="G1598" s="1315"/>
      <c r="H1598" s="1315"/>
      <c r="I1598" s="1315"/>
      <c r="J1598" s="1314"/>
      <c r="K1598" s="1314"/>
      <c r="L1598" s="1291"/>
      <c r="M1598" s="1316"/>
      <c r="N1598" s="1291"/>
      <c r="O1598" s="1291"/>
      <c r="P1598" s="1317"/>
      <c r="Q1598" s="1291"/>
    </row>
    <row r="1599">
      <c r="A1599" s="1160"/>
      <c r="B1599" s="1313"/>
      <c r="C1599" s="940"/>
      <c r="D1599" s="940"/>
      <c r="E1599" s="1291"/>
      <c r="F1599" s="1314"/>
      <c r="G1599" s="1315"/>
      <c r="H1599" s="1315"/>
      <c r="I1599" s="1315"/>
      <c r="J1599" s="1314"/>
      <c r="K1599" s="1314"/>
      <c r="L1599" s="1291"/>
      <c r="M1599" s="1316"/>
      <c r="N1599" s="1291"/>
      <c r="O1599" s="1291"/>
      <c r="P1599" s="1317"/>
      <c r="Q1599" s="1291"/>
    </row>
    <row r="1600">
      <c r="A1600" s="1160"/>
      <c r="B1600" s="1313"/>
      <c r="C1600" s="940"/>
      <c r="D1600" s="940"/>
      <c r="E1600" s="1291"/>
      <c r="F1600" s="1314"/>
      <c r="G1600" s="1315"/>
      <c r="H1600" s="1315"/>
      <c r="I1600" s="1315"/>
      <c r="J1600" s="1314"/>
      <c r="K1600" s="1314"/>
      <c r="L1600" s="1291"/>
      <c r="M1600" s="1316"/>
      <c r="N1600" s="1291"/>
      <c r="O1600" s="1291"/>
      <c r="P1600" s="1317"/>
      <c r="Q1600" s="1291"/>
    </row>
    <row r="1601">
      <c r="A1601" s="1160"/>
      <c r="B1601" s="1313"/>
      <c r="C1601" s="940"/>
      <c r="D1601" s="940"/>
      <c r="E1601" s="1291"/>
      <c r="F1601" s="1314"/>
      <c r="G1601" s="1315"/>
      <c r="H1601" s="1315"/>
      <c r="I1601" s="1315"/>
      <c r="J1601" s="1314"/>
      <c r="K1601" s="1314"/>
      <c r="L1601" s="1291"/>
      <c r="M1601" s="1316"/>
      <c r="N1601" s="1291"/>
      <c r="O1601" s="1291"/>
      <c r="P1601" s="1317"/>
      <c r="Q1601" s="1291"/>
    </row>
    <row r="1602">
      <c r="A1602" s="1160"/>
      <c r="B1602" s="1313"/>
      <c r="C1602" s="940"/>
      <c r="D1602" s="940"/>
      <c r="E1602" s="1291"/>
      <c r="F1602" s="1314"/>
      <c r="G1602" s="1315"/>
      <c r="H1602" s="1315"/>
      <c r="I1602" s="1315"/>
      <c r="J1602" s="1314"/>
      <c r="K1602" s="1314"/>
      <c r="L1602" s="1291"/>
      <c r="M1602" s="1316"/>
      <c r="N1602" s="1291"/>
      <c r="O1602" s="1291"/>
      <c r="P1602" s="1317"/>
      <c r="Q1602" s="1291"/>
    </row>
    <row r="1603">
      <c r="A1603" s="1160"/>
      <c r="B1603" s="1313"/>
      <c r="C1603" s="940"/>
      <c r="D1603" s="940"/>
      <c r="E1603" s="1291"/>
      <c r="F1603" s="1314"/>
      <c r="G1603" s="1315"/>
      <c r="H1603" s="1315"/>
      <c r="I1603" s="1315"/>
      <c r="J1603" s="1314"/>
      <c r="K1603" s="1314"/>
      <c r="L1603" s="1291"/>
      <c r="M1603" s="1316"/>
      <c r="N1603" s="1291"/>
      <c r="O1603" s="1291"/>
      <c r="P1603" s="1317"/>
      <c r="Q1603" s="1291"/>
    </row>
    <row r="1604">
      <c r="A1604" s="1160"/>
      <c r="B1604" s="1313"/>
      <c r="C1604" s="940"/>
      <c r="D1604" s="940"/>
      <c r="E1604" s="1291"/>
      <c r="F1604" s="1314"/>
      <c r="G1604" s="1315"/>
      <c r="H1604" s="1315"/>
      <c r="I1604" s="1315"/>
      <c r="J1604" s="1314"/>
      <c r="K1604" s="1314"/>
      <c r="L1604" s="1291"/>
      <c r="M1604" s="1316"/>
      <c r="N1604" s="1291"/>
      <c r="O1604" s="1291"/>
      <c r="P1604" s="1317"/>
      <c r="Q1604" s="1291"/>
    </row>
    <row r="1605">
      <c r="A1605" s="1160"/>
      <c r="B1605" s="1313"/>
      <c r="C1605" s="940"/>
      <c r="D1605" s="940"/>
      <c r="E1605" s="1291"/>
      <c r="F1605" s="1314"/>
      <c r="G1605" s="1315"/>
      <c r="H1605" s="1315"/>
      <c r="I1605" s="1315"/>
      <c r="J1605" s="1314"/>
      <c r="K1605" s="1314"/>
      <c r="L1605" s="1291"/>
      <c r="M1605" s="1316"/>
      <c r="N1605" s="1291"/>
      <c r="O1605" s="1291"/>
      <c r="P1605" s="1317"/>
      <c r="Q1605" s="1291"/>
    </row>
    <row r="1606">
      <c r="A1606" s="1160"/>
      <c r="B1606" s="1313"/>
      <c r="C1606" s="940"/>
      <c r="D1606" s="940"/>
      <c r="E1606" s="1291"/>
      <c r="F1606" s="1314"/>
      <c r="G1606" s="1315"/>
      <c r="H1606" s="1315"/>
      <c r="I1606" s="1315"/>
      <c r="J1606" s="1314"/>
      <c r="K1606" s="1314"/>
      <c r="L1606" s="1291"/>
      <c r="M1606" s="1316"/>
      <c r="N1606" s="1291"/>
      <c r="O1606" s="1291"/>
      <c r="P1606" s="1317"/>
      <c r="Q1606" s="1291"/>
    </row>
    <row r="1607">
      <c r="A1607" s="1160"/>
      <c r="B1607" s="1313"/>
      <c r="C1607" s="940"/>
      <c r="D1607" s="940"/>
      <c r="E1607" s="1291"/>
      <c r="F1607" s="1314"/>
      <c r="G1607" s="1315"/>
      <c r="H1607" s="1315"/>
      <c r="I1607" s="1315"/>
      <c r="J1607" s="1314"/>
      <c r="K1607" s="1314"/>
      <c r="L1607" s="1291"/>
      <c r="M1607" s="1316"/>
      <c r="N1607" s="1291"/>
      <c r="O1607" s="1291"/>
      <c r="P1607" s="1317"/>
      <c r="Q1607" s="1291"/>
    </row>
    <row r="1608">
      <c r="A1608" s="1160"/>
      <c r="B1608" s="1313"/>
      <c r="C1608" s="940"/>
      <c r="D1608" s="940"/>
      <c r="E1608" s="1291"/>
      <c r="F1608" s="1314"/>
      <c r="G1608" s="1315"/>
      <c r="H1608" s="1315"/>
      <c r="I1608" s="1315"/>
      <c r="J1608" s="1314"/>
      <c r="K1608" s="1314"/>
      <c r="L1608" s="1291"/>
      <c r="M1608" s="1316"/>
      <c r="N1608" s="1291"/>
      <c r="O1608" s="1291"/>
      <c r="P1608" s="1317"/>
      <c r="Q1608" s="1291"/>
    </row>
    <row r="1609">
      <c r="A1609" s="1160"/>
      <c r="B1609" s="1313"/>
      <c r="C1609" s="940"/>
      <c r="D1609" s="940"/>
      <c r="E1609" s="1291"/>
      <c r="F1609" s="1314"/>
      <c r="G1609" s="1315"/>
      <c r="H1609" s="1315"/>
      <c r="I1609" s="1315"/>
      <c r="J1609" s="1314"/>
      <c r="K1609" s="1314"/>
      <c r="L1609" s="1291"/>
      <c r="M1609" s="1316"/>
      <c r="N1609" s="1291"/>
      <c r="O1609" s="1291"/>
      <c r="P1609" s="1317"/>
      <c r="Q1609" s="1291"/>
    </row>
    <row r="1610">
      <c r="A1610" s="1160"/>
      <c r="B1610" s="1313"/>
      <c r="C1610" s="940"/>
      <c r="D1610" s="940"/>
      <c r="E1610" s="1291"/>
      <c r="F1610" s="1314"/>
      <c r="G1610" s="1315"/>
      <c r="H1610" s="1315"/>
      <c r="I1610" s="1315"/>
      <c r="J1610" s="1314"/>
      <c r="K1610" s="1314"/>
      <c r="L1610" s="1291"/>
      <c r="M1610" s="1316"/>
      <c r="N1610" s="1291"/>
      <c r="O1610" s="1291"/>
      <c r="P1610" s="1317"/>
      <c r="Q1610" s="1291"/>
    </row>
    <row r="1611">
      <c r="A1611" s="1160"/>
      <c r="B1611" s="1313"/>
      <c r="C1611" s="940"/>
      <c r="D1611" s="940"/>
      <c r="E1611" s="1291"/>
      <c r="F1611" s="1314"/>
      <c r="G1611" s="1315"/>
      <c r="H1611" s="1315"/>
      <c r="I1611" s="1315"/>
      <c r="J1611" s="1314"/>
      <c r="K1611" s="1314"/>
      <c r="L1611" s="1291"/>
      <c r="M1611" s="1316"/>
      <c r="N1611" s="1291"/>
      <c r="O1611" s="1291"/>
      <c r="P1611" s="1317"/>
      <c r="Q1611" s="1291"/>
    </row>
    <row r="1612">
      <c r="A1612" s="1160"/>
      <c r="B1612" s="1313"/>
      <c r="C1612" s="940"/>
      <c r="D1612" s="940"/>
      <c r="E1612" s="1291"/>
      <c r="F1612" s="1314"/>
      <c r="G1612" s="1315"/>
      <c r="H1612" s="1315"/>
      <c r="I1612" s="1315"/>
      <c r="J1612" s="1314"/>
      <c r="K1612" s="1314"/>
      <c r="L1612" s="1291"/>
      <c r="M1612" s="1316"/>
      <c r="N1612" s="1291"/>
      <c r="O1612" s="1291"/>
      <c r="P1612" s="1317"/>
      <c r="Q1612" s="1291"/>
    </row>
    <row r="1613">
      <c r="A1613" s="1160"/>
      <c r="B1613" s="1313"/>
      <c r="C1613" s="940"/>
      <c r="D1613" s="940"/>
      <c r="E1613" s="1291"/>
      <c r="F1613" s="1314"/>
      <c r="G1613" s="1315"/>
      <c r="H1613" s="1315"/>
      <c r="I1613" s="1315"/>
      <c r="J1613" s="1314"/>
      <c r="K1613" s="1314"/>
      <c r="L1613" s="1291"/>
      <c r="M1613" s="1316"/>
      <c r="N1613" s="1291"/>
      <c r="O1613" s="1291"/>
      <c r="P1613" s="1317"/>
      <c r="Q1613" s="1291"/>
    </row>
    <row r="1614">
      <c r="A1614" s="1160"/>
      <c r="B1614" s="1313"/>
      <c r="C1614" s="940"/>
      <c r="D1614" s="940"/>
      <c r="E1614" s="1291"/>
      <c r="F1614" s="1314"/>
      <c r="G1614" s="1315"/>
      <c r="H1614" s="1315"/>
      <c r="I1614" s="1315"/>
      <c r="J1614" s="1314"/>
      <c r="K1614" s="1314"/>
      <c r="L1614" s="1291"/>
      <c r="M1614" s="1316"/>
      <c r="N1614" s="1291"/>
      <c r="O1614" s="1291"/>
      <c r="P1614" s="1317"/>
      <c r="Q1614" s="1291"/>
    </row>
    <row r="1615">
      <c r="A1615" s="1160"/>
      <c r="B1615" s="1313"/>
      <c r="C1615" s="940"/>
      <c r="D1615" s="940"/>
      <c r="E1615" s="1291"/>
      <c r="F1615" s="1314"/>
      <c r="G1615" s="1315"/>
      <c r="H1615" s="1315"/>
      <c r="I1615" s="1315"/>
      <c r="J1615" s="1314"/>
      <c r="K1615" s="1314"/>
      <c r="L1615" s="1291"/>
      <c r="M1615" s="1316"/>
      <c r="N1615" s="1291"/>
      <c r="O1615" s="1291"/>
      <c r="P1615" s="1317"/>
      <c r="Q1615" s="1291"/>
    </row>
    <row r="1616">
      <c r="A1616" s="1160"/>
      <c r="B1616" s="1313"/>
      <c r="C1616" s="940"/>
      <c r="D1616" s="940"/>
      <c r="E1616" s="1291"/>
      <c r="F1616" s="1314"/>
      <c r="G1616" s="1315"/>
      <c r="H1616" s="1315"/>
      <c r="I1616" s="1315"/>
      <c r="J1616" s="1314"/>
      <c r="K1616" s="1314"/>
      <c r="L1616" s="1291"/>
      <c r="M1616" s="1316"/>
      <c r="N1616" s="1291"/>
      <c r="O1616" s="1291"/>
      <c r="P1616" s="1317"/>
      <c r="Q1616" s="1291"/>
    </row>
    <row r="1617">
      <c r="A1617" s="1160"/>
      <c r="B1617" s="1313"/>
      <c r="C1617" s="940"/>
      <c r="D1617" s="940"/>
      <c r="E1617" s="1291"/>
      <c r="F1617" s="1314"/>
      <c r="G1617" s="1315"/>
      <c r="H1617" s="1315"/>
      <c r="I1617" s="1315"/>
      <c r="J1617" s="1314"/>
      <c r="K1617" s="1314"/>
      <c r="L1617" s="1291"/>
      <c r="M1617" s="1316"/>
      <c r="N1617" s="1291"/>
      <c r="O1617" s="1291"/>
      <c r="P1617" s="1317"/>
      <c r="Q1617" s="1291"/>
    </row>
    <row r="1618">
      <c r="A1618" s="1160"/>
      <c r="B1618" s="1313"/>
      <c r="C1618" s="940"/>
      <c r="D1618" s="940"/>
      <c r="E1618" s="1291"/>
      <c r="F1618" s="1314"/>
      <c r="G1618" s="1315"/>
      <c r="H1618" s="1315"/>
      <c r="I1618" s="1315"/>
      <c r="J1618" s="1314"/>
      <c r="K1618" s="1314"/>
      <c r="L1618" s="1291"/>
      <c r="M1618" s="1316"/>
      <c r="N1618" s="1291"/>
      <c r="O1618" s="1291"/>
      <c r="P1618" s="1317"/>
      <c r="Q1618" s="1291"/>
    </row>
    <row r="1619">
      <c r="A1619" s="1160"/>
      <c r="B1619" s="1313"/>
      <c r="C1619" s="940"/>
      <c r="D1619" s="940"/>
      <c r="E1619" s="1291"/>
      <c r="F1619" s="1314"/>
      <c r="G1619" s="1315"/>
      <c r="H1619" s="1315"/>
      <c r="I1619" s="1315"/>
      <c r="J1619" s="1314"/>
      <c r="K1619" s="1314"/>
      <c r="L1619" s="1291"/>
      <c r="M1619" s="1316"/>
      <c r="N1619" s="1291"/>
      <c r="O1619" s="1291"/>
      <c r="P1619" s="1317"/>
      <c r="Q1619" s="1291"/>
    </row>
    <row r="1620">
      <c r="A1620" s="1160"/>
      <c r="B1620" s="1313"/>
      <c r="C1620" s="940"/>
      <c r="D1620" s="940"/>
      <c r="E1620" s="1291"/>
      <c r="F1620" s="1314"/>
      <c r="G1620" s="1315"/>
      <c r="H1620" s="1315"/>
      <c r="I1620" s="1315"/>
      <c r="J1620" s="1314"/>
      <c r="K1620" s="1314"/>
      <c r="L1620" s="1291"/>
      <c r="M1620" s="1316"/>
      <c r="N1620" s="1291"/>
      <c r="O1620" s="1291"/>
      <c r="P1620" s="1317"/>
      <c r="Q1620" s="1291"/>
    </row>
    <row r="1621">
      <c r="A1621" s="1160"/>
      <c r="B1621" s="1313"/>
      <c r="C1621" s="940"/>
      <c r="D1621" s="940"/>
      <c r="E1621" s="1291"/>
      <c r="F1621" s="1314"/>
      <c r="G1621" s="1315"/>
      <c r="H1621" s="1315"/>
      <c r="I1621" s="1315"/>
      <c r="J1621" s="1314"/>
      <c r="K1621" s="1314"/>
      <c r="L1621" s="1291"/>
      <c r="M1621" s="1316"/>
      <c r="N1621" s="1291"/>
      <c r="O1621" s="1291"/>
      <c r="P1621" s="1317"/>
      <c r="Q1621" s="1291"/>
    </row>
    <row r="1622">
      <c r="A1622" s="1160"/>
      <c r="B1622" s="1313"/>
      <c r="C1622" s="940"/>
      <c r="D1622" s="940"/>
      <c r="E1622" s="1291"/>
      <c r="F1622" s="1314"/>
      <c r="G1622" s="1315"/>
      <c r="H1622" s="1315"/>
      <c r="I1622" s="1315"/>
      <c r="J1622" s="1314"/>
      <c r="K1622" s="1314"/>
      <c r="L1622" s="1291"/>
      <c r="M1622" s="1316"/>
      <c r="N1622" s="1291"/>
      <c r="O1622" s="1291"/>
      <c r="P1622" s="1317"/>
      <c r="Q1622" s="1291"/>
    </row>
    <row r="1623">
      <c r="A1623" s="1160"/>
      <c r="B1623" s="1313"/>
      <c r="C1623" s="940"/>
      <c r="D1623" s="940"/>
      <c r="E1623" s="1291"/>
      <c r="F1623" s="1314"/>
      <c r="G1623" s="1315"/>
      <c r="H1623" s="1315"/>
      <c r="I1623" s="1315"/>
      <c r="J1623" s="1314"/>
      <c r="K1623" s="1314"/>
      <c r="L1623" s="1291"/>
      <c r="M1623" s="1316"/>
      <c r="N1623" s="1291"/>
      <c r="O1623" s="1291"/>
      <c r="P1623" s="1317"/>
      <c r="Q1623" s="1291"/>
    </row>
    <row r="1624">
      <c r="A1624" s="1160"/>
      <c r="B1624" s="1313"/>
      <c r="C1624" s="940"/>
      <c r="D1624" s="940"/>
      <c r="E1624" s="1291"/>
      <c r="F1624" s="1314"/>
      <c r="G1624" s="1315"/>
      <c r="H1624" s="1315"/>
      <c r="I1624" s="1315"/>
      <c r="J1624" s="1314"/>
      <c r="K1624" s="1314"/>
      <c r="L1624" s="1291"/>
      <c r="M1624" s="1316"/>
      <c r="N1624" s="1291"/>
      <c r="O1624" s="1291"/>
      <c r="P1624" s="1317"/>
      <c r="Q1624" s="1291"/>
    </row>
    <row r="1625">
      <c r="A1625" s="1160"/>
      <c r="B1625" s="1313"/>
      <c r="C1625" s="940"/>
      <c r="D1625" s="940"/>
      <c r="E1625" s="1291"/>
      <c r="F1625" s="1314"/>
      <c r="G1625" s="1315"/>
      <c r="H1625" s="1315"/>
      <c r="I1625" s="1315"/>
      <c r="J1625" s="1314"/>
      <c r="K1625" s="1314"/>
      <c r="L1625" s="1291"/>
      <c r="M1625" s="1316"/>
      <c r="N1625" s="1291"/>
      <c r="O1625" s="1291"/>
      <c r="P1625" s="1317"/>
      <c r="Q1625" s="1291"/>
    </row>
    <row r="1626">
      <c r="A1626" s="1160"/>
      <c r="B1626" s="1313"/>
      <c r="C1626" s="940"/>
      <c r="D1626" s="940"/>
      <c r="E1626" s="1291"/>
      <c r="F1626" s="1314"/>
      <c r="G1626" s="1315"/>
      <c r="H1626" s="1315"/>
      <c r="I1626" s="1315"/>
      <c r="J1626" s="1314"/>
      <c r="K1626" s="1314"/>
      <c r="L1626" s="1291"/>
      <c r="M1626" s="1316"/>
      <c r="N1626" s="1291"/>
      <c r="O1626" s="1291"/>
      <c r="P1626" s="1317"/>
      <c r="Q1626" s="1291"/>
    </row>
    <row r="1627">
      <c r="A1627" s="1160"/>
      <c r="B1627" s="1313"/>
      <c r="C1627" s="940"/>
      <c r="D1627" s="940"/>
      <c r="E1627" s="1291"/>
      <c r="F1627" s="1314"/>
      <c r="G1627" s="1315"/>
      <c r="H1627" s="1315"/>
      <c r="I1627" s="1315"/>
      <c r="J1627" s="1314"/>
      <c r="K1627" s="1314"/>
      <c r="L1627" s="1291"/>
      <c r="M1627" s="1316"/>
      <c r="N1627" s="1291"/>
      <c r="O1627" s="1291"/>
      <c r="P1627" s="1317"/>
      <c r="Q1627" s="1291"/>
    </row>
    <row r="1628">
      <c r="A1628" s="1160"/>
      <c r="B1628" s="1313"/>
      <c r="C1628" s="940"/>
      <c r="D1628" s="940"/>
      <c r="E1628" s="1291"/>
      <c r="F1628" s="1314"/>
      <c r="G1628" s="1315"/>
      <c r="H1628" s="1315"/>
      <c r="I1628" s="1315"/>
      <c r="J1628" s="1314"/>
      <c r="K1628" s="1314"/>
      <c r="L1628" s="1291"/>
      <c r="M1628" s="1316"/>
      <c r="N1628" s="1291"/>
      <c r="O1628" s="1291"/>
      <c r="P1628" s="1317"/>
      <c r="Q1628" s="1291"/>
    </row>
    <row r="1629">
      <c r="A1629" s="1160"/>
      <c r="B1629" s="1313"/>
      <c r="C1629" s="940"/>
      <c r="D1629" s="940"/>
      <c r="E1629" s="1291"/>
      <c r="F1629" s="1314"/>
      <c r="G1629" s="1315"/>
      <c r="H1629" s="1315"/>
      <c r="I1629" s="1315"/>
      <c r="J1629" s="1314"/>
      <c r="K1629" s="1314"/>
      <c r="L1629" s="1291"/>
      <c r="M1629" s="1316"/>
      <c r="N1629" s="1291"/>
      <c r="O1629" s="1291"/>
      <c r="P1629" s="1317"/>
      <c r="Q1629" s="1291"/>
    </row>
    <row r="1630">
      <c r="A1630" s="1160"/>
      <c r="B1630" s="1313"/>
      <c r="C1630" s="940"/>
      <c r="D1630" s="940"/>
      <c r="E1630" s="1291"/>
      <c r="F1630" s="1314"/>
      <c r="G1630" s="1315"/>
      <c r="H1630" s="1315"/>
      <c r="I1630" s="1315"/>
      <c r="J1630" s="1314"/>
      <c r="K1630" s="1314"/>
      <c r="L1630" s="1291"/>
      <c r="M1630" s="1316"/>
      <c r="N1630" s="1291"/>
      <c r="O1630" s="1291"/>
      <c r="P1630" s="1317"/>
      <c r="Q1630" s="1291"/>
    </row>
    <row r="1631">
      <c r="A1631" s="1160"/>
      <c r="B1631" s="1313"/>
      <c r="C1631" s="940"/>
      <c r="D1631" s="940"/>
      <c r="E1631" s="1291"/>
      <c r="F1631" s="1314"/>
      <c r="G1631" s="1315"/>
      <c r="H1631" s="1315"/>
      <c r="I1631" s="1315"/>
      <c r="J1631" s="1314"/>
      <c r="K1631" s="1314"/>
      <c r="L1631" s="1291"/>
      <c r="M1631" s="1316"/>
      <c r="N1631" s="1291"/>
      <c r="O1631" s="1291"/>
      <c r="P1631" s="1317"/>
      <c r="Q1631" s="1291"/>
    </row>
    <row r="1632">
      <c r="A1632" s="1160"/>
      <c r="B1632" s="1313"/>
      <c r="C1632" s="940"/>
      <c r="D1632" s="940"/>
      <c r="E1632" s="1291"/>
      <c r="F1632" s="1314"/>
      <c r="G1632" s="1315"/>
      <c r="H1632" s="1315"/>
      <c r="I1632" s="1315"/>
      <c r="J1632" s="1314"/>
      <c r="K1632" s="1314"/>
      <c r="L1632" s="1291"/>
      <c r="M1632" s="1316"/>
      <c r="N1632" s="1291"/>
      <c r="O1632" s="1291"/>
      <c r="P1632" s="1317"/>
      <c r="Q1632" s="1291"/>
    </row>
    <row r="1633">
      <c r="A1633" s="1160"/>
      <c r="B1633" s="1313"/>
      <c r="C1633" s="940"/>
      <c r="D1633" s="940"/>
      <c r="E1633" s="1291"/>
      <c r="F1633" s="1314"/>
      <c r="G1633" s="1315"/>
      <c r="H1633" s="1315"/>
      <c r="I1633" s="1315"/>
      <c r="J1633" s="1314"/>
      <c r="K1633" s="1314"/>
      <c r="L1633" s="1291"/>
      <c r="M1633" s="1316"/>
      <c r="N1633" s="1291"/>
      <c r="O1633" s="1291"/>
      <c r="P1633" s="1317"/>
      <c r="Q1633" s="1291"/>
    </row>
    <row r="1634">
      <c r="A1634" s="1160"/>
      <c r="B1634" s="1313"/>
      <c r="C1634" s="940"/>
      <c r="D1634" s="940"/>
      <c r="E1634" s="1291"/>
      <c r="F1634" s="1314"/>
      <c r="G1634" s="1315"/>
      <c r="H1634" s="1315"/>
      <c r="I1634" s="1315"/>
      <c r="J1634" s="1314"/>
      <c r="K1634" s="1314"/>
      <c r="L1634" s="1291"/>
      <c r="M1634" s="1316"/>
      <c r="N1634" s="1291"/>
      <c r="O1634" s="1291"/>
      <c r="P1634" s="1317"/>
      <c r="Q1634" s="1291"/>
    </row>
    <row r="1635">
      <c r="A1635" s="1160"/>
      <c r="B1635" s="1313"/>
      <c r="C1635" s="940"/>
      <c r="D1635" s="940"/>
      <c r="E1635" s="1291"/>
      <c r="F1635" s="1314"/>
      <c r="G1635" s="1315"/>
      <c r="H1635" s="1315"/>
      <c r="I1635" s="1315"/>
      <c r="J1635" s="1314"/>
      <c r="K1635" s="1314"/>
      <c r="L1635" s="1291"/>
      <c r="M1635" s="1316"/>
      <c r="N1635" s="1291"/>
      <c r="O1635" s="1291"/>
      <c r="P1635" s="1317"/>
      <c r="Q1635" s="1291"/>
    </row>
    <row r="1636">
      <c r="A1636" s="1160"/>
      <c r="B1636" s="1313"/>
      <c r="C1636" s="940"/>
      <c r="D1636" s="940"/>
      <c r="E1636" s="1291"/>
      <c r="F1636" s="1314"/>
      <c r="G1636" s="1315"/>
      <c r="H1636" s="1315"/>
      <c r="I1636" s="1315"/>
      <c r="J1636" s="1314"/>
      <c r="K1636" s="1314"/>
      <c r="L1636" s="1291"/>
      <c r="M1636" s="1316"/>
      <c r="N1636" s="1291"/>
      <c r="O1636" s="1291"/>
      <c r="P1636" s="1317"/>
      <c r="Q1636" s="1291"/>
    </row>
    <row r="1637">
      <c r="A1637" s="1160"/>
      <c r="B1637" s="1313"/>
      <c r="C1637" s="940"/>
      <c r="D1637" s="940"/>
      <c r="E1637" s="1291"/>
      <c r="F1637" s="1314"/>
      <c r="G1637" s="1315"/>
      <c r="H1637" s="1315"/>
      <c r="I1637" s="1315"/>
      <c r="J1637" s="1314"/>
      <c r="K1637" s="1314"/>
      <c r="L1637" s="1291"/>
      <c r="M1637" s="1316"/>
      <c r="N1637" s="1291"/>
      <c r="O1637" s="1291"/>
      <c r="P1637" s="1317"/>
      <c r="Q1637" s="1291"/>
    </row>
    <row r="1638">
      <c r="A1638" s="1160"/>
      <c r="B1638" s="1313"/>
      <c r="C1638" s="940"/>
      <c r="D1638" s="940"/>
      <c r="E1638" s="1291"/>
      <c r="F1638" s="1314"/>
      <c r="G1638" s="1315"/>
      <c r="H1638" s="1315"/>
      <c r="I1638" s="1315"/>
      <c r="J1638" s="1314"/>
      <c r="K1638" s="1314"/>
      <c r="L1638" s="1291"/>
      <c r="M1638" s="1316"/>
      <c r="N1638" s="1291"/>
      <c r="O1638" s="1291"/>
      <c r="P1638" s="1317"/>
      <c r="Q1638" s="1291"/>
    </row>
    <row r="1639">
      <c r="A1639" s="1160"/>
      <c r="B1639" s="1313"/>
      <c r="C1639" s="940"/>
      <c r="D1639" s="940"/>
      <c r="E1639" s="1291"/>
      <c r="F1639" s="1314"/>
      <c r="G1639" s="1315"/>
      <c r="H1639" s="1315"/>
      <c r="I1639" s="1315"/>
      <c r="J1639" s="1314"/>
      <c r="K1639" s="1314"/>
      <c r="L1639" s="1291"/>
      <c r="M1639" s="1316"/>
      <c r="N1639" s="1291"/>
      <c r="O1639" s="1291"/>
      <c r="P1639" s="1317"/>
      <c r="Q1639" s="1291"/>
    </row>
    <row r="1640">
      <c r="A1640" s="1160"/>
      <c r="B1640" s="1313"/>
      <c r="C1640" s="940"/>
      <c r="D1640" s="940"/>
      <c r="E1640" s="1291"/>
      <c r="F1640" s="1314"/>
      <c r="G1640" s="1315"/>
      <c r="H1640" s="1315"/>
      <c r="I1640" s="1315"/>
      <c r="J1640" s="1314"/>
      <c r="K1640" s="1314"/>
      <c r="L1640" s="1291"/>
      <c r="M1640" s="1316"/>
      <c r="N1640" s="1291"/>
      <c r="O1640" s="1291"/>
      <c r="P1640" s="1317"/>
      <c r="Q1640" s="1291"/>
    </row>
    <row r="1641">
      <c r="A1641" s="1160"/>
      <c r="B1641" s="1313"/>
      <c r="C1641" s="940"/>
      <c r="D1641" s="940"/>
      <c r="E1641" s="1291"/>
      <c r="F1641" s="1314"/>
      <c r="G1641" s="1315"/>
      <c r="H1641" s="1315"/>
      <c r="I1641" s="1315"/>
      <c r="J1641" s="1314"/>
      <c r="K1641" s="1314"/>
      <c r="L1641" s="1291"/>
      <c r="M1641" s="1316"/>
      <c r="N1641" s="1291"/>
      <c r="O1641" s="1291"/>
      <c r="P1641" s="1317"/>
      <c r="Q1641" s="1291"/>
    </row>
    <row r="1642">
      <c r="A1642" s="1160"/>
      <c r="B1642" s="1313"/>
      <c r="C1642" s="940"/>
      <c r="D1642" s="940"/>
      <c r="E1642" s="1291"/>
      <c r="F1642" s="1314"/>
      <c r="G1642" s="1315"/>
      <c r="H1642" s="1315"/>
      <c r="I1642" s="1315"/>
      <c r="J1642" s="1314"/>
      <c r="K1642" s="1314"/>
      <c r="L1642" s="1291"/>
      <c r="M1642" s="1316"/>
      <c r="N1642" s="1291"/>
      <c r="O1642" s="1291"/>
      <c r="P1642" s="1317"/>
      <c r="Q1642" s="1291"/>
    </row>
    <row r="1643">
      <c r="A1643" s="1160"/>
      <c r="B1643" s="1313"/>
      <c r="C1643" s="940"/>
      <c r="D1643" s="940"/>
      <c r="E1643" s="1291"/>
      <c r="F1643" s="1314"/>
      <c r="G1643" s="1315"/>
      <c r="H1643" s="1315"/>
      <c r="I1643" s="1315"/>
      <c r="J1643" s="1314"/>
      <c r="K1643" s="1314"/>
      <c r="L1643" s="1291"/>
      <c r="M1643" s="1316"/>
      <c r="N1643" s="1291"/>
      <c r="O1643" s="1291"/>
      <c r="P1643" s="1317"/>
      <c r="Q1643" s="1291"/>
    </row>
    <row r="1644">
      <c r="A1644" s="1160"/>
      <c r="B1644" s="1313"/>
      <c r="C1644" s="940"/>
      <c r="D1644" s="940"/>
      <c r="E1644" s="1291"/>
      <c r="F1644" s="1314"/>
      <c r="G1644" s="1315"/>
      <c r="H1644" s="1315"/>
      <c r="I1644" s="1315"/>
      <c r="J1644" s="1314"/>
      <c r="K1644" s="1314"/>
      <c r="L1644" s="1291"/>
      <c r="M1644" s="1316"/>
      <c r="N1644" s="1291"/>
      <c r="O1644" s="1291"/>
      <c r="P1644" s="1317"/>
      <c r="Q1644" s="1291"/>
    </row>
    <row r="1645">
      <c r="A1645" s="1160"/>
      <c r="B1645" s="1313"/>
      <c r="C1645" s="940"/>
      <c r="D1645" s="940"/>
      <c r="E1645" s="1291"/>
      <c r="F1645" s="1314"/>
      <c r="G1645" s="1315"/>
      <c r="H1645" s="1315"/>
      <c r="I1645" s="1315"/>
      <c r="J1645" s="1314"/>
      <c r="K1645" s="1314"/>
      <c r="L1645" s="1291"/>
      <c r="M1645" s="1316"/>
      <c r="N1645" s="1291"/>
      <c r="O1645" s="1291"/>
      <c r="P1645" s="1317"/>
      <c r="Q1645" s="1291"/>
    </row>
    <row r="1646">
      <c r="A1646" s="1160"/>
      <c r="B1646" s="1313"/>
      <c r="C1646" s="940"/>
      <c r="D1646" s="940"/>
      <c r="E1646" s="1291"/>
      <c r="F1646" s="1314"/>
      <c r="G1646" s="1315"/>
      <c r="H1646" s="1315"/>
      <c r="I1646" s="1315"/>
      <c r="J1646" s="1314"/>
      <c r="K1646" s="1314"/>
      <c r="L1646" s="1291"/>
      <c r="M1646" s="1316"/>
      <c r="N1646" s="1291"/>
      <c r="O1646" s="1291"/>
      <c r="P1646" s="1317"/>
      <c r="Q1646" s="1291"/>
    </row>
    <row r="1647">
      <c r="A1647" s="1160"/>
      <c r="B1647" s="1313"/>
      <c r="C1647" s="940"/>
      <c r="D1647" s="940"/>
      <c r="E1647" s="1291"/>
      <c r="F1647" s="1314"/>
      <c r="G1647" s="1315"/>
      <c r="H1647" s="1315"/>
      <c r="I1647" s="1315"/>
      <c r="J1647" s="1314"/>
      <c r="K1647" s="1314"/>
      <c r="L1647" s="1291"/>
      <c r="M1647" s="1316"/>
      <c r="N1647" s="1291"/>
      <c r="O1647" s="1291"/>
      <c r="P1647" s="1317"/>
      <c r="Q1647" s="1291"/>
    </row>
    <row r="1648">
      <c r="A1648" s="1160"/>
      <c r="B1648" s="1313"/>
      <c r="C1648" s="940"/>
      <c r="D1648" s="940"/>
      <c r="E1648" s="1291"/>
      <c r="F1648" s="1314"/>
      <c r="G1648" s="1315"/>
      <c r="H1648" s="1315"/>
      <c r="I1648" s="1315"/>
      <c r="J1648" s="1314"/>
      <c r="K1648" s="1314"/>
      <c r="L1648" s="1291"/>
      <c r="M1648" s="1316"/>
      <c r="N1648" s="1291"/>
      <c r="O1648" s="1291"/>
      <c r="P1648" s="1317"/>
      <c r="Q1648" s="1291"/>
    </row>
    <row r="1649">
      <c r="A1649" s="1160"/>
      <c r="B1649" s="1313"/>
      <c r="C1649" s="940"/>
      <c r="D1649" s="940"/>
      <c r="E1649" s="1291"/>
      <c r="F1649" s="1314"/>
      <c r="G1649" s="1315"/>
      <c r="H1649" s="1315"/>
      <c r="I1649" s="1315"/>
      <c r="J1649" s="1314"/>
      <c r="K1649" s="1314"/>
      <c r="L1649" s="1291"/>
      <c r="M1649" s="1316"/>
      <c r="N1649" s="1291"/>
      <c r="O1649" s="1291"/>
      <c r="P1649" s="1317"/>
      <c r="Q1649" s="1291"/>
    </row>
    <row r="1650">
      <c r="A1650" s="1160"/>
      <c r="B1650" s="1313"/>
      <c r="C1650" s="940"/>
      <c r="D1650" s="940"/>
      <c r="E1650" s="1291"/>
      <c r="F1650" s="1314"/>
      <c r="G1650" s="1315"/>
      <c r="H1650" s="1315"/>
      <c r="I1650" s="1315"/>
      <c r="J1650" s="1314"/>
      <c r="K1650" s="1314"/>
      <c r="L1650" s="1291"/>
      <c r="M1650" s="1316"/>
      <c r="N1650" s="1291"/>
      <c r="O1650" s="1291"/>
      <c r="P1650" s="1317"/>
      <c r="Q1650" s="1291"/>
    </row>
    <row r="1651">
      <c r="A1651" s="1160"/>
      <c r="B1651" s="1313"/>
      <c r="C1651" s="940"/>
      <c r="D1651" s="940"/>
      <c r="E1651" s="1291"/>
      <c r="F1651" s="1314"/>
      <c r="G1651" s="1315"/>
      <c r="H1651" s="1315"/>
      <c r="I1651" s="1315"/>
      <c r="J1651" s="1314"/>
      <c r="K1651" s="1314"/>
      <c r="L1651" s="1291"/>
      <c r="M1651" s="1316"/>
      <c r="N1651" s="1291"/>
      <c r="O1651" s="1291"/>
      <c r="P1651" s="1317"/>
      <c r="Q1651" s="1291"/>
    </row>
    <row r="1652">
      <c r="A1652" s="1160"/>
      <c r="B1652" s="1313"/>
      <c r="C1652" s="940"/>
      <c r="D1652" s="940"/>
      <c r="E1652" s="1291"/>
      <c r="F1652" s="1314"/>
      <c r="G1652" s="1315"/>
      <c r="H1652" s="1315"/>
      <c r="I1652" s="1315"/>
      <c r="J1652" s="1314"/>
      <c r="K1652" s="1314"/>
      <c r="L1652" s="1291"/>
      <c r="M1652" s="1316"/>
      <c r="N1652" s="1291"/>
      <c r="O1652" s="1291"/>
      <c r="P1652" s="1317"/>
      <c r="Q1652" s="1291"/>
    </row>
    <row r="1653">
      <c r="A1653" s="1160"/>
      <c r="B1653" s="1313"/>
      <c r="C1653" s="940"/>
      <c r="D1653" s="940"/>
      <c r="E1653" s="1291"/>
      <c r="F1653" s="1314"/>
      <c r="G1653" s="1315"/>
      <c r="H1653" s="1315"/>
      <c r="I1653" s="1315"/>
      <c r="J1653" s="1314"/>
      <c r="K1653" s="1314"/>
      <c r="L1653" s="1291"/>
      <c r="M1653" s="1316"/>
      <c r="N1653" s="1291"/>
      <c r="O1653" s="1291"/>
      <c r="P1653" s="1317"/>
      <c r="Q1653" s="1291"/>
    </row>
    <row r="1654">
      <c r="A1654" s="1160"/>
      <c r="B1654" s="1313"/>
      <c r="C1654" s="940"/>
      <c r="D1654" s="940"/>
      <c r="E1654" s="1291"/>
      <c r="F1654" s="1314"/>
      <c r="G1654" s="1315"/>
      <c r="H1654" s="1315"/>
      <c r="I1654" s="1315"/>
      <c r="J1654" s="1314"/>
      <c r="K1654" s="1314"/>
      <c r="L1654" s="1291"/>
      <c r="M1654" s="1316"/>
      <c r="N1654" s="1291"/>
      <c r="O1654" s="1291"/>
      <c r="P1654" s="1317"/>
      <c r="Q1654" s="1291"/>
    </row>
    <row r="1655">
      <c r="A1655" s="1160"/>
      <c r="B1655" s="1313"/>
      <c r="C1655" s="940"/>
      <c r="D1655" s="940"/>
      <c r="E1655" s="1291"/>
      <c r="F1655" s="1314"/>
      <c r="G1655" s="1315"/>
      <c r="H1655" s="1315"/>
      <c r="I1655" s="1315"/>
      <c r="J1655" s="1314"/>
      <c r="K1655" s="1314"/>
      <c r="L1655" s="1291"/>
      <c r="M1655" s="1316"/>
      <c r="N1655" s="1291"/>
      <c r="O1655" s="1291"/>
      <c r="P1655" s="1317"/>
      <c r="Q1655" s="1291"/>
    </row>
    <row r="1656">
      <c r="A1656" s="1160"/>
      <c r="B1656" s="1313"/>
      <c r="C1656" s="940"/>
      <c r="D1656" s="940"/>
      <c r="E1656" s="1291"/>
      <c r="F1656" s="1314"/>
      <c r="G1656" s="1315"/>
      <c r="H1656" s="1315"/>
      <c r="I1656" s="1315"/>
      <c r="J1656" s="1314"/>
      <c r="K1656" s="1314"/>
      <c r="L1656" s="1291"/>
      <c r="M1656" s="1316"/>
      <c r="N1656" s="1291"/>
      <c r="O1656" s="1291"/>
      <c r="P1656" s="1317"/>
      <c r="Q1656" s="1291"/>
    </row>
    <row r="1657">
      <c r="A1657" s="1160"/>
      <c r="B1657" s="1313"/>
      <c r="C1657" s="940"/>
      <c r="D1657" s="940"/>
      <c r="E1657" s="1291"/>
      <c r="F1657" s="1314"/>
      <c r="G1657" s="1315"/>
      <c r="H1657" s="1315"/>
      <c r="I1657" s="1315"/>
      <c r="J1657" s="1314"/>
      <c r="K1657" s="1314"/>
      <c r="L1657" s="1291"/>
      <c r="M1657" s="1316"/>
      <c r="N1657" s="1291"/>
      <c r="O1657" s="1291"/>
      <c r="P1657" s="1317"/>
      <c r="Q1657" s="1291"/>
    </row>
    <row r="1658">
      <c r="A1658" s="1160"/>
      <c r="B1658" s="1313"/>
      <c r="C1658" s="940"/>
      <c r="D1658" s="940"/>
      <c r="E1658" s="1291"/>
      <c r="F1658" s="1314"/>
      <c r="G1658" s="1315"/>
      <c r="H1658" s="1315"/>
      <c r="I1658" s="1315"/>
      <c r="J1658" s="1314"/>
      <c r="K1658" s="1314"/>
      <c r="L1658" s="1291"/>
      <c r="M1658" s="1316"/>
      <c r="N1658" s="1291"/>
      <c r="O1658" s="1291"/>
      <c r="P1658" s="1317"/>
      <c r="Q1658" s="1291"/>
    </row>
    <row r="1659">
      <c r="A1659" s="1160"/>
      <c r="B1659" s="1313"/>
      <c r="C1659" s="940"/>
      <c r="D1659" s="940"/>
      <c r="E1659" s="1291"/>
      <c r="F1659" s="1314"/>
      <c r="G1659" s="1315"/>
      <c r="H1659" s="1315"/>
      <c r="I1659" s="1315"/>
      <c r="J1659" s="1314"/>
      <c r="K1659" s="1314"/>
      <c r="L1659" s="1291"/>
      <c r="M1659" s="1316"/>
      <c r="N1659" s="1291"/>
      <c r="O1659" s="1291"/>
      <c r="P1659" s="1317"/>
      <c r="Q1659" s="1291"/>
    </row>
    <row r="1660">
      <c r="A1660" s="1160"/>
      <c r="B1660" s="1313"/>
      <c r="C1660" s="940"/>
      <c r="D1660" s="940"/>
      <c r="E1660" s="1291"/>
      <c r="F1660" s="1314"/>
      <c r="G1660" s="1315"/>
      <c r="H1660" s="1315"/>
      <c r="I1660" s="1315"/>
      <c r="J1660" s="1314"/>
      <c r="K1660" s="1314"/>
      <c r="L1660" s="1291"/>
      <c r="M1660" s="1316"/>
      <c r="N1660" s="1291"/>
      <c r="O1660" s="1291"/>
      <c r="P1660" s="1317"/>
      <c r="Q1660" s="1291"/>
    </row>
    <row r="1661">
      <c r="A1661" s="1160"/>
      <c r="B1661" s="1313"/>
      <c r="C1661" s="940"/>
      <c r="D1661" s="940"/>
      <c r="E1661" s="1291"/>
      <c r="F1661" s="1314"/>
      <c r="G1661" s="1315"/>
      <c r="H1661" s="1315"/>
      <c r="I1661" s="1315"/>
      <c r="J1661" s="1314"/>
      <c r="K1661" s="1314"/>
      <c r="L1661" s="1291"/>
      <c r="M1661" s="1316"/>
      <c r="N1661" s="1291"/>
      <c r="O1661" s="1291"/>
      <c r="P1661" s="1317"/>
      <c r="Q1661" s="1291"/>
    </row>
    <row r="1662">
      <c r="A1662" s="1160"/>
      <c r="B1662" s="1313"/>
      <c r="C1662" s="940"/>
      <c r="D1662" s="940"/>
      <c r="E1662" s="1291"/>
      <c r="F1662" s="1314"/>
      <c r="G1662" s="1315"/>
      <c r="H1662" s="1315"/>
      <c r="I1662" s="1315"/>
      <c r="J1662" s="1314"/>
      <c r="K1662" s="1314"/>
      <c r="L1662" s="1291"/>
      <c r="M1662" s="1316"/>
      <c r="N1662" s="1291"/>
      <c r="O1662" s="1291"/>
      <c r="P1662" s="1317"/>
      <c r="Q1662" s="1291"/>
    </row>
    <row r="1663">
      <c r="A1663" s="1160"/>
      <c r="B1663" s="1313"/>
      <c r="C1663" s="940"/>
      <c r="D1663" s="940"/>
      <c r="E1663" s="1291"/>
      <c r="F1663" s="1314"/>
      <c r="G1663" s="1315"/>
      <c r="H1663" s="1315"/>
      <c r="I1663" s="1315"/>
      <c r="J1663" s="1314"/>
      <c r="K1663" s="1314"/>
      <c r="L1663" s="1291"/>
      <c r="M1663" s="1316"/>
      <c r="N1663" s="1291"/>
      <c r="O1663" s="1291"/>
      <c r="P1663" s="1317"/>
      <c r="Q1663" s="1291"/>
    </row>
    <row r="1664">
      <c r="A1664" s="1160"/>
      <c r="B1664" s="1313"/>
      <c r="C1664" s="940"/>
      <c r="D1664" s="940"/>
      <c r="E1664" s="1291"/>
      <c r="F1664" s="1314"/>
      <c r="G1664" s="1315"/>
      <c r="H1664" s="1315"/>
      <c r="I1664" s="1315"/>
      <c r="J1664" s="1314"/>
      <c r="K1664" s="1314"/>
      <c r="L1664" s="1291"/>
      <c r="M1664" s="1316"/>
      <c r="N1664" s="1291"/>
      <c r="O1664" s="1291"/>
      <c r="P1664" s="1317"/>
      <c r="Q1664" s="1291"/>
    </row>
    <row r="1665">
      <c r="A1665" s="1160"/>
      <c r="B1665" s="1313"/>
      <c r="C1665" s="940"/>
      <c r="D1665" s="940"/>
      <c r="E1665" s="1291"/>
      <c r="F1665" s="1314"/>
      <c r="G1665" s="1315"/>
      <c r="H1665" s="1315"/>
      <c r="I1665" s="1315"/>
      <c r="J1665" s="1314"/>
      <c r="K1665" s="1314"/>
      <c r="L1665" s="1291"/>
      <c r="M1665" s="1316"/>
      <c r="N1665" s="1291"/>
      <c r="O1665" s="1291"/>
      <c r="P1665" s="1317"/>
      <c r="Q1665" s="1291"/>
    </row>
    <row r="1666">
      <c r="A1666" s="1160"/>
      <c r="B1666" s="1313"/>
      <c r="C1666" s="940"/>
      <c r="D1666" s="940"/>
      <c r="E1666" s="1291"/>
      <c r="F1666" s="1314"/>
      <c r="G1666" s="1315"/>
      <c r="H1666" s="1315"/>
      <c r="I1666" s="1315"/>
      <c r="J1666" s="1314"/>
      <c r="K1666" s="1314"/>
      <c r="L1666" s="1291"/>
      <c r="M1666" s="1316"/>
      <c r="N1666" s="1291"/>
      <c r="O1666" s="1291"/>
      <c r="P1666" s="1317"/>
      <c r="Q1666" s="1291"/>
    </row>
    <row r="1667">
      <c r="A1667" s="1160"/>
      <c r="B1667" s="1313"/>
      <c r="C1667" s="940"/>
      <c r="D1667" s="940"/>
      <c r="E1667" s="1291"/>
      <c r="F1667" s="1314"/>
      <c r="G1667" s="1315"/>
      <c r="H1667" s="1315"/>
      <c r="I1667" s="1315"/>
      <c r="J1667" s="1314"/>
      <c r="K1667" s="1314"/>
      <c r="L1667" s="1291"/>
      <c r="M1667" s="1316"/>
      <c r="N1667" s="1291"/>
      <c r="O1667" s="1291"/>
      <c r="P1667" s="1317"/>
      <c r="Q1667" s="1291"/>
    </row>
    <row r="1668">
      <c r="A1668" s="1160"/>
      <c r="B1668" s="1313"/>
      <c r="C1668" s="940"/>
      <c r="D1668" s="940"/>
      <c r="E1668" s="1291"/>
      <c r="F1668" s="1314"/>
      <c r="G1668" s="1315"/>
      <c r="H1668" s="1315"/>
      <c r="I1668" s="1315"/>
      <c r="J1668" s="1314"/>
      <c r="K1668" s="1314"/>
      <c r="L1668" s="1291"/>
      <c r="M1668" s="1316"/>
      <c r="N1668" s="1291"/>
      <c r="O1668" s="1291"/>
      <c r="P1668" s="1317"/>
      <c r="Q1668" s="1291"/>
    </row>
    <row r="1669">
      <c r="A1669" s="1160"/>
      <c r="B1669" s="1313"/>
      <c r="C1669" s="940"/>
      <c r="D1669" s="940"/>
      <c r="E1669" s="1291"/>
      <c r="F1669" s="1314"/>
      <c r="G1669" s="1315"/>
      <c r="H1669" s="1315"/>
      <c r="I1669" s="1315"/>
      <c r="J1669" s="1314"/>
      <c r="K1669" s="1314"/>
      <c r="L1669" s="1291"/>
      <c r="M1669" s="1316"/>
      <c r="N1669" s="1291"/>
      <c r="O1669" s="1291"/>
      <c r="P1669" s="1317"/>
      <c r="Q1669" s="1291"/>
    </row>
    <row r="1670">
      <c r="A1670" s="1160"/>
      <c r="B1670" s="1313"/>
      <c r="C1670" s="940"/>
      <c r="D1670" s="940"/>
      <c r="E1670" s="1291"/>
      <c r="F1670" s="1314"/>
      <c r="G1670" s="1315"/>
      <c r="H1670" s="1315"/>
      <c r="I1670" s="1315"/>
      <c r="J1670" s="1314"/>
      <c r="K1670" s="1314"/>
      <c r="L1670" s="1291"/>
      <c r="M1670" s="1316"/>
      <c r="N1670" s="1291"/>
      <c r="O1670" s="1291"/>
      <c r="P1670" s="1317"/>
      <c r="Q1670" s="1291"/>
    </row>
    <row r="1671">
      <c r="A1671" s="1160"/>
      <c r="B1671" s="1313"/>
      <c r="C1671" s="940"/>
      <c r="D1671" s="940"/>
      <c r="E1671" s="1291"/>
      <c r="F1671" s="1314"/>
      <c r="G1671" s="1315"/>
      <c r="H1671" s="1315"/>
      <c r="I1671" s="1315"/>
      <c r="J1671" s="1314"/>
      <c r="K1671" s="1314"/>
      <c r="L1671" s="1291"/>
      <c r="M1671" s="1316"/>
      <c r="N1671" s="1291"/>
      <c r="O1671" s="1291"/>
      <c r="P1671" s="1317"/>
      <c r="Q1671" s="1291"/>
    </row>
    <row r="1672">
      <c r="A1672" s="1160"/>
      <c r="B1672" s="1313"/>
      <c r="C1672" s="940"/>
      <c r="D1672" s="940"/>
      <c r="E1672" s="1291"/>
      <c r="F1672" s="1314"/>
      <c r="G1672" s="1315"/>
      <c r="H1672" s="1315"/>
      <c r="I1672" s="1315"/>
      <c r="J1672" s="1314"/>
      <c r="K1672" s="1314"/>
      <c r="L1672" s="1291"/>
      <c r="M1672" s="1316"/>
      <c r="N1672" s="1291"/>
      <c r="O1672" s="1291"/>
      <c r="P1672" s="1317"/>
      <c r="Q1672" s="1291"/>
    </row>
    <row r="1673">
      <c r="A1673" s="1160"/>
      <c r="B1673" s="1313"/>
      <c r="C1673" s="940"/>
      <c r="D1673" s="940"/>
      <c r="E1673" s="1291"/>
      <c r="F1673" s="1314"/>
      <c r="G1673" s="1315"/>
      <c r="H1673" s="1315"/>
      <c r="I1673" s="1315"/>
      <c r="J1673" s="1314"/>
      <c r="K1673" s="1314"/>
      <c r="L1673" s="1291"/>
      <c r="M1673" s="1316"/>
      <c r="N1673" s="1291"/>
      <c r="O1673" s="1291"/>
      <c r="P1673" s="1317"/>
      <c r="Q1673" s="1291"/>
    </row>
    <row r="1674">
      <c r="A1674" s="1160"/>
      <c r="B1674" s="1313"/>
      <c r="C1674" s="940"/>
      <c r="D1674" s="940"/>
      <c r="E1674" s="1291"/>
      <c r="F1674" s="1314"/>
      <c r="G1674" s="1315"/>
      <c r="H1674" s="1315"/>
      <c r="I1674" s="1315"/>
      <c r="J1674" s="1314"/>
      <c r="K1674" s="1314"/>
      <c r="L1674" s="1291"/>
      <c r="M1674" s="1316"/>
      <c r="N1674" s="1291"/>
      <c r="O1674" s="1291"/>
      <c r="P1674" s="1317"/>
      <c r="Q1674" s="1291"/>
    </row>
    <row r="1675">
      <c r="A1675" s="1160"/>
      <c r="B1675" s="1313"/>
      <c r="C1675" s="940"/>
      <c r="D1675" s="940"/>
      <c r="E1675" s="1291"/>
      <c r="F1675" s="1314"/>
      <c r="G1675" s="1315"/>
      <c r="H1675" s="1315"/>
      <c r="I1675" s="1315"/>
      <c r="J1675" s="1314"/>
      <c r="K1675" s="1314"/>
      <c r="L1675" s="1291"/>
      <c r="M1675" s="1316"/>
      <c r="N1675" s="1291"/>
      <c r="O1675" s="1291"/>
      <c r="P1675" s="1317"/>
      <c r="Q1675" s="1291"/>
    </row>
    <row r="1676">
      <c r="A1676" s="1160"/>
      <c r="B1676" s="1313"/>
      <c r="C1676" s="940"/>
      <c r="D1676" s="940"/>
      <c r="E1676" s="1291"/>
      <c r="F1676" s="1314"/>
      <c r="G1676" s="1315"/>
      <c r="H1676" s="1315"/>
      <c r="I1676" s="1315"/>
      <c r="J1676" s="1314"/>
      <c r="K1676" s="1314"/>
      <c r="L1676" s="1291"/>
      <c r="M1676" s="1316"/>
      <c r="N1676" s="1291"/>
      <c r="O1676" s="1291"/>
      <c r="P1676" s="1317"/>
      <c r="Q1676" s="1291"/>
    </row>
    <row r="1677">
      <c r="A1677" s="1160"/>
      <c r="B1677" s="1313"/>
      <c r="C1677" s="940"/>
      <c r="D1677" s="940"/>
      <c r="E1677" s="1291"/>
      <c r="F1677" s="1314"/>
      <c r="G1677" s="1315"/>
      <c r="H1677" s="1315"/>
      <c r="I1677" s="1315"/>
      <c r="J1677" s="1314"/>
      <c r="K1677" s="1314"/>
      <c r="L1677" s="1291"/>
      <c r="M1677" s="1316"/>
      <c r="N1677" s="1291"/>
      <c r="O1677" s="1291"/>
      <c r="P1677" s="1317"/>
      <c r="Q1677" s="1291"/>
    </row>
    <row r="1678">
      <c r="A1678" s="1160"/>
      <c r="B1678" s="1313"/>
      <c r="C1678" s="940"/>
      <c r="D1678" s="940"/>
      <c r="E1678" s="1291"/>
      <c r="F1678" s="1314"/>
      <c r="G1678" s="1315"/>
      <c r="H1678" s="1315"/>
      <c r="I1678" s="1315"/>
      <c r="J1678" s="1314"/>
      <c r="K1678" s="1314"/>
      <c r="L1678" s="1291"/>
      <c r="M1678" s="1316"/>
      <c r="N1678" s="1291"/>
      <c r="O1678" s="1291"/>
      <c r="P1678" s="1317"/>
      <c r="Q1678" s="1291"/>
    </row>
    <row r="1679">
      <c r="A1679" s="1160"/>
      <c r="B1679" s="1313"/>
      <c r="C1679" s="940"/>
      <c r="D1679" s="940"/>
      <c r="E1679" s="1291"/>
      <c r="F1679" s="1314"/>
      <c r="G1679" s="1315"/>
      <c r="H1679" s="1315"/>
      <c r="I1679" s="1315"/>
      <c r="J1679" s="1314"/>
      <c r="K1679" s="1314"/>
      <c r="L1679" s="1291"/>
      <c r="M1679" s="1316"/>
      <c r="N1679" s="1291"/>
      <c r="O1679" s="1291"/>
      <c r="P1679" s="1317"/>
      <c r="Q1679" s="1291"/>
    </row>
    <row r="1680">
      <c r="A1680" s="1160"/>
      <c r="B1680" s="1313"/>
      <c r="C1680" s="940"/>
      <c r="D1680" s="940"/>
      <c r="E1680" s="1291"/>
      <c r="F1680" s="1314"/>
      <c r="G1680" s="1315"/>
      <c r="H1680" s="1315"/>
      <c r="I1680" s="1315"/>
      <c r="J1680" s="1314"/>
      <c r="K1680" s="1314"/>
      <c r="L1680" s="1291"/>
      <c r="M1680" s="1316"/>
      <c r="N1680" s="1291"/>
      <c r="O1680" s="1291"/>
      <c r="P1680" s="1317"/>
      <c r="Q1680" s="1291"/>
    </row>
    <row r="1681">
      <c r="A1681" s="1160"/>
      <c r="B1681" s="1313"/>
      <c r="C1681" s="940"/>
      <c r="D1681" s="940"/>
      <c r="E1681" s="1291"/>
      <c r="F1681" s="1314"/>
      <c r="G1681" s="1315"/>
      <c r="H1681" s="1315"/>
      <c r="I1681" s="1315"/>
      <c r="J1681" s="1314"/>
      <c r="K1681" s="1314"/>
      <c r="L1681" s="1291"/>
      <c r="M1681" s="1316"/>
      <c r="N1681" s="1291"/>
      <c r="O1681" s="1291"/>
      <c r="P1681" s="1317"/>
      <c r="Q1681" s="1291"/>
    </row>
    <row r="1682">
      <c r="A1682" s="1160"/>
      <c r="B1682" s="1313"/>
      <c r="C1682" s="940"/>
      <c r="D1682" s="940"/>
      <c r="E1682" s="1291"/>
      <c r="F1682" s="1314"/>
      <c r="G1682" s="1315"/>
      <c r="H1682" s="1315"/>
      <c r="I1682" s="1315"/>
      <c r="J1682" s="1314"/>
      <c r="K1682" s="1314"/>
      <c r="L1682" s="1291"/>
      <c r="M1682" s="1316"/>
      <c r="N1682" s="1291"/>
      <c r="O1682" s="1291"/>
      <c r="P1682" s="1317"/>
      <c r="Q1682" s="1291"/>
    </row>
    <row r="1683">
      <c r="A1683" s="1160"/>
      <c r="B1683" s="1313"/>
      <c r="C1683" s="940"/>
      <c r="D1683" s="940"/>
      <c r="E1683" s="1291"/>
      <c r="F1683" s="1314"/>
      <c r="G1683" s="1315"/>
      <c r="H1683" s="1315"/>
      <c r="I1683" s="1315"/>
      <c r="J1683" s="1314"/>
      <c r="K1683" s="1314"/>
      <c r="L1683" s="1291"/>
      <c r="M1683" s="1316"/>
      <c r="N1683" s="1291"/>
      <c r="O1683" s="1291"/>
      <c r="P1683" s="1317"/>
      <c r="Q1683" s="1291"/>
    </row>
    <row r="1684">
      <c r="A1684" s="1160"/>
      <c r="B1684" s="1313"/>
      <c r="C1684" s="940"/>
      <c r="D1684" s="940"/>
      <c r="E1684" s="1291"/>
      <c r="F1684" s="1314"/>
      <c r="G1684" s="1315"/>
      <c r="H1684" s="1315"/>
      <c r="I1684" s="1315"/>
      <c r="J1684" s="1314"/>
      <c r="K1684" s="1314"/>
      <c r="L1684" s="1291"/>
      <c r="M1684" s="1316"/>
      <c r="N1684" s="1291"/>
      <c r="O1684" s="1291"/>
      <c r="P1684" s="1317"/>
      <c r="Q1684" s="1291"/>
    </row>
    <row r="1685">
      <c r="A1685" s="1160"/>
      <c r="B1685" s="1313"/>
      <c r="C1685" s="940"/>
      <c r="D1685" s="940"/>
      <c r="E1685" s="1291"/>
      <c r="F1685" s="1314"/>
      <c r="G1685" s="1315"/>
      <c r="H1685" s="1315"/>
      <c r="I1685" s="1315"/>
      <c r="J1685" s="1314"/>
      <c r="K1685" s="1314"/>
      <c r="L1685" s="1291"/>
      <c r="M1685" s="1316"/>
      <c r="N1685" s="1291"/>
      <c r="O1685" s="1291"/>
      <c r="P1685" s="1317"/>
      <c r="Q1685" s="1291"/>
    </row>
    <row r="1686">
      <c r="A1686" s="1160"/>
      <c r="B1686" s="1313"/>
      <c r="C1686" s="940"/>
      <c r="D1686" s="940"/>
      <c r="E1686" s="1291"/>
      <c r="F1686" s="1314"/>
      <c r="G1686" s="1315"/>
      <c r="H1686" s="1315"/>
      <c r="I1686" s="1315"/>
      <c r="J1686" s="1314"/>
      <c r="K1686" s="1314"/>
      <c r="L1686" s="1291"/>
      <c r="M1686" s="1316"/>
      <c r="N1686" s="1291"/>
      <c r="O1686" s="1291"/>
      <c r="P1686" s="1317"/>
      <c r="Q1686" s="1291"/>
    </row>
    <row r="1687">
      <c r="A1687" s="1160"/>
      <c r="B1687" s="1313"/>
      <c r="C1687" s="940"/>
      <c r="D1687" s="940"/>
      <c r="E1687" s="1291"/>
      <c r="F1687" s="1314"/>
      <c r="G1687" s="1315"/>
      <c r="H1687" s="1315"/>
      <c r="I1687" s="1315"/>
      <c r="J1687" s="1314"/>
      <c r="K1687" s="1314"/>
      <c r="L1687" s="1291"/>
      <c r="M1687" s="1316"/>
      <c r="N1687" s="1291"/>
      <c r="O1687" s="1291"/>
      <c r="P1687" s="1317"/>
      <c r="Q1687" s="1291"/>
    </row>
    <row r="1688">
      <c r="A1688" s="1160"/>
      <c r="B1688" s="1313"/>
      <c r="C1688" s="940"/>
      <c r="D1688" s="940"/>
      <c r="E1688" s="1291"/>
      <c r="F1688" s="1314"/>
      <c r="G1688" s="1315"/>
      <c r="H1688" s="1315"/>
      <c r="I1688" s="1315"/>
      <c r="J1688" s="1314"/>
      <c r="K1688" s="1314"/>
      <c r="L1688" s="1291"/>
      <c r="M1688" s="1316"/>
      <c r="N1688" s="1291"/>
      <c r="O1688" s="1291"/>
      <c r="P1688" s="1317"/>
      <c r="Q1688" s="1291"/>
    </row>
    <row r="1689">
      <c r="A1689" s="1160"/>
      <c r="B1689" s="1313"/>
      <c r="C1689" s="940"/>
      <c r="D1689" s="940"/>
      <c r="E1689" s="1291"/>
      <c r="F1689" s="1314"/>
      <c r="G1689" s="1315"/>
      <c r="H1689" s="1315"/>
      <c r="I1689" s="1315"/>
      <c r="J1689" s="1314"/>
      <c r="K1689" s="1314"/>
      <c r="L1689" s="1291"/>
      <c r="M1689" s="1316"/>
      <c r="N1689" s="1291"/>
      <c r="O1689" s="1291"/>
      <c r="P1689" s="1317"/>
      <c r="Q1689" s="1291"/>
    </row>
    <row r="1690">
      <c r="A1690" s="1160"/>
      <c r="B1690" s="1313"/>
      <c r="C1690" s="940"/>
      <c r="D1690" s="940"/>
      <c r="E1690" s="1291"/>
      <c r="F1690" s="1314"/>
      <c r="G1690" s="1315"/>
      <c r="H1690" s="1315"/>
      <c r="I1690" s="1315"/>
      <c r="J1690" s="1314"/>
      <c r="K1690" s="1314"/>
      <c r="L1690" s="1291"/>
      <c r="M1690" s="1316"/>
      <c r="N1690" s="1291"/>
      <c r="O1690" s="1291"/>
      <c r="P1690" s="1317"/>
      <c r="Q1690" s="1291"/>
    </row>
    <row r="1691">
      <c r="A1691" s="1160"/>
      <c r="B1691" s="1313"/>
      <c r="C1691" s="940"/>
      <c r="D1691" s="940"/>
      <c r="E1691" s="1291"/>
      <c r="F1691" s="1314"/>
      <c r="G1691" s="1315"/>
      <c r="H1691" s="1315"/>
      <c r="I1691" s="1315"/>
      <c r="J1691" s="1314"/>
      <c r="K1691" s="1314"/>
      <c r="L1691" s="1291"/>
      <c r="M1691" s="1316"/>
      <c r="N1691" s="1291"/>
      <c r="O1691" s="1291"/>
      <c r="P1691" s="1317"/>
      <c r="Q1691" s="1291"/>
    </row>
    <row r="1692">
      <c r="A1692" s="1160"/>
      <c r="B1692" s="1313"/>
      <c r="C1692" s="940"/>
      <c r="D1692" s="940"/>
      <c r="E1692" s="1291"/>
      <c r="F1692" s="1314"/>
      <c r="G1692" s="1315"/>
      <c r="H1692" s="1315"/>
      <c r="I1692" s="1315"/>
      <c r="J1692" s="1314"/>
      <c r="K1692" s="1314"/>
      <c r="L1692" s="1291"/>
      <c r="M1692" s="1316"/>
      <c r="N1692" s="1291"/>
      <c r="O1692" s="1291"/>
      <c r="P1692" s="1317"/>
      <c r="Q1692" s="1291"/>
    </row>
    <row r="1693">
      <c r="A1693" s="1160"/>
      <c r="B1693" s="1313"/>
      <c r="C1693" s="940"/>
      <c r="D1693" s="940"/>
      <c r="E1693" s="1291"/>
      <c r="F1693" s="1314"/>
      <c r="G1693" s="1315"/>
      <c r="H1693" s="1315"/>
      <c r="I1693" s="1315"/>
      <c r="J1693" s="1314"/>
      <c r="K1693" s="1314"/>
      <c r="L1693" s="1291"/>
      <c r="M1693" s="1316"/>
      <c r="N1693" s="1291"/>
      <c r="O1693" s="1291"/>
      <c r="P1693" s="1317"/>
      <c r="Q1693" s="1291"/>
    </row>
    <row r="1694">
      <c r="A1694" s="1160"/>
      <c r="B1694" s="1313"/>
      <c r="C1694" s="940"/>
      <c r="D1694" s="940"/>
      <c r="E1694" s="1291"/>
      <c r="F1694" s="1314"/>
      <c r="G1694" s="1315"/>
      <c r="H1694" s="1315"/>
      <c r="I1694" s="1315"/>
      <c r="J1694" s="1314"/>
      <c r="K1694" s="1314"/>
      <c r="L1694" s="1291"/>
      <c r="M1694" s="1316"/>
      <c r="N1694" s="1291"/>
      <c r="O1694" s="1291"/>
      <c r="P1694" s="1317"/>
      <c r="Q1694" s="1291"/>
    </row>
    <row r="1695">
      <c r="A1695" s="1160"/>
      <c r="B1695" s="1313"/>
      <c r="C1695" s="940"/>
      <c r="D1695" s="940"/>
      <c r="E1695" s="1291"/>
      <c r="F1695" s="1314"/>
      <c r="G1695" s="1315"/>
      <c r="H1695" s="1315"/>
      <c r="I1695" s="1315"/>
      <c r="J1695" s="1314"/>
      <c r="K1695" s="1314"/>
      <c r="L1695" s="1291"/>
      <c r="M1695" s="1316"/>
      <c r="N1695" s="1291"/>
      <c r="O1695" s="1291"/>
      <c r="P1695" s="1317"/>
      <c r="Q1695" s="1291"/>
    </row>
    <row r="1696">
      <c r="A1696" s="1160"/>
      <c r="B1696" s="1313"/>
      <c r="C1696" s="940"/>
      <c r="D1696" s="940"/>
      <c r="E1696" s="1291"/>
      <c r="F1696" s="1314"/>
      <c r="G1696" s="1315"/>
      <c r="H1696" s="1315"/>
      <c r="I1696" s="1315"/>
      <c r="J1696" s="1314"/>
      <c r="K1696" s="1314"/>
      <c r="L1696" s="1291"/>
      <c r="M1696" s="1316"/>
      <c r="N1696" s="1291"/>
      <c r="O1696" s="1291"/>
      <c r="P1696" s="1317"/>
      <c r="Q1696" s="1291"/>
    </row>
    <row r="1697">
      <c r="A1697" s="1160"/>
      <c r="B1697" s="1313"/>
      <c r="C1697" s="940"/>
      <c r="D1697" s="940"/>
      <c r="E1697" s="1291"/>
      <c r="F1697" s="1314"/>
      <c r="G1697" s="1315"/>
      <c r="H1697" s="1315"/>
      <c r="I1697" s="1315"/>
      <c r="J1697" s="1314"/>
      <c r="K1697" s="1314"/>
      <c r="L1697" s="1291"/>
      <c r="M1697" s="1316"/>
      <c r="N1697" s="1291"/>
      <c r="O1697" s="1291"/>
      <c r="P1697" s="1317"/>
      <c r="Q1697" s="1291"/>
    </row>
    <row r="1698">
      <c r="A1698" s="1160"/>
      <c r="B1698" s="1313"/>
      <c r="C1698" s="940"/>
      <c r="D1698" s="940"/>
      <c r="E1698" s="1291"/>
      <c r="F1698" s="1314"/>
      <c r="G1698" s="1315"/>
      <c r="H1698" s="1315"/>
      <c r="I1698" s="1315"/>
      <c r="J1698" s="1314"/>
      <c r="K1698" s="1314"/>
      <c r="L1698" s="1291"/>
      <c r="M1698" s="1316"/>
      <c r="N1698" s="1291"/>
      <c r="O1698" s="1291"/>
      <c r="P1698" s="1317"/>
      <c r="Q1698" s="1291"/>
    </row>
    <row r="1699">
      <c r="A1699" s="1160"/>
      <c r="B1699" s="1313"/>
      <c r="C1699" s="940"/>
      <c r="D1699" s="940"/>
      <c r="E1699" s="1291"/>
      <c r="F1699" s="1314"/>
      <c r="G1699" s="1315"/>
      <c r="H1699" s="1315"/>
      <c r="I1699" s="1315"/>
      <c r="J1699" s="1314"/>
      <c r="K1699" s="1314"/>
      <c r="L1699" s="1291"/>
      <c r="M1699" s="1316"/>
      <c r="N1699" s="1291"/>
      <c r="O1699" s="1291"/>
      <c r="P1699" s="1317"/>
      <c r="Q1699" s="1291"/>
    </row>
    <row r="1700">
      <c r="A1700" s="1160"/>
      <c r="B1700" s="1313"/>
      <c r="C1700" s="940"/>
      <c r="D1700" s="940"/>
      <c r="E1700" s="1291"/>
      <c r="F1700" s="1314"/>
      <c r="G1700" s="1315"/>
      <c r="H1700" s="1315"/>
      <c r="I1700" s="1315"/>
      <c r="J1700" s="1314"/>
      <c r="K1700" s="1314"/>
      <c r="L1700" s="1291"/>
      <c r="M1700" s="1316"/>
      <c r="N1700" s="1291"/>
      <c r="O1700" s="1291"/>
      <c r="P1700" s="1317"/>
      <c r="Q1700" s="1291"/>
    </row>
    <row r="1701">
      <c r="A1701" s="1160"/>
      <c r="B1701" s="1313"/>
      <c r="C1701" s="940"/>
      <c r="D1701" s="940"/>
      <c r="E1701" s="1291"/>
      <c r="F1701" s="1314"/>
      <c r="G1701" s="1315"/>
      <c r="H1701" s="1315"/>
      <c r="I1701" s="1315"/>
      <c r="J1701" s="1314"/>
      <c r="K1701" s="1314"/>
      <c r="L1701" s="1291"/>
      <c r="M1701" s="1316"/>
      <c r="N1701" s="1291"/>
      <c r="O1701" s="1291"/>
      <c r="P1701" s="1317"/>
      <c r="Q1701" s="1291"/>
    </row>
    <row r="1702">
      <c r="A1702" s="1160"/>
      <c r="B1702" s="1313"/>
      <c r="C1702" s="940"/>
      <c r="D1702" s="940"/>
      <c r="E1702" s="1291"/>
      <c r="F1702" s="1314"/>
      <c r="G1702" s="1315"/>
      <c r="H1702" s="1315"/>
      <c r="I1702" s="1315"/>
      <c r="J1702" s="1314"/>
      <c r="K1702" s="1314"/>
      <c r="L1702" s="1291"/>
      <c r="M1702" s="1316"/>
      <c r="N1702" s="1291"/>
      <c r="O1702" s="1291"/>
      <c r="P1702" s="1317"/>
      <c r="Q1702" s="1291"/>
    </row>
    <row r="1703">
      <c r="A1703" s="1160"/>
      <c r="B1703" s="1313"/>
      <c r="C1703" s="940"/>
      <c r="D1703" s="940"/>
      <c r="E1703" s="1291"/>
      <c r="F1703" s="1314"/>
      <c r="G1703" s="1315"/>
      <c r="H1703" s="1315"/>
      <c r="I1703" s="1315"/>
      <c r="J1703" s="1314"/>
      <c r="K1703" s="1314"/>
      <c r="L1703" s="1291"/>
      <c r="M1703" s="1316"/>
      <c r="N1703" s="1291"/>
      <c r="O1703" s="1291"/>
      <c r="P1703" s="1317"/>
      <c r="Q1703" s="1291"/>
    </row>
    <row r="1704">
      <c r="A1704" s="1160"/>
      <c r="B1704" s="1313"/>
      <c r="C1704" s="940"/>
      <c r="D1704" s="940"/>
      <c r="E1704" s="1291"/>
      <c r="F1704" s="1314"/>
      <c r="G1704" s="1315"/>
      <c r="H1704" s="1315"/>
      <c r="I1704" s="1315"/>
      <c r="J1704" s="1314"/>
      <c r="K1704" s="1314"/>
      <c r="L1704" s="1291"/>
      <c r="M1704" s="1316"/>
      <c r="N1704" s="1291"/>
      <c r="O1704" s="1291"/>
      <c r="P1704" s="1317"/>
      <c r="Q1704" s="1291"/>
    </row>
    <row r="1705">
      <c r="A1705" s="1160"/>
      <c r="B1705" s="1313"/>
      <c r="C1705" s="940"/>
      <c r="D1705" s="940"/>
      <c r="E1705" s="1291"/>
      <c r="F1705" s="1314"/>
      <c r="G1705" s="1315"/>
      <c r="H1705" s="1315"/>
      <c r="I1705" s="1315"/>
      <c r="J1705" s="1314"/>
      <c r="K1705" s="1314"/>
      <c r="L1705" s="1291"/>
      <c r="M1705" s="1316"/>
      <c r="N1705" s="1291"/>
      <c r="O1705" s="1291"/>
      <c r="P1705" s="1317"/>
      <c r="Q1705" s="1291"/>
    </row>
    <row r="1706">
      <c r="A1706" s="1160"/>
      <c r="B1706" s="1313"/>
      <c r="C1706" s="940"/>
      <c r="D1706" s="940"/>
      <c r="E1706" s="1291"/>
      <c r="F1706" s="1314"/>
      <c r="G1706" s="1315"/>
      <c r="H1706" s="1315"/>
      <c r="I1706" s="1315"/>
      <c r="J1706" s="1314"/>
      <c r="K1706" s="1314"/>
      <c r="L1706" s="1291"/>
      <c r="M1706" s="1316"/>
      <c r="N1706" s="1291"/>
      <c r="O1706" s="1291"/>
      <c r="P1706" s="1317"/>
      <c r="Q1706" s="1291"/>
    </row>
    <row r="1707">
      <c r="A1707" s="1160"/>
      <c r="B1707" s="1313"/>
      <c r="C1707" s="940"/>
      <c r="D1707" s="940"/>
      <c r="E1707" s="1291"/>
      <c r="F1707" s="1314"/>
      <c r="G1707" s="1315"/>
      <c r="H1707" s="1315"/>
      <c r="I1707" s="1315"/>
      <c r="J1707" s="1314"/>
      <c r="K1707" s="1314"/>
      <c r="L1707" s="1291"/>
      <c r="M1707" s="1316"/>
      <c r="N1707" s="1291"/>
      <c r="O1707" s="1291"/>
      <c r="P1707" s="1317"/>
      <c r="Q1707" s="1291"/>
    </row>
    <row r="1708">
      <c r="A1708" s="1160"/>
      <c r="B1708" s="1313"/>
      <c r="C1708" s="940"/>
      <c r="D1708" s="940"/>
      <c r="E1708" s="1291"/>
      <c r="F1708" s="1314"/>
      <c r="G1708" s="1315"/>
      <c r="H1708" s="1315"/>
      <c r="I1708" s="1315"/>
      <c r="J1708" s="1314"/>
      <c r="K1708" s="1314"/>
      <c r="L1708" s="1291"/>
      <c r="M1708" s="1316"/>
      <c r="N1708" s="1291"/>
      <c r="O1708" s="1291"/>
      <c r="P1708" s="1317"/>
      <c r="Q1708" s="1291"/>
    </row>
    <row r="1709">
      <c r="A1709" s="1160"/>
      <c r="B1709" s="1313"/>
      <c r="C1709" s="940"/>
      <c r="D1709" s="940"/>
      <c r="E1709" s="1291"/>
      <c r="F1709" s="1314"/>
      <c r="G1709" s="1315"/>
      <c r="H1709" s="1315"/>
      <c r="I1709" s="1315"/>
      <c r="J1709" s="1314"/>
      <c r="K1709" s="1314"/>
      <c r="L1709" s="1291"/>
      <c r="M1709" s="1316"/>
      <c r="N1709" s="1291"/>
      <c r="O1709" s="1291"/>
      <c r="P1709" s="1317"/>
      <c r="Q1709" s="1291"/>
    </row>
    <row r="1710">
      <c r="A1710" s="1160"/>
      <c r="B1710" s="1313"/>
      <c r="C1710" s="940"/>
      <c r="D1710" s="940"/>
      <c r="E1710" s="1291"/>
      <c r="F1710" s="1314"/>
      <c r="G1710" s="1315"/>
      <c r="H1710" s="1315"/>
      <c r="I1710" s="1315"/>
      <c r="J1710" s="1314"/>
      <c r="K1710" s="1314"/>
      <c r="L1710" s="1291"/>
      <c r="M1710" s="1316"/>
      <c r="N1710" s="1291"/>
      <c r="O1710" s="1291"/>
      <c r="P1710" s="1317"/>
      <c r="Q1710" s="1291"/>
    </row>
    <row r="1711">
      <c r="A1711" s="1160"/>
      <c r="B1711" s="1313"/>
      <c r="C1711" s="940"/>
      <c r="D1711" s="940"/>
      <c r="E1711" s="1291"/>
      <c r="F1711" s="1314"/>
      <c r="G1711" s="1315"/>
      <c r="H1711" s="1315"/>
      <c r="I1711" s="1315"/>
      <c r="J1711" s="1314"/>
      <c r="K1711" s="1314"/>
      <c r="L1711" s="1291"/>
      <c r="M1711" s="1316"/>
      <c r="N1711" s="1291"/>
      <c r="O1711" s="1291"/>
      <c r="P1711" s="1317"/>
      <c r="Q1711" s="1291"/>
    </row>
    <row r="1712">
      <c r="A1712" s="1160"/>
      <c r="B1712" s="1313"/>
      <c r="C1712" s="940"/>
      <c r="D1712" s="940"/>
      <c r="E1712" s="1291"/>
      <c r="F1712" s="1314"/>
      <c r="G1712" s="1315"/>
      <c r="H1712" s="1315"/>
      <c r="I1712" s="1315"/>
      <c r="J1712" s="1314"/>
      <c r="K1712" s="1314"/>
      <c r="L1712" s="1291"/>
      <c r="M1712" s="1316"/>
      <c r="N1712" s="1291"/>
      <c r="O1712" s="1291"/>
      <c r="P1712" s="1317"/>
      <c r="Q1712" s="1291"/>
    </row>
    <row r="1713">
      <c r="A1713" s="1160"/>
      <c r="B1713" s="1313"/>
      <c r="C1713" s="940"/>
      <c r="D1713" s="940"/>
      <c r="E1713" s="1291"/>
      <c r="F1713" s="1314"/>
      <c r="G1713" s="1315"/>
      <c r="H1713" s="1315"/>
      <c r="I1713" s="1315"/>
      <c r="J1713" s="1314"/>
      <c r="K1713" s="1314"/>
      <c r="L1713" s="1291"/>
      <c r="M1713" s="1316"/>
      <c r="N1713" s="1291"/>
      <c r="O1713" s="1291"/>
      <c r="P1713" s="1317"/>
      <c r="Q1713" s="1291"/>
    </row>
    <row r="1714">
      <c r="A1714" s="1160"/>
      <c r="B1714" s="1313"/>
      <c r="C1714" s="940"/>
      <c r="D1714" s="940"/>
      <c r="E1714" s="1291"/>
      <c r="F1714" s="1314"/>
      <c r="G1714" s="1315"/>
      <c r="H1714" s="1315"/>
      <c r="I1714" s="1315"/>
      <c r="J1714" s="1314"/>
      <c r="K1714" s="1314"/>
      <c r="L1714" s="1291"/>
      <c r="M1714" s="1316"/>
      <c r="N1714" s="1291"/>
      <c r="O1714" s="1291"/>
      <c r="P1714" s="1317"/>
      <c r="Q1714" s="1291"/>
    </row>
    <row r="1715">
      <c r="A1715" s="1160"/>
      <c r="B1715" s="1313"/>
      <c r="C1715" s="940"/>
      <c r="D1715" s="940"/>
      <c r="E1715" s="1291"/>
      <c r="F1715" s="1314"/>
      <c r="G1715" s="1315"/>
      <c r="H1715" s="1315"/>
      <c r="I1715" s="1315"/>
      <c r="J1715" s="1314"/>
      <c r="K1715" s="1314"/>
      <c r="L1715" s="1291"/>
      <c r="M1715" s="1316"/>
      <c r="N1715" s="1291"/>
      <c r="O1715" s="1291"/>
      <c r="P1715" s="1317"/>
      <c r="Q1715" s="1291"/>
    </row>
    <row r="1716">
      <c r="A1716" s="1160"/>
      <c r="B1716" s="1313"/>
      <c r="C1716" s="940"/>
      <c r="D1716" s="940"/>
      <c r="E1716" s="1291"/>
      <c r="F1716" s="1314"/>
      <c r="G1716" s="1315"/>
      <c r="H1716" s="1315"/>
      <c r="I1716" s="1315"/>
      <c r="J1716" s="1314"/>
      <c r="K1716" s="1314"/>
      <c r="L1716" s="1291"/>
      <c r="M1716" s="1316"/>
      <c r="N1716" s="1291"/>
      <c r="O1716" s="1291"/>
      <c r="P1716" s="1317"/>
      <c r="Q1716" s="1291"/>
    </row>
    <row r="1717">
      <c r="A1717" s="1160"/>
      <c r="B1717" s="1313"/>
      <c r="C1717" s="940"/>
      <c r="D1717" s="940"/>
      <c r="E1717" s="1291"/>
      <c r="F1717" s="1314"/>
      <c r="G1717" s="1315"/>
      <c r="H1717" s="1315"/>
      <c r="I1717" s="1315"/>
      <c r="J1717" s="1314"/>
      <c r="K1717" s="1314"/>
      <c r="L1717" s="1291"/>
      <c r="M1717" s="1316"/>
      <c r="N1717" s="1291"/>
      <c r="O1717" s="1291"/>
      <c r="P1717" s="1317"/>
      <c r="Q1717" s="1291"/>
    </row>
    <row r="1718">
      <c r="A1718" s="1160"/>
      <c r="B1718" s="1313"/>
      <c r="C1718" s="940"/>
      <c r="D1718" s="940"/>
      <c r="E1718" s="1291"/>
      <c r="F1718" s="1314"/>
      <c r="G1718" s="1315"/>
      <c r="H1718" s="1315"/>
      <c r="I1718" s="1315"/>
      <c r="J1718" s="1314"/>
      <c r="K1718" s="1314"/>
      <c r="L1718" s="1291"/>
      <c r="M1718" s="1316"/>
      <c r="N1718" s="1291"/>
      <c r="O1718" s="1291"/>
      <c r="P1718" s="1317"/>
      <c r="Q1718" s="1291"/>
    </row>
    <row r="1719">
      <c r="A1719" s="1160"/>
      <c r="B1719" s="1313"/>
      <c r="C1719" s="940"/>
      <c r="D1719" s="940"/>
      <c r="E1719" s="1291"/>
      <c r="F1719" s="1314"/>
      <c r="G1719" s="1315"/>
      <c r="H1719" s="1315"/>
      <c r="I1719" s="1315"/>
      <c r="J1719" s="1314"/>
      <c r="K1719" s="1314"/>
      <c r="L1719" s="1291"/>
      <c r="M1719" s="1316"/>
      <c r="N1719" s="1291"/>
      <c r="O1719" s="1291"/>
      <c r="P1719" s="1317"/>
      <c r="Q1719" s="1291"/>
    </row>
    <row r="1720">
      <c r="A1720" s="1160"/>
      <c r="B1720" s="1313"/>
      <c r="C1720" s="940"/>
      <c r="D1720" s="940"/>
      <c r="E1720" s="1291"/>
      <c r="F1720" s="1314"/>
      <c r="G1720" s="1315"/>
      <c r="H1720" s="1315"/>
      <c r="I1720" s="1315"/>
      <c r="J1720" s="1314"/>
      <c r="K1720" s="1314"/>
      <c r="L1720" s="1291"/>
      <c r="M1720" s="1316"/>
      <c r="N1720" s="1291"/>
      <c r="O1720" s="1291"/>
      <c r="P1720" s="1317"/>
      <c r="Q1720" s="1291"/>
    </row>
    <row r="1721">
      <c r="A1721" s="1160"/>
      <c r="B1721" s="1313"/>
      <c r="C1721" s="940"/>
      <c r="D1721" s="940"/>
      <c r="E1721" s="1291"/>
      <c r="F1721" s="1314"/>
      <c r="G1721" s="1315"/>
      <c r="H1721" s="1315"/>
      <c r="I1721" s="1315"/>
      <c r="J1721" s="1314"/>
      <c r="K1721" s="1314"/>
      <c r="L1721" s="1291"/>
      <c r="M1721" s="1316"/>
      <c r="N1721" s="1291"/>
      <c r="O1721" s="1291"/>
      <c r="P1721" s="1317"/>
      <c r="Q1721" s="1291"/>
    </row>
    <row r="1722">
      <c r="A1722" s="1160"/>
      <c r="B1722" s="1313"/>
      <c r="C1722" s="940"/>
      <c r="D1722" s="940"/>
      <c r="E1722" s="1291"/>
      <c r="F1722" s="1314"/>
      <c r="G1722" s="1315"/>
      <c r="H1722" s="1315"/>
      <c r="I1722" s="1315"/>
      <c r="J1722" s="1314"/>
      <c r="K1722" s="1314"/>
      <c r="L1722" s="1291"/>
      <c r="M1722" s="1316"/>
      <c r="N1722" s="1291"/>
      <c r="O1722" s="1291"/>
      <c r="P1722" s="1317"/>
      <c r="Q1722" s="1291"/>
    </row>
    <row r="1723">
      <c r="A1723" s="1160"/>
      <c r="B1723" s="1313"/>
      <c r="C1723" s="940"/>
      <c r="D1723" s="940"/>
      <c r="E1723" s="1291"/>
      <c r="F1723" s="1314"/>
      <c r="G1723" s="1315"/>
      <c r="H1723" s="1315"/>
      <c r="I1723" s="1315"/>
      <c r="J1723" s="1314"/>
      <c r="K1723" s="1314"/>
      <c r="L1723" s="1291"/>
      <c r="M1723" s="1316"/>
      <c r="N1723" s="1291"/>
      <c r="O1723" s="1291"/>
      <c r="P1723" s="1317"/>
      <c r="Q1723" s="1291"/>
    </row>
    <row r="1724">
      <c r="A1724" s="1160"/>
      <c r="B1724" s="1313"/>
      <c r="C1724" s="940"/>
      <c r="D1724" s="940"/>
      <c r="E1724" s="1291"/>
      <c r="F1724" s="1314"/>
      <c r="G1724" s="1315"/>
      <c r="H1724" s="1315"/>
      <c r="I1724" s="1315"/>
      <c r="J1724" s="1314"/>
      <c r="K1724" s="1314"/>
      <c r="L1724" s="1291"/>
      <c r="M1724" s="1316"/>
      <c r="N1724" s="1291"/>
      <c r="O1724" s="1291"/>
      <c r="P1724" s="1317"/>
      <c r="Q1724" s="1291"/>
    </row>
    <row r="1725">
      <c r="A1725" s="1160"/>
      <c r="B1725" s="1313"/>
      <c r="C1725" s="940"/>
      <c r="D1725" s="940"/>
      <c r="E1725" s="1291"/>
      <c r="F1725" s="1314"/>
      <c r="G1725" s="1315"/>
      <c r="H1725" s="1315"/>
      <c r="I1725" s="1315"/>
      <c r="J1725" s="1314"/>
      <c r="K1725" s="1314"/>
      <c r="L1725" s="1291"/>
      <c r="M1725" s="1316"/>
      <c r="N1725" s="1291"/>
      <c r="O1725" s="1291"/>
      <c r="P1725" s="1317"/>
      <c r="Q1725" s="1291"/>
    </row>
    <row r="1726">
      <c r="A1726" s="1160"/>
      <c r="B1726" s="1313"/>
      <c r="C1726" s="940"/>
      <c r="D1726" s="940"/>
      <c r="E1726" s="1291"/>
      <c r="F1726" s="1314"/>
      <c r="G1726" s="1315"/>
      <c r="H1726" s="1315"/>
      <c r="I1726" s="1315"/>
      <c r="J1726" s="1314"/>
      <c r="K1726" s="1314"/>
      <c r="L1726" s="1291"/>
      <c r="M1726" s="1316"/>
      <c r="N1726" s="1291"/>
      <c r="O1726" s="1291"/>
      <c r="P1726" s="1317"/>
      <c r="Q1726" s="1291"/>
    </row>
    <row r="1727">
      <c r="A1727" s="1160"/>
      <c r="B1727" s="1313"/>
      <c r="C1727" s="940"/>
      <c r="D1727" s="940"/>
      <c r="E1727" s="1291"/>
      <c r="F1727" s="1314"/>
      <c r="G1727" s="1315"/>
      <c r="H1727" s="1315"/>
      <c r="I1727" s="1315"/>
      <c r="J1727" s="1314"/>
      <c r="K1727" s="1314"/>
      <c r="L1727" s="1291"/>
      <c r="M1727" s="1316"/>
      <c r="N1727" s="1291"/>
      <c r="O1727" s="1291"/>
      <c r="P1727" s="1317"/>
      <c r="Q1727" s="1291"/>
    </row>
    <row r="1728">
      <c r="A1728" s="1160"/>
      <c r="B1728" s="1313"/>
      <c r="C1728" s="940"/>
      <c r="D1728" s="940"/>
      <c r="E1728" s="1291"/>
      <c r="F1728" s="1314"/>
      <c r="G1728" s="1315"/>
      <c r="H1728" s="1315"/>
      <c r="I1728" s="1315"/>
      <c r="J1728" s="1314"/>
      <c r="K1728" s="1314"/>
      <c r="L1728" s="1291"/>
      <c r="M1728" s="1316"/>
      <c r="N1728" s="1291"/>
      <c r="O1728" s="1291"/>
      <c r="P1728" s="1317"/>
      <c r="Q1728" s="1291"/>
    </row>
    <row r="1729">
      <c r="A1729" s="1160"/>
      <c r="B1729" s="1313"/>
      <c r="C1729" s="940"/>
      <c r="D1729" s="940"/>
      <c r="E1729" s="1291"/>
      <c r="F1729" s="1314"/>
      <c r="G1729" s="1315"/>
      <c r="H1729" s="1315"/>
      <c r="I1729" s="1315"/>
      <c r="J1729" s="1314"/>
      <c r="K1729" s="1314"/>
      <c r="L1729" s="1291"/>
      <c r="M1729" s="1316"/>
      <c r="N1729" s="1291"/>
      <c r="O1729" s="1291"/>
      <c r="P1729" s="1317"/>
      <c r="Q1729" s="1291"/>
    </row>
    <row r="1730">
      <c r="A1730" s="1160"/>
      <c r="B1730" s="1313"/>
      <c r="C1730" s="940"/>
      <c r="D1730" s="940"/>
      <c r="E1730" s="1291"/>
      <c r="F1730" s="1314"/>
      <c r="G1730" s="1315"/>
      <c r="H1730" s="1315"/>
      <c r="I1730" s="1315"/>
      <c r="J1730" s="1314"/>
      <c r="K1730" s="1314"/>
      <c r="L1730" s="1291"/>
      <c r="M1730" s="1316"/>
      <c r="N1730" s="1291"/>
      <c r="O1730" s="1291"/>
      <c r="P1730" s="1317"/>
      <c r="Q1730" s="1291"/>
    </row>
    <row r="1731">
      <c r="A1731" s="1160"/>
      <c r="B1731" s="1313"/>
      <c r="C1731" s="940"/>
      <c r="D1731" s="940"/>
      <c r="E1731" s="1291"/>
      <c r="F1731" s="1314"/>
      <c r="G1731" s="1315"/>
      <c r="H1731" s="1315"/>
      <c r="I1731" s="1315"/>
      <c r="J1731" s="1314"/>
      <c r="K1731" s="1314"/>
      <c r="L1731" s="1291"/>
      <c r="M1731" s="1316"/>
      <c r="N1731" s="1291"/>
      <c r="O1731" s="1291"/>
      <c r="P1731" s="1317"/>
      <c r="Q1731" s="1291"/>
    </row>
    <row r="1732">
      <c r="A1732" s="1160"/>
      <c r="B1732" s="1313"/>
      <c r="C1732" s="940"/>
      <c r="D1732" s="940"/>
      <c r="E1732" s="1291"/>
      <c r="F1732" s="1314"/>
      <c r="G1732" s="1315"/>
      <c r="H1732" s="1315"/>
      <c r="I1732" s="1315"/>
      <c r="J1732" s="1314"/>
      <c r="K1732" s="1314"/>
      <c r="L1732" s="1291"/>
      <c r="M1732" s="1316"/>
      <c r="N1732" s="1291"/>
      <c r="O1732" s="1291"/>
      <c r="P1732" s="1317"/>
      <c r="Q1732" s="1291"/>
    </row>
    <row r="1733">
      <c r="A1733" s="1160"/>
      <c r="B1733" s="1313"/>
      <c r="C1733" s="940"/>
      <c r="D1733" s="940"/>
      <c r="E1733" s="1291"/>
      <c r="F1733" s="1314"/>
      <c r="G1733" s="1315"/>
      <c r="H1733" s="1315"/>
      <c r="I1733" s="1315"/>
      <c r="J1733" s="1314"/>
      <c r="K1733" s="1314"/>
      <c r="L1733" s="1291"/>
      <c r="M1733" s="1316"/>
      <c r="N1733" s="1291"/>
      <c r="O1733" s="1291"/>
      <c r="P1733" s="1317"/>
      <c r="Q1733" s="1291"/>
    </row>
    <row r="1734">
      <c r="A1734" s="1160"/>
      <c r="B1734" s="1313"/>
      <c r="C1734" s="940"/>
      <c r="D1734" s="940"/>
      <c r="E1734" s="1291"/>
      <c r="F1734" s="1314"/>
      <c r="G1734" s="1315"/>
      <c r="H1734" s="1315"/>
      <c r="I1734" s="1315"/>
      <c r="J1734" s="1314"/>
      <c r="K1734" s="1314"/>
      <c r="L1734" s="1291"/>
      <c r="M1734" s="1316"/>
      <c r="N1734" s="1291"/>
      <c r="O1734" s="1291"/>
      <c r="P1734" s="1317"/>
      <c r="Q1734" s="1291"/>
    </row>
    <row r="1735">
      <c r="A1735" s="1160"/>
      <c r="B1735" s="1313"/>
      <c r="C1735" s="940"/>
      <c r="D1735" s="940"/>
      <c r="E1735" s="1291"/>
      <c r="F1735" s="1314"/>
      <c r="G1735" s="1315"/>
      <c r="H1735" s="1315"/>
      <c r="I1735" s="1315"/>
      <c r="J1735" s="1314"/>
      <c r="K1735" s="1314"/>
      <c r="L1735" s="1291"/>
      <c r="M1735" s="1316"/>
      <c r="N1735" s="1291"/>
      <c r="O1735" s="1291"/>
      <c r="P1735" s="1317"/>
      <c r="Q1735" s="1291"/>
    </row>
    <row r="1736">
      <c r="A1736" s="1160"/>
      <c r="B1736" s="1313"/>
      <c r="C1736" s="940"/>
      <c r="D1736" s="940"/>
      <c r="E1736" s="1291"/>
      <c r="F1736" s="1314"/>
      <c r="G1736" s="1315"/>
      <c r="H1736" s="1315"/>
      <c r="I1736" s="1315"/>
      <c r="J1736" s="1314"/>
      <c r="K1736" s="1314"/>
      <c r="L1736" s="1291"/>
      <c r="M1736" s="1316"/>
      <c r="N1736" s="1291"/>
      <c r="O1736" s="1291"/>
      <c r="P1736" s="1317"/>
      <c r="Q1736" s="1291"/>
    </row>
    <row r="1737">
      <c r="A1737" s="1160"/>
      <c r="B1737" s="1313"/>
      <c r="C1737" s="940"/>
      <c r="D1737" s="940"/>
      <c r="E1737" s="1291"/>
      <c r="F1737" s="1314"/>
      <c r="G1737" s="1315"/>
      <c r="H1737" s="1315"/>
      <c r="I1737" s="1315"/>
      <c r="J1737" s="1314"/>
      <c r="K1737" s="1314"/>
      <c r="L1737" s="1291"/>
      <c r="M1737" s="1316"/>
      <c r="N1737" s="1291"/>
      <c r="O1737" s="1291"/>
      <c r="P1737" s="1317"/>
      <c r="Q1737" s="1291"/>
    </row>
    <row r="1738">
      <c r="A1738" s="1160"/>
      <c r="B1738" s="1313"/>
      <c r="C1738" s="940"/>
      <c r="D1738" s="940"/>
      <c r="E1738" s="1291"/>
      <c r="F1738" s="1314"/>
      <c r="G1738" s="1315"/>
      <c r="H1738" s="1315"/>
      <c r="I1738" s="1315"/>
      <c r="J1738" s="1314"/>
      <c r="K1738" s="1314"/>
      <c r="L1738" s="1291"/>
      <c r="M1738" s="1316"/>
      <c r="N1738" s="1291"/>
      <c r="O1738" s="1291"/>
      <c r="P1738" s="1317"/>
      <c r="Q1738" s="1291"/>
    </row>
    <row r="1739">
      <c r="A1739" s="1160"/>
      <c r="B1739" s="1313"/>
      <c r="C1739" s="940"/>
      <c r="D1739" s="940"/>
      <c r="E1739" s="1291"/>
      <c r="F1739" s="1314"/>
      <c r="G1739" s="1315"/>
      <c r="H1739" s="1315"/>
      <c r="I1739" s="1315"/>
      <c r="J1739" s="1314"/>
      <c r="K1739" s="1314"/>
      <c r="L1739" s="1291"/>
      <c r="M1739" s="1316"/>
      <c r="N1739" s="1291"/>
      <c r="O1739" s="1291"/>
      <c r="P1739" s="1317"/>
      <c r="Q1739" s="1291"/>
    </row>
    <row r="1740">
      <c r="A1740" s="1160"/>
      <c r="B1740" s="1313"/>
      <c r="C1740" s="940"/>
      <c r="D1740" s="940"/>
      <c r="E1740" s="1291"/>
      <c r="F1740" s="1314"/>
      <c r="G1740" s="1315"/>
      <c r="H1740" s="1315"/>
      <c r="I1740" s="1315"/>
      <c r="J1740" s="1314"/>
      <c r="K1740" s="1314"/>
      <c r="L1740" s="1291"/>
      <c r="M1740" s="1316"/>
      <c r="N1740" s="1291"/>
      <c r="O1740" s="1291"/>
      <c r="P1740" s="1317"/>
      <c r="Q1740" s="1291"/>
    </row>
    <row r="1741">
      <c r="A1741" s="1160"/>
      <c r="B1741" s="1313"/>
      <c r="C1741" s="940"/>
      <c r="D1741" s="940"/>
      <c r="E1741" s="1291"/>
      <c r="F1741" s="1314"/>
      <c r="G1741" s="1315"/>
      <c r="H1741" s="1315"/>
      <c r="I1741" s="1315"/>
      <c r="J1741" s="1314"/>
      <c r="K1741" s="1314"/>
      <c r="L1741" s="1291"/>
      <c r="M1741" s="1316"/>
      <c r="N1741" s="1291"/>
      <c r="O1741" s="1291"/>
      <c r="P1741" s="1317"/>
      <c r="Q1741" s="1291"/>
    </row>
    <row r="1742">
      <c r="A1742" s="1160"/>
      <c r="B1742" s="1313"/>
      <c r="C1742" s="940"/>
      <c r="D1742" s="940"/>
      <c r="E1742" s="1291"/>
      <c r="F1742" s="1314"/>
      <c r="G1742" s="1315"/>
      <c r="H1742" s="1315"/>
      <c r="I1742" s="1315"/>
      <c r="J1742" s="1314"/>
      <c r="K1742" s="1314"/>
      <c r="L1742" s="1291"/>
      <c r="M1742" s="1316"/>
      <c r="N1742" s="1291"/>
      <c r="O1742" s="1291"/>
      <c r="P1742" s="1317"/>
      <c r="Q1742" s="1291"/>
    </row>
    <row r="1743">
      <c r="A1743" s="1160"/>
      <c r="B1743" s="1313"/>
      <c r="C1743" s="940"/>
      <c r="D1743" s="940"/>
      <c r="E1743" s="1291"/>
      <c r="F1743" s="1314"/>
      <c r="G1743" s="1315"/>
      <c r="H1743" s="1315"/>
      <c r="I1743" s="1315"/>
      <c r="J1743" s="1314"/>
      <c r="K1743" s="1314"/>
      <c r="L1743" s="1291"/>
      <c r="M1743" s="1316"/>
      <c r="N1743" s="1291"/>
      <c r="O1743" s="1291"/>
      <c r="P1743" s="1317"/>
      <c r="Q1743" s="1291"/>
    </row>
    <row r="1744">
      <c r="A1744" s="1160"/>
      <c r="B1744" s="1313"/>
      <c r="C1744" s="940"/>
      <c r="D1744" s="940"/>
      <c r="E1744" s="1291"/>
      <c r="F1744" s="1314"/>
      <c r="G1744" s="1315"/>
      <c r="H1744" s="1315"/>
      <c r="I1744" s="1315"/>
      <c r="J1744" s="1314"/>
      <c r="K1744" s="1314"/>
      <c r="L1744" s="1291"/>
      <c r="M1744" s="1316"/>
      <c r="N1744" s="1291"/>
      <c r="O1744" s="1291"/>
      <c r="P1744" s="1317"/>
      <c r="Q1744" s="1291"/>
    </row>
    <row r="1745">
      <c r="A1745" s="1160"/>
      <c r="B1745" s="1313"/>
      <c r="C1745" s="940"/>
      <c r="D1745" s="940"/>
      <c r="E1745" s="1291"/>
      <c r="F1745" s="1314"/>
      <c r="G1745" s="1315"/>
      <c r="H1745" s="1315"/>
      <c r="I1745" s="1315"/>
      <c r="J1745" s="1314"/>
      <c r="K1745" s="1314"/>
      <c r="L1745" s="1291"/>
      <c r="M1745" s="1316"/>
      <c r="N1745" s="1291"/>
      <c r="O1745" s="1291"/>
      <c r="P1745" s="1317"/>
      <c r="Q1745" s="1291"/>
    </row>
    <row r="1746">
      <c r="A1746" s="1160"/>
      <c r="B1746" s="1313"/>
      <c r="C1746" s="940"/>
      <c r="D1746" s="940"/>
      <c r="E1746" s="1291"/>
      <c r="F1746" s="1314"/>
      <c r="G1746" s="1315"/>
      <c r="H1746" s="1315"/>
      <c r="I1746" s="1315"/>
      <c r="J1746" s="1314"/>
      <c r="K1746" s="1314"/>
      <c r="L1746" s="1291"/>
      <c r="M1746" s="1316"/>
      <c r="N1746" s="1291"/>
      <c r="O1746" s="1291"/>
      <c r="P1746" s="1317"/>
      <c r="Q1746" s="1291"/>
    </row>
    <row r="1747">
      <c r="A1747" s="1160"/>
      <c r="B1747" s="1313"/>
      <c r="C1747" s="940"/>
      <c r="D1747" s="940"/>
      <c r="E1747" s="1291"/>
      <c r="F1747" s="1314"/>
      <c r="G1747" s="1315"/>
      <c r="H1747" s="1315"/>
      <c r="I1747" s="1315"/>
      <c r="J1747" s="1314"/>
      <c r="K1747" s="1314"/>
      <c r="L1747" s="1291"/>
      <c r="M1747" s="1316"/>
      <c r="N1747" s="1291"/>
      <c r="O1747" s="1291"/>
      <c r="P1747" s="1317"/>
      <c r="Q1747" s="1291"/>
    </row>
    <row r="1748">
      <c r="A1748" s="1160"/>
      <c r="B1748" s="1313"/>
      <c r="C1748" s="940"/>
      <c r="D1748" s="940"/>
      <c r="E1748" s="1291"/>
      <c r="F1748" s="1314"/>
      <c r="G1748" s="1315"/>
      <c r="H1748" s="1315"/>
      <c r="I1748" s="1315"/>
      <c r="J1748" s="1314"/>
      <c r="K1748" s="1314"/>
      <c r="L1748" s="1291"/>
      <c r="M1748" s="1316"/>
      <c r="N1748" s="1291"/>
      <c r="O1748" s="1291"/>
      <c r="P1748" s="1317"/>
      <c r="Q1748" s="1291"/>
    </row>
    <row r="1749">
      <c r="A1749" s="1160"/>
      <c r="B1749" s="1313"/>
      <c r="C1749" s="940"/>
      <c r="D1749" s="940"/>
      <c r="E1749" s="1291"/>
      <c r="F1749" s="1314"/>
      <c r="G1749" s="1315"/>
      <c r="H1749" s="1315"/>
      <c r="I1749" s="1315"/>
      <c r="J1749" s="1314"/>
      <c r="K1749" s="1314"/>
      <c r="L1749" s="1291"/>
      <c r="M1749" s="1316"/>
      <c r="N1749" s="1291"/>
      <c r="O1749" s="1291"/>
      <c r="P1749" s="1317"/>
      <c r="Q1749" s="1291"/>
    </row>
    <row r="1750">
      <c r="A1750" s="1160"/>
      <c r="B1750" s="1313"/>
      <c r="C1750" s="940"/>
      <c r="D1750" s="940"/>
      <c r="E1750" s="1291"/>
      <c r="F1750" s="1314"/>
      <c r="G1750" s="1315"/>
      <c r="H1750" s="1315"/>
      <c r="I1750" s="1315"/>
      <c r="J1750" s="1314"/>
      <c r="K1750" s="1314"/>
      <c r="L1750" s="1291"/>
      <c r="M1750" s="1316"/>
      <c r="N1750" s="1291"/>
      <c r="O1750" s="1291"/>
      <c r="P1750" s="1317"/>
      <c r="Q1750" s="1291"/>
    </row>
    <row r="1751">
      <c r="A1751" s="1160"/>
      <c r="B1751" s="1313"/>
      <c r="C1751" s="940"/>
      <c r="D1751" s="940"/>
      <c r="E1751" s="1291"/>
      <c r="F1751" s="1314"/>
      <c r="G1751" s="1315"/>
      <c r="H1751" s="1315"/>
      <c r="I1751" s="1315"/>
      <c r="J1751" s="1314"/>
      <c r="K1751" s="1314"/>
      <c r="L1751" s="1291"/>
      <c r="M1751" s="1316"/>
      <c r="N1751" s="1291"/>
      <c r="O1751" s="1291"/>
      <c r="P1751" s="1317"/>
      <c r="Q1751" s="1291"/>
    </row>
    <row r="1752">
      <c r="A1752" s="1160"/>
      <c r="B1752" s="1313"/>
      <c r="C1752" s="940"/>
      <c r="D1752" s="940"/>
      <c r="E1752" s="1291"/>
      <c r="F1752" s="1314"/>
      <c r="G1752" s="1315"/>
      <c r="H1752" s="1315"/>
      <c r="I1752" s="1315"/>
      <c r="J1752" s="1314"/>
      <c r="K1752" s="1314"/>
      <c r="L1752" s="1291"/>
      <c r="M1752" s="1316"/>
      <c r="N1752" s="1291"/>
      <c r="O1752" s="1291"/>
      <c r="P1752" s="1317"/>
      <c r="Q1752" s="1291"/>
    </row>
    <row r="1753">
      <c r="A1753" s="1160"/>
      <c r="B1753" s="1313"/>
      <c r="C1753" s="940"/>
      <c r="D1753" s="940"/>
      <c r="E1753" s="1291"/>
      <c r="F1753" s="1314"/>
      <c r="G1753" s="1315"/>
      <c r="H1753" s="1315"/>
      <c r="I1753" s="1315"/>
      <c r="J1753" s="1314"/>
      <c r="K1753" s="1314"/>
      <c r="L1753" s="1291"/>
      <c r="M1753" s="1316"/>
      <c r="N1753" s="1291"/>
      <c r="O1753" s="1291"/>
      <c r="P1753" s="1317"/>
      <c r="Q1753" s="1291"/>
    </row>
    <row r="1754">
      <c r="A1754" s="1160"/>
      <c r="B1754" s="1313"/>
      <c r="C1754" s="940"/>
      <c r="D1754" s="940"/>
      <c r="E1754" s="1291"/>
      <c r="F1754" s="1314"/>
      <c r="G1754" s="1315"/>
      <c r="H1754" s="1315"/>
      <c r="I1754" s="1315"/>
      <c r="J1754" s="1314"/>
      <c r="K1754" s="1314"/>
      <c r="L1754" s="1291"/>
      <c r="M1754" s="1316"/>
      <c r="N1754" s="1291"/>
      <c r="O1754" s="1291"/>
      <c r="P1754" s="1317"/>
      <c r="Q1754" s="1291"/>
    </row>
    <row r="1755">
      <c r="A1755" s="1160"/>
      <c r="B1755" s="1313"/>
      <c r="C1755" s="940"/>
      <c r="D1755" s="940"/>
      <c r="E1755" s="1291"/>
      <c r="F1755" s="1314"/>
      <c r="G1755" s="1315"/>
      <c r="H1755" s="1315"/>
      <c r="I1755" s="1315"/>
      <c r="J1755" s="1314"/>
      <c r="K1755" s="1314"/>
      <c r="L1755" s="1291"/>
      <c r="M1755" s="1316"/>
      <c r="N1755" s="1291"/>
      <c r="O1755" s="1291"/>
      <c r="P1755" s="1317"/>
      <c r="Q1755" s="1291"/>
    </row>
    <row r="1756">
      <c r="A1756" s="1160"/>
      <c r="B1756" s="1313"/>
      <c r="C1756" s="940"/>
      <c r="D1756" s="940"/>
      <c r="E1756" s="1291"/>
      <c r="F1756" s="1314"/>
      <c r="G1756" s="1315"/>
      <c r="H1756" s="1315"/>
      <c r="I1756" s="1315"/>
      <c r="J1756" s="1314"/>
      <c r="K1756" s="1314"/>
      <c r="L1756" s="1291"/>
      <c r="M1756" s="1316"/>
      <c r="N1756" s="1291"/>
      <c r="O1756" s="1291"/>
      <c r="P1756" s="1317"/>
      <c r="Q1756" s="1291"/>
    </row>
    <row r="1757">
      <c r="A1757" s="1160"/>
      <c r="B1757" s="1313"/>
      <c r="C1757" s="940"/>
      <c r="D1757" s="940"/>
      <c r="E1757" s="1291"/>
      <c r="F1757" s="1314"/>
      <c r="G1757" s="1315"/>
      <c r="H1757" s="1315"/>
      <c r="I1757" s="1315"/>
      <c r="J1757" s="1314"/>
      <c r="K1757" s="1314"/>
      <c r="L1757" s="1291"/>
      <c r="M1757" s="1316"/>
      <c r="N1757" s="1291"/>
      <c r="O1757" s="1291"/>
      <c r="P1757" s="1317"/>
      <c r="Q1757" s="1291"/>
    </row>
    <row r="1758">
      <c r="A1758" s="1160"/>
      <c r="B1758" s="1313"/>
      <c r="C1758" s="940"/>
      <c r="D1758" s="940"/>
      <c r="E1758" s="1291"/>
      <c r="F1758" s="1314"/>
      <c r="G1758" s="1315"/>
      <c r="H1758" s="1315"/>
      <c r="I1758" s="1315"/>
      <c r="J1758" s="1314"/>
      <c r="K1758" s="1314"/>
      <c r="L1758" s="1291"/>
      <c r="M1758" s="1316"/>
      <c r="N1758" s="1291"/>
      <c r="O1758" s="1291"/>
      <c r="P1758" s="1317"/>
      <c r="Q1758" s="1291"/>
    </row>
    <row r="1759">
      <c r="A1759" s="1160"/>
      <c r="B1759" s="1313"/>
      <c r="C1759" s="940"/>
      <c r="D1759" s="940"/>
      <c r="E1759" s="1291"/>
      <c r="F1759" s="1314"/>
      <c r="G1759" s="1315"/>
      <c r="H1759" s="1315"/>
      <c r="I1759" s="1315"/>
      <c r="J1759" s="1314"/>
      <c r="K1759" s="1314"/>
      <c r="L1759" s="1291"/>
      <c r="M1759" s="1316"/>
      <c r="N1759" s="1291"/>
      <c r="O1759" s="1291"/>
      <c r="P1759" s="1317"/>
      <c r="Q1759" s="1291"/>
    </row>
    <row r="1760">
      <c r="A1760" s="1160"/>
      <c r="B1760" s="1313"/>
      <c r="C1760" s="940"/>
      <c r="D1760" s="940"/>
      <c r="E1760" s="1291"/>
      <c r="F1760" s="1314"/>
      <c r="G1760" s="1315"/>
      <c r="H1760" s="1315"/>
      <c r="I1760" s="1315"/>
      <c r="J1760" s="1314"/>
      <c r="K1760" s="1314"/>
      <c r="L1760" s="1291"/>
      <c r="M1760" s="1316"/>
      <c r="N1760" s="1291"/>
      <c r="O1760" s="1291"/>
      <c r="P1760" s="1317"/>
      <c r="Q1760" s="1291"/>
    </row>
    <row r="1761">
      <c r="A1761" s="1160"/>
      <c r="B1761" s="1313"/>
      <c r="C1761" s="940"/>
      <c r="D1761" s="940"/>
      <c r="E1761" s="1291"/>
      <c r="F1761" s="1314"/>
      <c r="G1761" s="1315"/>
      <c r="H1761" s="1315"/>
      <c r="I1761" s="1315"/>
      <c r="J1761" s="1314"/>
      <c r="K1761" s="1314"/>
      <c r="L1761" s="1291"/>
      <c r="M1761" s="1316"/>
      <c r="N1761" s="1291"/>
      <c r="O1761" s="1291"/>
      <c r="P1761" s="1317"/>
      <c r="Q1761" s="1291"/>
    </row>
    <row r="1762">
      <c r="A1762" s="1160"/>
      <c r="B1762" s="1313"/>
      <c r="C1762" s="940"/>
      <c r="D1762" s="940"/>
      <c r="E1762" s="1291"/>
      <c r="F1762" s="1314"/>
      <c r="G1762" s="1315"/>
      <c r="H1762" s="1315"/>
      <c r="I1762" s="1315"/>
      <c r="J1762" s="1314"/>
      <c r="K1762" s="1314"/>
      <c r="L1762" s="1291"/>
      <c r="M1762" s="1316"/>
      <c r="N1762" s="1291"/>
      <c r="O1762" s="1291"/>
      <c r="P1762" s="1317"/>
      <c r="Q1762" s="1291"/>
    </row>
    <row r="1763">
      <c r="A1763" s="1160"/>
      <c r="B1763" s="1313"/>
      <c r="C1763" s="940"/>
      <c r="D1763" s="940"/>
      <c r="E1763" s="1291"/>
      <c r="F1763" s="1314"/>
      <c r="G1763" s="1315"/>
      <c r="H1763" s="1315"/>
      <c r="I1763" s="1315"/>
      <c r="J1763" s="1314"/>
      <c r="K1763" s="1314"/>
      <c r="L1763" s="1291"/>
      <c r="M1763" s="1316"/>
      <c r="N1763" s="1291"/>
      <c r="O1763" s="1291"/>
      <c r="P1763" s="1317"/>
      <c r="Q1763" s="1291"/>
    </row>
    <row r="1764">
      <c r="A1764" s="1160"/>
      <c r="B1764" s="1313"/>
      <c r="C1764" s="940"/>
      <c r="D1764" s="940"/>
      <c r="E1764" s="1291"/>
      <c r="F1764" s="1314"/>
      <c r="G1764" s="1315"/>
      <c r="H1764" s="1315"/>
      <c r="I1764" s="1315"/>
      <c r="J1764" s="1314"/>
      <c r="K1764" s="1314"/>
      <c r="L1764" s="1291"/>
      <c r="M1764" s="1316"/>
      <c r="N1764" s="1291"/>
      <c r="O1764" s="1291"/>
      <c r="P1764" s="1317"/>
      <c r="Q1764" s="1291"/>
    </row>
    <row r="1765">
      <c r="A1765" s="1160"/>
      <c r="B1765" s="1313"/>
      <c r="C1765" s="940"/>
      <c r="D1765" s="940"/>
      <c r="E1765" s="1291"/>
      <c r="F1765" s="1314"/>
      <c r="G1765" s="1315"/>
      <c r="H1765" s="1315"/>
      <c r="I1765" s="1315"/>
      <c r="J1765" s="1314"/>
      <c r="K1765" s="1314"/>
      <c r="L1765" s="1291"/>
      <c r="M1765" s="1316"/>
      <c r="N1765" s="1291"/>
      <c r="O1765" s="1291"/>
      <c r="P1765" s="1317"/>
      <c r="Q1765" s="1291"/>
    </row>
    <row r="1766">
      <c r="A1766" s="1160"/>
      <c r="B1766" s="1313"/>
      <c r="C1766" s="940"/>
      <c r="D1766" s="940"/>
      <c r="E1766" s="1291"/>
      <c r="F1766" s="1314"/>
      <c r="G1766" s="1315"/>
      <c r="H1766" s="1315"/>
      <c r="I1766" s="1315"/>
      <c r="J1766" s="1314"/>
      <c r="K1766" s="1314"/>
      <c r="L1766" s="1291"/>
      <c r="M1766" s="1316"/>
      <c r="N1766" s="1291"/>
      <c r="O1766" s="1291"/>
      <c r="P1766" s="1317"/>
      <c r="Q1766" s="1291"/>
    </row>
    <row r="1767">
      <c r="A1767" s="1160"/>
      <c r="B1767" s="1313"/>
      <c r="C1767" s="940"/>
      <c r="D1767" s="940"/>
      <c r="E1767" s="1291"/>
      <c r="F1767" s="1314"/>
      <c r="G1767" s="1315"/>
      <c r="H1767" s="1315"/>
      <c r="I1767" s="1315"/>
      <c r="J1767" s="1314"/>
      <c r="K1767" s="1314"/>
      <c r="L1767" s="1291"/>
      <c r="M1767" s="1316"/>
      <c r="N1767" s="1291"/>
      <c r="O1767" s="1291"/>
      <c r="P1767" s="1317"/>
      <c r="Q1767" s="1291"/>
    </row>
    <row r="1768">
      <c r="A1768" s="1160"/>
      <c r="B1768" s="1313"/>
      <c r="C1768" s="940"/>
      <c r="D1768" s="940"/>
      <c r="E1768" s="1291"/>
      <c r="F1768" s="1314"/>
      <c r="G1768" s="1315"/>
      <c r="H1768" s="1315"/>
      <c r="I1768" s="1315"/>
      <c r="J1768" s="1314"/>
      <c r="K1768" s="1314"/>
      <c r="L1768" s="1291"/>
      <c r="M1768" s="1316"/>
      <c r="N1768" s="1291"/>
      <c r="O1768" s="1291"/>
      <c r="P1768" s="1317"/>
      <c r="Q1768" s="1291"/>
    </row>
    <row r="1769">
      <c r="A1769" s="1160"/>
      <c r="B1769" s="1313"/>
      <c r="C1769" s="940"/>
      <c r="D1769" s="940"/>
      <c r="E1769" s="1291"/>
      <c r="F1769" s="1314"/>
      <c r="G1769" s="1315"/>
      <c r="H1769" s="1315"/>
      <c r="I1769" s="1315"/>
      <c r="J1769" s="1314"/>
      <c r="K1769" s="1314"/>
      <c r="L1769" s="1291"/>
      <c r="M1769" s="1316"/>
      <c r="N1769" s="1291"/>
      <c r="O1769" s="1291"/>
      <c r="P1769" s="1317"/>
      <c r="Q1769" s="1291"/>
    </row>
    <row r="1770">
      <c r="A1770" s="1160"/>
      <c r="B1770" s="1313"/>
      <c r="C1770" s="940"/>
      <c r="D1770" s="940"/>
      <c r="E1770" s="1291"/>
      <c r="F1770" s="1314"/>
      <c r="G1770" s="1315"/>
      <c r="H1770" s="1315"/>
      <c r="I1770" s="1315"/>
      <c r="J1770" s="1314"/>
      <c r="K1770" s="1314"/>
      <c r="L1770" s="1291"/>
      <c r="M1770" s="1316"/>
      <c r="N1770" s="1291"/>
      <c r="O1770" s="1291"/>
      <c r="P1770" s="1317"/>
      <c r="Q1770" s="1291"/>
    </row>
    <row r="1771">
      <c r="A1771" s="1160"/>
      <c r="B1771" s="1313"/>
      <c r="C1771" s="940"/>
      <c r="D1771" s="940"/>
      <c r="E1771" s="1291"/>
      <c r="F1771" s="1314"/>
      <c r="G1771" s="1315"/>
      <c r="H1771" s="1315"/>
      <c r="I1771" s="1315"/>
      <c r="J1771" s="1314"/>
      <c r="K1771" s="1314"/>
      <c r="L1771" s="1291"/>
      <c r="M1771" s="1316"/>
      <c r="N1771" s="1291"/>
      <c r="O1771" s="1291"/>
      <c r="P1771" s="1317"/>
      <c r="Q1771" s="1291"/>
    </row>
    <row r="1772">
      <c r="A1772" s="1160"/>
      <c r="B1772" s="1313"/>
      <c r="C1772" s="940"/>
      <c r="D1772" s="940"/>
      <c r="E1772" s="1291"/>
      <c r="F1772" s="1314"/>
      <c r="G1772" s="1315"/>
      <c r="H1772" s="1315"/>
      <c r="I1772" s="1315"/>
      <c r="J1772" s="1314"/>
      <c r="K1772" s="1314"/>
      <c r="L1772" s="1291"/>
      <c r="M1772" s="1316"/>
      <c r="N1772" s="1291"/>
      <c r="O1772" s="1291"/>
      <c r="P1772" s="1317"/>
      <c r="Q1772" s="1291"/>
    </row>
    <row r="1773">
      <c r="A1773" s="1160"/>
      <c r="B1773" s="1313"/>
      <c r="C1773" s="940"/>
      <c r="D1773" s="940"/>
      <c r="E1773" s="1291"/>
      <c r="F1773" s="1314"/>
      <c r="G1773" s="1315"/>
      <c r="H1773" s="1315"/>
      <c r="I1773" s="1315"/>
      <c r="J1773" s="1314"/>
      <c r="K1773" s="1314"/>
      <c r="L1773" s="1291"/>
      <c r="M1773" s="1316"/>
      <c r="N1773" s="1291"/>
      <c r="O1773" s="1291"/>
      <c r="P1773" s="1317"/>
      <c r="Q1773" s="1291"/>
    </row>
    <row r="1774">
      <c r="A1774" s="1160"/>
      <c r="B1774" s="1313"/>
      <c r="C1774" s="940"/>
      <c r="D1774" s="940"/>
      <c r="E1774" s="1291"/>
      <c r="F1774" s="1314"/>
      <c r="G1774" s="1315"/>
      <c r="H1774" s="1315"/>
      <c r="I1774" s="1315"/>
      <c r="J1774" s="1314"/>
      <c r="K1774" s="1314"/>
      <c r="L1774" s="1291"/>
      <c r="M1774" s="1316"/>
      <c r="N1774" s="1291"/>
      <c r="O1774" s="1291"/>
      <c r="P1774" s="1317"/>
      <c r="Q1774" s="1291"/>
    </row>
    <row r="1775">
      <c r="A1775" s="1160"/>
      <c r="B1775" s="1313"/>
      <c r="C1775" s="940"/>
      <c r="D1775" s="940"/>
      <c r="E1775" s="1291"/>
      <c r="F1775" s="1314"/>
      <c r="G1775" s="1315"/>
      <c r="H1775" s="1315"/>
      <c r="I1775" s="1315"/>
      <c r="J1775" s="1314"/>
      <c r="K1775" s="1314"/>
      <c r="L1775" s="1291"/>
      <c r="M1775" s="1316"/>
      <c r="N1775" s="1291"/>
      <c r="O1775" s="1291"/>
      <c r="P1775" s="1317"/>
      <c r="Q1775" s="1291"/>
    </row>
    <row r="1776">
      <c r="A1776" s="1160"/>
      <c r="B1776" s="1313"/>
      <c r="C1776" s="940"/>
      <c r="D1776" s="940"/>
      <c r="E1776" s="1291"/>
      <c r="F1776" s="1314"/>
      <c r="G1776" s="1315"/>
      <c r="H1776" s="1315"/>
      <c r="I1776" s="1315"/>
      <c r="J1776" s="1314"/>
      <c r="K1776" s="1314"/>
      <c r="L1776" s="1291"/>
      <c r="M1776" s="1316"/>
      <c r="N1776" s="1291"/>
      <c r="O1776" s="1291"/>
      <c r="P1776" s="1317"/>
      <c r="Q1776" s="1291"/>
    </row>
    <row r="1777">
      <c r="A1777" s="1160"/>
      <c r="B1777" s="1313"/>
      <c r="C1777" s="940"/>
      <c r="D1777" s="940"/>
      <c r="E1777" s="1291"/>
      <c r="F1777" s="1314"/>
      <c r="G1777" s="1315"/>
      <c r="H1777" s="1315"/>
      <c r="I1777" s="1315"/>
      <c r="J1777" s="1314"/>
      <c r="K1777" s="1314"/>
      <c r="L1777" s="1291"/>
      <c r="M1777" s="1316"/>
      <c r="N1777" s="1291"/>
      <c r="O1777" s="1291"/>
      <c r="P1777" s="1317"/>
      <c r="Q1777" s="1291"/>
    </row>
    <row r="1778">
      <c r="A1778" s="1160"/>
      <c r="B1778" s="1313"/>
      <c r="C1778" s="940"/>
      <c r="D1778" s="940"/>
      <c r="E1778" s="1291"/>
      <c r="F1778" s="1314"/>
      <c r="G1778" s="1315"/>
      <c r="H1778" s="1315"/>
      <c r="I1778" s="1315"/>
      <c r="J1778" s="1314"/>
      <c r="K1778" s="1314"/>
      <c r="L1778" s="1291"/>
      <c r="M1778" s="1316"/>
      <c r="N1778" s="1291"/>
      <c r="O1778" s="1291"/>
      <c r="P1778" s="1317"/>
      <c r="Q1778" s="1291"/>
    </row>
    <row r="1779">
      <c r="A1779" s="1160"/>
      <c r="B1779" s="1313"/>
      <c r="C1779" s="940"/>
      <c r="D1779" s="940"/>
      <c r="E1779" s="1291"/>
      <c r="F1779" s="1314"/>
      <c r="G1779" s="1315"/>
      <c r="H1779" s="1315"/>
      <c r="I1779" s="1315"/>
      <c r="J1779" s="1314"/>
      <c r="K1779" s="1314"/>
      <c r="L1779" s="1291"/>
      <c r="M1779" s="1316"/>
      <c r="N1779" s="1291"/>
      <c r="O1779" s="1291"/>
      <c r="P1779" s="1317"/>
      <c r="Q1779" s="1291"/>
    </row>
    <row r="1780">
      <c r="A1780" s="1160"/>
      <c r="B1780" s="1313"/>
      <c r="C1780" s="940"/>
      <c r="D1780" s="940"/>
      <c r="E1780" s="1291"/>
      <c r="F1780" s="1314"/>
      <c r="G1780" s="1315"/>
      <c r="H1780" s="1315"/>
      <c r="I1780" s="1315"/>
      <c r="J1780" s="1314"/>
      <c r="K1780" s="1314"/>
      <c r="L1780" s="1291"/>
      <c r="M1780" s="1316"/>
      <c r="N1780" s="1291"/>
      <c r="O1780" s="1291"/>
      <c r="P1780" s="1317"/>
      <c r="Q1780" s="1291"/>
    </row>
    <row r="1781">
      <c r="A1781" s="1160"/>
      <c r="B1781" s="1313"/>
      <c r="C1781" s="940"/>
      <c r="D1781" s="940"/>
      <c r="E1781" s="1291"/>
      <c r="F1781" s="1314"/>
      <c r="G1781" s="1315"/>
      <c r="H1781" s="1315"/>
      <c r="I1781" s="1315"/>
      <c r="J1781" s="1314"/>
      <c r="K1781" s="1314"/>
      <c r="L1781" s="1291"/>
      <c r="M1781" s="1316"/>
      <c r="N1781" s="1291"/>
      <c r="O1781" s="1291"/>
      <c r="P1781" s="1317"/>
      <c r="Q1781" s="1291"/>
    </row>
    <row r="1782">
      <c r="A1782" s="1160"/>
      <c r="B1782" s="1313"/>
      <c r="C1782" s="940"/>
      <c r="D1782" s="940"/>
      <c r="E1782" s="1291"/>
      <c r="F1782" s="1314"/>
      <c r="G1782" s="1315"/>
      <c r="H1782" s="1315"/>
      <c r="I1782" s="1315"/>
      <c r="J1782" s="1314"/>
      <c r="K1782" s="1314"/>
      <c r="L1782" s="1291"/>
      <c r="M1782" s="1316"/>
      <c r="N1782" s="1291"/>
      <c r="O1782" s="1291"/>
      <c r="P1782" s="1317"/>
      <c r="Q1782" s="1291"/>
    </row>
    <row r="1783">
      <c r="A1783" s="1160"/>
      <c r="B1783" s="1313"/>
      <c r="C1783" s="940"/>
      <c r="D1783" s="940"/>
      <c r="E1783" s="1291"/>
      <c r="F1783" s="1314"/>
      <c r="G1783" s="1315"/>
      <c r="H1783" s="1315"/>
      <c r="I1783" s="1315"/>
      <c r="J1783" s="1314"/>
      <c r="K1783" s="1314"/>
      <c r="L1783" s="1291"/>
      <c r="M1783" s="1316"/>
      <c r="N1783" s="1291"/>
      <c r="O1783" s="1291"/>
      <c r="P1783" s="1317"/>
      <c r="Q1783" s="1291"/>
    </row>
    <row r="1784">
      <c r="A1784" s="1160"/>
      <c r="B1784" s="1313"/>
      <c r="C1784" s="940"/>
      <c r="D1784" s="940"/>
      <c r="E1784" s="1291"/>
      <c r="F1784" s="1314"/>
      <c r="G1784" s="1315"/>
      <c r="H1784" s="1315"/>
      <c r="I1784" s="1315"/>
      <c r="J1784" s="1314"/>
      <c r="K1784" s="1314"/>
      <c r="L1784" s="1291"/>
      <c r="M1784" s="1316"/>
      <c r="N1784" s="1291"/>
      <c r="O1784" s="1291"/>
      <c r="P1784" s="1317"/>
      <c r="Q1784" s="1291"/>
    </row>
    <row r="1785">
      <c r="A1785" s="1160"/>
      <c r="B1785" s="1313"/>
      <c r="C1785" s="940"/>
      <c r="D1785" s="940"/>
      <c r="E1785" s="1291"/>
      <c r="F1785" s="1314"/>
      <c r="G1785" s="1315"/>
      <c r="H1785" s="1315"/>
      <c r="I1785" s="1315"/>
      <c r="J1785" s="1314"/>
      <c r="K1785" s="1314"/>
      <c r="L1785" s="1291"/>
      <c r="M1785" s="1316"/>
      <c r="N1785" s="1291"/>
      <c r="O1785" s="1291"/>
      <c r="P1785" s="1317"/>
      <c r="Q1785" s="1291"/>
    </row>
    <row r="1786">
      <c r="A1786" s="1160"/>
      <c r="B1786" s="1313"/>
      <c r="C1786" s="940"/>
      <c r="D1786" s="940"/>
      <c r="E1786" s="1291"/>
      <c r="F1786" s="1314"/>
      <c r="G1786" s="1315"/>
      <c r="H1786" s="1315"/>
      <c r="I1786" s="1315"/>
      <c r="J1786" s="1314"/>
      <c r="K1786" s="1314"/>
      <c r="L1786" s="1291"/>
      <c r="M1786" s="1316"/>
      <c r="N1786" s="1291"/>
      <c r="O1786" s="1291"/>
      <c r="P1786" s="1317"/>
      <c r="Q1786" s="1291"/>
    </row>
    <row r="1787">
      <c r="A1787" s="1160"/>
      <c r="B1787" s="1313"/>
      <c r="C1787" s="940"/>
      <c r="D1787" s="940"/>
      <c r="E1787" s="1291"/>
      <c r="F1787" s="1314"/>
      <c r="G1787" s="1315"/>
      <c r="H1787" s="1315"/>
      <c r="I1787" s="1315"/>
      <c r="J1787" s="1314"/>
      <c r="K1787" s="1314"/>
      <c r="L1787" s="1291"/>
      <c r="M1787" s="1316"/>
      <c r="N1787" s="1291"/>
      <c r="O1787" s="1291"/>
      <c r="P1787" s="1317"/>
      <c r="Q1787" s="1291"/>
    </row>
    <row r="1788">
      <c r="A1788" s="1160"/>
      <c r="B1788" s="1313"/>
      <c r="C1788" s="940"/>
      <c r="D1788" s="940"/>
      <c r="E1788" s="1291"/>
      <c r="F1788" s="1314"/>
      <c r="G1788" s="1315"/>
      <c r="H1788" s="1315"/>
      <c r="I1788" s="1315"/>
      <c r="J1788" s="1314"/>
      <c r="K1788" s="1314"/>
      <c r="L1788" s="1291"/>
      <c r="M1788" s="1316"/>
      <c r="N1788" s="1291"/>
      <c r="O1788" s="1291"/>
      <c r="P1788" s="1317"/>
      <c r="Q1788" s="1291"/>
    </row>
    <row r="1789">
      <c r="A1789" s="1160"/>
      <c r="B1789" s="1313"/>
      <c r="C1789" s="940"/>
      <c r="D1789" s="940"/>
      <c r="E1789" s="1291"/>
      <c r="F1789" s="1314"/>
      <c r="G1789" s="1315"/>
      <c r="H1789" s="1315"/>
      <c r="I1789" s="1315"/>
      <c r="J1789" s="1314"/>
      <c r="K1789" s="1314"/>
      <c r="L1789" s="1291"/>
      <c r="M1789" s="1316"/>
      <c r="N1789" s="1291"/>
      <c r="O1789" s="1291"/>
      <c r="P1789" s="1317"/>
      <c r="Q1789" s="1291"/>
    </row>
    <row r="1790">
      <c r="A1790" s="1160"/>
      <c r="B1790" s="1313"/>
      <c r="C1790" s="940"/>
      <c r="D1790" s="940"/>
      <c r="E1790" s="1291"/>
      <c r="F1790" s="1314"/>
      <c r="G1790" s="1315"/>
      <c r="H1790" s="1315"/>
      <c r="I1790" s="1315"/>
      <c r="J1790" s="1314"/>
      <c r="K1790" s="1314"/>
      <c r="L1790" s="1291"/>
      <c r="M1790" s="1316"/>
      <c r="N1790" s="1291"/>
      <c r="O1790" s="1291"/>
      <c r="P1790" s="1317"/>
      <c r="Q1790" s="1291"/>
    </row>
    <row r="1791">
      <c r="A1791" s="1160"/>
      <c r="B1791" s="1313"/>
      <c r="C1791" s="940"/>
      <c r="D1791" s="940"/>
      <c r="E1791" s="1291"/>
      <c r="F1791" s="1314"/>
      <c r="G1791" s="1315"/>
      <c r="H1791" s="1315"/>
      <c r="I1791" s="1315"/>
      <c r="J1791" s="1314"/>
      <c r="K1791" s="1314"/>
      <c r="L1791" s="1291"/>
      <c r="M1791" s="1316"/>
      <c r="N1791" s="1291"/>
      <c r="O1791" s="1291"/>
      <c r="P1791" s="1317"/>
      <c r="Q1791" s="1291"/>
    </row>
    <row r="1792">
      <c r="A1792" s="1160"/>
      <c r="B1792" s="1313"/>
      <c r="C1792" s="940"/>
      <c r="D1792" s="940"/>
      <c r="E1792" s="1291"/>
      <c r="F1792" s="1314"/>
      <c r="G1792" s="1315"/>
      <c r="H1792" s="1315"/>
      <c r="I1792" s="1315"/>
      <c r="J1792" s="1314"/>
      <c r="K1792" s="1314"/>
      <c r="L1792" s="1291"/>
      <c r="M1792" s="1316"/>
      <c r="N1792" s="1291"/>
      <c r="O1792" s="1291"/>
      <c r="P1792" s="1317"/>
      <c r="Q1792" s="1291"/>
    </row>
    <row r="1793">
      <c r="A1793" s="1160"/>
      <c r="B1793" s="1313"/>
      <c r="C1793" s="940"/>
      <c r="D1793" s="940"/>
      <c r="E1793" s="1291"/>
      <c r="F1793" s="1314"/>
      <c r="G1793" s="1315"/>
      <c r="H1793" s="1315"/>
      <c r="I1793" s="1315"/>
      <c r="J1793" s="1314"/>
      <c r="K1793" s="1314"/>
      <c r="L1793" s="1291"/>
      <c r="M1793" s="1316"/>
      <c r="N1793" s="1291"/>
      <c r="O1793" s="1291"/>
      <c r="P1793" s="1317"/>
      <c r="Q1793" s="1291"/>
    </row>
    <row r="1794">
      <c r="A1794" s="1160"/>
      <c r="B1794" s="1313"/>
      <c r="C1794" s="940"/>
      <c r="D1794" s="940"/>
      <c r="E1794" s="1291"/>
      <c r="F1794" s="1314"/>
      <c r="G1794" s="1315"/>
      <c r="H1794" s="1315"/>
      <c r="I1794" s="1315"/>
      <c r="J1794" s="1314"/>
      <c r="K1794" s="1314"/>
      <c r="L1794" s="1291"/>
      <c r="M1794" s="1316"/>
      <c r="N1794" s="1291"/>
      <c r="O1794" s="1291"/>
      <c r="P1794" s="1317"/>
      <c r="Q1794" s="1291"/>
    </row>
    <row r="1795">
      <c r="A1795" s="1160"/>
      <c r="B1795" s="1313"/>
      <c r="C1795" s="940"/>
      <c r="D1795" s="940"/>
      <c r="E1795" s="1291"/>
      <c r="F1795" s="1314"/>
      <c r="G1795" s="1315"/>
      <c r="H1795" s="1315"/>
      <c r="I1795" s="1315"/>
      <c r="J1795" s="1314"/>
      <c r="K1795" s="1314"/>
      <c r="L1795" s="1291"/>
      <c r="M1795" s="1316"/>
      <c r="N1795" s="1291"/>
      <c r="O1795" s="1291"/>
      <c r="P1795" s="1317"/>
      <c r="Q1795" s="1291"/>
    </row>
    <row r="1796">
      <c r="A1796" s="1160"/>
      <c r="B1796" s="1313"/>
      <c r="C1796" s="940"/>
      <c r="D1796" s="940"/>
      <c r="E1796" s="1291"/>
      <c r="F1796" s="1314"/>
      <c r="G1796" s="1315"/>
      <c r="H1796" s="1315"/>
      <c r="I1796" s="1315"/>
      <c r="J1796" s="1314"/>
      <c r="K1796" s="1314"/>
      <c r="L1796" s="1291"/>
      <c r="M1796" s="1316"/>
      <c r="N1796" s="1291"/>
      <c r="O1796" s="1291"/>
      <c r="P1796" s="1317"/>
      <c r="Q1796" s="1291"/>
    </row>
    <row r="1797">
      <c r="A1797" s="1160"/>
      <c r="B1797" s="1313"/>
      <c r="C1797" s="940"/>
      <c r="D1797" s="940"/>
      <c r="E1797" s="1291"/>
      <c r="F1797" s="1314"/>
      <c r="G1797" s="1315"/>
      <c r="H1797" s="1315"/>
      <c r="I1797" s="1315"/>
      <c r="J1797" s="1314"/>
      <c r="K1797" s="1314"/>
      <c r="L1797" s="1291"/>
      <c r="M1797" s="1316"/>
      <c r="N1797" s="1291"/>
      <c r="O1797" s="1291"/>
      <c r="P1797" s="1317"/>
      <c r="Q1797" s="1291"/>
    </row>
    <row r="1798">
      <c r="A1798" s="1160"/>
      <c r="B1798" s="1313"/>
      <c r="C1798" s="940"/>
      <c r="D1798" s="940"/>
      <c r="E1798" s="1291"/>
      <c r="F1798" s="1314"/>
      <c r="G1798" s="1315"/>
      <c r="H1798" s="1315"/>
      <c r="I1798" s="1315"/>
      <c r="J1798" s="1314"/>
      <c r="K1798" s="1314"/>
      <c r="L1798" s="1291"/>
      <c r="M1798" s="1316"/>
      <c r="N1798" s="1291"/>
      <c r="O1798" s="1291"/>
      <c r="P1798" s="1317"/>
      <c r="Q1798" s="1291"/>
    </row>
    <row r="1799">
      <c r="A1799" s="1160"/>
      <c r="B1799" s="1313"/>
      <c r="C1799" s="940"/>
      <c r="D1799" s="940"/>
      <c r="E1799" s="1291"/>
      <c r="F1799" s="1314"/>
      <c r="G1799" s="1315"/>
      <c r="H1799" s="1315"/>
      <c r="I1799" s="1315"/>
      <c r="J1799" s="1314"/>
      <c r="K1799" s="1314"/>
      <c r="L1799" s="1291"/>
      <c r="M1799" s="1316"/>
      <c r="N1799" s="1291"/>
      <c r="O1799" s="1291"/>
      <c r="P1799" s="1317"/>
      <c r="Q1799" s="1291"/>
    </row>
    <row r="1800">
      <c r="A1800" s="1160"/>
      <c r="B1800" s="1313"/>
      <c r="C1800" s="940"/>
      <c r="D1800" s="940"/>
      <c r="E1800" s="1291"/>
      <c r="F1800" s="1314"/>
      <c r="G1800" s="1315"/>
      <c r="H1800" s="1315"/>
      <c r="I1800" s="1315"/>
      <c r="J1800" s="1314"/>
      <c r="K1800" s="1314"/>
      <c r="L1800" s="1291"/>
      <c r="M1800" s="1316"/>
      <c r="N1800" s="1291"/>
      <c r="O1800" s="1291"/>
      <c r="P1800" s="1317"/>
      <c r="Q1800" s="1291"/>
    </row>
    <row r="1801">
      <c r="A1801" s="1160"/>
      <c r="B1801" s="1313"/>
      <c r="C1801" s="940"/>
      <c r="D1801" s="940"/>
      <c r="E1801" s="1291"/>
      <c r="F1801" s="1314"/>
      <c r="G1801" s="1315"/>
      <c r="H1801" s="1315"/>
      <c r="I1801" s="1315"/>
      <c r="J1801" s="1314"/>
      <c r="K1801" s="1314"/>
      <c r="L1801" s="1291"/>
      <c r="M1801" s="1316"/>
      <c r="N1801" s="1291"/>
      <c r="O1801" s="1291"/>
      <c r="P1801" s="1317"/>
      <c r="Q1801" s="1291"/>
    </row>
    <row r="1802">
      <c r="A1802" s="1160"/>
      <c r="B1802" s="1313"/>
      <c r="C1802" s="940"/>
      <c r="D1802" s="940"/>
      <c r="E1802" s="1291"/>
      <c r="F1802" s="1314"/>
      <c r="G1802" s="1315"/>
      <c r="H1802" s="1315"/>
      <c r="I1802" s="1315"/>
      <c r="J1802" s="1314"/>
      <c r="K1802" s="1314"/>
      <c r="L1802" s="1291"/>
      <c r="M1802" s="1316"/>
      <c r="N1802" s="1291"/>
      <c r="O1802" s="1291"/>
      <c r="P1802" s="1317"/>
      <c r="Q1802" s="1291"/>
    </row>
    <row r="1803">
      <c r="A1803" s="1160"/>
      <c r="B1803" s="1313"/>
      <c r="C1803" s="940"/>
      <c r="D1803" s="940"/>
      <c r="E1803" s="1291"/>
      <c r="F1803" s="1314"/>
      <c r="G1803" s="1315"/>
      <c r="H1803" s="1315"/>
      <c r="I1803" s="1315"/>
      <c r="J1803" s="1314"/>
      <c r="K1803" s="1314"/>
      <c r="L1803" s="1291"/>
      <c r="M1803" s="1316"/>
      <c r="N1803" s="1291"/>
      <c r="O1803" s="1291"/>
      <c r="P1803" s="1317"/>
      <c r="Q1803" s="1291"/>
    </row>
    <row r="1804">
      <c r="A1804" s="1160"/>
      <c r="B1804" s="1313"/>
      <c r="C1804" s="940"/>
      <c r="D1804" s="940"/>
      <c r="E1804" s="1291"/>
      <c r="F1804" s="1314"/>
      <c r="G1804" s="1315"/>
      <c r="H1804" s="1315"/>
      <c r="I1804" s="1315"/>
      <c r="J1804" s="1314"/>
      <c r="K1804" s="1314"/>
      <c r="L1804" s="1291"/>
      <c r="M1804" s="1316"/>
      <c r="N1804" s="1291"/>
      <c r="O1804" s="1291"/>
      <c r="P1804" s="1317"/>
      <c r="Q1804" s="1291"/>
    </row>
    <row r="1805">
      <c r="A1805" s="1160"/>
      <c r="B1805" s="1313"/>
      <c r="C1805" s="940"/>
      <c r="D1805" s="940"/>
      <c r="E1805" s="1291"/>
      <c r="F1805" s="1314"/>
      <c r="G1805" s="1315"/>
      <c r="H1805" s="1315"/>
      <c r="I1805" s="1315"/>
      <c r="J1805" s="1314"/>
      <c r="K1805" s="1314"/>
      <c r="L1805" s="1291"/>
      <c r="M1805" s="1316"/>
      <c r="N1805" s="1291"/>
      <c r="O1805" s="1291"/>
      <c r="P1805" s="1317"/>
      <c r="Q1805" s="1291"/>
    </row>
    <row r="1806">
      <c r="A1806" s="1160"/>
      <c r="B1806" s="1313"/>
      <c r="C1806" s="940"/>
      <c r="D1806" s="940"/>
      <c r="E1806" s="1291"/>
      <c r="F1806" s="1314"/>
      <c r="G1806" s="1315"/>
      <c r="H1806" s="1315"/>
      <c r="I1806" s="1315"/>
      <c r="J1806" s="1314"/>
      <c r="K1806" s="1314"/>
      <c r="L1806" s="1291"/>
      <c r="M1806" s="1316"/>
      <c r="N1806" s="1291"/>
      <c r="O1806" s="1291"/>
      <c r="P1806" s="1317"/>
      <c r="Q1806" s="1291"/>
    </row>
    <row r="1807">
      <c r="A1807" s="1160"/>
      <c r="B1807" s="1313"/>
      <c r="C1807" s="940"/>
      <c r="D1807" s="940"/>
      <c r="E1807" s="1291"/>
      <c r="F1807" s="1314"/>
      <c r="G1807" s="1315"/>
      <c r="H1807" s="1315"/>
      <c r="I1807" s="1315"/>
      <c r="J1807" s="1314"/>
      <c r="K1807" s="1314"/>
      <c r="L1807" s="1291"/>
      <c r="M1807" s="1316"/>
      <c r="N1807" s="1291"/>
      <c r="O1807" s="1291"/>
      <c r="P1807" s="1317"/>
      <c r="Q1807" s="1291"/>
    </row>
    <row r="1808">
      <c r="A1808" s="1160"/>
      <c r="B1808" s="1313"/>
      <c r="C1808" s="940"/>
      <c r="D1808" s="940"/>
      <c r="E1808" s="1291"/>
      <c r="F1808" s="1314"/>
      <c r="G1808" s="1315"/>
      <c r="H1808" s="1315"/>
      <c r="I1808" s="1315"/>
      <c r="J1808" s="1314"/>
      <c r="K1808" s="1314"/>
      <c r="L1808" s="1291"/>
      <c r="M1808" s="1316"/>
      <c r="N1808" s="1291"/>
      <c r="O1808" s="1291"/>
      <c r="P1808" s="1317"/>
      <c r="Q1808" s="1291"/>
    </row>
    <row r="1809">
      <c r="A1809" s="1160"/>
      <c r="B1809" s="1313"/>
      <c r="C1809" s="940"/>
      <c r="D1809" s="940"/>
      <c r="E1809" s="1291"/>
      <c r="F1809" s="1314"/>
      <c r="G1809" s="1315"/>
      <c r="H1809" s="1315"/>
      <c r="I1809" s="1315"/>
      <c r="J1809" s="1314"/>
      <c r="K1809" s="1314"/>
      <c r="L1809" s="1291"/>
      <c r="M1809" s="1316"/>
      <c r="N1809" s="1291"/>
      <c r="O1809" s="1291"/>
      <c r="P1809" s="1317"/>
      <c r="Q1809" s="1291"/>
    </row>
    <row r="1810">
      <c r="A1810" s="1160"/>
      <c r="B1810" s="1313"/>
      <c r="C1810" s="940"/>
      <c r="D1810" s="940"/>
      <c r="E1810" s="1291"/>
      <c r="F1810" s="1314"/>
      <c r="G1810" s="1315"/>
      <c r="H1810" s="1315"/>
      <c r="I1810" s="1315"/>
      <c r="J1810" s="1314"/>
      <c r="K1810" s="1314"/>
      <c r="L1810" s="1291"/>
      <c r="M1810" s="1316"/>
      <c r="N1810" s="1291"/>
      <c r="O1810" s="1291"/>
      <c r="P1810" s="1317"/>
      <c r="Q1810" s="1291"/>
    </row>
    <row r="1811">
      <c r="A1811" s="1160"/>
      <c r="B1811" s="1313"/>
      <c r="C1811" s="940"/>
      <c r="D1811" s="940"/>
      <c r="E1811" s="1291"/>
      <c r="F1811" s="1314"/>
      <c r="G1811" s="1315"/>
      <c r="H1811" s="1315"/>
      <c r="I1811" s="1315"/>
      <c r="J1811" s="1314"/>
      <c r="K1811" s="1314"/>
      <c r="L1811" s="1291"/>
      <c r="M1811" s="1316"/>
      <c r="N1811" s="1291"/>
      <c r="O1811" s="1291"/>
      <c r="P1811" s="1317"/>
      <c r="Q1811" s="1291"/>
    </row>
    <row r="1812">
      <c r="A1812" s="1160"/>
      <c r="B1812" s="1313"/>
      <c r="C1812" s="940"/>
      <c r="D1812" s="940"/>
      <c r="E1812" s="1291"/>
      <c r="F1812" s="1314"/>
      <c r="G1812" s="1315"/>
      <c r="H1812" s="1315"/>
      <c r="I1812" s="1315"/>
      <c r="J1812" s="1314"/>
      <c r="K1812" s="1314"/>
      <c r="L1812" s="1291"/>
      <c r="M1812" s="1316"/>
      <c r="N1812" s="1291"/>
      <c r="O1812" s="1291"/>
      <c r="P1812" s="1317"/>
      <c r="Q1812" s="1291"/>
    </row>
    <row r="1813">
      <c r="A1813" s="1160"/>
      <c r="B1813" s="1313"/>
      <c r="C1813" s="940"/>
      <c r="D1813" s="940"/>
      <c r="E1813" s="1291"/>
      <c r="F1813" s="1314"/>
      <c r="G1813" s="1315"/>
      <c r="H1813" s="1315"/>
      <c r="I1813" s="1315"/>
      <c r="J1813" s="1314"/>
      <c r="K1813" s="1314"/>
      <c r="L1813" s="1291"/>
      <c r="M1813" s="1316"/>
      <c r="N1813" s="1291"/>
      <c r="O1813" s="1291"/>
      <c r="P1813" s="1317"/>
      <c r="Q1813" s="1291"/>
    </row>
    <row r="1814">
      <c r="A1814" s="1160"/>
      <c r="B1814" s="1313"/>
      <c r="C1814" s="940"/>
      <c r="D1814" s="940"/>
      <c r="E1814" s="1291"/>
      <c r="F1814" s="1314"/>
      <c r="G1814" s="1315"/>
      <c r="H1814" s="1315"/>
      <c r="I1814" s="1315"/>
      <c r="J1814" s="1314"/>
      <c r="K1814" s="1314"/>
      <c r="L1814" s="1291"/>
      <c r="M1814" s="1316"/>
      <c r="N1814" s="1291"/>
      <c r="O1814" s="1291"/>
      <c r="P1814" s="1317"/>
      <c r="Q1814" s="1291"/>
    </row>
    <row r="1815">
      <c r="A1815" s="1160"/>
      <c r="B1815" s="1313"/>
      <c r="C1815" s="940"/>
      <c r="D1815" s="940"/>
      <c r="E1815" s="1291"/>
      <c r="F1815" s="1314"/>
      <c r="G1815" s="1315"/>
      <c r="H1815" s="1315"/>
      <c r="I1815" s="1315"/>
      <c r="J1815" s="1314"/>
      <c r="K1815" s="1314"/>
      <c r="L1815" s="1291"/>
      <c r="M1815" s="1316"/>
      <c r="N1815" s="1291"/>
      <c r="O1815" s="1291"/>
      <c r="P1815" s="1317"/>
      <c r="Q1815" s="1291"/>
    </row>
    <row r="1816">
      <c r="A1816" s="1160"/>
      <c r="B1816" s="1313"/>
      <c r="C1816" s="940"/>
      <c r="D1816" s="940"/>
      <c r="E1816" s="1291"/>
      <c r="F1816" s="1314"/>
      <c r="G1816" s="1315"/>
      <c r="H1816" s="1315"/>
      <c r="I1816" s="1315"/>
      <c r="J1816" s="1314"/>
      <c r="K1816" s="1314"/>
      <c r="L1816" s="1291"/>
      <c r="M1816" s="1316"/>
      <c r="N1816" s="1291"/>
      <c r="O1816" s="1291"/>
      <c r="P1816" s="1317"/>
      <c r="Q1816" s="1291"/>
    </row>
    <row r="1817">
      <c r="A1817" s="1160"/>
      <c r="B1817" s="1313"/>
      <c r="C1817" s="940"/>
      <c r="D1817" s="940"/>
      <c r="E1817" s="1291"/>
      <c r="F1817" s="1314"/>
      <c r="G1817" s="1315"/>
      <c r="H1817" s="1315"/>
      <c r="I1817" s="1315"/>
      <c r="J1817" s="1314"/>
      <c r="K1817" s="1314"/>
      <c r="L1817" s="1291"/>
      <c r="M1817" s="1316"/>
      <c r="N1817" s="1291"/>
      <c r="O1817" s="1291"/>
      <c r="P1817" s="1317"/>
      <c r="Q1817" s="1291"/>
    </row>
    <row r="1818">
      <c r="A1818" s="1160"/>
      <c r="B1818" s="1313"/>
      <c r="C1818" s="940"/>
      <c r="D1818" s="940"/>
      <c r="E1818" s="1291"/>
      <c r="F1818" s="1314"/>
      <c r="G1818" s="1315"/>
      <c r="H1818" s="1315"/>
      <c r="I1818" s="1315"/>
      <c r="J1818" s="1314"/>
      <c r="K1818" s="1314"/>
      <c r="L1818" s="1291"/>
      <c r="M1818" s="1316"/>
      <c r="N1818" s="1291"/>
      <c r="O1818" s="1291"/>
      <c r="P1818" s="1317"/>
      <c r="Q1818" s="1291"/>
    </row>
    <row r="1819">
      <c r="A1819" s="1160"/>
      <c r="B1819" s="1313"/>
      <c r="C1819" s="940"/>
      <c r="D1819" s="940"/>
      <c r="E1819" s="1291"/>
      <c r="F1819" s="1314"/>
      <c r="G1819" s="1315"/>
      <c r="H1819" s="1315"/>
      <c r="I1819" s="1315"/>
      <c r="J1819" s="1314"/>
      <c r="K1819" s="1314"/>
      <c r="L1819" s="1291"/>
      <c r="M1819" s="1316"/>
      <c r="N1819" s="1291"/>
      <c r="O1819" s="1291"/>
      <c r="P1819" s="1317"/>
      <c r="Q1819" s="1291"/>
    </row>
    <row r="1820">
      <c r="A1820" s="1160"/>
      <c r="B1820" s="1313"/>
      <c r="C1820" s="940"/>
      <c r="D1820" s="940"/>
      <c r="E1820" s="1291"/>
      <c r="F1820" s="1314"/>
      <c r="G1820" s="1315"/>
      <c r="H1820" s="1315"/>
      <c r="I1820" s="1315"/>
      <c r="J1820" s="1314"/>
      <c r="K1820" s="1314"/>
      <c r="L1820" s="1291"/>
      <c r="M1820" s="1316"/>
      <c r="N1820" s="1291"/>
      <c r="O1820" s="1291"/>
      <c r="P1820" s="1317"/>
      <c r="Q1820" s="1291"/>
    </row>
    <row r="1821">
      <c r="A1821" s="1160"/>
      <c r="B1821" s="1313"/>
      <c r="C1821" s="940"/>
      <c r="D1821" s="940"/>
      <c r="E1821" s="1291"/>
      <c r="F1821" s="1314"/>
      <c r="G1821" s="1315"/>
      <c r="H1821" s="1315"/>
      <c r="I1821" s="1315"/>
      <c r="J1821" s="1314"/>
      <c r="K1821" s="1314"/>
      <c r="L1821" s="1291"/>
      <c r="M1821" s="1316"/>
      <c r="N1821" s="1291"/>
      <c r="O1821" s="1291"/>
      <c r="P1821" s="1317"/>
      <c r="Q1821" s="1291"/>
    </row>
    <row r="1822">
      <c r="A1822" s="1160"/>
      <c r="B1822" s="1313"/>
      <c r="C1822" s="940"/>
      <c r="D1822" s="940"/>
      <c r="E1822" s="1291"/>
      <c r="F1822" s="1314"/>
      <c r="G1822" s="1315"/>
      <c r="H1822" s="1315"/>
      <c r="I1822" s="1315"/>
      <c r="J1822" s="1314"/>
      <c r="K1822" s="1314"/>
      <c r="L1822" s="1291"/>
      <c r="M1822" s="1316"/>
      <c r="N1822" s="1291"/>
      <c r="O1822" s="1291"/>
      <c r="P1822" s="1317"/>
      <c r="Q1822" s="1291"/>
    </row>
    <row r="1823">
      <c r="A1823" s="1160"/>
      <c r="B1823" s="1313"/>
      <c r="C1823" s="940"/>
      <c r="D1823" s="940"/>
      <c r="E1823" s="1291"/>
      <c r="F1823" s="1314"/>
      <c r="G1823" s="1315"/>
      <c r="H1823" s="1315"/>
      <c r="I1823" s="1315"/>
      <c r="J1823" s="1314"/>
      <c r="K1823" s="1314"/>
      <c r="L1823" s="1291"/>
      <c r="M1823" s="1316"/>
      <c r="N1823" s="1291"/>
      <c r="O1823" s="1291"/>
      <c r="P1823" s="1317"/>
      <c r="Q1823" s="1291"/>
    </row>
    <row r="1824">
      <c r="A1824" s="1160"/>
      <c r="B1824" s="1313"/>
      <c r="C1824" s="940"/>
      <c r="D1824" s="940"/>
      <c r="E1824" s="1291"/>
      <c r="F1824" s="1314"/>
      <c r="G1824" s="1315"/>
      <c r="H1824" s="1315"/>
      <c r="I1824" s="1315"/>
      <c r="J1824" s="1314"/>
      <c r="K1824" s="1314"/>
      <c r="L1824" s="1291"/>
      <c r="M1824" s="1316"/>
      <c r="N1824" s="1291"/>
      <c r="O1824" s="1291"/>
      <c r="P1824" s="1317"/>
      <c r="Q1824" s="1291"/>
    </row>
    <row r="1825">
      <c r="A1825" s="1160"/>
      <c r="B1825" s="1313"/>
      <c r="C1825" s="940"/>
      <c r="D1825" s="940"/>
      <c r="E1825" s="1291"/>
      <c r="F1825" s="1314"/>
      <c r="G1825" s="1315"/>
      <c r="H1825" s="1315"/>
      <c r="I1825" s="1315"/>
      <c r="J1825" s="1314"/>
      <c r="K1825" s="1314"/>
      <c r="L1825" s="1291"/>
      <c r="M1825" s="1316"/>
      <c r="N1825" s="1291"/>
      <c r="O1825" s="1291"/>
      <c r="P1825" s="1317"/>
      <c r="Q1825" s="1291"/>
    </row>
    <row r="1826">
      <c r="A1826" s="1160"/>
      <c r="B1826" s="1313"/>
      <c r="C1826" s="940"/>
      <c r="D1826" s="940"/>
      <c r="E1826" s="1291"/>
      <c r="F1826" s="1314"/>
      <c r="G1826" s="1315"/>
      <c r="H1826" s="1315"/>
      <c r="I1826" s="1315"/>
      <c r="J1826" s="1314"/>
      <c r="K1826" s="1314"/>
      <c r="L1826" s="1291"/>
      <c r="M1826" s="1316"/>
      <c r="N1826" s="1291"/>
      <c r="O1826" s="1291"/>
      <c r="P1826" s="1317"/>
      <c r="Q1826" s="1291"/>
    </row>
    <row r="1827">
      <c r="A1827" s="1160"/>
      <c r="B1827" s="1313"/>
      <c r="C1827" s="940"/>
      <c r="D1827" s="940"/>
      <c r="E1827" s="1291"/>
      <c r="F1827" s="1314"/>
      <c r="G1827" s="1315"/>
      <c r="H1827" s="1315"/>
      <c r="I1827" s="1315"/>
      <c r="J1827" s="1314"/>
      <c r="K1827" s="1314"/>
      <c r="L1827" s="1291"/>
      <c r="M1827" s="1316"/>
      <c r="N1827" s="1291"/>
      <c r="O1827" s="1291"/>
      <c r="P1827" s="1317"/>
      <c r="Q1827" s="1291"/>
    </row>
    <row r="1828">
      <c r="A1828" s="1160"/>
      <c r="B1828" s="1313"/>
      <c r="C1828" s="940"/>
      <c r="D1828" s="940"/>
      <c r="E1828" s="1291"/>
      <c r="F1828" s="1314"/>
      <c r="G1828" s="1315"/>
      <c r="H1828" s="1315"/>
      <c r="I1828" s="1315"/>
      <c r="J1828" s="1314"/>
      <c r="K1828" s="1314"/>
      <c r="L1828" s="1291"/>
      <c r="M1828" s="1316"/>
      <c r="N1828" s="1291"/>
      <c r="O1828" s="1291"/>
      <c r="P1828" s="1317"/>
      <c r="Q1828" s="1291"/>
    </row>
    <row r="1829">
      <c r="A1829" s="1160"/>
      <c r="B1829" s="1313"/>
      <c r="C1829" s="940"/>
      <c r="D1829" s="940"/>
      <c r="E1829" s="1291"/>
      <c r="F1829" s="1314"/>
      <c r="G1829" s="1315"/>
      <c r="H1829" s="1315"/>
      <c r="I1829" s="1315"/>
      <c r="J1829" s="1314"/>
      <c r="K1829" s="1314"/>
      <c r="L1829" s="1291"/>
      <c r="M1829" s="1316"/>
      <c r="N1829" s="1291"/>
      <c r="O1829" s="1291"/>
      <c r="P1829" s="1317"/>
      <c r="Q1829" s="1291"/>
    </row>
    <row r="1830">
      <c r="A1830" s="1160"/>
      <c r="B1830" s="1313"/>
      <c r="C1830" s="940"/>
      <c r="D1830" s="940"/>
      <c r="E1830" s="1291"/>
      <c r="F1830" s="1314"/>
      <c r="G1830" s="1315"/>
      <c r="H1830" s="1315"/>
      <c r="I1830" s="1315"/>
      <c r="J1830" s="1314"/>
      <c r="K1830" s="1314"/>
      <c r="L1830" s="1291"/>
      <c r="M1830" s="1316"/>
      <c r="N1830" s="1291"/>
      <c r="O1830" s="1291"/>
      <c r="P1830" s="1317"/>
      <c r="Q1830" s="1291"/>
    </row>
    <row r="1831">
      <c r="A1831" s="1160"/>
      <c r="B1831" s="1313"/>
      <c r="C1831" s="940"/>
      <c r="D1831" s="940"/>
      <c r="E1831" s="1291"/>
      <c r="F1831" s="1314"/>
      <c r="G1831" s="1315"/>
      <c r="H1831" s="1315"/>
      <c r="I1831" s="1315"/>
      <c r="J1831" s="1314"/>
      <c r="K1831" s="1314"/>
      <c r="L1831" s="1291"/>
      <c r="M1831" s="1316"/>
      <c r="N1831" s="1291"/>
      <c r="O1831" s="1291"/>
      <c r="P1831" s="1317"/>
      <c r="Q1831" s="1291"/>
    </row>
    <row r="1832">
      <c r="A1832" s="1160"/>
      <c r="B1832" s="1313"/>
      <c r="C1832" s="940"/>
      <c r="D1832" s="940"/>
      <c r="E1832" s="1291"/>
      <c r="F1832" s="1314"/>
      <c r="G1832" s="1315"/>
      <c r="H1832" s="1315"/>
      <c r="I1832" s="1315"/>
      <c r="J1832" s="1314"/>
      <c r="K1832" s="1314"/>
      <c r="L1832" s="1291"/>
      <c r="M1832" s="1316"/>
      <c r="N1832" s="1291"/>
      <c r="O1832" s="1291"/>
      <c r="P1832" s="1317"/>
      <c r="Q1832" s="1291"/>
    </row>
    <row r="1833">
      <c r="A1833" s="1160"/>
      <c r="B1833" s="1313"/>
      <c r="C1833" s="940"/>
      <c r="D1833" s="940"/>
      <c r="E1833" s="1291"/>
      <c r="F1833" s="1314"/>
      <c r="G1833" s="1315"/>
      <c r="H1833" s="1315"/>
      <c r="I1833" s="1315"/>
      <c r="J1833" s="1314"/>
      <c r="K1833" s="1314"/>
      <c r="L1833" s="1291"/>
      <c r="M1833" s="1316"/>
      <c r="N1833" s="1291"/>
      <c r="O1833" s="1291"/>
      <c r="P1833" s="1317"/>
      <c r="Q1833" s="1291"/>
    </row>
    <row r="1834">
      <c r="A1834" s="1160"/>
      <c r="B1834" s="1313"/>
      <c r="C1834" s="940"/>
      <c r="D1834" s="940"/>
      <c r="E1834" s="1291"/>
      <c r="F1834" s="1314"/>
      <c r="G1834" s="1315"/>
      <c r="H1834" s="1315"/>
      <c r="I1834" s="1315"/>
      <c r="J1834" s="1314"/>
      <c r="K1834" s="1314"/>
      <c r="L1834" s="1291"/>
      <c r="M1834" s="1316"/>
      <c r="N1834" s="1291"/>
      <c r="O1834" s="1291"/>
      <c r="P1834" s="1317"/>
      <c r="Q1834" s="1291"/>
    </row>
    <row r="1835">
      <c r="A1835" s="1160"/>
      <c r="B1835" s="1313"/>
      <c r="C1835" s="940"/>
      <c r="D1835" s="940"/>
      <c r="E1835" s="1291"/>
      <c r="F1835" s="1314"/>
      <c r="G1835" s="1315"/>
      <c r="H1835" s="1315"/>
      <c r="I1835" s="1315"/>
      <c r="J1835" s="1314"/>
      <c r="K1835" s="1314"/>
      <c r="L1835" s="1291"/>
      <c r="M1835" s="1316"/>
      <c r="N1835" s="1291"/>
      <c r="O1835" s="1291"/>
      <c r="P1835" s="1317"/>
      <c r="Q1835" s="1291"/>
    </row>
    <row r="1836">
      <c r="A1836" s="1160"/>
      <c r="B1836" s="1313"/>
      <c r="C1836" s="940"/>
      <c r="D1836" s="940"/>
      <c r="E1836" s="1291"/>
      <c r="F1836" s="1314"/>
      <c r="G1836" s="1315"/>
      <c r="H1836" s="1315"/>
      <c r="I1836" s="1315"/>
      <c r="J1836" s="1314"/>
      <c r="K1836" s="1314"/>
      <c r="L1836" s="1291"/>
      <c r="M1836" s="1316"/>
      <c r="N1836" s="1291"/>
      <c r="O1836" s="1291"/>
      <c r="P1836" s="1317"/>
      <c r="Q1836" s="1291"/>
    </row>
    <row r="1837">
      <c r="A1837" s="1160"/>
      <c r="B1837" s="1313"/>
      <c r="C1837" s="940"/>
      <c r="D1837" s="940"/>
      <c r="E1837" s="1291"/>
      <c r="F1837" s="1314"/>
      <c r="G1837" s="1315"/>
      <c r="H1837" s="1315"/>
      <c r="I1837" s="1315"/>
      <c r="J1837" s="1314"/>
      <c r="K1837" s="1314"/>
      <c r="L1837" s="1291"/>
      <c r="M1837" s="1316"/>
      <c r="N1837" s="1291"/>
      <c r="O1837" s="1291"/>
      <c r="P1837" s="1317"/>
      <c r="Q1837" s="1291"/>
    </row>
    <row r="1838">
      <c r="A1838" s="1160"/>
      <c r="B1838" s="1313"/>
      <c r="C1838" s="940"/>
      <c r="D1838" s="940"/>
      <c r="E1838" s="1291"/>
      <c r="F1838" s="1314"/>
      <c r="G1838" s="1315"/>
      <c r="H1838" s="1315"/>
      <c r="I1838" s="1315"/>
      <c r="J1838" s="1314"/>
      <c r="K1838" s="1314"/>
      <c r="L1838" s="1291"/>
      <c r="M1838" s="1316"/>
      <c r="N1838" s="1291"/>
      <c r="O1838" s="1291"/>
      <c r="P1838" s="1317"/>
      <c r="Q1838" s="1291"/>
    </row>
    <row r="1839">
      <c r="A1839" s="1160"/>
      <c r="B1839" s="1313"/>
      <c r="C1839" s="940"/>
      <c r="D1839" s="940"/>
      <c r="E1839" s="1291"/>
      <c r="F1839" s="1314"/>
      <c r="G1839" s="1315"/>
      <c r="H1839" s="1315"/>
      <c r="I1839" s="1315"/>
      <c r="J1839" s="1314"/>
      <c r="K1839" s="1314"/>
      <c r="L1839" s="1291"/>
      <c r="M1839" s="1316"/>
      <c r="N1839" s="1291"/>
      <c r="O1839" s="1291"/>
      <c r="P1839" s="1317"/>
      <c r="Q1839" s="1291"/>
    </row>
    <row r="1840">
      <c r="A1840" s="1160"/>
      <c r="B1840" s="1313"/>
      <c r="C1840" s="940"/>
      <c r="D1840" s="940"/>
      <c r="E1840" s="1291"/>
      <c r="F1840" s="1314"/>
      <c r="G1840" s="1315"/>
      <c r="H1840" s="1315"/>
      <c r="I1840" s="1315"/>
      <c r="J1840" s="1314"/>
      <c r="K1840" s="1314"/>
      <c r="L1840" s="1291"/>
      <c r="M1840" s="1316"/>
      <c r="N1840" s="1291"/>
      <c r="O1840" s="1291"/>
      <c r="P1840" s="1317"/>
      <c r="Q1840" s="1291"/>
    </row>
    <row r="1841">
      <c r="A1841" s="1160"/>
      <c r="B1841" s="1313"/>
      <c r="C1841" s="940"/>
      <c r="D1841" s="940"/>
      <c r="E1841" s="1291"/>
      <c r="F1841" s="1314"/>
      <c r="G1841" s="1315"/>
      <c r="H1841" s="1315"/>
      <c r="I1841" s="1315"/>
      <c r="J1841" s="1314"/>
      <c r="K1841" s="1314"/>
      <c r="L1841" s="1291"/>
      <c r="M1841" s="1316"/>
      <c r="N1841" s="1291"/>
      <c r="O1841" s="1291"/>
      <c r="P1841" s="1317"/>
      <c r="Q1841" s="1291"/>
    </row>
    <row r="1842">
      <c r="A1842" s="1160"/>
      <c r="B1842" s="1313"/>
      <c r="C1842" s="940"/>
      <c r="D1842" s="940"/>
      <c r="E1842" s="1291"/>
      <c r="F1842" s="1314"/>
      <c r="G1842" s="1315"/>
      <c r="H1842" s="1315"/>
      <c r="I1842" s="1315"/>
      <c r="J1842" s="1314"/>
      <c r="K1842" s="1314"/>
      <c r="L1842" s="1291"/>
      <c r="M1842" s="1316"/>
      <c r="N1842" s="1291"/>
      <c r="O1842" s="1291"/>
      <c r="P1842" s="1317"/>
      <c r="Q1842" s="1291"/>
    </row>
    <row r="1843">
      <c r="A1843" s="1160"/>
      <c r="B1843" s="1313"/>
      <c r="C1843" s="940"/>
      <c r="D1843" s="940"/>
      <c r="E1843" s="1291"/>
      <c r="F1843" s="1314"/>
      <c r="G1843" s="1315"/>
      <c r="H1843" s="1315"/>
      <c r="I1843" s="1315"/>
      <c r="J1843" s="1314"/>
      <c r="K1843" s="1314"/>
      <c r="L1843" s="1291"/>
      <c r="M1843" s="1316"/>
      <c r="N1843" s="1291"/>
      <c r="O1843" s="1291"/>
      <c r="P1843" s="1317"/>
      <c r="Q1843" s="1291"/>
    </row>
    <row r="1844">
      <c r="A1844" s="1160"/>
      <c r="B1844" s="1313"/>
      <c r="C1844" s="940"/>
      <c r="D1844" s="940"/>
      <c r="E1844" s="1291"/>
      <c r="F1844" s="1314"/>
      <c r="G1844" s="1315"/>
      <c r="H1844" s="1315"/>
      <c r="I1844" s="1315"/>
      <c r="J1844" s="1314"/>
      <c r="K1844" s="1314"/>
      <c r="L1844" s="1291"/>
      <c r="M1844" s="1316"/>
      <c r="N1844" s="1291"/>
      <c r="O1844" s="1291"/>
      <c r="P1844" s="1317"/>
      <c r="Q1844" s="1291"/>
    </row>
    <row r="1845">
      <c r="A1845" s="1160"/>
      <c r="B1845" s="1313"/>
      <c r="C1845" s="940"/>
      <c r="D1845" s="940"/>
      <c r="E1845" s="1291"/>
      <c r="F1845" s="1314"/>
      <c r="G1845" s="1315"/>
      <c r="H1845" s="1315"/>
      <c r="I1845" s="1315"/>
      <c r="J1845" s="1314"/>
      <c r="K1845" s="1314"/>
      <c r="L1845" s="1291"/>
      <c r="M1845" s="1316"/>
      <c r="N1845" s="1291"/>
      <c r="O1845" s="1291"/>
      <c r="P1845" s="1317"/>
      <c r="Q1845" s="1291"/>
    </row>
    <row r="1846">
      <c r="A1846" s="1160"/>
      <c r="B1846" s="1313"/>
      <c r="C1846" s="940"/>
      <c r="D1846" s="940"/>
      <c r="E1846" s="1291"/>
      <c r="F1846" s="1314"/>
      <c r="G1846" s="1315"/>
      <c r="H1846" s="1315"/>
      <c r="I1846" s="1315"/>
      <c r="J1846" s="1314"/>
      <c r="K1846" s="1314"/>
      <c r="L1846" s="1291"/>
      <c r="M1846" s="1316"/>
      <c r="N1846" s="1291"/>
      <c r="O1846" s="1291"/>
      <c r="P1846" s="1317"/>
      <c r="Q1846" s="1291"/>
    </row>
    <row r="1847">
      <c r="A1847" s="1160"/>
      <c r="B1847" s="1313"/>
      <c r="C1847" s="940"/>
      <c r="D1847" s="940"/>
      <c r="E1847" s="1291"/>
      <c r="F1847" s="1314"/>
      <c r="G1847" s="1315"/>
      <c r="H1847" s="1315"/>
      <c r="I1847" s="1315"/>
      <c r="J1847" s="1314"/>
      <c r="K1847" s="1314"/>
      <c r="L1847" s="1291"/>
      <c r="M1847" s="1316"/>
      <c r="N1847" s="1291"/>
      <c r="O1847" s="1291"/>
      <c r="P1847" s="1317"/>
      <c r="Q1847" s="1291"/>
    </row>
    <row r="1848">
      <c r="A1848" s="1160"/>
      <c r="B1848" s="1313"/>
      <c r="C1848" s="940"/>
      <c r="D1848" s="940"/>
      <c r="E1848" s="1291"/>
      <c r="F1848" s="1314"/>
      <c r="G1848" s="1315"/>
      <c r="H1848" s="1315"/>
      <c r="I1848" s="1315"/>
      <c r="J1848" s="1314"/>
      <c r="K1848" s="1314"/>
      <c r="L1848" s="1291"/>
      <c r="M1848" s="1316"/>
      <c r="N1848" s="1291"/>
      <c r="O1848" s="1291"/>
      <c r="P1848" s="1317"/>
      <c r="Q1848" s="1291"/>
    </row>
    <row r="1849">
      <c r="A1849" s="1160"/>
      <c r="B1849" s="1313"/>
      <c r="C1849" s="940"/>
      <c r="D1849" s="940"/>
      <c r="E1849" s="1291"/>
      <c r="F1849" s="1314"/>
      <c r="G1849" s="1315"/>
      <c r="H1849" s="1315"/>
      <c r="I1849" s="1315"/>
      <c r="J1849" s="1314"/>
      <c r="K1849" s="1314"/>
      <c r="L1849" s="1291"/>
      <c r="M1849" s="1316"/>
      <c r="N1849" s="1291"/>
      <c r="O1849" s="1291"/>
      <c r="P1849" s="1317"/>
      <c r="Q1849" s="1291"/>
    </row>
    <row r="1850">
      <c r="A1850" s="1160"/>
      <c r="B1850" s="1313"/>
      <c r="C1850" s="940"/>
      <c r="D1850" s="940"/>
      <c r="E1850" s="1291"/>
      <c r="F1850" s="1314"/>
      <c r="G1850" s="1315"/>
      <c r="H1850" s="1315"/>
      <c r="I1850" s="1315"/>
      <c r="J1850" s="1314"/>
      <c r="K1850" s="1314"/>
      <c r="L1850" s="1291"/>
      <c r="M1850" s="1316"/>
      <c r="N1850" s="1291"/>
      <c r="O1850" s="1291"/>
      <c r="P1850" s="1317"/>
      <c r="Q1850" s="1291"/>
    </row>
    <row r="1851">
      <c r="A1851" s="1160"/>
      <c r="B1851" s="1313"/>
      <c r="C1851" s="940"/>
      <c r="D1851" s="940"/>
      <c r="E1851" s="1291"/>
      <c r="F1851" s="1314"/>
      <c r="G1851" s="1315"/>
      <c r="H1851" s="1315"/>
      <c r="I1851" s="1315"/>
      <c r="J1851" s="1314"/>
      <c r="K1851" s="1314"/>
      <c r="L1851" s="1291"/>
      <c r="M1851" s="1316"/>
      <c r="N1851" s="1291"/>
      <c r="O1851" s="1291"/>
      <c r="P1851" s="1317"/>
      <c r="Q1851" s="1291"/>
    </row>
    <row r="1852">
      <c r="A1852" s="1160"/>
      <c r="B1852" s="1313"/>
      <c r="C1852" s="940"/>
      <c r="D1852" s="940"/>
      <c r="E1852" s="1291"/>
      <c r="F1852" s="1314"/>
      <c r="G1852" s="1315"/>
      <c r="H1852" s="1315"/>
      <c r="I1852" s="1315"/>
      <c r="J1852" s="1314"/>
      <c r="K1852" s="1314"/>
      <c r="L1852" s="1291"/>
      <c r="M1852" s="1316"/>
      <c r="N1852" s="1291"/>
      <c r="O1852" s="1291"/>
      <c r="P1852" s="1317"/>
      <c r="Q1852" s="1291"/>
    </row>
    <row r="1853">
      <c r="A1853" s="1160"/>
      <c r="B1853" s="1313"/>
      <c r="C1853" s="940"/>
      <c r="D1853" s="940"/>
      <c r="E1853" s="1291"/>
      <c r="F1853" s="1314"/>
      <c r="G1853" s="1315"/>
      <c r="H1853" s="1315"/>
      <c r="I1853" s="1315"/>
      <c r="J1853" s="1314"/>
      <c r="K1853" s="1314"/>
      <c r="L1853" s="1291"/>
      <c r="M1853" s="1316"/>
      <c r="N1853" s="1291"/>
      <c r="O1853" s="1291"/>
      <c r="P1853" s="1317"/>
      <c r="Q1853" s="1291"/>
    </row>
    <row r="1854">
      <c r="A1854" s="1160"/>
      <c r="B1854" s="1313"/>
      <c r="C1854" s="940"/>
      <c r="D1854" s="940"/>
      <c r="E1854" s="1291"/>
      <c r="F1854" s="1314"/>
      <c r="G1854" s="1315"/>
      <c r="H1854" s="1315"/>
      <c r="I1854" s="1315"/>
      <c r="J1854" s="1314"/>
      <c r="K1854" s="1314"/>
      <c r="L1854" s="1291"/>
      <c r="M1854" s="1316"/>
      <c r="N1854" s="1291"/>
      <c r="O1854" s="1291"/>
      <c r="P1854" s="1317"/>
      <c r="Q1854" s="1291"/>
    </row>
    <row r="1855">
      <c r="A1855" s="1160"/>
      <c r="B1855" s="1313"/>
      <c r="C1855" s="940"/>
      <c r="D1855" s="940"/>
      <c r="E1855" s="1291"/>
      <c r="F1855" s="1314"/>
      <c r="G1855" s="1315"/>
      <c r="H1855" s="1315"/>
      <c r="I1855" s="1315"/>
      <c r="J1855" s="1314"/>
      <c r="K1855" s="1314"/>
      <c r="L1855" s="1291"/>
      <c r="M1855" s="1316"/>
      <c r="N1855" s="1291"/>
      <c r="O1855" s="1291"/>
      <c r="P1855" s="1317"/>
      <c r="Q1855" s="1291"/>
    </row>
    <row r="1856">
      <c r="A1856" s="1160"/>
      <c r="B1856" s="1313"/>
      <c r="C1856" s="940"/>
      <c r="D1856" s="940"/>
      <c r="E1856" s="1291"/>
      <c r="F1856" s="1314"/>
      <c r="G1856" s="1315"/>
      <c r="H1856" s="1315"/>
      <c r="I1856" s="1315"/>
      <c r="J1856" s="1314"/>
      <c r="K1856" s="1314"/>
      <c r="L1856" s="1291"/>
      <c r="M1856" s="1316"/>
      <c r="N1856" s="1291"/>
      <c r="O1856" s="1291"/>
      <c r="P1856" s="1317"/>
      <c r="Q1856" s="1291"/>
    </row>
    <row r="1857">
      <c r="A1857" s="1160"/>
      <c r="B1857" s="1313"/>
      <c r="C1857" s="940"/>
      <c r="D1857" s="940"/>
      <c r="E1857" s="1291"/>
      <c r="F1857" s="1314"/>
      <c r="G1857" s="1315"/>
      <c r="H1857" s="1315"/>
      <c r="I1857" s="1315"/>
      <c r="J1857" s="1314"/>
      <c r="K1857" s="1314"/>
      <c r="L1857" s="1291"/>
      <c r="M1857" s="1316"/>
      <c r="N1857" s="1291"/>
      <c r="O1857" s="1291"/>
      <c r="P1857" s="1317"/>
      <c r="Q1857" s="1291"/>
    </row>
    <row r="1858">
      <c r="A1858" s="1160"/>
      <c r="B1858" s="1313"/>
      <c r="C1858" s="940"/>
      <c r="D1858" s="940"/>
      <c r="E1858" s="1291"/>
      <c r="F1858" s="1314"/>
      <c r="G1858" s="1315"/>
      <c r="H1858" s="1315"/>
      <c r="I1858" s="1315"/>
      <c r="J1858" s="1314"/>
      <c r="K1858" s="1314"/>
      <c r="L1858" s="1291"/>
      <c r="M1858" s="1316"/>
      <c r="N1858" s="1291"/>
      <c r="O1858" s="1291"/>
      <c r="P1858" s="1317"/>
      <c r="Q1858" s="1291"/>
    </row>
    <row r="1859">
      <c r="A1859" s="1160"/>
      <c r="B1859" s="1313"/>
      <c r="C1859" s="940"/>
      <c r="D1859" s="940"/>
      <c r="E1859" s="1291"/>
      <c r="F1859" s="1314"/>
      <c r="G1859" s="1315"/>
      <c r="H1859" s="1315"/>
      <c r="I1859" s="1315"/>
      <c r="J1859" s="1314"/>
      <c r="K1859" s="1314"/>
      <c r="L1859" s="1291"/>
      <c r="M1859" s="1316"/>
      <c r="N1859" s="1291"/>
      <c r="O1859" s="1291"/>
      <c r="P1859" s="1317"/>
      <c r="Q1859" s="1291"/>
    </row>
    <row r="1860">
      <c r="A1860" s="1160"/>
      <c r="B1860" s="1313"/>
      <c r="C1860" s="940"/>
      <c r="D1860" s="940"/>
      <c r="E1860" s="1291"/>
      <c r="F1860" s="1314"/>
      <c r="G1860" s="1315"/>
      <c r="H1860" s="1315"/>
      <c r="I1860" s="1315"/>
      <c r="J1860" s="1314"/>
      <c r="K1860" s="1314"/>
      <c r="L1860" s="1291"/>
      <c r="M1860" s="1316"/>
      <c r="N1860" s="1291"/>
      <c r="O1860" s="1291"/>
      <c r="P1860" s="1317"/>
      <c r="Q1860" s="1291"/>
    </row>
    <row r="1861">
      <c r="A1861" s="1160"/>
      <c r="B1861" s="1313"/>
      <c r="C1861" s="940"/>
      <c r="D1861" s="940"/>
      <c r="E1861" s="1291"/>
      <c r="F1861" s="1314"/>
      <c r="G1861" s="1315"/>
      <c r="H1861" s="1315"/>
      <c r="I1861" s="1315"/>
      <c r="J1861" s="1314"/>
      <c r="K1861" s="1314"/>
      <c r="L1861" s="1291"/>
      <c r="M1861" s="1316"/>
      <c r="N1861" s="1291"/>
      <c r="O1861" s="1291"/>
      <c r="P1861" s="1317"/>
      <c r="Q1861" s="1291"/>
    </row>
    <row r="1862">
      <c r="A1862" s="1160"/>
      <c r="B1862" s="1313"/>
      <c r="C1862" s="940"/>
      <c r="D1862" s="940"/>
      <c r="E1862" s="1291"/>
      <c r="F1862" s="1314"/>
      <c r="G1862" s="1315"/>
      <c r="H1862" s="1315"/>
      <c r="I1862" s="1315"/>
      <c r="J1862" s="1314"/>
      <c r="K1862" s="1314"/>
      <c r="L1862" s="1291"/>
      <c r="M1862" s="1316"/>
      <c r="N1862" s="1291"/>
      <c r="O1862" s="1291"/>
      <c r="P1862" s="1317"/>
      <c r="Q1862" s="1291"/>
    </row>
    <row r="1863">
      <c r="A1863" s="1160"/>
      <c r="B1863" s="1313"/>
      <c r="C1863" s="940"/>
      <c r="D1863" s="940"/>
      <c r="E1863" s="1291"/>
      <c r="F1863" s="1314"/>
      <c r="G1863" s="1315"/>
      <c r="H1863" s="1315"/>
      <c r="I1863" s="1315"/>
      <c r="J1863" s="1314"/>
      <c r="K1863" s="1314"/>
      <c r="L1863" s="1291"/>
      <c r="M1863" s="1316"/>
      <c r="N1863" s="1291"/>
      <c r="O1863" s="1291"/>
      <c r="P1863" s="1317"/>
      <c r="Q1863" s="1291"/>
    </row>
    <row r="1864">
      <c r="A1864" s="1160"/>
      <c r="B1864" s="1313"/>
      <c r="C1864" s="940"/>
      <c r="D1864" s="940"/>
      <c r="E1864" s="1291"/>
      <c r="F1864" s="1314"/>
      <c r="G1864" s="1315"/>
      <c r="H1864" s="1315"/>
      <c r="I1864" s="1315"/>
      <c r="J1864" s="1314"/>
      <c r="K1864" s="1314"/>
      <c r="L1864" s="1291"/>
      <c r="M1864" s="1316"/>
      <c r="N1864" s="1291"/>
      <c r="O1864" s="1291"/>
      <c r="P1864" s="1317"/>
      <c r="Q1864" s="1291"/>
    </row>
    <row r="1865">
      <c r="A1865" s="1160"/>
      <c r="B1865" s="1313"/>
      <c r="C1865" s="940"/>
      <c r="D1865" s="940"/>
      <c r="E1865" s="1291"/>
      <c r="F1865" s="1314"/>
      <c r="G1865" s="1315"/>
      <c r="H1865" s="1315"/>
      <c r="I1865" s="1315"/>
      <c r="J1865" s="1314"/>
      <c r="K1865" s="1314"/>
      <c r="L1865" s="1291"/>
      <c r="M1865" s="1316"/>
      <c r="N1865" s="1291"/>
      <c r="O1865" s="1291"/>
      <c r="P1865" s="1317"/>
      <c r="Q1865" s="1291"/>
    </row>
    <row r="1866">
      <c r="A1866" s="1160"/>
      <c r="B1866" s="1313"/>
      <c r="C1866" s="940"/>
      <c r="D1866" s="940"/>
      <c r="E1866" s="1291"/>
      <c r="F1866" s="1314"/>
      <c r="G1866" s="1315"/>
      <c r="H1866" s="1315"/>
      <c r="I1866" s="1315"/>
      <c r="J1866" s="1314"/>
      <c r="K1866" s="1314"/>
      <c r="L1866" s="1291"/>
      <c r="M1866" s="1316"/>
      <c r="N1866" s="1291"/>
      <c r="O1866" s="1291"/>
      <c r="P1866" s="1317"/>
      <c r="Q1866" s="1291"/>
    </row>
    <row r="1867">
      <c r="A1867" s="1160"/>
      <c r="B1867" s="1313"/>
      <c r="C1867" s="940"/>
      <c r="D1867" s="940"/>
      <c r="E1867" s="1291"/>
      <c r="F1867" s="1314"/>
      <c r="G1867" s="1315"/>
      <c r="H1867" s="1315"/>
      <c r="I1867" s="1315"/>
      <c r="J1867" s="1314"/>
      <c r="K1867" s="1314"/>
      <c r="L1867" s="1291"/>
      <c r="M1867" s="1316"/>
      <c r="N1867" s="1291"/>
      <c r="O1867" s="1291"/>
      <c r="P1867" s="1317"/>
      <c r="Q1867" s="1291"/>
    </row>
    <row r="1868">
      <c r="A1868" s="1160"/>
      <c r="B1868" s="1313"/>
      <c r="C1868" s="940"/>
      <c r="D1868" s="940"/>
      <c r="E1868" s="1291"/>
      <c r="F1868" s="1314"/>
      <c r="G1868" s="1315"/>
      <c r="H1868" s="1315"/>
      <c r="I1868" s="1315"/>
      <c r="J1868" s="1314"/>
      <c r="K1868" s="1314"/>
      <c r="L1868" s="1291"/>
      <c r="M1868" s="1316"/>
      <c r="N1868" s="1291"/>
      <c r="O1868" s="1291"/>
      <c r="P1868" s="1317"/>
      <c r="Q1868" s="1291"/>
    </row>
    <row r="1869">
      <c r="A1869" s="1160"/>
      <c r="B1869" s="1313"/>
      <c r="C1869" s="940"/>
      <c r="D1869" s="940"/>
      <c r="E1869" s="1291"/>
      <c r="F1869" s="1314"/>
      <c r="G1869" s="1315"/>
      <c r="H1869" s="1315"/>
      <c r="I1869" s="1315"/>
      <c r="J1869" s="1314"/>
      <c r="K1869" s="1314"/>
      <c r="L1869" s="1291"/>
      <c r="M1869" s="1316"/>
      <c r="N1869" s="1291"/>
      <c r="O1869" s="1291"/>
      <c r="P1869" s="1317"/>
      <c r="Q1869" s="1291"/>
    </row>
    <row r="1870">
      <c r="A1870" s="1160"/>
      <c r="B1870" s="1313"/>
      <c r="C1870" s="940"/>
      <c r="D1870" s="940"/>
      <c r="E1870" s="1291"/>
      <c r="F1870" s="1314"/>
      <c r="G1870" s="1315"/>
      <c r="H1870" s="1315"/>
      <c r="I1870" s="1315"/>
      <c r="J1870" s="1314"/>
      <c r="K1870" s="1314"/>
      <c r="L1870" s="1291"/>
      <c r="M1870" s="1316"/>
      <c r="N1870" s="1291"/>
      <c r="O1870" s="1291"/>
      <c r="P1870" s="1317"/>
      <c r="Q1870" s="1291"/>
    </row>
    <row r="1871">
      <c r="A1871" s="1160"/>
      <c r="B1871" s="1313"/>
      <c r="C1871" s="940"/>
      <c r="D1871" s="940"/>
      <c r="E1871" s="1291"/>
      <c r="F1871" s="1314"/>
      <c r="G1871" s="1315"/>
      <c r="H1871" s="1315"/>
      <c r="I1871" s="1315"/>
      <c r="J1871" s="1314"/>
      <c r="K1871" s="1314"/>
      <c r="L1871" s="1291"/>
      <c r="M1871" s="1316"/>
      <c r="N1871" s="1291"/>
      <c r="O1871" s="1291"/>
      <c r="P1871" s="1317"/>
      <c r="Q1871" s="1291"/>
    </row>
    <row r="1872">
      <c r="A1872" s="1160"/>
      <c r="B1872" s="1313"/>
      <c r="C1872" s="940"/>
      <c r="D1872" s="940"/>
      <c r="E1872" s="1291"/>
      <c r="F1872" s="1314"/>
      <c r="G1872" s="1315"/>
      <c r="H1872" s="1315"/>
      <c r="I1872" s="1315"/>
      <c r="J1872" s="1314"/>
      <c r="K1872" s="1314"/>
      <c r="L1872" s="1291"/>
      <c r="M1872" s="1316"/>
      <c r="N1872" s="1291"/>
      <c r="O1872" s="1291"/>
      <c r="P1872" s="1317"/>
      <c r="Q1872" s="1291"/>
    </row>
    <row r="1873">
      <c r="A1873" s="1160"/>
      <c r="B1873" s="1313"/>
      <c r="C1873" s="940"/>
      <c r="D1873" s="940"/>
      <c r="E1873" s="1291"/>
      <c r="F1873" s="1314"/>
      <c r="G1873" s="1315"/>
      <c r="H1873" s="1315"/>
      <c r="I1873" s="1315"/>
      <c r="J1873" s="1314"/>
      <c r="K1873" s="1314"/>
      <c r="L1873" s="1291"/>
      <c r="M1873" s="1316"/>
      <c r="N1873" s="1291"/>
      <c r="O1873" s="1291"/>
      <c r="P1873" s="1317"/>
      <c r="Q1873" s="1291"/>
    </row>
    <row r="1874">
      <c r="A1874" s="1160"/>
      <c r="B1874" s="1313"/>
      <c r="C1874" s="940"/>
      <c r="D1874" s="940"/>
      <c r="E1874" s="1291"/>
      <c r="F1874" s="1314"/>
      <c r="G1874" s="1315"/>
      <c r="H1874" s="1315"/>
      <c r="I1874" s="1315"/>
      <c r="J1874" s="1314"/>
      <c r="K1874" s="1314"/>
      <c r="L1874" s="1291"/>
      <c r="M1874" s="1316"/>
      <c r="N1874" s="1291"/>
      <c r="O1874" s="1291"/>
      <c r="P1874" s="1317"/>
      <c r="Q1874" s="1291"/>
    </row>
    <row r="1875">
      <c r="A1875" s="1160"/>
      <c r="B1875" s="1313"/>
      <c r="C1875" s="940"/>
      <c r="D1875" s="940"/>
      <c r="E1875" s="1291"/>
      <c r="F1875" s="1314"/>
      <c r="G1875" s="1315"/>
      <c r="H1875" s="1315"/>
      <c r="I1875" s="1315"/>
      <c r="J1875" s="1314"/>
      <c r="K1875" s="1314"/>
      <c r="L1875" s="1291"/>
      <c r="M1875" s="1316"/>
      <c r="N1875" s="1291"/>
      <c r="O1875" s="1291"/>
      <c r="P1875" s="1317"/>
      <c r="Q1875" s="1291"/>
    </row>
    <row r="1876">
      <c r="A1876" s="1160"/>
      <c r="B1876" s="1313"/>
      <c r="C1876" s="940"/>
      <c r="D1876" s="940"/>
      <c r="E1876" s="1291"/>
      <c r="F1876" s="1314"/>
      <c r="G1876" s="1315"/>
      <c r="H1876" s="1315"/>
      <c r="I1876" s="1315"/>
      <c r="J1876" s="1314"/>
      <c r="K1876" s="1314"/>
      <c r="L1876" s="1291"/>
      <c r="M1876" s="1316"/>
      <c r="N1876" s="1291"/>
      <c r="O1876" s="1291"/>
      <c r="P1876" s="1317"/>
      <c r="Q1876" s="1291"/>
    </row>
    <row r="1877">
      <c r="A1877" s="1160"/>
      <c r="B1877" s="1313"/>
      <c r="C1877" s="940"/>
      <c r="D1877" s="940"/>
      <c r="E1877" s="1291"/>
      <c r="F1877" s="1314"/>
      <c r="G1877" s="1315"/>
      <c r="H1877" s="1315"/>
      <c r="I1877" s="1315"/>
      <c r="J1877" s="1314"/>
      <c r="K1877" s="1314"/>
      <c r="L1877" s="1291"/>
      <c r="M1877" s="1316"/>
      <c r="N1877" s="1291"/>
      <c r="O1877" s="1291"/>
      <c r="P1877" s="1317"/>
      <c r="Q1877" s="1291"/>
    </row>
    <row r="1878">
      <c r="A1878" s="1160"/>
      <c r="B1878" s="1313"/>
      <c r="C1878" s="940"/>
      <c r="D1878" s="940"/>
      <c r="E1878" s="1291"/>
      <c r="F1878" s="1314"/>
      <c r="G1878" s="1315"/>
      <c r="H1878" s="1315"/>
      <c r="I1878" s="1315"/>
      <c r="J1878" s="1314"/>
      <c r="K1878" s="1314"/>
      <c r="L1878" s="1291"/>
      <c r="M1878" s="1316"/>
      <c r="N1878" s="1291"/>
      <c r="O1878" s="1291"/>
      <c r="P1878" s="1317"/>
      <c r="Q1878" s="1291"/>
    </row>
    <row r="1879">
      <c r="A1879" s="1160"/>
      <c r="B1879" s="1313"/>
      <c r="C1879" s="940"/>
      <c r="D1879" s="940"/>
      <c r="E1879" s="1291"/>
      <c r="F1879" s="1314"/>
      <c r="G1879" s="1315"/>
      <c r="H1879" s="1315"/>
      <c r="I1879" s="1315"/>
      <c r="J1879" s="1314"/>
      <c r="K1879" s="1314"/>
      <c r="L1879" s="1291"/>
      <c r="M1879" s="1316"/>
      <c r="N1879" s="1291"/>
      <c r="O1879" s="1291"/>
      <c r="P1879" s="1317"/>
      <c r="Q1879" s="1291"/>
    </row>
    <row r="1880">
      <c r="A1880" s="1160"/>
      <c r="B1880" s="1313"/>
      <c r="C1880" s="940"/>
      <c r="D1880" s="940"/>
      <c r="E1880" s="1291"/>
      <c r="F1880" s="1314"/>
      <c r="G1880" s="1315"/>
      <c r="H1880" s="1315"/>
      <c r="I1880" s="1315"/>
      <c r="J1880" s="1314"/>
      <c r="K1880" s="1314"/>
      <c r="L1880" s="1291"/>
      <c r="M1880" s="1316"/>
      <c r="N1880" s="1291"/>
      <c r="O1880" s="1291"/>
      <c r="P1880" s="1317"/>
      <c r="Q1880" s="1291"/>
    </row>
    <row r="1881">
      <c r="A1881" s="1160"/>
      <c r="B1881" s="1313"/>
      <c r="C1881" s="940"/>
      <c r="D1881" s="940"/>
      <c r="E1881" s="1291"/>
      <c r="F1881" s="1314"/>
      <c r="G1881" s="1315"/>
      <c r="H1881" s="1315"/>
      <c r="I1881" s="1315"/>
      <c r="J1881" s="1314"/>
      <c r="K1881" s="1314"/>
      <c r="L1881" s="1291"/>
      <c r="M1881" s="1316"/>
      <c r="N1881" s="1291"/>
      <c r="O1881" s="1291"/>
      <c r="P1881" s="1317"/>
      <c r="Q1881" s="1291"/>
    </row>
    <row r="1882">
      <c r="A1882" s="1160"/>
      <c r="B1882" s="1313"/>
      <c r="C1882" s="940"/>
      <c r="D1882" s="940"/>
      <c r="E1882" s="1291"/>
      <c r="F1882" s="1314"/>
      <c r="G1882" s="1315"/>
      <c r="H1882" s="1315"/>
      <c r="I1882" s="1315"/>
      <c r="J1882" s="1314"/>
      <c r="K1882" s="1314"/>
      <c r="L1882" s="1291"/>
      <c r="M1882" s="1316"/>
      <c r="N1882" s="1291"/>
      <c r="O1882" s="1291"/>
      <c r="P1882" s="1317"/>
      <c r="Q1882" s="1291"/>
    </row>
    <row r="1883">
      <c r="A1883" s="1160"/>
      <c r="B1883" s="1313"/>
      <c r="C1883" s="940"/>
      <c r="D1883" s="940"/>
      <c r="E1883" s="1291"/>
      <c r="F1883" s="1314"/>
      <c r="G1883" s="1315"/>
      <c r="H1883" s="1315"/>
      <c r="I1883" s="1315"/>
      <c r="J1883" s="1314"/>
      <c r="K1883" s="1314"/>
      <c r="L1883" s="1291"/>
      <c r="M1883" s="1316"/>
      <c r="N1883" s="1291"/>
      <c r="O1883" s="1291"/>
      <c r="P1883" s="1317"/>
      <c r="Q1883" s="1291"/>
    </row>
    <row r="1884">
      <c r="A1884" s="1160"/>
      <c r="B1884" s="1313"/>
      <c r="C1884" s="940"/>
      <c r="D1884" s="940"/>
      <c r="E1884" s="1291"/>
      <c r="F1884" s="1314"/>
      <c r="G1884" s="1315"/>
      <c r="H1884" s="1315"/>
      <c r="I1884" s="1315"/>
      <c r="J1884" s="1314"/>
      <c r="K1884" s="1314"/>
      <c r="L1884" s="1291"/>
      <c r="M1884" s="1316"/>
      <c r="N1884" s="1291"/>
      <c r="O1884" s="1291"/>
      <c r="P1884" s="1317"/>
      <c r="Q1884" s="1291"/>
    </row>
    <row r="1885">
      <c r="A1885" s="1160"/>
      <c r="B1885" s="1313"/>
      <c r="C1885" s="940"/>
      <c r="D1885" s="940"/>
      <c r="E1885" s="1291"/>
      <c r="F1885" s="1314"/>
      <c r="G1885" s="1315"/>
      <c r="H1885" s="1315"/>
      <c r="I1885" s="1315"/>
      <c r="J1885" s="1314"/>
      <c r="K1885" s="1314"/>
      <c r="L1885" s="1291"/>
      <c r="M1885" s="1316"/>
      <c r="N1885" s="1291"/>
      <c r="O1885" s="1291"/>
      <c r="P1885" s="1317"/>
      <c r="Q1885" s="1291"/>
    </row>
    <row r="1886">
      <c r="A1886" s="1160"/>
      <c r="B1886" s="1313"/>
      <c r="C1886" s="940"/>
      <c r="D1886" s="940"/>
      <c r="E1886" s="1291"/>
      <c r="F1886" s="1314"/>
      <c r="G1886" s="1315"/>
      <c r="H1886" s="1315"/>
      <c r="I1886" s="1315"/>
      <c r="J1886" s="1314"/>
      <c r="K1886" s="1314"/>
      <c r="L1886" s="1291"/>
      <c r="M1886" s="1316"/>
      <c r="N1886" s="1291"/>
      <c r="O1886" s="1291"/>
      <c r="P1886" s="1317"/>
      <c r="Q1886" s="1291"/>
    </row>
    <row r="1887">
      <c r="A1887" s="1160"/>
      <c r="B1887" s="1313"/>
      <c r="C1887" s="940"/>
      <c r="D1887" s="940"/>
      <c r="E1887" s="1291"/>
      <c r="F1887" s="1314"/>
      <c r="G1887" s="1315"/>
      <c r="H1887" s="1315"/>
      <c r="I1887" s="1315"/>
      <c r="J1887" s="1314"/>
      <c r="K1887" s="1314"/>
      <c r="L1887" s="1291"/>
      <c r="M1887" s="1316"/>
      <c r="N1887" s="1291"/>
      <c r="O1887" s="1291"/>
      <c r="P1887" s="1317"/>
      <c r="Q1887" s="1291"/>
    </row>
    <row r="1888">
      <c r="A1888" s="1160"/>
      <c r="B1888" s="1313"/>
      <c r="C1888" s="940"/>
      <c r="D1888" s="940"/>
      <c r="E1888" s="1291"/>
      <c r="F1888" s="1314"/>
      <c r="G1888" s="1315"/>
      <c r="H1888" s="1315"/>
      <c r="I1888" s="1315"/>
      <c r="J1888" s="1314"/>
      <c r="K1888" s="1314"/>
      <c r="L1888" s="1291"/>
      <c r="M1888" s="1316"/>
      <c r="N1888" s="1291"/>
      <c r="O1888" s="1291"/>
      <c r="P1888" s="1317"/>
      <c r="Q1888" s="1291"/>
    </row>
    <row r="1889">
      <c r="A1889" s="1160"/>
      <c r="B1889" s="1313"/>
      <c r="C1889" s="940"/>
      <c r="D1889" s="940"/>
      <c r="E1889" s="1291"/>
      <c r="F1889" s="1314"/>
      <c r="G1889" s="1315"/>
      <c r="H1889" s="1315"/>
      <c r="I1889" s="1315"/>
      <c r="J1889" s="1314"/>
      <c r="K1889" s="1314"/>
      <c r="L1889" s="1291"/>
      <c r="M1889" s="1316"/>
      <c r="N1889" s="1291"/>
      <c r="O1889" s="1291"/>
      <c r="P1889" s="1317"/>
      <c r="Q1889" s="1291"/>
    </row>
    <row r="1890">
      <c r="A1890" s="1160"/>
      <c r="B1890" s="1313"/>
      <c r="C1890" s="940"/>
      <c r="D1890" s="940"/>
      <c r="E1890" s="1291"/>
      <c r="F1890" s="1314"/>
      <c r="G1890" s="1315"/>
      <c r="H1890" s="1315"/>
      <c r="I1890" s="1315"/>
      <c r="J1890" s="1314"/>
      <c r="K1890" s="1314"/>
      <c r="L1890" s="1291"/>
      <c r="M1890" s="1316"/>
      <c r="N1890" s="1291"/>
      <c r="O1890" s="1291"/>
      <c r="P1890" s="1317"/>
      <c r="Q1890" s="1291"/>
    </row>
    <row r="1891">
      <c r="A1891" s="1160"/>
      <c r="B1891" s="1313"/>
      <c r="C1891" s="940"/>
      <c r="D1891" s="940"/>
      <c r="E1891" s="1291"/>
      <c r="F1891" s="1314"/>
      <c r="G1891" s="1315"/>
      <c r="H1891" s="1315"/>
      <c r="I1891" s="1315"/>
      <c r="J1891" s="1314"/>
      <c r="K1891" s="1314"/>
      <c r="L1891" s="1291"/>
      <c r="M1891" s="1316"/>
      <c r="N1891" s="1291"/>
      <c r="O1891" s="1291"/>
      <c r="P1891" s="1317"/>
      <c r="Q1891" s="1291"/>
    </row>
    <row r="1892">
      <c r="A1892" s="1160"/>
      <c r="B1892" s="1313"/>
      <c r="C1892" s="940"/>
      <c r="D1892" s="940"/>
      <c r="E1892" s="1291"/>
      <c r="F1892" s="1314"/>
      <c r="G1892" s="1315"/>
      <c r="H1892" s="1315"/>
      <c r="I1892" s="1315"/>
      <c r="J1892" s="1314"/>
      <c r="K1892" s="1314"/>
      <c r="L1892" s="1291"/>
      <c r="M1892" s="1316"/>
      <c r="N1892" s="1291"/>
      <c r="O1892" s="1291"/>
      <c r="P1892" s="1317"/>
      <c r="Q1892" s="1291"/>
    </row>
    <row r="1893">
      <c r="A1893" s="1160"/>
      <c r="B1893" s="1313"/>
      <c r="C1893" s="940"/>
      <c r="D1893" s="940"/>
      <c r="E1893" s="1291"/>
      <c r="F1893" s="1314"/>
      <c r="G1893" s="1315"/>
      <c r="H1893" s="1315"/>
      <c r="I1893" s="1315"/>
      <c r="J1893" s="1314"/>
      <c r="K1893" s="1314"/>
      <c r="L1893" s="1291"/>
      <c r="M1893" s="1316"/>
      <c r="N1893" s="1291"/>
      <c r="O1893" s="1291"/>
      <c r="P1893" s="1317"/>
      <c r="Q1893" s="1291"/>
    </row>
    <row r="1894">
      <c r="A1894" s="1160"/>
      <c r="B1894" s="1313"/>
      <c r="C1894" s="940"/>
      <c r="D1894" s="940"/>
      <c r="E1894" s="1291"/>
      <c r="F1894" s="1314"/>
      <c r="G1894" s="1315"/>
      <c r="H1894" s="1315"/>
      <c r="I1894" s="1315"/>
      <c r="J1894" s="1314"/>
      <c r="K1894" s="1314"/>
      <c r="L1894" s="1291"/>
      <c r="M1894" s="1316"/>
      <c r="N1894" s="1291"/>
      <c r="O1894" s="1291"/>
      <c r="P1894" s="1317"/>
      <c r="Q1894" s="1291"/>
    </row>
    <row r="1895">
      <c r="A1895" s="1160"/>
      <c r="B1895" s="1313"/>
      <c r="C1895" s="940"/>
      <c r="D1895" s="940"/>
      <c r="E1895" s="1291"/>
      <c r="F1895" s="1314"/>
      <c r="G1895" s="1315"/>
      <c r="H1895" s="1315"/>
      <c r="I1895" s="1315"/>
      <c r="J1895" s="1314"/>
      <c r="K1895" s="1314"/>
      <c r="L1895" s="1291"/>
      <c r="M1895" s="1316"/>
      <c r="N1895" s="1291"/>
      <c r="O1895" s="1291"/>
      <c r="P1895" s="1317"/>
      <c r="Q1895" s="1291"/>
    </row>
    <row r="1896">
      <c r="A1896" s="1160"/>
      <c r="B1896" s="1313"/>
      <c r="C1896" s="940"/>
      <c r="D1896" s="940"/>
      <c r="E1896" s="1291"/>
      <c r="F1896" s="1314"/>
      <c r="G1896" s="1315"/>
      <c r="H1896" s="1315"/>
      <c r="I1896" s="1315"/>
      <c r="J1896" s="1314"/>
      <c r="K1896" s="1314"/>
      <c r="L1896" s="1291"/>
      <c r="M1896" s="1316"/>
      <c r="N1896" s="1291"/>
      <c r="O1896" s="1291"/>
      <c r="P1896" s="1317"/>
      <c r="Q1896" s="1291"/>
    </row>
    <row r="1897">
      <c r="A1897" s="1160"/>
      <c r="B1897" s="1313"/>
      <c r="C1897" s="940"/>
      <c r="D1897" s="940"/>
      <c r="E1897" s="1291"/>
      <c r="F1897" s="1314"/>
      <c r="G1897" s="1315"/>
      <c r="H1897" s="1315"/>
      <c r="I1897" s="1315"/>
      <c r="J1897" s="1314"/>
      <c r="K1897" s="1314"/>
      <c r="L1897" s="1291"/>
      <c r="M1897" s="1316"/>
      <c r="N1897" s="1291"/>
      <c r="O1897" s="1291"/>
      <c r="P1897" s="1317"/>
      <c r="Q1897" s="1291"/>
    </row>
    <row r="1898">
      <c r="A1898" s="1160"/>
      <c r="B1898" s="1313"/>
      <c r="C1898" s="940"/>
      <c r="D1898" s="940"/>
      <c r="E1898" s="1291"/>
      <c r="F1898" s="1314"/>
      <c r="G1898" s="1315"/>
      <c r="H1898" s="1315"/>
      <c r="I1898" s="1315"/>
      <c r="J1898" s="1314"/>
      <c r="K1898" s="1314"/>
      <c r="L1898" s="1291"/>
      <c r="M1898" s="1316"/>
      <c r="N1898" s="1291"/>
      <c r="O1898" s="1291"/>
      <c r="P1898" s="1317"/>
      <c r="Q1898" s="1291"/>
    </row>
    <row r="1899">
      <c r="A1899" s="1160"/>
      <c r="B1899" s="1313"/>
      <c r="C1899" s="940"/>
      <c r="D1899" s="940"/>
      <c r="E1899" s="1291"/>
      <c r="F1899" s="1314"/>
      <c r="G1899" s="1315"/>
      <c r="H1899" s="1315"/>
      <c r="I1899" s="1315"/>
      <c r="J1899" s="1314"/>
      <c r="K1899" s="1314"/>
      <c r="L1899" s="1291"/>
      <c r="M1899" s="1316"/>
      <c r="N1899" s="1291"/>
      <c r="O1899" s="1291"/>
      <c r="P1899" s="1317"/>
      <c r="Q1899" s="1291"/>
    </row>
    <row r="1900">
      <c r="A1900" s="1160"/>
      <c r="B1900" s="1313"/>
      <c r="C1900" s="940"/>
      <c r="D1900" s="940"/>
      <c r="E1900" s="1291"/>
      <c r="F1900" s="1314"/>
      <c r="G1900" s="1315"/>
      <c r="H1900" s="1315"/>
      <c r="I1900" s="1315"/>
      <c r="J1900" s="1314"/>
      <c r="K1900" s="1314"/>
      <c r="L1900" s="1291"/>
      <c r="M1900" s="1316"/>
      <c r="N1900" s="1291"/>
      <c r="O1900" s="1291"/>
      <c r="P1900" s="1317"/>
      <c r="Q1900" s="1291"/>
    </row>
    <row r="1901">
      <c r="A1901" s="1160"/>
      <c r="B1901" s="1313"/>
      <c r="C1901" s="940"/>
      <c r="D1901" s="940"/>
      <c r="E1901" s="1291"/>
      <c r="F1901" s="1314"/>
      <c r="G1901" s="1315"/>
      <c r="H1901" s="1315"/>
      <c r="I1901" s="1315"/>
      <c r="J1901" s="1314"/>
      <c r="K1901" s="1314"/>
      <c r="L1901" s="1291"/>
      <c r="M1901" s="1316"/>
      <c r="N1901" s="1291"/>
      <c r="O1901" s="1291"/>
      <c r="P1901" s="1317"/>
      <c r="Q1901" s="1291"/>
    </row>
    <row r="1902">
      <c r="A1902" s="1160"/>
      <c r="B1902" s="1313"/>
      <c r="C1902" s="940"/>
      <c r="D1902" s="940"/>
      <c r="E1902" s="1291"/>
      <c r="F1902" s="1314"/>
      <c r="G1902" s="1315"/>
      <c r="H1902" s="1315"/>
      <c r="I1902" s="1315"/>
      <c r="J1902" s="1314"/>
      <c r="K1902" s="1314"/>
      <c r="L1902" s="1291"/>
      <c r="M1902" s="1316"/>
      <c r="N1902" s="1291"/>
      <c r="O1902" s="1291"/>
      <c r="P1902" s="1317"/>
      <c r="Q1902" s="1291"/>
    </row>
    <row r="1903">
      <c r="A1903" s="1160"/>
      <c r="B1903" s="1313"/>
      <c r="C1903" s="940"/>
      <c r="D1903" s="940"/>
      <c r="E1903" s="1291"/>
      <c r="F1903" s="1314"/>
      <c r="G1903" s="1315"/>
      <c r="H1903" s="1315"/>
      <c r="I1903" s="1315"/>
      <c r="J1903" s="1314"/>
      <c r="K1903" s="1314"/>
      <c r="L1903" s="1291"/>
      <c r="M1903" s="1316"/>
      <c r="N1903" s="1291"/>
      <c r="O1903" s="1291"/>
      <c r="P1903" s="1317"/>
      <c r="Q1903" s="1291"/>
    </row>
    <row r="1904">
      <c r="A1904" s="1160"/>
      <c r="B1904" s="1313"/>
      <c r="C1904" s="940"/>
      <c r="D1904" s="940"/>
      <c r="E1904" s="1291"/>
      <c r="F1904" s="1314"/>
      <c r="G1904" s="1315"/>
      <c r="H1904" s="1315"/>
      <c r="I1904" s="1315"/>
      <c r="J1904" s="1314"/>
      <c r="K1904" s="1314"/>
      <c r="L1904" s="1291"/>
      <c r="M1904" s="1316"/>
      <c r="N1904" s="1291"/>
      <c r="O1904" s="1291"/>
      <c r="P1904" s="1317"/>
      <c r="Q1904" s="1291"/>
    </row>
    <row r="1905">
      <c r="A1905" s="1160"/>
      <c r="B1905" s="1313"/>
      <c r="C1905" s="940"/>
      <c r="D1905" s="940"/>
      <c r="E1905" s="1291"/>
      <c r="F1905" s="1314"/>
      <c r="G1905" s="1315"/>
      <c r="H1905" s="1315"/>
      <c r="I1905" s="1315"/>
      <c r="J1905" s="1314"/>
      <c r="K1905" s="1314"/>
      <c r="L1905" s="1291"/>
      <c r="M1905" s="1316"/>
      <c r="N1905" s="1291"/>
      <c r="O1905" s="1291"/>
      <c r="P1905" s="1317"/>
      <c r="Q1905" s="1291"/>
    </row>
    <row r="1906">
      <c r="A1906" s="1160"/>
      <c r="B1906" s="1313"/>
      <c r="C1906" s="940"/>
      <c r="D1906" s="940"/>
      <c r="E1906" s="1291"/>
      <c r="F1906" s="1314"/>
      <c r="G1906" s="1315"/>
      <c r="H1906" s="1315"/>
      <c r="I1906" s="1315"/>
      <c r="J1906" s="1314"/>
      <c r="K1906" s="1314"/>
      <c r="L1906" s="1291"/>
      <c r="M1906" s="1316"/>
      <c r="N1906" s="1291"/>
      <c r="O1906" s="1291"/>
      <c r="P1906" s="1317"/>
      <c r="Q1906" s="1291"/>
    </row>
    <row r="1907">
      <c r="A1907" s="1160"/>
      <c r="B1907" s="1313"/>
      <c r="C1907" s="940"/>
      <c r="D1907" s="940"/>
      <c r="E1907" s="1291"/>
      <c r="F1907" s="1314"/>
      <c r="G1907" s="1315"/>
      <c r="H1907" s="1315"/>
      <c r="I1907" s="1315"/>
      <c r="J1907" s="1314"/>
      <c r="K1907" s="1314"/>
      <c r="L1907" s="1291"/>
      <c r="M1907" s="1316"/>
      <c r="N1907" s="1291"/>
      <c r="O1907" s="1291"/>
      <c r="P1907" s="1317"/>
      <c r="Q1907" s="1291"/>
    </row>
    <row r="1908">
      <c r="A1908" s="1160"/>
      <c r="B1908" s="1313"/>
      <c r="C1908" s="940"/>
      <c r="D1908" s="940"/>
      <c r="E1908" s="1291"/>
      <c r="F1908" s="1314"/>
      <c r="G1908" s="1315"/>
      <c r="H1908" s="1315"/>
      <c r="I1908" s="1315"/>
      <c r="J1908" s="1314"/>
      <c r="K1908" s="1314"/>
      <c r="L1908" s="1291"/>
      <c r="M1908" s="1316"/>
      <c r="N1908" s="1291"/>
      <c r="O1908" s="1291"/>
      <c r="P1908" s="1317"/>
      <c r="Q1908" s="1291"/>
    </row>
    <row r="1909">
      <c r="A1909" s="1160"/>
      <c r="B1909" s="1313"/>
      <c r="C1909" s="940"/>
      <c r="D1909" s="940"/>
      <c r="E1909" s="1291"/>
      <c r="F1909" s="1314"/>
      <c r="G1909" s="1315"/>
      <c r="H1909" s="1315"/>
      <c r="I1909" s="1315"/>
      <c r="J1909" s="1314"/>
      <c r="K1909" s="1314"/>
      <c r="L1909" s="1291"/>
      <c r="M1909" s="1316"/>
      <c r="N1909" s="1291"/>
      <c r="O1909" s="1291"/>
      <c r="P1909" s="1317"/>
      <c r="Q1909" s="1291"/>
    </row>
    <row r="1910">
      <c r="A1910" s="1160"/>
      <c r="B1910" s="1313"/>
      <c r="C1910" s="940"/>
      <c r="D1910" s="940"/>
      <c r="E1910" s="1291"/>
      <c r="F1910" s="1314"/>
      <c r="G1910" s="1315"/>
      <c r="H1910" s="1315"/>
      <c r="I1910" s="1315"/>
      <c r="J1910" s="1314"/>
      <c r="K1910" s="1314"/>
      <c r="L1910" s="1291"/>
      <c r="M1910" s="1316"/>
      <c r="N1910" s="1291"/>
      <c r="O1910" s="1291"/>
      <c r="P1910" s="1317"/>
      <c r="Q1910" s="1291"/>
    </row>
    <row r="1911">
      <c r="A1911" s="1160"/>
      <c r="B1911" s="1313"/>
      <c r="C1911" s="940"/>
      <c r="D1911" s="940"/>
      <c r="E1911" s="1291"/>
      <c r="F1911" s="1314"/>
      <c r="G1911" s="1315"/>
      <c r="H1911" s="1315"/>
      <c r="I1911" s="1315"/>
      <c r="J1911" s="1314"/>
      <c r="K1911" s="1314"/>
      <c r="L1911" s="1291"/>
      <c r="M1911" s="1316"/>
      <c r="N1911" s="1291"/>
      <c r="O1911" s="1291"/>
      <c r="P1911" s="1317"/>
      <c r="Q1911" s="1291"/>
    </row>
    <row r="1912">
      <c r="A1912" s="1160"/>
      <c r="B1912" s="1313"/>
      <c r="C1912" s="940"/>
      <c r="D1912" s="940"/>
      <c r="E1912" s="1291"/>
      <c r="F1912" s="1314"/>
      <c r="G1912" s="1315"/>
      <c r="H1912" s="1315"/>
      <c r="I1912" s="1315"/>
      <c r="J1912" s="1314"/>
      <c r="K1912" s="1314"/>
      <c r="L1912" s="1291"/>
      <c r="M1912" s="1316"/>
      <c r="N1912" s="1291"/>
      <c r="O1912" s="1291"/>
      <c r="P1912" s="1317"/>
      <c r="Q1912" s="1291"/>
    </row>
    <row r="1913">
      <c r="A1913" s="1160"/>
      <c r="B1913" s="1313"/>
      <c r="C1913" s="940"/>
      <c r="D1913" s="940"/>
      <c r="E1913" s="1291"/>
      <c r="F1913" s="1314"/>
      <c r="G1913" s="1315"/>
      <c r="H1913" s="1315"/>
      <c r="I1913" s="1315"/>
      <c r="J1913" s="1314"/>
      <c r="K1913" s="1314"/>
      <c r="L1913" s="1291"/>
      <c r="M1913" s="1316"/>
      <c r="N1913" s="1291"/>
      <c r="O1913" s="1291"/>
      <c r="P1913" s="1317"/>
      <c r="Q1913" s="1291"/>
    </row>
    <row r="1914">
      <c r="A1914" s="1160"/>
      <c r="B1914" s="1313"/>
      <c r="C1914" s="940"/>
      <c r="D1914" s="940"/>
      <c r="E1914" s="1291"/>
      <c r="F1914" s="1314"/>
      <c r="G1914" s="1315"/>
      <c r="H1914" s="1315"/>
      <c r="I1914" s="1315"/>
      <c r="J1914" s="1314"/>
      <c r="K1914" s="1314"/>
      <c r="L1914" s="1291"/>
      <c r="M1914" s="1316"/>
      <c r="N1914" s="1291"/>
      <c r="O1914" s="1291"/>
      <c r="P1914" s="1317"/>
      <c r="Q1914" s="1291"/>
    </row>
    <row r="1915">
      <c r="A1915" s="1160"/>
      <c r="B1915" s="1313"/>
      <c r="C1915" s="940"/>
      <c r="D1915" s="940"/>
      <c r="E1915" s="1291"/>
      <c r="F1915" s="1314"/>
      <c r="G1915" s="1315"/>
      <c r="H1915" s="1315"/>
      <c r="I1915" s="1315"/>
      <c r="J1915" s="1314"/>
      <c r="K1915" s="1314"/>
      <c r="L1915" s="1291"/>
      <c r="M1915" s="1316"/>
      <c r="N1915" s="1291"/>
      <c r="O1915" s="1291"/>
      <c r="P1915" s="1317"/>
      <c r="Q1915" s="1291"/>
    </row>
    <row r="1916">
      <c r="A1916" s="1160"/>
      <c r="B1916" s="1313"/>
      <c r="C1916" s="940"/>
      <c r="D1916" s="940"/>
      <c r="E1916" s="1291"/>
      <c r="F1916" s="1314"/>
      <c r="G1916" s="1315"/>
      <c r="H1916" s="1315"/>
      <c r="I1916" s="1315"/>
      <c r="J1916" s="1314"/>
      <c r="K1916" s="1314"/>
      <c r="L1916" s="1291"/>
      <c r="M1916" s="1316"/>
      <c r="N1916" s="1291"/>
      <c r="O1916" s="1291"/>
      <c r="P1916" s="1317"/>
      <c r="Q1916" s="1291"/>
    </row>
    <row r="1917">
      <c r="A1917" s="1160"/>
      <c r="B1917" s="1313"/>
      <c r="C1917" s="940"/>
      <c r="D1917" s="940"/>
      <c r="E1917" s="1291"/>
      <c r="F1917" s="1314"/>
      <c r="G1917" s="1315"/>
      <c r="H1917" s="1315"/>
      <c r="I1917" s="1315"/>
      <c r="J1917" s="1314"/>
      <c r="K1917" s="1314"/>
      <c r="L1917" s="1291"/>
      <c r="M1917" s="1316"/>
      <c r="N1917" s="1291"/>
      <c r="O1917" s="1291"/>
      <c r="P1917" s="1317"/>
      <c r="Q1917" s="1291"/>
    </row>
    <row r="1918">
      <c r="A1918" s="1160"/>
      <c r="B1918" s="1313"/>
      <c r="C1918" s="940"/>
      <c r="D1918" s="940"/>
      <c r="E1918" s="1291"/>
      <c r="F1918" s="1314"/>
      <c r="G1918" s="1315"/>
      <c r="H1918" s="1315"/>
      <c r="I1918" s="1315"/>
      <c r="J1918" s="1314"/>
      <c r="K1918" s="1314"/>
      <c r="L1918" s="1291"/>
      <c r="M1918" s="1316"/>
      <c r="N1918" s="1291"/>
      <c r="O1918" s="1291"/>
      <c r="P1918" s="1317"/>
      <c r="Q1918" s="1291"/>
    </row>
    <row r="1919">
      <c r="A1919" s="1160"/>
      <c r="B1919" s="1313"/>
      <c r="C1919" s="940"/>
      <c r="D1919" s="940"/>
      <c r="E1919" s="1291"/>
      <c r="F1919" s="1314"/>
      <c r="G1919" s="1315"/>
      <c r="H1919" s="1315"/>
      <c r="I1919" s="1315"/>
      <c r="J1919" s="1314"/>
      <c r="K1919" s="1314"/>
      <c r="L1919" s="1291"/>
      <c r="M1919" s="1316"/>
      <c r="N1919" s="1291"/>
      <c r="O1919" s="1291"/>
      <c r="P1919" s="1317"/>
      <c r="Q1919" s="1291"/>
    </row>
    <row r="1920">
      <c r="A1920" s="1160"/>
      <c r="B1920" s="1313"/>
      <c r="C1920" s="940"/>
      <c r="D1920" s="940"/>
      <c r="E1920" s="1291"/>
      <c r="F1920" s="1314"/>
      <c r="G1920" s="1315"/>
      <c r="H1920" s="1315"/>
      <c r="I1920" s="1315"/>
      <c r="J1920" s="1314"/>
      <c r="K1920" s="1314"/>
      <c r="L1920" s="1291"/>
      <c r="M1920" s="1316"/>
      <c r="N1920" s="1291"/>
      <c r="O1920" s="1291"/>
      <c r="P1920" s="1317"/>
      <c r="Q1920" s="1291"/>
    </row>
    <row r="1921">
      <c r="A1921" s="1160"/>
      <c r="B1921" s="1313"/>
      <c r="C1921" s="940"/>
      <c r="D1921" s="940"/>
      <c r="E1921" s="1291"/>
      <c r="F1921" s="1314"/>
      <c r="G1921" s="1315"/>
      <c r="H1921" s="1315"/>
      <c r="I1921" s="1315"/>
      <c r="J1921" s="1314"/>
      <c r="K1921" s="1314"/>
      <c r="L1921" s="1291"/>
      <c r="M1921" s="1316"/>
      <c r="N1921" s="1291"/>
      <c r="O1921" s="1291"/>
      <c r="P1921" s="1317"/>
      <c r="Q1921" s="1291"/>
    </row>
    <row r="1922">
      <c r="A1922" s="1160"/>
      <c r="B1922" s="1313"/>
      <c r="C1922" s="940"/>
      <c r="D1922" s="940"/>
      <c r="E1922" s="1291"/>
      <c r="F1922" s="1314"/>
      <c r="G1922" s="1315"/>
      <c r="H1922" s="1315"/>
      <c r="I1922" s="1315"/>
      <c r="J1922" s="1314"/>
      <c r="K1922" s="1314"/>
      <c r="L1922" s="1291"/>
      <c r="M1922" s="1316"/>
      <c r="N1922" s="1291"/>
      <c r="O1922" s="1291"/>
      <c r="P1922" s="1317"/>
      <c r="Q1922" s="1291"/>
    </row>
    <row r="1923">
      <c r="A1923" s="1160"/>
      <c r="B1923" s="1313"/>
      <c r="C1923" s="940"/>
      <c r="D1923" s="940"/>
      <c r="E1923" s="1291"/>
      <c r="F1923" s="1314"/>
      <c r="G1923" s="1315"/>
      <c r="H1923" s="1315"/>
      <c r="I1923" s="1315"/>
      <c r="J1923" s="1314"/>
      <c r="K1923" s="1314"/>
      <c r="L1923" s="1291"/>
      <c r="M1923" s="1316"/>
      <c r="N1923" s="1291"/>
      <c r="O1923" s="1291"/>
      <c r="P1923" s="1317"/>
      <c r="Q1923" s="1291"/>
    </row>
    <row r="1924">
      <c r="A1924" s="1160"/>
      <c r="B1924" s="1313"/>
      <c r="C1924" s="940"/>
      <c r="D1924" s="940"/>
      <c r="E1924" s="1291"/>
      <c r="F1924" s="1314"/>
      <c r="G1924" s="1315"/>
      <c r="H1924" s="1315"/>
      <c r="I1924" s="1315"/>
      <c r="J1924" s="1314"/>
      <c r="K1924" s="1314"/>
      <c r="L1924" s="1291"/>
      <c r="M1924" s="1316"/>
      <c r="N1924" s="1291"/>
      <c r="O1924" s="1291"/>
      <c r="P1924" s="1317"/>
      <c r="Q1924" s="1291"/>
    </row>
    <row r="1925">
      <c r="A1925" s="1160"/>
      <c r="B1925" s="1313"/>
      <c r="C1925" s="940"/>
      <c r="D1925" s="940"/>
      <c r="E1925" s="1291"/>
      <c r="F1925" s="1314"/>
      <c r="G1925" s="1315"/>
      <c r="H1925" s="1315"/>
      <c r="I1925" s="1315"/>
      <c r="J1925" s="1314"/>
      <c r="K1925" s="1314"/>
      <c r="L1925" s="1291"/>
      <c r="M1925" s="1316"/>
      <c r="N1925" s="1291"/>
      <c r="O1925" s="1291"/>
      <c r="P1925" s="1317"/>
      <c r="Q1925" s="1291"/>
    </row>
    <row r="1926">
      <c r="A1926" s="1160"/>
      <c r="B1926" s="1313"/>
      <c r="C1926" s="940"/>
      <c r="D1926" s="940"/>
      <c r="E1926" s="1291"/>
      <c r="F1926" s="1314"/>
      <c r="G1926" s="1315"/>
      <c r="H1926" s="1315"/>
      <c r="I1926" s="1315"/>
      <c r="J1926" s="1314"/>
      <c r="K1926" s="1314"/>
      <c r="L1926" s="1291"/>
      <c r="M1926" s="1316"/>
      <c r="N1926" s="1291"/>
      <c r="O1926" s="1291"/>
      <c r="P1926" s="1317"/>
      <c r="Q1926" s="1291"/>
    </row>
    <row r="1927">
      <c r="A1927" s="1160"/>
      <c r="B1927" s="1313"/>
      <c r="C1927" s="940"/>
      <c r="D1927" s="940"/>
      <c r="E1927" s="1291"/>
      <c r="F1927" s="1314"/>
      <c r="G1927" s="1315"/>
      <c r="H1927" s="1315"/>
      <c r="I1927" s="1315"/>
      <c r="J1927" s="1314"/>
      <c r="K1927" s="1314"/>
      <c r="L1927" s="1291"/>
      <c r="M1927" s="1316"/>
      <c r="N1927" s="1291"/>
      <c r="O1927" s="1291"/>
      <c r="P1927" s="1317"/>
      <c r="Q1927" s="1291"/>
    </row>
    <row r="1928">
      <c r="A1928" s="1160"/>
      <c r="B1928" s="1313"/>
      <c r="C1928" s="940"/>
      <c r="D1928" s="940"/>
      <c r="E1928" s="1291"/>
      <c r="F1928" s="1314"/>
      <c r="G1928" s="1315"/>
      <c r="H1928" s="1315"/>
      <c r="I1928" s="1315"/>
      <c r="J1928" s="1314"/>
      <c r="K1928" s="1314"/>
      <c r="L1928" s="1291"/>
      <c r="M1928" s="1316"/>
      <c r="N1928" s="1291"/>
      <c r="O1928" s="1291"/>
      <c r="P1928" s="1317"/>
      <c r="Q1928" s="1291"/>
    </row>
    <row r="1929">
      <c r="A1929" s="1160"/>
      <c r="B1929" s="1313"/>
      <c r="C1929" s="940"/>
      <c r="D1929" s="940"/>
      <c r="E1929" s="1291"/>
      <c r="F1929" s="1314"/>
      <c r="G1929" s="1315"/>
      <c r="H1929" s="1315"/>
      <c r="I1929" s="1315"/>
      <c r="J1929" s="1314"/>
      <c r="K1929" s="1314"/>
      <c r="L1929" s="1291"/>
      <c r="M1929" s="1316"/>
      <c r="N1929" s="1291"/>
      <c r="O1929" s="1291"/>
      <c r="P1929" s="1317"/>
      <c r="Q1929" s="1291"/>
    </row>
    <row r="1930">
      <c r="A1930" s="1160"/>
      <c r="B1930" s="1313"/>
      <c r="C1930" s="940"/>
      <c r="D1930" s="940"/>
      <c r="E1930" s="1291"/>
      <c r="F1930" s="1314"/>
      <c r="G1930" s="1315"/>
      <c r="H1930" s="1315"/>
      <c r="I1930" s="1315"/>
      <c r="J1930" s="1314"/>
      <c r="K1930" s="1314"/>
      <c r="L1930" s="1291"/>
      <c r="M1930" s="1316"/>
      <c r="N1930" s="1291"/>
      <c r="O1930" s="1291"/>
      <c r="P1930" s="1317"/>
      <c r="Q1930" s="1291"/>
    </row>
    <row r="1931">
      <c r="A1931" s="1160"/>
      <c r="B1931" s="1313"/>
      <c r="C1931" s="940"/>
      <c r="D1931" s="940"/>
      <c r="E1931" s="1291"/>
      <c r="F1931" s="1314"/>
      <c r="G1931" s="1315"/>
      <c r="H1931" s="1315"/>
      <c r="I1931" s="1315"/>
      <c r="J1931" s="1314"/>
      <c r="K1931" s="1314"/>
      <c r="L1931" s="1291"/>
      <c r="M1931" s="1316"/>
      <c r="N1931" s="1291"/>
      <c r="O1931" s="1291"/>
      <c r="P1931" s="1317"/>
      <c r="Q1931" s="1291"/>
    </row>
    <row r="1932">
      <c r="A1932" s="1160"/>
      <c r="B1932" s="1313"/>
      <c r="C1932" s="940"/>
      <c r="D1932" s="940"/>
      <c r="E1932" s="1291"/>
      <c r="F1932" s="1314"/>
      <c r="G1932" s="1315"/>
      <c r="H1932" s="1315"/>
      <c r="I1932" s="1315"/>
      <c r="J1932" s="1314"/>
      <c r="K1932" s="1314"/>
      <c r="L1932" s="1291"/>
      <c r="M1932" s="1316"/>
      <c r="N1932" s="1291"/>
      <c r="O1932" s="1291"/>
      <c r="P1932" s="1317"/>
      <c r="Q1932" s="1291"/>
    </row>
    <row r="1933">
      <c r="A1933" s="1160"/>
      <c r="B1933" s="1313"/>
      <c r="C1933" s="940"/>
      <c r="D1933" s="940"/>
      <c r="E1933" s="1291"/>
      <c r="F1933" s="1314"/>
      <c r="G1933" s="1315"/>
      <c r="H1933" s="1315"/>
      <c r="I1933" s="1315"/>
      <c r="J1933" s="1314"/>
      <c r="K1933" s="1314"/>
      <c r="L1933" s="1291"/>
      <c r="M1933" s="1316"/>
      <c r="N1933" s="1291"/>
      <c r="O1933" s="1291"/>
      <c r="P1933" s="1317"/>
      <c r="Q1933" s="1291"/>
    </row>
    <row r="1934">
      <c r="A1934" s="1160"/>
      <c r="B1934" s="1313"/>
      <c r="C1934" s="940"/>
      <c r="D1934" s="940"/>
      <c r="E1934" s="1291"/>
      <c r="F1934" s="1314"/>
      <c r="G1934" s="1315"/>
      <c r="H1934" s="1315"/>
      <c r="I1934" s="1315"/>
      <c r="J1934" s="1314"/>
      <c r="K1934" s="1314"/>
      <c r="L1934" s="1291"/>
      <c r="M1934" s="1316"/>
      <c r="N1934" s="1291"/>
      <c r="O1934" s="1291"/>
      <c r="P1934" s="1317"/>
      <c r="Q1934" s="1291"/>
    </row>
    <row r="1935">
      <c r="A1935" s="1160"/>
      <c r="B1935" s="1313"/>
      <c r="C1935" s="940"/>
      <c r="D1935" s="940"/>
      <c r="E1935" s="1291"/>
      <c r="F1935" s="1314"/>
      <c r="G1935" s="1315"/>
      <c r="H1935" s="1315"/>
      <c r="I1935" s="1315"/>
      <c r="J1935" s="1314"/>
      <c r="K1935" s="1314"/>
      <c r="L1935" s="1291"/>
      <c r="M1935" s="1316"/>
      <c r="N1935" s="1291"/>
      <c r="O1935" s="1291"/>
      <c r="P1935" s="1317"/>
      <c r="Q1935" s="1291"/>
    </row>
    <row r="1936">
      <c r="A1936" s="1160"/>
      <c r="B1936" s="1313"/>
      <c r="C1936" s="940"/>
      <c r="D1936" s="940"/>
      <c r="E1936" s="1291"/>
      <c r="F1936" s="1314"/>
      <c r="G1936" s="1315"/>
      <c r="H1936" s="1315"/>
      <c r="I1936" s="1315"/>
      <c r="J1936" s="1314"/>
      <c r="K1936" s="1314"/>
      <c r="L1936" s="1291"/>
      <c r="M1936" s="1316"/>
      <c r="N1936" s="1291"/>
      <c r="O1936" s="1291"/>
      <c r="P1936" s="1317"/>
      <c r="Q1936" s="1291"/>
    </row>
    <row r="1937">
      <c r="A1937" s="1160"/>
      <c r="B1937" s="1313"/>
      <c r="C1937" s="940"/>
      <c r="D1937" s="940"/>
      <c r="E1937" s="1291"/>
      <c r="F1937" s="1314"/>
      <c r="G1937" s="1315"/>
      <c r="H1937" s="1315"/>
      <c r="I1937" s="1315"/>
      <c r="J1937" s="1314"/>
      <c r="K1937" s="1314"/>
      <c r="L1937" s="1291"/>
      <c r="M1937" s="1316"/>
      <c r="N1937" s="1291"/>
      <c r="O1937" s="1291"/>
      <c r="P1937" s="1317"/>
      <c r="Q1937" s="1291"/>
    </row>
    <row r="1938">
      <c r="A1938" s="1160"/>
      <c r="B1938" s="1313"/>
      <c r="C1938" s="940"/>
      <c r="D1938" s="940"/>
      <c r="E1938" s="1291"/>
      <c r="F1938" s="1314"/>
      <c r="G1938" s="1315"/>
      <c r="H1938" s="1315"/>
      <c r="I1938" s="1315"/>
      <c r="J1938" s="1314"/>
      <c r="K1938" s="1314"/>
      <c r="L1938" s="1291"/>
      <c r="M1938" s="1316"/>
      <c r="N1938" s="1291"/>
      <c r="O1938" s="1291"/>
      <c r="P1938" s="1317"/>
      <c r="Q1938" s="1291"/>
    </row>
    <row r="1939">
      <c r="A1939" s="1160"/>
      <c r="B1939" s="1313"/>
      <c r="C1939" s="940"/>
      <c r="D1939" s="940"/>
      <c r="E1939" s="1291"/>
      <c r="F1939" s="1314"/>
      <c r="G1939" s="1315"/>
      <c r="H1939" s="1315"/>
      <c r="I1939" s="1315"/>
      <c r="J1939" s="1314"/>
      <c r="K1939" s="1314"/>
      <c r="L1939" s="1291"/>
      <c r="M1939" s="1316"/>
      <c r="N1939" s="1291"/>
      <c r="O1939" s="1291"/>
      <c r="P1939" s="1317"/>
      <c r="Q1939" s="1291"/>
    </row>
    <row r="1940">
      <c r="A1940" s="1160"/>
      <c r="B1940" s="1313"/>
      <c r="C1940" s="940"/>
      <c r="D1940" s="940"/>
      <c r="E1940" s="1291"/>
      <c r="F1940" s="1314"/>
      <c r="G1940" s="1315"/>
      <c r="H1940" s="1315"/>
      <c r="I1940" s="1315"/>
      <c r="J1940" s="1314"/>
      <c r="K1940" s="1314"/>
      <c r="L1940" s="1291"/>
      <c r="M1940" s="1316"/>
      <c r="N1940" s="1291"/>
      <c r="O1940" s="1291"/>
      <c r="P1940" s="1317"/>
      <c r="Q1940" s="1291"/>
    </row>
    <row r="1941">
      <c r="A1941" s="1160"/>
      <c r="B1941" s="1313"/>
      <c r="C1941" s="940"/>
      <c r="D1941" s="940"/>
      <c r="E1941" s="1291"/>
      <c r="F1941" s="1314"/>
      <c r="G1941" s="1315"/>
      <c r="H1941" s="1315"/>
      <c r="I1941" s="1315"/>
      <c r="J1941" s="1314"/>
      <c r="K1941" s="1314"/>
      <c r="L1941" s="1291"/>
      <c r="M1941" s="1316"/>
      <c r="N1941" s="1291"/>
      <c r="O1941" s="1291"/>
      <c r="P1941" s="1317"/>
      <c r="Q1941" s="1291"/>
    </row>
    <row r="1942">
      <c r="A1942" s="1160"/>
      <c r="B1942" s="1313"/>
      <c r="C1942" s="940"/>
      <c r="D1942" s="940"/>
      <c r="E1942" s="1291"/>
      <c r="F1942" s="1314"/>
      <c r="G1942" s="1315"/>
      <c r="H1942" s="1315"/>
      <c r="I1942" s="1315"/>
      <c r="J1942" s="1314"/>
      <c r="K1942" s="1314"/>
      <c r="L1942" s="1291"/>
      <c r="M1942" s="1316"/>
      <c r="N1942" s="1291"/>
      <c r="O1942" s="1291"/>
      <c r="P1942" s="1317"/>
      <c r="Q1942" s="1291"/>
    </row>
    <row r="1943">
      <c r="A1943" s="1160"/>
      <c r="B1943" s="1313"/>
      <c r="C1943" s="940"/>
      <c r="D1943" s="940"/>
      <c r="E1943" s="1291"/>
      <c r="F1943" s="1314"/>
      <c r="G1943" s="1315"/>
      <c r="H1943" s="1315"/>
      <c r="I1943" s="1315"/>
      <c r="J1943" s="1314"/>
      <c r="K1943" s="1314"/>
      <c r="L1943" s="1291"/>
      <c r="M1943" s="1316"/>
      <c r="N1943" s="1291"/>
      <c r="O1943" s="1291"/>
      <c r="P1943" s="1317"/>
      <c r="Q1943" s="1291"/>
    </row>
    <row r="1944">
      <c r="A1944" s="1160"/>
      <c r="B1944" s="1313"/>
      <c r="C1944" s="940"/>
      <c r="D1944" s="940"/>
      <c r="E1944" s="1291"/>
      <c r="F1944" s="1314"/>
      <c r="G1944" s="1315"/>
      <c r="H1944" s="1315"/>
      <c r="I1944" s="1315"/>
      <c r="J1944" s="1314"/>
      <c r="K1944" s="1314"/>
      <c r="L1944" s="1291"/>
      <c r="M1944" s="1316"/>
      <c r="N1944" s="1291"/>
      <c r="O1944" s="1291"/>
      <c r="P1944" s="1317"/>
      <c r="Q1944" s="1291"/>
    </row>
    <row r="1945">
      <c r="A1945" s="1160"/>
      <c r="B1945" s="1313"/>
      <c r="C1945" s="940"/>
      <c r="D1945" s="940"/>
      <c r="E1945" s="1291"/>
      <c r="F1945" s="1314"/>
      <c r="G1945" s="1315"/>
      <c r="H1945" s="1315"/>
      <c r="I1945" s="1315"/>
      <c r="J1945" s="1314"/>
      <c r="K1945" s="1314"/>
      <c r="L1945" s="1291"/>
      <c r="M1945" s="1316"/>
      <c r="N1945" s="1291"/>
      <c r="O1945" s="1291"/>
      <c r="P1945" s="1317"/>
      <c r="Q1945" s="1291"/>
    </row>
    <row r="1946">
      <c r="A1946" s="1160"/>
      <c r="B1946" s="1313"/>
      <c r="C1946" s="940"/>
      <c r="D1946" s="940"/>
      <c r="E1946" s="1291"/>
      <c r="F1946" s="1314"/>
      <c r="G1946" s="1315"/>
      <c r="H1946" s="1315"/>
      <c r="I1946" s="1315"/>
      <c r="J1946" s="1314"/>
      <c r="K1946" s="1314"/>
      <c r="L1946" s="1291"/>
      <c r="M1946" s="1316"/>
      <c r="N1946" s="1291"/>
      <c r="O1946" s="1291"/>
      <c r="P1946" s="1317"/>
      <c r="Q1946" s="1291"/>
    </row>
    <row r="1947">
      <c r="A1947" s="1160"/>
      <c r="B1947" s="1313"/>
      <c r="C1947" s="940"/>
      <c r="D1947" s="940"/>
      <c r="E1947" s="1291"/>
      <c r="F1947" s="1314"/>
      <c r="G1947" s="1315"/>
      <c r="H1947" s="1315"/>
      <c r="I1947" s="1315"/>
      <c r="J1947" s="1314"/>
      <c r="K1947" s="1314"/>
      <c r="L1947" s="1291"/>
      <c r="M1947" s="1316"/>
      <c r="N1947" s="1291"/>
      <c r="O1947" s="1291"/>
      <c r="P1947" s="1317"/>
      <c r="Q1947" s="1291"/>
    </row>
    <row r="1948">
      <c r="A1948" s="1160"/>
      <c r="B1948" s="1313"/>
      <c r="C1948" s="940"/>
      <c r="D1948" s="940"/>
      <c r="E1948" s="1291"/>
      <c r="F1948" s="1314"/>
      <c r="G1948" s="1315"/>
      <c r="H1948" s="1315"/>
      <c r="I1948" s="1315"/>
      <c r="J1948" s="1314"/>
      <c r="K1948" s="1314"/>
      <c r="L1948" s="1291"/>
      <c r="M1948" s="1316"/>
      <c r="N1948" s="1291"/>
      <c r="O1948" s="1291"/>
      <c r="P1948" s="1317"/>
      <c r="Q1948" s="1291"/>
    </row>
    <row r="1949">
      <c r="A1949" s="1160"/>
      <c r="B1949" s="1313"/>
      <c r="C1949" s="940"/>
      <c r="D1949" s="940"/>
      <c r="E1949" s="1291"/>
      <c r="F1949" s="1314"/>
      <c r="G1949" s="1315"/>
      <c r="H1949" s="1315"/>
      <c r="I1949" s="1315"/>
      <c r="J1949" s="1314"/>
      <c r="K1949" s="1314"/>
      <c r="L1949" s="1291"/>
      <c r="M1949" s="1316"/>
      <c r="N1949" s="1291"/>
      <c r="O1949" s="1291"/>
      <c r="P1949" s="1317"/>
      <c r="Q1949" s="1291"/>
    </row>
    <row r="1950">
      <c r="A1950" s="1160"/>
      <c r="B1950" s="1313"/>
      <c r="C1950" s="940"/>
      <c r="D1950" s="940"/>
      <c r="E1950" s="1291"/>
      <c r="F1950" s="1314"/>
      <c r="G1950" s="1315"/>
      <c r="H1950" s="1315"/>
      <c r="I1950" s="1315"/>
      <c r="J1950" s="1314"/>
      <c r="K1950" s="1314"/>
      <c r="L1950" s="1291"/>
      <c r="M1950" s="1316"/>
      <c r="N1950" s="1291"/>
      <c r="O1950" s="1291"/>
      <c r="P1950" s="1317"/>
      <c r="Q1950" s="1291"/>
    </row>
    <row r="1951">
      <c r="A1951" s="1160"/>
      <c r="B1951" s="1313"/>
      <c r="C1951" s="940"/>
      <c r="D1951" s="940"/>
      <c r="E1951" s="1291"/>
      <c r="F1951" s="1314"/>
      <c r="G1951" s="1315"/>
      <c r="H1951" s="1315"/>
      <c r="I1951" s="1315"/>
      <c r="J1951" s="1314"/>
      <c r="K1951" s="1314"/>
      <c r="L1951" s="1291"/>
      <c r="M1951" s="1316"/>
      <c r="N1951" s="1291"/>
      <c r="O1951" s="1291"/>
      <c r="P1951" s="1317"/>
      <c r="Q1951" s="1291"/>
    </row>
    <row r="1952">
      <c r="A1952" s="1160"/>
      <c r="B1952" s="1313"/>
      <c r="C1952" s="940"/>
      <c r="D1952" s="940"/>
      <c r="E1952" s="1291"/>
      <c r="F1952" s="1314"/>
      <c r="G1952" s="1315"/>
      <c r="H1952" s="1315"/>
      <c r="I1952" s="1315"/>
      <c r="J1952" s="1314"/>
      <c r="K1952" s="1314"/>
      <c r="L1952" s="1291"/>
      <c r="M1952" s="1316"/>
      <c r="N1952" s="1291"/>
      <c r="O1952" s="1291"/>
      <c r="P1952" s="1317"/>
      <c r="Q1952" s="1291"/>
    </row>
    <row r="1953">
      <c r="A1953" s="1160"/>
      <c r="B1953" s="1313"/>
      <c r="C1953" s="940"/>
      <c r="D1953" s="940"/>
      <c r="E1953" s="1291"/>
      <c r="F1953" s="1314"/>
      <c r="G1953" s="1315"/>
      <c r="H1953" s="1315"/>
      <c r="I1953" s="1315"/>
      <c r="J1953" s="1314"/>
      <c r="K1953" s="1314"/>
      <c r="L1953" s="1291"/>
      <c r="M1953" s="1316"/>
      <c r="N1953" s="1291"/>
      <c r="O1953" s="1291"/>
      <c r="P1953" s="1317"/>
      <c r="Q1953" s="1291"/>
    </row>
    <row r="1954">
      <c r="A1954" s="1160"/>
      <c r="B1954" s="1313"/>
      <c r="C1954" s="940"/>
      <c r="D1954" s="940"/>
      <c r="E1954" s="1291"/>
      <c r="F1954" s="1314"/>
      <c r="G1954" s="1315"/>
      <c r="H1954" s="1315"/>
      <c r="I1954" s="1315"/>
      <c r="J1954" s="1314"/>
      <c r="K1954" s="1314"/>
      <c r="L1954" s="1291"/>
      <c r="M1954" s="1316"/>
      <c r="N1954" s="1291"/>
      <c r="O1954" s="1291"/>
      <c r="P1954" s="1317"/>
      <c r="Q1954" s="1291"/>
    </row>
    <row r="1955">
      <c r="A1955" s="1160"/>
      <c r="B1955" s="1313"/>
      <c r="C1955" s="940"/>
      <c r="D1955" s="940"/>
      <c r="E1955" s="1291"/>
      <c r="F1955" s="1314"/>
      <c r="G1955" s="1315"/>
      <c r="H1955" s="1315"/>
      <c r="I1955" s="1315"/>
      <c r="J1955" s="1314"/>
      <c r="K1955" s="1314"/>
      <c r="L1955" s="1291"/>
      <c r="M1955" s="1316"/>
      <c r="N1955" s="1291"/>
      <c r="O1955" s="1291"/>
      <c r="P1955" s="1317"/>
      <c r="Q1955" s="1291"/>
    </row>
    <row r="1956">
      <c r="A1956" s="1160"/>
      <c r="B1956" s="1313"/>
      <c r="C1956" s="940"/>
      <c r="D1956" s="940"/>
      <c r="E1956" s="1291"/>
      <c r="F1956" s="1314"/>
      <c r="G1956" s="1315"/>
      <c r="H1956" s="1315"/>
      <c r="I1956" s="1315"/>
      <c r="J1956" s="1314"/>
      <c r="K1956" s="1314"/>
      <c r="L1956" s="1291"/>
      <c r="M1956" s="1316"/>
      <c r="N1956" s="1291"/>
      <c r="O1956" s="1291"/>
      <c r="P1956" s="1317"/>
      <c r="Q1956" s="1291"/>
    </row>
    <row r="1957">
      <c r="A1957" s="1160"/>
      <c r="B1957" s="1313"/>
      <c r="C1957" s="940"/>
      <c r="D1957" s="940"/>
      <c r="E1957" s="1291"/>
      <c r="F1957" s="1314"/>
      <c r="G1957" s="1315"/>
      <c r="H1957" s="1315"/>
      <c r="I1957" s="1315"/>
      <c r="J1957" s="1314"/>
      <c r="K1957" s="1314"/>
      <c r="L1957" s="1291"/>
      <c r="M1957" s="1316"/>
      <c r="N1957" s="1291"/>
      <c r="O1957" s="1291"/>
      <c r="P1957" s="1317"/>
      <c r="Q1957" s="1291"/>
    </row>
    <row r="1958">
      <c r="A1958" s="1160"/>
      <c r="B1958" s="1313"/>
      <c r="C1958" s="940"/>
      <c r="D1958" s="940"/>
      <c r="E1958" s="1291"/>
      <c r="F1958" s="1314"/>
      <c r="G1958" s="1315"/>
      <c r="H1958" s="1315"/>
      <c r="I1958" s="1315"/>
      <c r="J1958" s="1314"/>
      <c r="K1958" s="1314"/>
      <c r="L1958" s="1291"/>
      <c r="M1958" s="1316"/>
      <c r="N1958" s="1291"/>
      <c r="O1958" s="1291"/>
      <c r="P1958" s="1317"/>
      <c r="Q1958" s="1291"/>
    </row>
    <row r="1959">
      <c r="A1959" s="1160"/>
      <c r="B1959" s="1313"/>
      <c r="C1959" s="940"/>
      <c r="D1959" s="940"/>
      <c r="E1959" s="1291"/>
      <c r="F1959" s="1314"/>
      <c r="G1959" s="1315"/>
      <c r="H1959" s="1315"/>
      <c r="I1959" s="1315"/>
      <c r="J1959" s="1314"/>
      <c r="K1959" s="1314"/>
      <c r="L1959" s="1291"/>
      <c r="M1959" s="1316"/>
      <c r="N1959" s="1291"/>
      <c r="O1959" s="1291"/>
      <c r="P1959" s="1317"/>
      <c r="Q1959" s="1291"/>
    </row>
    <row r="1960">
      <c r="A1960" s="1160"/>
      <c r="B1960" s="1313"/>
      <c r="C1960" s="940"/>
      <c r="D1960" s="940"/>
      <c r="E1960" s="1291"/>
      <c r="F1960" s="1314"/>
      <c r="G1960" s="1315"/>
      <c r="H1960" s="1315"/>
      <c r="I1960" s="1315"/>
      <c r="J1960" s="1314"/>
      <c r="K1960" s="1314"/>
      <c r="L1960" s="1291"/>
      <c r="M1960" s="1316"/>
      <c r="N1960" s="1291"/>
      <c r="O1960" s="1291"/>
      <c r="P1960" s="1317"/>
      <c r="Q1960" s="1291"/>
    </row>
    <row r="1961">
      <c r="A1961" s="1160"/>
      <c r="B1961" s="1313"/>
      <c r="C1961" s="940"/>
      <c r="D1961" s="940"/>
      <c r="E1961" s="1291"/>
      <c r="F1961" s="1314"/>
      <c r="G1961" s="1315"/>
      <c r="H1961" s="1315"/>
      <c r="I1961" s="1315"/>
      <c r="J1961" s="1314"/>
      <c r="K1961" s="1314"/>
      <c r="L1961" s="1291"/>
      <c r="M1961" s="1316"/>
      <c r="N1961" s="1291"/>
      <c r="O1961" s="1291"/>
      <c r="P1961" s="1317"/>
      <c r="Q1961" s="1291"/>
    </row>
    <row r="1962">
      <c r="A1962" s="1160"/>
      <c r="B1962" s="1313"/>
      <c r="C1962" s="940"/>
      <c r="D1962" s="940"/>
      <c r="E1962" s="1291"/>
      <c r="F1962" s="1314"/>
      <c r="G1962" s="1315"/>
      <c r="H1962" s="1315"/>
      <c r="I1962" s="1315"/>
      <c r="J1962" s="1314"/>
      <c r="K1962" s="1314"/>
      <c r="L1962" s="1291"/>
      <c r="M1962" s="1316"/>
      <c r="N1962" s="1291"/>
      <c r="O1962" s="1291"/>
      <c r="P1962" s="1317"/>
      <c r="Q1962" s="1291"/>
    </row>
    <row r="1963">
      <c r="A1963" s="1160"/>
      <c r="B1963" s="1313"/>
      <c r="C1963" s="940"/>
      <c r="D1963" s="940"/>
      <c r="E1963" s="1291"/>
      <c r="F1963" s="1314"/>
      <c r="G1963" s="1315"/>
      <c r="H1963" s="1315"/>
      <c r="I1963" s="1315"/>
      <c r="J1963" s="1314"/>
      <c r="K1963" s="1314"/>
      <c r="L1963" s="1291"/>
      <c r="M1963" s="1316"/>
      <c r="N1963" s="1291"/>
      <c r="O1963" s="1291"/>
      <c r="P1963" s="1317"/>
      <c r="Q1963" s="1291"/>
    </row>
    <row r="1964">
      <c r="A1964" s="1160"/>
      <c r="B1964" s="1313"/>
      <c r="C1964" s="940"/>
      <c r="D1964" s="940"/>
      <c r="E1964" s="1291"/>
      <c r="F1964" s="1314"/>
      <c r="G1964" s="1315"/>
      <c r="H1964" s="1315"/>
      <c r="I1964" s="1315"/>
      <c r="J1964" s="1314"/>
      <c r="K1964" s="1314"/>
      <c r="L1964" s="1291"/>
      <c r="M1964" s="1316"/>
      <c r="N1964" s="1291"/>
      <c r="O1964" s="1291"/>
      <c r="P1964" s="1317"/>
      <c r="Q1964" s="1291"/>
    </row>
    <row r="1965">
      <c r="A1965" s="1160"/>
      <c r="B1965" s="1313"/>
      <c r="C1965" s="940"/>
      <c r="D1965" s="940"/>
      <c r="E1965" s="1291"/>
      <c r="F1965" s="1314"/>
      <c r="G1965" s="1315"/>
      <c r="H1965" s="1315"/>
      <c r="I1965" s="1315"/>
      <c r="J1965" s="1314"/>
      <c r="K1965" s="1314"/>
      <c r="L1965" s="1291"/>
      <c r="M1965" s="1316"/>
      <c r="N1965" s="1291"/>
      <c r="O1965" s="1291"/>
      <c r="P1965" s="1317"/>
      <c r="Q1965" s="1291"/>
    </row>
    <row r="1966">
      <c r="A1966" s="1160"/>
      <c r="B1966" s="1313"/>
      <c r="C1966" s="940"/>
      <c r="D1966" s="940"/>
      <c r="E1966" s="1291"/>
      <c r="F1966" s="1314"/>
      <c r="G1966" s="1315"/>
      <c r="H1966" s="1315"/>
      <c r="I1966" s="1315"/>
      <c r="J1966" s="1314"/>
      <c r="K1966" s="1314"/>
      <c r="L1966" s="1291"/>
      <c r="M1966" s="1316"/>
      <c r="N1966" s="1291"/>
      <c r="O1966" s="1291"/>
      <c r="P1966" s="1317"/>
      <c r="Q1966" s="1291"/>
    </row>
    <row r="1967">
      <c r="A1967" s="1160"/>
      <c r="B1967" s="1313"/>
      <c r="C1967" s="940"/>
      <c r="D1967" s="940"/>
      <c r="E1967" s="1291"/>
      <c r="F1967" s="1314"/>
      <c r="G1967" s="1315"/>
      <c r="H1967" s="1315"/>
      <c r="I1967" s="1315"/>
      <c r="J1967" s="1314"/>
      <c r="K1967" s="1314"/>
      <c r="L1967" s="1291"/>
      <c r="M1967" s="1316"/>
      <c r="N1967" s="1291"/>
      <c r="O1967" s="1291"/>
      <c r="P1967" s="1317"/>
      <c r="Q1967" s="1291"/>
    </row>
    <row r="1968">
      <c r="A1968" s="1160"/>
      <c r="B1968" s="1313"/>
      <c r="C1968" s="940"/>
      <c r="D1968" s="940"/>
      <c r="E1968" s="1291"/>
      <c r="F1968" s="1314"/>
      <c r="G1968" s="1315"/>
      <c r="H1968" s="1315"/>
      <c r="I1968" s="1315"/>
      <c r="J1968" s="1314"/>
      <c r="K1968" s="1314"/>
      <c r="L1968" s="1291"/>
      <c r="M1968" s="1316"/>
      <c r="N1968" s="1291"/>
      <c r="O1968" s="1291"/>
      <c r="P1968" s="1317"/>
      <c r="Q1968" s="1291"/>
    </row>
    <row r="1969">
      <c r="A1969" s="1160"/>
      <c r="B1969" s="1313"/>
      <c r="C1969" s="940"/>
      <c r="D1969" s="940"/>
      <c r="E1969" s="1291"/>
      <c r="F1969" s="1314"/>
      <c r="G1969" s="1315"/>
      <c r="H1969" s="1315"/>
      <c r="I1969" s="1315"/>
      <c r="J1969" s="1314"/>
      <c r="K1969" s="1314"/>
      <c r="L1969" s="1291"/>
      <c r="M1969" s="1316"/>
      <c r="N1969" s="1291"/>
      <c r="O1969" s="1291"/>
      <c r="P1969" s="1317"/>
      <c r="Q1969" s="1291"/>
    </row>
    <row r="1970">
      <c r="A1970" s="1160"/>
      <c r="B1970" s="1313"/>
      <c r="C1970" s="940"/>
      <c r="D1970" s="940"/>
      <c r="E1970" s="1291"/>
      <c r="F1970" s="1314"/>
      <c r="G1970" s="1315"/>
      <c r="H1970" s="1315"/>
      <c r="I1970" s="1315"/>
      <c r="J1970" s="1314"/>
      <c r="K1970" s="1314"/>
      <c r="L1970" s="1291"/>
      <c r="M1970" s="1316"/>
      <c r="N1970" s="1291"/>
      <c r="O1970" s="1291"/>
      <c r="P1970" s="1317"/>
      <c r="Q1970" s="1291"/>
    </row>
    <row r="1971">
      <c r="A1971" s="1160"/>
      <c r="B1971" s="1313"/>
      <c r="C1971" s="940"/>
      <c r="D1971" s="940"/>
      <c r="E1971" s="1291"/>
      <c r="F1971" s="1314"/>
      <c r="G1971" s="1315"/>
      <c r="H1971" s="1315"/>
      <c r="I1971" s="1315"/>
      <c r="J1971" s="1314"/>
      <c r="K1971" s="1314"/>
      <c r="L1971" s="1291"/>
      <c r="M1971" s="1316"/>
      <c r="N1971" s="1291"/>
      <c r="O1971" s="1291"/>
      <c r="P1971" s="1317"/>
      <c r="Q1971" s="1291"/>
    </row>
    <row r="1972">
      <c r="A1972" s="1160"/>
      <c r="B1972" s="1313"/>
      <c r="C1972" s="940"/>
      <c r="D1972" s="940"/>
      <c r="E1972" s="1291"/>
      <c r="F1972" s="1314"/>
      <c r="G1972" s="1315"/>
      <c r="H1972" s="1315"/>
      <c r="I1972" s="1315"/>
      <c r="J1972" s="1314"/>
      <c r="K1972" s="1314"/>
      <c r="L1972" s="1291"/>
      <c r="M1972" s="1316"/>
      <c r="N1972" s="1291"/>
      <c r="O1972" s="1291"/>
      <c r="P1972" s="1317"/>
      <c r="Q1972" s="1291"/>
    </row>
    <row r="1973">
      <c r="A1973" s="1160"/>
      <c r="B1973" s="1313"/>
      <c r="C1973" s="940"/>
      <c r="D1973" s="940"/>
      <c r="E1973" s="1291"/>
      <c r="F1973" s="1314"/>
      <c r="G1973" s="1315"/>
      <c r="H1973" s="1315"/>
      <c r="I1973" s="1315"/>
      <c r="J1973" s="1314"/>
      <c r="K1973" s="1314"/>
      <c r="L1973" s="1291"/>
      <c r="M1973" s="1316"/>
      <c r="N1973" s="1291"/>
      <c r="O1973" s="1291"/>
      <c r="P1973" s="1317"/>
      <c r="Q1973" s="1291"/>
    </row>
    <row r="1974">
      <c r="A1974" s="1160"/>
      <c r="B1974" s="1313"/>
      <c r="C1974" s="940"/>
      <c r="D1974" s="940"/>
      <c r="E1974" s="1291"/>
      <c r="F1974" s="1314"/>
      <c r="G1974" s="1315"/>
      <c r="H1974" s="1315"/>
      <c r="I1974" s="1315"/>
      <c r="J1974" s="1314"/>
      <c r="K1974" s="1314"/>
      <c r="L1974" s="1291"/>
      <c r="M1974" s="1316"/>
      <c r="N1974" s="1291"/>
      <c r="O1974" s="1291"/>
      <c r="P1974" s="1317"/>
      <c r="Q1974" s="1291"/>
    </row>
    <row r="1975">
      <c r="A1975" s="1160"/>
      <c r="B1975" s="1313"/>
      <c r="C1975" s="940"/>
      <c r="D1975" s="940"/>
      <c r="E1975" s="1291"/>
      <c r="F1975" s="1314"/>
      <c r="G1975" s="1315"/>
      <c r="H1975" s="1315"/>
      <c r="I1975" s="1315"/>
      <c r="J1975" s="1314"/>
      <c r="K1975" s="1314"/>
      <c r="L1975" s="1291"/>
      <c r="M1975" s="1316"/>
      <c r="N1975" s="1291"/>
      <c r="O1975" s="1291"/>
      <c r="P1975" s="1317"/>
      <c r="Q1975" s="1291"/>
    </row>
    <row r="1976">
      <c r="A1976" s="1160"/>
      <c r="B1976" s="1313"/>
      <c r="C1976" s="940"/>
      <c r="D1976" s="940"/>
      <c r="E1976" s="1291"/>
      <c r="F1976" s="1314"/>
      <c r="G1976" s="1315"/>
      <c r="H1976" s="1315"/>
      <c r="I1976" s="1315"/>
      <c r="J1976" s="1314"/>
      <c r="K1976" s="1314"/>
      <c r="L1976" s="1291"/>
      <c r="M1976" s="1316"/>
      <c r="N1976" s="1291"/>
      <c r="O1976" s="1291"/>
      <c r="P1976" s="1317"/>
      <c r="Q1976" s="1291"/>
    </row>
    <row r="1977">
      <c r="A1977" s="1160"/>
      <c r="B1977" s="1313"/>
      <c r="C1977" s="940"/>
      <c r="D1977" s="940"/>
      <c r="E1977" s="1291"/>
      <c r="F1977" s="1314"/>
      <c r="G1977" s="1315"/>
      <c r="H1977" s="1315"/>
      <c r="I1977" s="1315"/>
      <c r="J1977" s="1314"/>
      <c r="K1977" s="1314"/>
      <c r="L1977" s="1291"/>
      <c r="M1977" s="1316"/>
      <c r="N1977" s="1291"/>
      <c r="O1977" s="1291"/>
      <c r="P1977" s="1317"/>
      <c r="Q1977" s="1291"/>
    </row>
    <row r="1978">
      <c r="A1978" s="1160"/>
      <c r="B1978" s="1313"/>
      <c r="C1978" s="940"/>
      <c r="D1978" s="940"/>
      <c r="E1978" s="1291"/>
      <c r="F1978" s="1314"/>
      <c r="G1978" s="1315"/>
      <c r="H1978" s="1315"/>
      <c r="I1978" s="1315"/>
      <c r="J1978" s="1314"/>
      <c r="K1978" s="1314"/>
      <c r="L1978" s="1291"/>
      <c r="M1978" s="1316"/>
      <c r="N1978" s="1291"/>
      <c r="O1978" s="1291"/>
      <c r="P1978" s="1317"/>
      <c r="Q1978" s="1291"/>
    </row>
    <row r="1979">
      <c r="A1979" s="1160"/>
      <c r="B1979" s="1313"/>
      <c r="C1979" s="940"/>
      <c r="D1979" s="940"/>
      <c r="E1979" s="1291"/>
      <c r="F1979" s="1314"/>
      <c r="G1979" s="1315"/>
      <c r="H1979" s="1315"/>
      <c r="I1979" s="1315"/>
      <c r="J1979" s="1314"/>
      <c r="K1979" s="1314"/>
      <c r="L1979" s="1291"/>
      <c r="M1979" s="1316"/>
      <c r="N1979" s="1291"/>
      <c r="O1979" s="1291"/>
      <c r="P1979" s="1317"/>
      <c r="Q1979" s="1291"/>
    </row>
    <row r="1980">
      <c r="A1980" s="1160"/>
      <c r="B1980" s="1313"/>
      <c r="C1980" s="940"/>
      <c r="D1980" s="940"/>
      <c r="E1980" s="1291"/>
      <c r="F1980" s="1314"/>
      <c r="G1980" s="1315"/>
      <c r="H1980" s="1315"/>
      <c r="I1980" s="1315"/>
      <c r="J1980" s="1314"/>
      <c r="K1980" s="1314"/>
      <c r="L1980" s="1291"/>
      <c r="M1980" s="1316"/>
      <c r="N1980" s="1291"/>
      <c r="O1980" s="1291"/>
      <c r="P1980" s="1317"/>
      <c r="Q1980" s="1291"/>
    </row>
    <row r="1981">
      <c r="A1981" s="1160"/>
      <c r="B1981" s="1313"/>
      <c r="C1981" s="940"/>
      <c r="D1981" s="940"/>
      <c r="E1981" s="1291"/>
      <c r="F1981" s="1314"/>
      <c r="G1981" s="1315"/>
      <c r="H1981" s="1315"/>
      <c r="I1981" s="1315"/>
      <c r="J1981" s="1314"/>
      <c r="K1981" s="1314"/>
      <c r="L1981" s="1291"/>
      <c r="M1981" s="1316"/>
      <c r="N1981" s="1291"/>
      <c r="O1981" s="1291"/>
      <c r="P1981" s="1317"/>
      <c r="Q1981" s="1291"/>
    </row>
    <row r="1982">
      <c r="A1982" s="1160"/>
      <c r="B1982" s="1313"/>
      <c r="C1982" s="940"/>
      <c r="D1982" s="940"/>
      <c r="E1982" s="1291"/>
      <c r="F1982" s="1314"/>
      <c r="G1982" s="1315"/>
      <c r="H1982" s="1315"/>
      <c r="I1982" s="1315"/>
      <c r="J1982" s="1314"/>
      <c r="K1982" s="1314"/>
      <c r="L1982" s="1291"/>
      <c r="M1982" s="1316"/>
      <c r="N1982" s="1291"/>
      <c r="O1982" s="1291"/>
      <c r="P1982" s="1317"/>
      <c r="Q1982" s="1291"/>
    </row>
    <row r="1983">
      <c r="A1983" s="1160"/>
      <c r="B1983" s="1313"/>
      <c r="C1983" s="940"/>
      <c r="D1983" s="940"/>
      <c r="E1983" s="1291"/>
      <c r="F1983" s="1314"/>
      <c r="G1983" s="1315"/>
      <c r="H1983" s="1315"/>
      <c r="I1983" s="1315"/>
      <c r="J1983" s="1314"/>
      <c r="K1983" s="1314"/>
      <c r="L1983" s="1291"/>
      <c r="M1983" s="1316"/>
      <c r="N1983" s="1291"/>
      <c r="O1983" s="1291"/>
      <c r="P1983" s="1317"/>
      <c r="Q1983" s="1291"/>
    </row>
    <row r="1984">
      <c r="A1984" s="1160"/>
      <c r="B1984" s="1313"/>
      <c r="C1984" s="940"/>
      <c r="D1984" s="940"/>
      <c r="E1984" s="1291"/>
      <c r="F1984" s="1314"/>
      <c r="G1984" s="1315"/>
      <c r="H1984" s="1315"/>
      <c r="I1984" s="1315"/>
      <c r="J1984" s="1314"/>
      <c r="K1984" s="1314"/>
      <c r="L1984" s="1291"/>
      <c r="M1984" s="1316"/>
      <c r="N1984" s="1291"/>
      <c r="O1984" s="1291"/>
      <c r="P1984" s="1317"/>
      <c r="Q1984" s="1291"/>
    </row>
    <row r="1985">
      <c r="A1985" s="1160"/>
      <c r="B1985" s="1313"/>
      <c r="C1985" s="940"/>
      <c r="D1985" s="940"/>
      <c r="E1985" s="1291"/>
      <c r="F1985" s="1314"/>
      <c r="G1985" s="1315"/>
      <c r="H1985" s="1315"/>
      <c r="I1985" s="1315"/>
      <c r="J1985" s="1314"/>
      <c r="K1985" s="1314"/>
      <c r="L1985" s="1291"/>
      <c r="M1985" s="1316"/>
      <c r="N1985" s="1291"/>
      <c r="O1985" s="1291"/>
      <c r="P1985" s="1317"/>
      <c r="Q1985" s="1291"/>
    </row>
    <row r="1986">
      <c r="A1986" s="1160"/>
      <c r="B1986" s="1313"/>
      <c r="C1986" s="940"/>
      <c r="D1986" s="940"/>
      <c r="E1986" s="1291"/>
      <c r="F1986" s="1314"/>
      <c r="G1986" s="1315"/>
      <c r="H1986" s="1315"/>
      <c r="I1986" s="1315"/>
      <c r="J1986" s="1314"/>
      <c r="K1986" s="1314"/>
      <c r="L1986" s="1291"/>
      <c r="M1986" s="1316"/>
      <c r="N1986" s="1291"/>
      <c r="O1986" s="1291"/>
      <c r="P1986" s="1317"/>
      <c r="Q1986" s="1291"/>
    </row>
    <row r="1987">
      <c r="A1987" s="1160"/>
      <c r="B1987" s="1313"/>
      <c r="C1987" s="940"/>
      <c r="D1987" s="940"/>
      <c r="E1987" s="1291"/>
      <c r="F1987" s="1314"/>
      <c r="G1987" s="1315"/>
      <c r="H1987" s="1315"/>
      <c r="I1987" s="1315"/>
      <c r="J1987" s="1314"/>
      <c r="K1987" s="1314"/>
      <c r="L1987" s="1291"/>
      <c r="M1987" s="1316"/>
      <c r="N1987" s="1291"/>
      <c r="O1987" s="1291"/>
      <c r="P1987" s="1317"/>
      <c r="Q1987" s="1291"/>
    </row>
    <row r="1988">
      <c r="A1988" s="1160"/>
      <c r="B1988" s="1313"/>
      <c r="C1988" s="940"/>
      <c r="D1988" s="940"/>
      <c r="E1988" s="1291"/>
      <c r="F1988" s="1314"/>
      <c r="G1988" s="1315"/>
      <c r="H1988" s="1315"/>
      <c r="I1988" s="1315"/>
      <c r="J1988" s="1314"/>
      <c r="K1988" s="1314"/>
      <c r="L1988" s="1291"/>
      <c r="M1988" s="1316"/>
      <c r="N1988" s="1291"/>
      <c r="O1988" s="1291"/>
      <c r="P1988" s="1317"/>
      <c r="Q1988" s="1291"/>
    </row>
    <row r="1989">
      <c r="A1989" s="1160"/>
      <c r="B1989" s="1313"/>
      <c r="C1989" s="940"/>
      <c r="D1989" s="940"/>
      <c r="E1989" s="1291"/>
      <c r="F1989" s="1314"/>
      <c r="G1989" s="1315"/>
      <c r="H1989" s="1315"/>
      <c r="I1989" s="1315"/>
      <c r="J1989" s="1314"/>
      <c r="K1989" s="1314"/>
      <c r="L1989" s="1291"/>
      <c r="M1989" s="1316"/>
      <c r="N1989" s="1291"/>
      <c r="O1989" s="1291"/>
      <c r="P1989" s="1317"/>
      <c r="Q1989" s="1291"/>
    </row>
    <row r="1990">
      <c r="A1990" s="1160"/>
      <c r="B1990" s="1313"/>
      <c r="C1990" s="940"/>
      <c r="D1990" s="940"/>
      <c r="E1990" s="1291"/>
      <c r="F1990" s="1314"/>
      <c r="G1990" s="1315"/>
      <c r="H1990" s="1315"/>
      <c r="I1990" s="1315"/>
      <c r="J1990" s="1314"/>
      <c r="K1990" s="1314"/>
      <c r="L1990" s="1291"/>
      <c r="M1990" s="1316"/>
      <c r="N1990" s="1291"/>
      <c r="O1990" s="1291"/>
      <c r="P1990" s="1317"/>
      <c r="Q1990" s="1291"/>
    </row>
    <row r="1991">
      <c r="A1991" s="1160"/>
      <c r="B1991" s="1313"/>
      <c r="C1991" s="940"/>
      <c r="D1991" s="940"/>
      <c r="E1991" s="1291"/>
      <c r="F1991" s="1314"/>
      <c r="G1991" s="1315"/>
      <c r="H1991" s="1315"/>
      <c r="I1991" s="1315"/>
      <c r="J1991" s="1314"/>
      <c r="K1991" s="1314"/>
      <c r="L1991" s="1291"/>
      <c r="M1991" s="1316"/>
      <c r="N1991" s="1291"/>
      <c r="O1991" s="1291"/>
      <c r="P1991" s="1317"/>
      <c r="Q1991" s="1291"/>
    </row>
    <row r="1992">
      <c r="A1992" s="1160"/>
      <c r="B1992" s="1313"/>
      <c r="C1992" s="940"/>
      <c r="D1992" s="940"/>
      <c r="E1992" s="1291"/>
      <c r="F1992" s="1314"/>
      <c r="G1992" s="1315"/>
      <c r="H1992" s="1315"/>
      <c r="I1992" s="1315"/>
      <c r="J1992" s="1314"/>
      <c r="K1992" s="1314"/>
      <c r="L1992" s="1291"/>
      <c r="M1992" s="1316"/>
      <c r="N1992" s="1291"/>
      <c r="O1992" s="1291"/>
      <c r="P1992" s="1317"/>
      <c r="Q1992" s="1291"/>
    </row>
    <row r="1993">
      <c r="A1993" s="1160"/>
      <c r="B1993" s="1313"/>
      <c r="C1993" s="940"/>
      <c r="D1993" s="940"/>
      <c r="E1993" s="1291"/>
      <c r="F1993" s="1314"/>
      <c r="G1993" s="1315"/>
      <c r="H1993" s="1315"/>
      <c r="I1993" s="1315"/>
      <c r="J1993" s="1314"/>
      <c r="K1993" s="1314"/>
      <c r="L1993" s="1291"/>
      <c r="M1993" s="1316"/>
      <c r="N1993" s="1291"/>
      <c r="O1993" s="1291"/>
      <c r="P1993" s="1317"/>
      <c r="Q1993" s="1291"/>
    </row>
    <row r="1994">
      <c r="A1994" s="1160"/>
      <c r="B1994" s="1313"/>
      <c r="C1994" s="940"/>
      <c r="D1994" s="940"/>
      <c r="E1994" s="1291"/>
      <c r="F1994" s="1314"/>
      <c r="G1994" s="1315"/>
      <c r="H1994" s="1315"/>
      <c r="I1994" s="1315"/>
      <c r="J1994" s="1314"/>
      <c r="K1994" s="1314"/>
      <c r="L1994" s="1291"/>
      <c r="M1994" s="1316"/>
      <c r="N1994" s="1291"/>
      <c r="O1994" s="1291"/>
      <c r="P1994" s="1317"/>
      <c r="Q1994" s="1291"/>
    </row>
    <row r="1995">
      <c r="A1995" s="1160"/>
      <c r="B1995" s="1313"/>
      <c r="C1995" s="940"/>
      <c r="D1995" s="940"/>
      <c r="E1995" s="1291"/>
      <c r="F1995" s="1314"/>
      <c r="G1995" s="1315"/>
      <c r="H1995" s="1315"/>
      <c r="I1995" s="1315"/>
      <c r="J1995" s="1314"/>
      <c r="K1995" s="1314"/>
      <c r="L1995" s="1291"/>
      <c r="M1995" s="1316"/>
      <c r="N1995" s="1291"/>
      <c r="O1995" s="1291"/>
      <c r="P1995" s="1317"/>
      <c r="Q1995" s="1291"/>
    </row>
    <row r="1996">
      <c r="A1996" s="1160"/>
      <c r="B1996" s="1313"/>
      <c r="C1996" s="940"/>
      <c r="D1996" s="940"/>
      <c r="E1996" s="1291"/>
      <c r="F1996" s="1314"/>
      <c r="G1996" s="1315"/>
      <c r="H1996" s="1315"/>
      <c r="I1996" s="1315"/>
      <c r="J1996" s="1314"/>
      <c r="K1996" s="1314"/>
      <c r="L1996" s="1291"/>
      <c r="M1996" s="1316"/>
      <c r="N1996" s="1291"/>
      <c r="O1996" s="1291"/>
      <c r="P1996" s="1317"/>
      <c r="Q1996" s="1291"/>
    </row>
    <row r="1997">
      <c r="A1997" s="1160"/>
      <c r="B1997" s="1313"/>
      <c r="C1997" s="940"/>
      <c r="D1997" s="940"/>
      <c r="E1997" s="1291"/>
      <c r="F1997" s="1314"/>
      <c r="G1997" s="1315"/>
      <c r="H1997" s="1315"/>
      <c r="I1997" s="1315"/>
      <c r="J1997" s="1314"/>
      <c r="K1997" s="1314"/>
      <c r="L1997" s="1291"/>
      <c r="M1997" s="1316"/>
      <c r="N1997" s="1291"/>
      <c r="O1997" s="1291"/>
      <c r="P1997" s="1317"/>
      <c r="Q1997" s="1291"/>
    </row>
    <row r="1998">
      <c r="A1998" s="1160"/>
      <c r="B1998" s="1313"/>
      <c r="C1998" s="940"/>
      <c r="D1998" s="940"/>
      <c r="E1998" s="1291"/>
      <c r="F1998" s="1314"/>
      <c r="G1998" s="1315"/>
      <c r="H1998" s="1315"/>
      <c r="I1998" s="1315"/>
      <c r="J1998" s="1314"/>
      <c r="K1998" s="1314"/>
      <c r="L1998" s="1291"/>
      <c r="M1998" s="1316"/>
      <c r="N1998" s="1291"/>
      <c r="O1998" s="1291"/>
      <c r="P1998" s="1317"/>
      <c r="Q1998" s="1291"/>
    </row>
    <row r="1999">
      <c r="A1999" s="1160"/>
      <c r="B1999" s="1313"/>
      <c r="C1999" s="940"/>
      <c r="D1999" s="940"/>
      <c r="E1999" s="1291"/>
      <c r="F1999" s="1314"/>
      <c r="G1999" s="1315"/>
      <c r="H1999" s="1315"/>
      <c r="I1999" s="1315"/>
      <c r="J1999" s="1314"/>
      <c r="K1999" s="1314"/>
      <c r="L1999" s="1291"/>
      <c r="M1999" s="1316"/>
      <c r="N1999" s="1291"/>
      <c r="O1999" s="1291"/>
      <c r="P1999" s="1317"/>
      <c r="Q1999" s="1291"/>
    </row>
    <row r="2000">
      <c r="A2000" s="1160"/>
      <c r="B2000" s="1313"/>
      <c r="C2000" s="940"/>
      <c r="D2000" s="940"/>
      <c r="E2000" s="1291"/>
      <c r="F2000" s="1314"/>
      <c r="G2000" s="1315"/>
      <c r="H2000" s="1315"/>
      <c r="I2000" s="1315"/>
      <c r="J2000" s="1314"/>
      <c r="K2000" s="1314"/>
      <c r="L2000" s="1291"/>
      <c r="M2000" s="1316"/>
      <c r="N2000" s="1291"/>
      <c r="O2000" s="1291"/>
      <c r="P2000" s="1317"/>
      <c r="Q2000" s="1291"/>
    </row>
    <row r="2001">
      <c r="A2001" s="1160"/>
      <c r="B2001" s="1313"/>
      <c r="C2001" s="940"/>
      <c r="D2001" s="940"/>
      <c r="E2001" s="1291"/>
      <c r="F2001" s="1314"/>
      <c r="G2001" s="1315"/>
      <c r="H2001" s="1315"/>
      <c r="I2001" s="1315"/>
      <c r="J2001" s="1314"/>
      <c r="K2001" s="1314"/>
      <c r="L2001" s="1291"/>
      <c r="M2001" s="1316"/>
      <c r="N2001" s="1291"/>
      <c r="O2001" s="1291"/>
      <c r="P2001" s="1317"/>
      <c r="Q2001" s="1291"/>
    </row>
    <row r="2002">
      <c r="A2002" s="1160"/>
      <c r="B2002" s="1313"/>
      <c r="C2002" s="940"/>
      <c r="D2002" s="940"/>
      <c r="E2002" s="1291"/>
      <c r="F2002" s="1314"/>
      <c r="G2002" s="1315"/>
      <c r="H2002" s="1315"/>
      <c r="I2002" s="1315"/>
      <c r="J2002" s="1314"/>
      <c r="K2002" s="1314"/>
      <c r="L2002" s="1291"/>
      <c r="M2002" s="1316"/>
      <c r="N2002" s="1291"/>
      <c r="O2002" s="1291"/>
      <c r="P2002" s="1317"/>
      <c r="Q2002" s="1291"/>
    </row>
    <row r="2003">
      <c r="A2003" s="1160"/>
      <c r="B2003" s="1313"/>
      <c r="C2003" s="940"/>
      <c r="D2003" s="940"/>
      <c r="E2003" s="1291"/>
      <c r="F2003" s="1314"/>
      <c r="G2003" s="1315"/>
      <c r="H2003" s="1315"/>
      <c r="I2003" s="1315"/>
      <c r="J2003" s="1314"/>
      <c r="K2003" s="1314"/>
      <c r="L2003" s="1291"/>
      <c r="M2003" s="1316"/>
      <c r="N2003" s="1291"/>
      <c r="O2003" s="1291"/>
      <c r="P2003" s="1317"/>
      <c r="Q2003" s="1291"/>
    </row>
    <row r="2004">
      <c r="A2004" s="1160"/>
      <c r="B2004" s="1313"/>
      <c r="C2004" s="940"/>
      <c r="D2004" s="940"/>
      <c r="E2004" s="1291"/>
      <c r="F2004" s="1314"/>
      <c r="G2004" s="1315"/>
      <c r="H2004" s="1315"/>
      <c r="I2004" s="1315"/>
      <c r="J2004" s="1314"/>
      <c r="K2004" s="1314"/>
      <c r="L2004" s="1291"/>
      <c r="M2004" s="1316"/>
      <c r="N2004" s="1291"/>
      <c r="O2004" s="1291"/>
      <c r="P2004" s="1317"/>
      <c r="Q2004" s="1291"/>
    </row>
    <row r="2005">
      <c r="A2005" s="1160"/>
      <c r="B2005" s="1313"/>
      <c r="C2005" s="940"/>
      <c r="D2005" s="940"/>
      <c r="E2005" s="1291"/>
      <c r="F2005" s="1314"/>
      <c r="G2005" s="1315"/>
      <c r="H2005" s="1315"/>
      <c r="I2005" s="1315"/>
      <c r="J2005" s="1314"/>
      <c r="K2005" s="1314"/>
      <c r="L2005" s="1291"/>
      <c r="M2005" s="1316"/>
      <c r="N2005" s="1291"/>
      <c r="O2005" s="1291"/>
      <c r="P2005" s="1317"/>
      <c r="Q2005" s="1291"/>
    </row>
    <row r="2006">
      <c r="A2006" s="1160"/>
      <c r="B2006" s="1313"/>
      <c r="C2006" s="940"/>
      <c r="D2006" s="940"/>
      <c r="E2006" s="1291"/>
      <c r="F2006" s="1314"/>
      <c r="G2006" s="1315"/>
      <c r="H2006" s="1315"/>
      <c r="I2006" s="1315"/>
      <c r="J2006" s="1314"/>
      <c r="K2006" s="1314"/>
      <c r="L2006" s="1291"/>
      <c r="M2006" s="1316"/>
      <c r="N2006" s="1291"/>
      <c r="O2006" s="1291"/>
      <c r="P2006" s="1317"/>
      <c r="Q2006" s="1291"/>
    </row>
    <row r="2007">
      <c r="A2007" s="1160"/>
      <c r="B2007" s="1313"/>
      <c r="C2007" s="940"/>
      <c r="D2007" s="940"/>
      <c r="E2007" s="1291"/>
      <c r="F2007" s="1314"/>
      <c r="G2007" s="1315"/>
      <c r="H2007" s="1315"/>
      <c r="I2007" s="1315"/>
      <c r="J2007" s="1314"/>
      <c r="K2007" s="1314"/>
      <c r="L2007" s="1291"/>
      <c r="M2007" s="1316"/>
      <c r="N2007" s="1291"/>
      <c r="O2007" s="1291"/>
      <c r="P2007" s="1317"/>
      <c r="Q2007" s="1291"/>
    </row>
    <row r="2008">
      <c r="A2008" s="1160"/>
      <c r="B2008" s="1313"/>
      <c r="C2008" s="940"/>
      <c r="D2008" s="940"/>
      <c r="E2008" s="1291"/>
      <c r="F2008" s="1314"/>
      <c r="G2008" s="1315"/>
      <c r="H2008" s="1315"/>
      <c r="I2008" s="1315"/>
      <c r="J2008" s="1314"/>
      <c r="K2008" s="1314"/>
      <c r="L2008" s="1291"/>
      <c r="M2008" s="1316"/>
      <c r="N2008" s="1291"/>
      <c r="O2008" s="1291"/>
      <c r="P2008" s="1317"/>
      <c r="Q2008" s="1291"/>
    </row>
    <row r="2009">
      <c r="A2009" s="1160"/>
      <c r="B2009" s="1313"/>
      <c r="C2009" s="940"/>
      <c r="D2009" s="940"/>
      <c r="E2009" s="1291"/>
      <c r="F2009" s="1314"/>
      <c r="G2009" s="1315"/>
      <c r="H2009" s="1315"/>
      <c r="I2009" s="1315"/>
      <c r="J2009" s="1314"/>
      <c r="K2009" s="1314"/>
      <c r="L2009" s="1291"/>
      <c r="M2009" s="1316"/>
      <c r="N2009" s="1291"/>
      <c r="O2009" s="1291"/>
      <c r="P2009" s="1317"/>
      <c r="Q2009" s="1291"/>
    </row>
    <row r="2010">
      <c r="A2010" s="1160"/>
      <c r="B2010" s="1313"/>
      <c r="C2010" s="940"/>
      <c r="D2010" s="940"/>
      <c r="E2010" s="1291"/>
      <c r="F2010" s="1314"/>
      <c r="G2010" s="1315"/>
      <c r="H2010" s="1315"/>
      <c r="I2010" s="1315"/>
      <c r="J2010" s="1314"/>
      <c r="K2010" s="1314"/>
      <c r="L2010" s="1291"/>
      <c r="M2010" s="1316"/>
      <c r="N2010" s="1291"/>
      <c r="O2010" s="1291"/>
      <c r="P2010" s="1317"/>
      <c r="Q2010" s="1291"/>
    </row>
    <row r="2011">
      <c r="A2011" s="1160"/>
      <c r="B2011" s="1313"/>
      <c r="C2011" s="940"/>
      <c r="D2011" s="940"/>
      <c r="E2011" s="1291"/>
      <c r="F2011" s="1314"/>
      <c r="G2011" s="1315"/>
      <c r="H2011" s="1315"/>
      <c r="I2011" s="1315"/>
      <c r="J2011" s="1314"/>
      <c r="K2011" s="1314"/>
      <c r="L2011" s="1291"/>
      <c r="M2011" s="1316"/>
      <c r="N2011" s="1291"/>
      <c r="O2011" s="1291"/>
      <c r="P2011" s="1317"/>
      <c r="Q2011" s="1291"/>
    </row>
    <row r="2012">
      <c r="A2012" s="1160"/>
      <c r="B2012" s="1313"/>
      <c r="C2012" s="940"/>
      <c r="D2012" s="940"/>
      <c r="E2012" s="1291"/>
      <c r="F2012" s="1314"/>
      <c r="G2012" s="1315"/>
      <c r="H2012" s="1315"/>
      <c r="I2012" s="1315"/>
      <c r="J2012" s="1314"/>
      <c r="K2012" s="1314"/>
      <c r="L2012" s="1291"/>
      <c r="M2012" s="1316"/>
      <c r="N2012" s="1291"/>
      <c r="O2012" s="1291"/>
      <c r="P2012" s="1317"/>
      <c r="Q2012" s="1291"/>
    </row>
    <row r="2013">
      <c r="A2013" s="1160"/>
      <c r="B2013" s="1313"/>
      <c r="C2013" s="940"/>
      <c r="D2013" s="940"/>
      <c r="E2013" s="1291"/>
      <c r="F2013" s="1314"/>
      <c r="G2013" s="1315"/>
      <c r="H2013" s="1315"/>
      <c r="I2013" s="1315"/>
      <c r="J2013" s="1314"/>
      <c r="K2013" s="1314"/>
      <c r="L2013" s="1291"/>
      <c r="M2013" s="1316"/>
      <c r="N2013" s="1291"/>
      <c r="O2013" s="1291"/>
      <c r="P2013" s="1317"/>
      <c r="Q2013" s="1291"/>
    </row>
    <row r="2014">
      <c r="A2014" s="1160"/>
      <c r="B2014" s="1313"/>
      <c r="C2014" s="940"/>
      <c r="D2014" s="940"/>
      <c r="E2014" s="1291"/>
      <c r="F2014" s="1314"/>
      <c r="G2014" s="1315"/>
      <c r="H2014" s="1315"/>
      <c r="I2014" s="1315"/>
      <c r="J2014" s="1314"/>
      <c r="K2014" s="1314"/>
      <c r="L2014" s="1291"/>
      <c r="M2014" s="1316"/>
      <c r="N2014" s="1291"/>
      <c r="O2014" s="1291"/>
      <c r="P2014" s="1317"/>
      <c r="Q2014" s="1291"/>
    </row>
    <row r="2015">
      <c r="A2015" s="1160"/>
      <c r="B2015" s="1313"/>
      <c r="C2015" s="940"/>
      <c r="D2015" s="940"/>
      <c r="E2015" s="1291"/>
      <c r="F2015" s="1314"/>
      <c r="G2015" s="1315"/>
      <c r="H2015" s="1315"/>
      <c r="I2015" s="1315"/>
      <c r="J2015" s="1314"/>
      <c r="K2015" s="1314"/>
      <c r="L2015" s="1291"/>
      <c r="M2015" s="1316"/>
      <c r="N2015" s="1291"/>
      <c r="O2015" s="1291"/>
      <c r="P2015" s="1317"/>
      <c r="Q2015" s="1291"/>
    </row>
    <row r="2016">
      <c r="A2016" s="1160"/>
      <c r="B2016" s="1313"/>
      <c r="C2016" s="940"/>
      <c r="D2016" s="940"/>
      <c r="E2016" s="1291"/>
      <c r="F2016" s="1314"/>
      <c r="G2016" s="1315"/>
      <c r="H2016" s="1315"/>
      <c r="I2016" s="1315"/>
      <c r="J2016" s="1314"/>
      <c r="K2016" s="1314"/>
      <c r="L2016" s="1291"/>
      <c r="M2016" s="1316"/>
      <c r="N2016" s="1291"/>
      <c r="O2016" s="1291"/>
      <c r="P2016" s="1317"/>
      <c r="Q2016" s="1291"/>
    </row>
    <row r="2017">
      <c r="A2017" s="1160"/>
      <c r="B2017" s="1313"/>
      <c r="C2017" s="940"/>
      <c r="D2017" s="940"/>
      <c r="E2017" s="1291"/>
      <c r="F2017" s="1314"/>
      <c r="G2017" s="1315"/>
      <c r="H2017" s="1315"/>
      <c r="I2017" s="1315"/>
      <c r="J2017" s="1314"/>
      <c r="K2017" s="1314"/>
      <c r="L2017" s="1291"/>
      <c r="M2017" s="1316"/>
      <c r="N2017" s="1291"/>
      <c r="O2017" s="1291"/>
      <c r="P2017" s="1317"/>
      <c r="Q2017" s="1291"/>
    </row>
    <row r="2018">
      <c r="A2018" s="1160"/>
      <c r="B2018" s="1313"/>
      <c r="C2018" s="940"/>
      <c r="D2018" s="940"/>
      <c r="E2018" s="1291"/>
      <c r="F2018" s="1314"/>
      <c r="G2018" s="1315"/>
      <c r="H2018" s="1315"/>
      <c r="I2018" s="1315"/>
      <c r="J2018" s="1314"/>
      <c r="K2018" s="1314"/>
      <c r="L2018" s="1291"/>
      <c r="M2018" s="1316"/>
      <c r="N2018" s="1291"/>
      <c r="O2018" s="1291"/>
      <c r="P2018" s="1317"/>
      <c r="Q2018" s="1291"/>
    </row>
    <row r="2019">
      <c r="A2019" s="1160"/>
      <c r="B2019" s="1313"/>
      <c r="C2019" s="940"/>
      <c r="D2019" s="940"/>
      <c r="E2019" s="1291"/>
      <c r="F2019" s="1314"/>
      <c r="G2019" s="1315"/>
      <c r="H2019" s="1315"/>
      <c r="I2019" s="1315"/>
      <c r="J2019" s="1314"/>
      <c r="K2019" s="1314"/>
      <c r="L2019" s="1291"/>
      <c r="M2019" s="1316"/>
      <c r="N2019" s="1291"/>
      <c r="O2019" s="1291"/>
      <c r="P2019" s="1317"/>
      <c r="Q2019" s="1291"/>
    </row>
    <row r="2020">
      <c r="A2020" s="1160"/>
      <c r="B2020" s="1313"/>
      <c r="C2020" s="940"/>
      <c r="D2020" s="940"/>
      <c r="E2020" s="1291"/>
      <c r="F2020" s="1314"/>
      <c r="G2020" s="1315"/>
      <c r="H2020" s="1315"/>
      <c r="I2020" s="1315"/>
      <c r="J2020" s="1314"/>
      <c r="K2020" s="1314"/>
      <c r="L2020" s="1291"/>
      <c r="M2020" s="1316"/>
      <c r="N2020" s="1291"/>
      <c r="O2020" s="1291"/>
      <c r="P2020" s="1317"/>
      <c r="Q2020" s="1291"/>
    </row>
    <row r="2021">
      <c r="A2021" s="1160"/>
      <c r="B2021" s="1313"/>
      <c r="C2021" s="940"/>
      <c r="D2021" s="940"/>
      <c r="E2021" s="1291"/>
      <c r="F2021" s="1314"/>
      <c r="G2021" s="1315"/>
      <c r="H2021" s="1315"/>
      <c r="I2021" s="1315"/>
      <c r="J2021" s="1314"/>
      <c r="K2021" s="1314"/>
      <c r="L2021" s="1291"/>
      <c r="M2021" s="1316"/>
      <c r="N2021" s="1291"/>
      <c r="O2021" s="1291"/>
      <c r="P2021" s="1317"/>
      <c r="Q2021" s="1291"/>
    </row>
    <row r="2022">
      <c r="A2022" s="1160"/>
      <c r="B2022" s="1313"/>
      <c r="C2022" s="940"/>
      <c r="D2022" s="940"/>
      <c r="E2022" s="1291"/>
      <c r="F2022" s="1314"/>
      <c r="G2022" s="1315"/>
      <c r="H2022" s="1315"/>
      <c r="I2022" s="1315"/>
      <c r="J2022" s="1314"/>
      <c r="K2022" s="1314"/>
      <c r="L2022" s="1291"/>
      <c r="M2022" s="1316"/>
      <c r="N2022" s="1291"/>
      <c r="O2022" s="1291"/>
      <c r="P2022" s="1317"/>
      <c r="Q2022" s="1291"/>
    </row>
    <row r="2023">
      <c r="A2023" s="1160"/>
      <c r="B2023" s="1313"/>
      <c r="C2023" s="940"/>
      <c r="D2023" s="940"/>
      <c r="E2023" s="1291"/>
      <c r="F2023" s="1314"/>
      <c r="G2023" s="1315"/>
      <c r="H2023" s="1315"/>
      <c r="I2023" s="1315"/>
      <c r="J2023" s="1314"/>
      <c r="K2023" s="1314"/>
      <c r="L2023" s="1291"/>
      <c r="M2023" s="1316"/>
      <c r="N2023" s="1291"/>
      <c r="O2023" s="1291"/>
      <c r="P2023" s="1317"/>
      <c r="Q2023" s="1291"/>
    </row>
    <row r="2024">
      <c r="A2024" s="1160"/>
      <c r="B2024" s="1313"/>
      <c r="C2024" s="940"/>
      <c r="D2024" s="940"/>
      <c r="E2024" s="1291"/>
      <c r="F2024" s="1314"/>
      <c r="G2024" s="1315"/>
      <c r="H2024" s="1315"/>
      <c r="I2024" s="1315"/>
      <c r="J2024" s="1314"/>
      <c r="K2024" s="1314"/>
      <c r="L2024" s="1291"/>
      <c r="M2024" s="1316"/>
      <c r="N2024" s="1291"/>
      <c r="O2024" s="1291"/>
      <c r="P2024" s="1317"/>
      <c r="Q2024" s="1291"/>
    </row>
    <row r="2025">
      <c r="A2025" s="1160"/>
      <c r="B2025" s="1313"/>
      <c r="C2025" s="940"/>
      <c r="D2025" s="940"/>
      <c r="E2025" s="1291"/>
      <c r="F2025" s="1314"/>
      <c r="G2025" s="1315"/>
      <c r="H2025" s="1315"/>
      <c r="I2025" s="1315"/>
      <c r="J2025" s="1314"/>
      <c r="K2025" s="1314"/>
      <c r="L2025" s="1291"/>
      <c r="M2025" s="1316"/>
      <c r="N2025" s="1291"/>
      <c r="O2025" s="1291"/>
      <c r="P2025" s="1317"/>
      <c r="Q2025" s="1291"/>
    </row>
    <row r="2026">
      <c r="A2026" s="1160"/>
      <c r="B2026" s="1313"/>
      <c r="C2026" s="940"/>
      <c r="D2026" s="940"/>
      <c r="E2026" s="1291"/>
      <c r="F2026" s="1314"/>
      <c r="G2026" s="1315"/>
      <c r="H2026" s="1315"/>
      <c r="I2026" s="1315"/>
      <c r="J2026" s="1314"/>
      <c r="K2026" s="1314"/>
      <c r="L2026" s="1291"/>
      <c r="M2026" s="1316"/>
      <c r="N2026" s="1291"/>
      <c r="O2026" s="1291"/>
      <c r="P2026" s="1317"/>
      <c r="Q2026" s="1291"/>
    </row>
    <row r="2027">
      <c r="A2027" s="1160"/>
      <c r="B2027" s="1313"/>
      <c r="C2027" s="940"/>
      <c r="D2027" s="940"/>
      <c r="E2027" s="1291"/>
      <c r="F2027" s="1314"/>
      <c r="G2027" s="1315"/>
      <c r="H2027" s="1315"/>
      <c r="I2027" s="1315"/>
      <c r="J2027" s="1314"/>
      <c r="K2027" s="1314"/>
      <c r="L2027" s="1291"/>
      <c r="M2027" s="1316"/>
      <c r="N2027" s="1291"/>
      <c r="O2027" s="1291"/>
      <c r="P2027" s="1317"/>
      <c r="Q2027" s="1291"/>
    </row>
    <row r="2028">
      <c r="A2028" s="1160"/>
      <c r="B2028" s="1313"/>
      <c r="C2028" s="940"/>
      <c r="D2028" s="940"/>
      <c r="E2028" s="1291"/>
      <c r="F2028" s="1314"/>
      <c r="G2028" s="1315"/>
      <c r="H2028" s="1315"/>
      <c r="I2028" s="1315"/>
      <c r="J2028" s="1314"/>
      <c r="K2028" s="1314"/>
      <c r="L2028" s="1291"/>
      <c r="M2028" s="1316"/>
      <c r="N2028" s="1291"/>
      <c r="O2028" s="1291"/>
      <c r="P2028" s="1317"/>
      <c r="Q2028" s="1291"/>
    </row>
    <row r="2029">
      <c r="A2029" s="1160"/>
      <c r="B2029" s="1313"/>
      <c r="C2029" s="940"/>
      <c r="D2029" s="940"/>
      <c r="E2029" s="1291"/>
      <c r="F2029" s="1314"/>
      <c r="G2029" s="1315"/>
      <c r="H2029" s="1315"/>
      <c r="I2029" s="1315"/>
      <c r="J2029" s="1314"/>
      <c r="K2029" s="1314"/>
      <c r="L2029" s="1291"/>
      <c r="M2029" s="1316"/>
      <c r="N2029" s="1291"/>
      <c r="O2029" s="1291"/>
      <c r="P2029" s="1317"/>
      <c r="Q2029" s="1291"/>
    </row>
    <row r="2030">
      <c r="A2030" s="1160"/>
      <c r="B2030" s="1313"/>
      <c r="C2030" s="940"/>
      <c r="D2030" s="940"/>
      <c r="E2030" s="1291"/>
      <c r="F2030" s="1314"/>
      <c r="G2030" s="1315"/>
      <c r="H2030" s="1315"/>
      <c r="I2030" s="1315"/>
      <c r="J2030" s="1314"/>
      <c r="K2030" s="1314"/>
      <c r="L2030" s="1291"/>
      <c r="M2030" s="1316"/>
      <c r="N2030" s="1291"/>
      <c r="O2030" s="1291"/>
      <c r="P2030" s="1317"/>
      <c r="Q2030" s="1291"/>
    </row>
    <row r="2031">
      <c r="A2031" s="1160"/>
      <c r="B2031" s="1313"/>
      <c r="C2031" s="940"/>
      <c r="D2031" s="940"/>
      <c r="E2031" s="1291"/>
      <c r="F2031" s="1314"/>
      <c r="G2031" s="1315"/>
      <c r="H2031" s="1315"/>
      <c r="I2031" s="1315"/>
      <c r="J2031" s="1314"/>
      <c r="K2031" s="1314"/>
      <c r="L2031" s="1291"/>
      <c r="M2031" s="1316"/>
      <c r="N2031" s="1291"/>
      <c r="O2031" s="1291"/>
      <c r="P2031" s="1317"/>
      <c r="Q2031" s="1291"/>
    </row>
    <row r="2032">
      <c r="A2032" s="1160"/>
      <c r="B2032" s="1313"/>
      <c r="C2032" s="940"/>
      <c r="D2032" s="940"/>
      <c r="E2032" s="1291"/>
      <c r="F2032" s="1314"/>
      <c r="G2032" s="1315"/>
      <c r="H2032" s="1315"/>
      <c r="I2032" s="1315"/>
      <c r="J2032" s="1314"/>
      <c r="K2032" s="1314"/>
      <c r="L2032" s="1291"/>
      <c r="M2032" s="1316"/>
      <c r="N2032" s="1291"/>
      <c r="O2032" s="1291"/>
      <c r="P2032" s="1317"/>
      <c r="Q2032" s="1291"/>
    </row>
    <row r="2033">
      <c r="A2033" s="1160"/>
      <c r="B2033" s="1313"/>
      <c r="C2033" s="940"/>
      <c r="D2033" s="940"/>
      <c r="E2033" s="1291"/>
      <c r="F2033" s="1314"/>
      <c r="G2033" s="1315"/>
      <c r="H2033" s="1315"/>
      <c r="I2033" s="1315"/>
      <c r="J2033" s="1314"/>
      <c r="K2033" s="1314"/>
      <c r="L2033" s="1291"/>
      <c r="M2033" s="1316"/>
      <c r="N2033" s="1291"/>
      <c r="O2033" s="1291"/>
      <c r="P2033" s="1317"/>
      <c r="Q2033" s="1291"/>
    </row>
    <row r="2034">
      <c r="A2034" s="1160"/>
      <c r="B2034" s="1313"/>
      <c r="C2034" s="940"/>
      <c r="D2034" s="940"/>
      <c r="E2034" s="1291"/>
      <c r="F2034" s="1314"/>
      <c r="G2034" s="1315"/>
      <c r="H2034" s="1315"/>
      <c r="I2034" s="1315"/>
      <c r="J2034" s="1314"/>
      <c r="K2034" s="1314"/>
      <c r="L2034" s="1291"/>
      <c r="M2034" s="1316"/>
      <c r="N2034" s="1291"/>
      <c r="O2034" s="1291"/>
      <c r="P2034" s="1317"/>
      <c r="Q2034" s="1291"/>
    </row>
    <row r="2035">
      <c r="A2035" s="1160"/>
      <c r="B2035" s="1313"/>
      <c r="C2035" s="940"/>
      <c r="D2035" s="940"/>
      <c r="E2035" s="1291"/>
      <c r="F2035" s="1314"/>
      <c r="G2035" s="1315"/>
      <c r="H2035" s="1315"/>
      <c r="I2035" s="1315"/>
      <c r="J2035" s="1314"/>
      <c r="K2035" s="1314"/>
      <c r="L2035" s="1291"/>
      <c r="M2035" s="1316"/>
      <c r="N2035" s="1291"/>
      <c r="O2035" s="1291"/>
      <c r="P2035" s="1317"/>
      <c r="Q2035" s="1291"/>
    </row>
    <row r="2036">
      <c r="A2036" s="1160"/>
      <c r="B2036" s="1313"/>
      <c r="C2036" s="940"/>
      <c r="D2036" s="940"/>
      <c r="E2036" s="1291"/>
      <c r="F2036" s="1314"/>
      <c r="G2036" s="1315"/>
      <c r="H2036" s="1315"/>
      <c r="I2036" s="1315"/>
      <c r="J2036" s="1314"/>
      <c r="K2036" s="1314"/>
      <c r="L2036" s="1291"/>
      <c r="M2036" s="1316"/>
      <c r="N2036" s="1291"/>
      <c r="O2036" s="1291"/>
      <c r="P2036" s="1317"/>
      <c r="Q2036" s="1291"/>
    </row>
    <row r="2037">
      <c r="A2037" s="1160"/>
      <c r="B2037" s="1313"/>
      <c r="C2037" s="940"/>
      <c r="D2037" s="940"/>
      <c r="E2037" s="1291"/>
      <c r="F2037" s="1314"/>
      <c r="G2037" s="1315"/>
      <c r="H2037" s="1315"/>
      <c r="I2037" s="1315"/>
      <c r="J2037" s="1314"/>
      <c r="K2037" s="1314"/>
      <c r="L2037" s="1291"/>
      <c r="M2037" s="1316"/>
      <c r="N2037" s="1291"/>
      <c r="O2037" s="1291"/>
      <c r="P2037" s="1317"/>
      <c r="Q2037" s="1291"/>
    </row>
    <row r="2038">
      <c r="A2038" s="1160"/>
      <c r="B2038" s="1313"/>
      <c r="C2038" s="940"/>
      <c r="D2038" s="940"/>
      <c r="E2038" s="1291"/>
      <c r="F2038" s="1314"/>
      <c r="G2038" s="1315"/>
      <c r="H2038" s="1315"/>
      <c r="I2038" s="1315"/>
      <c r="J2038" s="1314"/>
      <c r="K2038" s="1314"/>
      <c r="L2038" s="1291"/>
      <c r="M2038" s="1316"/>
      <c r="N2038" s="1291"/>
      <c r="O2038" s="1291"/>
      <c r="P2038" s="1317"/>
      <c r="Q2038" s="1291"/>
    </row>
    <row r="2039">
      <c r="A2039" s="1160"/>
      <c r="B2039" s="1313"/>
      <c r="C2039" s="940"/>
      <c r="D2039" s="940"/>
      <c r="E2039" s="1291"/>
      <c r="F2039" s="1314"/>
      <c r="G2039" s="1315"/>
      <c r="H2039" s="1315"/>
      <c r="I2039" s="1315"/>
      <c r="J2039" s="1314"/>
      <c r="K2039" s="1314"/>
      <c r="L2039" s="1291"/>
      <c r="M2039" s="1316"/>
      <c r="N2039" s="1291"/>
      <c r="O2039" s="1291"/>
      <c r="P2039" s="1317"/>
      <c r="Q2039" s="1291"/>
    </row>
    <row r="2040">
      <c r="A2040" s="1160"/>
      <c r="B2040" s="1313"/>
      <c r="C2040" s="940"/>
      <c r="D2040" s="940"/>
      <c r="E2040" s="1291"/>
      <c r="F2040" s="1314"/>
      <c r="G2040" s="1315"/>
      <c r="H2040" s="1315"/>
      <c r="I2040" s="1315"/>
      <c r="J2040" s="1314"/>
      <c r="K2040" s="1314"/>
      <c r="L2040" s="1291"/>
      <c r="M2040" s="1316"/>
      <c r="N2040" s="1291"/>
      <c r="O2040" s="1291"/>
      <c r="P2040" s="1317"/>
      <c r="Q2040" s="1291"/>
    </row>
    <row r="2041">
      <c r="A2041" s="1160"/>
      <c r="B2041" s="1313"/>
      <c r="C2041" s="940"/>
      <c r="D2041" s="940"/>
      <c r="E2041" s="1291"/>
      <c r="F2041" s="1314"/>
      <c r="G2041" s="1315"/>
      <c r="H2041" s="1315"/>
      <c r="I2041" s="1315"/>
      <c r="J2041" s="1314"/>
      <c r="K2041" s="1314"/>
      <c r="L2041" s="1291"/>
      <c r="M2041" s="1316"/>
      <c r="N2041" s="1291"/>
      <c r="O2041" s="1291"/>
      <c r="P2041" s="1317"/>
      <c r="Q2041" s="1291"/>
    </row>
    <row r="2042">
      <c r="A2042" s="1160"/>
      <c r="B2042" s="1313"/>
      <c r="C2042" s="940"/>
      <c r="D2042" s="940"/>
      <c r="E2042" s="1291"/>
      <c r="F2042" s="1314"/>
      <c r="G2042" s="1315"/>
      <c r="H2042" s="1315"/>
      <c r="I2042" s="1315"/>
      <c r="J2042" s="1314"/>
      <c r="K2042" s="1314"/>
      <c r="L2042" s="1291"/>
      <c r="M2042" s="1316"/>
      <c r="N2042" s="1291"/>
      <c r="O2042" s="1291"/>
      <c r="P2042" s="1317"/>
      <c r="Q2042" s="1291"/>
    </row>
    <row r="2043">
      <c r="A2043" s="1160"/>
      <c r="B2043" s="1313"/>
      <c r="C2043" s="940"/>
      <c r="D2043" s="940"/>
      <c r="E2043" s="1291"/>
      <c r="F2043" s="1314"/>
      <c r="G2043" s="1315"/>
      <c r="H2043" s="1315"/>
      <c r="I2043" s="1315"/>
      <c r="J2043" s="1314"/>
      <c r="K2043" s="1314"/>
      <c r="L2043" s="1291"/>
      <c r="M2043" s="1316"/>
      <c r="N2043" s="1291"/>
      <c r="O2043" s="1291"/>
      <c r="P2043" s="1317"/>
      <c r="Q2043" s="1291"/>
    </row>
    <row r="2044">
      <c r="A2044" s="1160"/>
      <c r="B2044" s="1313"/>
      <c r="C2044" s="940"/>
      <c r="D2044" s="940"/>
      <c r="E2044" s="1291"/>
      <c r="F2044" s="1314"/>
      <c r="G2044" s="1315"/>
      <c r="H2044" s="1315"/>
      <c r="I2044" s="1315"/>
      <c r="J2044" s="1314"/>
      <c r="K2044" s="1314"/>
      <c r="L2044" s="1291"/>
      <c r="M2044" s="1316"/>
      <c r="N2044" s="1291"/>
      <c r="O2044" s="1291"/>
      <c r="P2044" s="1317"/>
      <c r="Q2044" s="1291"/>
    </row>
    <row r="2045">
      <c r="A2045" s="1160"/>
      <c r="B2045" s="1313"/>
      <c r="C2045" s="940"/>
      <c r="D2045" s="940"/>
      <c r="E2045" s="1291"/>
      <c r="F2045" s="1314"/>
      <c r="G2045" s="1315"/>
      <c r="H2045" s="1315"/>
      <c r="I2045" s="1315"/>
      <c r="J2045" s="1314"/>
      <c r="K2045" s="1314"/>
      <c r="L2045" s="1291"/>
      <c r="M2045" s="1316"/>
      <c r="N2045" s="1291"/>
      <c r="O2045" s="1291"/>
      <c r="P2045" s="1317"/>
      <c r="Q2045" s="1291"/>
    </row>
    <row r="2046">
      <c r="A2046" s="1160"/>
      <c r="B2046" s="1313"/>
      <c r="C2046" s="940"/>
      <c r="D2046" s="940"/>
      <c r="E2046" s="1291"/>
      <c r="F2046" s="1314"/>
      <c r="G2046" s="1315"/>
      <c r="H2046" s="1315"/>
      <c r="I2046" s="1315"/>
      <c r="J2046" s="1314"/>
      <c r="K2046" s="1314"/>
      <c r="L2046" s="1291"/>
      <c r="M2046" s="1316"/>
      <c r="N2046" s="1291"/>
      <c r="O2046" s="1291"/>
      <c r="P2046" s="1317"/>
      <c r="Q2046" s="1291"/>
    </row>
    <row r="2047">
      <c r="A2047" s="1160"/>
      <c r="B2047" s="1313"/>
      <c r="C2047" s="940"/>
      <c r="D2047" s="940"/>
      <c r="E2047" s="1291"/>
      <c r="F2047" s="1314"/>
      <c r="G2047" s="1315"/>
      <c r="H2047" s="1315"/>
      <c r="I2047" s="1315"/>
      <c r="J2047" s="1314"/>
      <c r="K2047" s="1314"/>
      <c r="L2047" s="1291"/>
      <c r="M2047" s="1316"/>
      <c r="N2047" s="1291"/>
      <c r="O2047" s="1291"/>
      <c r="P2047" s="1317"/>
      <c r="Q2047" s="1291"/>
    </row>
    <row r="2048">
      <c r="A2048" s="1160"/>
      <c r="B2048" s="1313"/>
      <c r="C2048" s="940"/>
      <c r="D2048" s="940"/>
      <c r="E2048" s="1291"/>
      <c r="F2048" s="1314"/>
      <c r="G2048" s="1315"/>
      <c r="H2048" s="1315"/>
      <c r="I2048" s="1315"/>
      <c r="J2048" s="1314"/>
      <c r="K2048" s="1314"/>
      <c r="L2048" s="1291"/>
      <c r="M2048" s="1316"/>
      <c r="N2048" s="1291"/>
      <c r="O2048" s="1291"/>
      <c r="P2048" s="1317"/>
      <c r="Q2048" s="1291"/>
    </row>
    <row r="2049">
      <c r="A2049" s="1160"/>
      <c r="B2049" s="1313"/>
      <c r="C2049" s="940"/>
      <c r="D2049" s="940"/>
      <c r="E2049" s="1291"/>
      <c r="F2049" s="1314"/>
      <c r="G2049" s="1315"/>
      <c r="H2049" s="1315"/>
      <c r="I2049" s="1315"/>
      <c r="J2049" s="1314"/>
      <c r="K2049" s="1314"/>
      <c r="L2049" s="1291"/>
      <c r="M2049" s="1316"/>
      <c r="N2049" s="1291"/>
      <c r="O2049" s="1291"/>
      <c r="P2049" s="1317"/>
      <c r="Q2049" s="1291"/>
    </row>
    <row r="2050">
      <c r="A2050" s="1160"/>
      <c r="B2050" s="1313"/>
      <c r="C2050" s="940"/>
      <c r="D2050" s="940"/>
      <c r="E2050" s="1291"/>
      <c r="F2050" s="1314"/>
      <c r="G2050" s="1315"/>
      <c r="H2050" s="1315"/>
      <c r="I2050" s="1315"/>
      <c r="J2050" s="1314"/>
      <c r="K2050" s="1314"/>
      <c r="L2050" s="1291"/>
      <c r="M2050" s="1316"/>
      <c r="N2050" s="1291"/>
      <c r="O2050" s="1291"/>
      <c r="P2050" s="1317"/>
      <c r="Q2050" s="1291"/>
    </row>
    <row r="2051">
      <c r="A2051" s="1160"/>
      <c r="B2051" s="1313"/>
      <c r="C2051" s="940"/>
      <c r="D2051" s="940"/>
      <c r="E2051" s="1291"/>
      <c r="F2051" s="1314"/>
      <c r="G2051" s="1315"/>
      <c r="H2051" s="1315"/>
      <c r="I2051" s="1315"/>
      <c r="J2051" s="1314"/>
      <c r="K2051" s="1314"/>
      <c r="L2051" s="1291"/>
      <c r="M2051" s="1316"/>
      <c r="N2051" s="1291"/>
      <c r="O2051" s="1291"/>
      <c r="P2051" s="1317"/>
      <c r="Q2051" s="1291"/>
    </row>
    <row r="2052">
      <c r="A2052" s="1160"/>
      <c r="B2052" s="1313"/>
      <c r="C2052" s="940"/>
      <c r="D2052" s="940"/>
      <c r="E2052" s="1291"/>
      <c r="F2052" s="1314"/>
      <c r="G2052" s="1315"/>
      <c r="H2052" s="1315"/>
      <c r="I2052" s="1315"/>
      <c r="J2052" s="1314"/>
      <c r="K2052" s="1314"/>
      <c r="L2052" s="1291"/>
      <c r="M2052" s="1316"/>
      <c r="N2052" s="1291"/>
      <c r="O2052" s="1291"/>
      <c r="P2052" s="1317"/>
      <c r="Q2052" s="1291"/>
    </row>
    <row r="2053">
      <c r="A2053" s="1160"/>
      <c r="B2053" s="1313"/>
      <c r="C2053" s="940"/>
      <c r="D2053" s="940"/>
      <c r="E2053" s="1291"/>
      <c r="F2053" s="1314"/>
      <c r="G2053" s="1315"/>
      <c r="H2053" s="1315"/>
      <c r="I2053" s="1315"/>
      <c r="J2053" s="1314"/>
      <c r="K2053" s="1314"/>
      <c r="L2053" s="1291"/>
      <c r="M2053" s="1316"/>
      <c r="N2053" s="1291"/>
      <c r="O2053" s="1291"/>
      <c r="P2053" s="1317"/>
      <c r="Q2053" s="1291"/>
    </row>
    <row r="2054">
      <c r="A2054" s="1160"/>
      <c r="B2054" s="1313"/>
      <c r="C2054" s="940"/>
      <c r="D2054" s="940"/>
      <c r="E2054" s="1291"/>
      <c r="F2054" s="1314"/>
      <c r="G2054" s="1315"/>
      <c r="H2054" s="1315"/>
      <c r="I2054" s="1315"/>
      <c r="J2054" s="1314"/>
      <c r="K2054" s="1314"/>
      <c r="L2054" s="1291"/>
      <c r="M2054" s="1316"/>
      <c r="N2054" s="1291"/>
      <c r="O2054" s="1291"/>
      <c r="P2054" s="1317"/>
      <c r="Q2054" s="1291"/>
    </row>
    <row r="2055">
      <c r="A2055" s="1160"/>
      <c r="B2055" s="1313"/>
      <c r="C2055" s="940"/>
      <c r="D2055" s="940"/>
      <c r="E2055" s="1291"/>
      <c r="F2055" s="1314"/>
      <c r="G2055" s="1315"/>
      <c r="H2055" s="1315"/>
      <c r="I2055" s="1315"/>
      <c r="J2055" s="1314"/>
      <c r="K2055" s="1314"/>
      <c r="L2055" s="1291"/>
      <c r="M2055" s="1316"/>
      <c r="N2055" s="1291"/>
      <c r="O2055" s="1291"/>
      <c r="P2055" s="1317"/>
      <c r="Q2055" s="1291"/>
    </row>
    <row r="2056">
      <c r="A2056" s="1160"/>
      <c r="B2056" s="1313"/>
      <c r="C2056" s="940"/>
      <c r="D2056" s="940"/>
      <c r="E2056" s="1291"/>
      <c r="F2056" s="1314"/>
      <c r="G2056" s="1315"/>
      <c r="H2056" s="1315"/>
      <c r="I2056" s="1315"/>
      <c r="J2056" s="1314"/>
      <c r="K2056" s="1314"/>
      <c r="L2056" s="1291"/>
      <c r="M2056" s="1316"/>
      <c r="N2056" s="1291"/>
      <c r="O2056" s="1291"/>
      <c r="P2056" s="1317"/>
      <c r="Q2056" s="1291"/>
    </row>
    <row r="2057">
      <c r="A2057" s="1160"/>
      <c r="B2057" s="1313"/>
      <c r="C2057" s="940"/>
      <c r="D2057" s="940"/>
      <c r="E2057" s="1291"/>
      <c r="F2057" s="1314"/>
      <c r="G2057" s="1315"/>
      <c r="H2057" s="1315"/>
      <c r="I2057" s="1315"/>
      <c r="J2057" s="1314"/>
      <c r="K2057" s="1314"/>
      <c r="L2057" s="1291"/>
      <c r="M2057" s="1316"/>
      <c r="N2057" s="1291"/>
      <c r="O2057" s="1291"/>
      <c r="P2057" s="1317"/>
      <c r="Q2057" s="1291"/>
    </row>
    <row r="2058">
      <c r="A2058" s="1160"/>
      <c r="B2058" s="1313"/>
      <c r="C2058" s="940"/>
      <c r="D2058" s="940"/>
      <c r="E2058" s="1291"/>
      <c r="F2058" s="1314"/>
      <c r="G2058" s="1315"/>
      <c r="H2058" s="1315"/>
      <c r="I2058" s="1315"/>
      <c r="J2058" s="1314"/>
      <c r="K2058" s="1314"/>
      <c r="L2058" s="1291"/>
      <c r="M2058" s="1316"/>
      <c r="N2058" s="1291"/>
      <c r="O2058" s="1291"/>
      <c r="P2058" s="1317"/>
      <c r="Q2058" s="1291"/>
    </row>
    <row r="2059">
      <c r="A2059" s="1160"/>
      <c r="B2059" s="1313"/>
      <c r="C2059" s="940"/>
      <c r="D2059" s="940"/>
      <c r="E2059" s="1291"/>
      <c r="F2059" s="1314"/>
      <c r="G2059" s="1315"/>
      <c r="H2059" s="1315"/>
      <c r="I2059" s="1315"/>
      <c r="J2059" s="1314"/>
      <c r="K2059" s="1314"/>
      <c r="L2059" s="1291"/>
      <c r="M2059" s="1316"/>
      <c r="N2059" s="1291"/>
      <c r="O2059" s="1291"/>
      <c r="P2059" s="1317"/>
      <c r="Q2059" s="1291"/>
    </row>
    <row r="2060">
      <c r="A2060" s="1160"/>
      <c r="B2060" s="1313"/>
      <c r="C2060" s="940"/>
      <c r="D2060" s="940"/>
      <c r="E2060" s="1291"/>
      <c r="F2060" s="1314"/>
      <c r="G2060" s="1315"/>
      <c r="H2060" s="1315"/>
      <c r="I2060" s="1315"/>
      <c r="J2060" s="1314"/>
      <c r="K2060" s="1314"/>
      <c r="L2060" s="1291"/>
      <c r="M2060" s="1316"/>
      <c r="N2060" s="1291"/>
      <c r="O2060" s="1291"/>
      <c r="P2060" s="1317"/>
      <c r="Q2060" s="1291"/>
    </row>
    <row r="2061">
      <c r="A2061" s="1160"/>
      <c r="B2061" s="1313"/>
      <c r="C2061" s="940"/>
      <c r="D2061" s="940"/>
      <c r="E2061" s="1291"/>
      <c r="F2061" s="1314"/>
      <c r="G2061" s="1315"/>
      <c r="H2061" s="1315"/>
      <c r="I2061" s="1315"/>
      <c r="J2061" s="1314"/>
      <c r="K2061" s="1314"/>
      <c r="L2061" s="1291"/>
      <c r="M2061" s="1316"/>
      <c r="N2061" s="1291"/>
      <c r="O2061" s="1291"/>
      <c r="P2061" s="1317"/>
      <c r="Q2061" s="1291"/>
    </row>
    <row r="2062">
      <c r="A2062" s="1160"/>
      <c r="B2062" s="1313"/>
      <c r="C2062" s="940"/>
      <c r="D2062" s="940"/>
      <c r="E2062" s="1291"/>
      <c r="F2062" s="1314"/>
      <c r="G2062" s="1315"/>
      <c r="H2062" s="1315"/>
      <c r="I2062" s="1315"/>
      <c r="J2062" s="1314"/>
      <c r="K2062" s="1314"/>
      <c r="L2062" s="1291"/>
      <c r="M2062" s="1316"/>
      <c r="N2062" s="1291"/>
      <c r="O2062" s="1291"/>
      <c r="P2062" s="1317"/>
      <c r="Q2062" s="1291"/>
    </row>
    <row r="2063">
      <c r="A2063" s="1160"/>
      <c r="B2063" s="1313"/>
      <c r="C2063" s="940"/>
      <c r="D2063" s="940"/>
      <c r="E2063" s="1291"/>
      <c r="F2063" s="1314"/>
      <c r="G2063" s="1315"/>
      <c r="H2063" s="1315"/>
      <c r="I2063" s="1315"/>
      <c r="J2063" s="1314"/>
      <c r="K2063" s="1314"/>
      <c r="L2063" s="1291"/>
      <c r="M2063" s="1316"/>
      <c r="N2063" s="1291"/>
      <c r="O2063" s="1291"/>
      <c r="P2063" s="1317"/>
      <c r="Q2063" s="1291"/>
    </row>
    <row r="2064">
      <c r="A2064" s="1160"/>
      <c r="B2064" s="1313"/>
      <c r="C2064" s="940"/>
      <c r="D2064" s="940"/>
      <c r="E2064" s="1291"/>
      <c r="F2064" s="1314"/>
      <c r="G2064" s="1315"/>
      <c r="H2064" s="1315"/>
      <c r="I2064" s="1315"/>
      <c r="J2064" s="1314"/>
      <c r="K2064" s="1314"/>
      <c r="L2064" s="1291"/>
      <c r="M2064" s="1316"/>
      <c r="N2064" s="1291"/>
      <c r="O2064" s="1291"/>
      <c r="P2064" s="1317"/>
      <c r="Q2064" s="1291"/>
    </row>
    <row r="2065">
      <c r="A2065" s="1160"/>
      <c r="B2065" s="1313"/>
      <c r="C2065" s="940"/>
      <c r="D2065" s="940"/>
      <c r="E2065" s="1291"/>
      <c r="F2065" s="1314"/>
      <c r="G2065" s="1315"/>
      <c r="H2065" s="1315"/>
      <c r="I2065" s="1315"/>
      <c r="J2065" s="1314"/>
      <c r="K2065" s="1314"/>
      <c r="L2065" s="1291"/>
      <c r="M2065" s="1316"/>
      <c r="N2065" s="1291"/>
      <c r="O2065" s="1291"/>
      <c r="P2065" s="1317"/>
      <c r="Q2065" s="1291"/>
    </row>
    <row r="2066">
      <c r="A2066" s="1160"/>
      <c r="B2066" s="1313"/>
      <c r="C2066" s="940"/>
      <c r="D2066" s="940"/>
      <c r="E2066" s="1291"/>
      <c r="F2066" s="1314"/>
      <c r="G2066" s="1315"/>
      <c r="H2066" s="1315"/>
      <c r="I2066" s="1315"/>
      <c r="J2066" s="1314"/>
      <c r="K2066" s="1314"/>
      <c r="L2066" s="1291"/>
      <c r="M2066" s="1316"/>
      <c r="N2066" s="1291"/>
      <c r="O2066" s="1291"/>
      <c r="P2066" s="1317"/>
      <c r="Q2066" s="1291"/>
    </row>
    <row r="2067">
      <c r="A2067" s="1160"/>
      <c r="B2067" s="1313"/>
      <c r="C2067" s="940"/>
      <c r="D2067" s="940"/>
      <c r="E2067" s="1291"/>
      <c r="F2067" s="1314"/>
      <c r="G2067" s="1315"/>
      <c r="H2067" s="1315"/>
      <c r="I2067" s="1315"/>
      <c r="J2067" s="1314"/>
      <c r="K2067" s="1314"/>
      <c r="L2067" s="1291"/>
      <c r="M2067" s="1316"/>
      <c r="N2067" s="1291"/>
      <c r="O2067" s="1291"/>
      <c r="P2067" s="1317"/>
      <c r="Q2067" s="1291"/>
    </row>
    <row r="2068">
      <c r="A2068" s="1160"/>
      <c r="B2068" s="1313"/>
      <c r="C2068" s="940"/>
      <c r="D2068" s="940"/>
      <c r="E2068" s="1291"/>
      <c r="F2068" s="1314"/>
      <c r="G2068" s="1315"/>
      <c r="H2068" s="1315"/>
      <c r="I2068" s="1315"/>
      <c r="J2068" s="1314"/>
      <c r="K2068" s="1314"/>
      <c r="L2068" s="1291"/>
      <c r="M2068" s="1316"/>
      <c r="N2068" s="1291"/>
      <c r="O2068" s="1291"/>
      <c r="P2068" s="1317"/>
      <c r="Q2068" s="1291"/>
    </row>
    <row r="2069">
      <c r="A2069" s="1160"/>
      <c r="B2069" s="1313"/>
      <c r="C2069" s="940"/>
      <c r="D2069" s="940"/>
      <c r="E2069" s="1291"/>
      <c r="F2069" s="1314"/>
      <c r="G2069" s="1315"/>
      <c r="H2069" s="1315"/>
      <c r="I2069" s="1315"/>
      <c r="J2069" s="1314"/>
      <c r="K2069" s="1314"/>
      <c r="L2069" s="1291"/>
      <c r="M2069" s="1316"/>
      <c r="N2069" s="1291"/>
      <c r="O2069" s="1291"/>
      <c r="P2069" s="1317"/>
      <c r="Q2069" s="1291"/>
    </row>
    <row r="2070">
      <c r="A2070" s="1160"/>
      <c r="B2070" s="1313"/>
      <c r="C2070" s="940"/>
      <c r="D2070" s="940"/>
      <c r="E2070" s="1291"/>
      <c r="F2070" s="1314"/>
      <c r="G2070" s="1315"/>
      <c r="H2070" s="1315"/>
      <c r="I2070" s="1315"/>
      <c r="J2070" s="1314"/>
      <c r="K2070" s="1314"/>
      <c r="L2070" s="1291"/>
      <c r="M2070" s="1316"/>
      <c r="N2070" s="1291"/>
      <c r="O2070" s="1291"/>
      <c r="P2070" s="1317"/>
      <c r="Q2070" s="1291"/>
    </row>
    <row r="2071">
      <c r="A2071" s="1160"/>
      <c r="B2071" s="1313"/>
      <c r="C2071" s="940"/>
      <c r="D2071" s="940"/>
      <c r="E2071" s="1291"/>
      <c r="F2071" s="1314"/>
      <c r="G2071" s="1315"/>
      <c r="H2071" s="1315"/>
      <c r="I2071" s="1315"/>
      <c r="J2071" s="1314"/>
      <c r="K2071" s="1314"/>
      <c r="L2071" s="1291"/>
      <c r="M2071" s="1316"/>
      <c r="N2071" s="1291"/>
      <c r="O2071" s="1291"/>
      <c r="P2071" s="1317"/>
      <c r="Q2071" s="1291"/>
    </row>
    <row r="2072">
      <c r="A2072" s="1160"/>
      <c r="B2072" s="1313"/>
      <c r="C2072" s="940"/>
      <c r="D2072" s="940"/>
      <c r="E2072" s="1291"/>
      <c r="F2072" s="1314"/>
      <c r="G2072" s="1315"/>
      <c r="H2072" s="1315"/>
      <c r="I2072" s="1315"/>
      <c r="J2072" s="1314"/>
      <c r="K2072" s="1314"/>
      <c r="L2072" s="1291"/>
      <c r="M2072" s="1316"/>
      <c r="N2072" s="1291"/>
      <c r="O2072" s="1291"/>
      <c r="P2072" s="1317"/>
      <c r="Q2072" s="1291"/>
    </row>
    <row r="2073">
      <c r="A2073" s="1160"/>
      <c r="B2073" s="1313"/>
      <c r="C2073" s="940"/>
      <c r="D2073" s="940"/>
      <c r="E2073" s="1291"/>
      <c r="F2073" s="1314"/>
      <c r="G2073" s="1315"/>
      <c r="H2073" s="1315"/>
      <c r="I2073" s="1315"/>
      <c r="J2073" s="1314"/>
      <c r="K2073" s="1314"/>
      <c r="L2073" s="1291"/>
      <c r="M2073" s="1316"/>
      <c r="N2073" s="1291"/>
      <c r="O2073" s="1291"/>
      <c r="P2073" s="1317"/>
      <c r="Q2073" s="1291"/>
    </row>
    <row r="2074">
      <c r="A2074" s="1160"/>
      <c r="B2074" s="1313"/>
      <c r="C2074" s="940"/>
      <c r="D2074" s="940"/>
      <c r="E2074" s="1291"/>
      <c r="F2074" s="1314"/>
      <c r="G2074" s="1315"/>
      <c r="H2074" s="1315"/>
      <c r="I2074" s="1315"/>
      <c r="J2074" s="1314"/>
      <c r="K2074" s="1314"/>
      <c r="L2074" s="1291"/>
      <c r="M2074" s="1316"/>
      <c r="N2074" s="1291"/>
      <c r="O2074" s="1291"/>
      <c r="P2074" s="1317"/>
      <c r="Q2074" s="1291"/>
    </row>
    <row r="2075">
      <c r="A2075" s="1160"/>
      <c r="B2075" s="1313"/>
      <c r="C2075" s="940"/>
      <c r="D2075" s="940"/>
      <c r="E2075" s="1291"/>
      <c r="F2075" s="1314"/>
      <c r="G2075" s="1315"/>
      <c r="H2075" s="1315"/>
      <c r="I2075" s="1315"/>
      <c r="J2075" s="1314"/>
      <c r="K2075" s="1314"/>
      <c r="L2075" s="1291"/>
      <c r="M2075" s="1316"/>
      <c r="N2075" s="1291"/>
      <c r="O2075" s="1291"/>
      <c r="P2075" s="1317"/>
      <c r="Q2075" s="1291"/>
    </row>
    <row r="2076">
      <c r="A2076" s="1160"/>
      <c r="B2076" s="1313"/>
      <c r="C2076" s="940"/>
      <c r="D2076" s="940"/>
      <c r="E2076" s="1291"/>
      <c r="F2076" s="1314"/>
      <c r="G2076" s="1315"/>
      <c r="H2076" s="1315"/>
      <c r="I2076" s="1315"/>
      <c r="J2076" s="1314"/>
      <c r="K2076" s="1314"/>
      <c r="L2076" s="1291"/>
      <c r="M2076" s="1316"/>
      <c r="N2076" s="1291"/>
      <c r="O2076" s="1291"/>
      <c r="P2076" s="1317"/>
      <c r="Q2076" s="1291"/>
    </row>
    <row r="2077">
      <c r="A2077" s="1160"/>
      <c r="B2077" s="1313"/>
      <c r="C2077" s="940"/>
      <c r="D2077" s="940"/>
      <c r="E2077" s="1291"/>
      <c r="F2077" s="1314"/>
      <c r="G2077" s="1315"/>
      <c r="H2077" s="1315"/>
      <c r="I2077" s="1315"/>
      <c r="J2077" s="1314"/>
      <c r="K2077" s="1314"/>
      <c r="L2077" s="1291"/>
      <c r="M2077" s="1316"/>
      <c r="N2077" s="1291"/>
      <c r="O2077" s="1291"/>
      <c r="P2077" s="1317"/>
      <c r="Q2077" s="1291"/>
    </row>
    <row r="2078">
      <c r="A2078" s="1160"/>
      <c r="B2078" s="1313"/>
      <c r="C2078" s="940"/>
      <c r="D2078" s="940"/>
      <c r="E2078" s="1291"/>
      <c r="F2078" s="1314"/>
      <c r="G2078" s="1315"/>
      <c r="H2078" s="1315"/>
      <c r="I2078" s="1315"/>
      <c r="J2078" s="1314"/>
      <c r="K2078" s="1314"/>
      <c r="L2078" s="1291"/>
      <c r="M2078" s="1316"/>
      <c r="N2078" s="1291"/>
      <c r="O2078" s="1291"/>
      <c r="P2078" s="1317"/>
      <c r="Q2078" s="1291"/>
    </row>
    <row r="2079">
      <c r="A2079" s="1160"/>
      <c r="B2079" s="1313"/>
      <c r="C2079" s="940"/>
      <c r="D2079" s="940"/>
      <c r="E2079" s="1291"/>
      <c r="F2079" s="1314"/>
      <c r="G2079" s="1315"/>
      <c r="H2079" s="1315"/>
      <c r="I2079" s="1315"/>
      <c r="J2079" s="1314"/>
      <c r="K2079" s="1314"/>
      <c r="L2079" s="1291"/>
      <c r="M2079" s="1316"/>
      <c r="N2079" s="1291"/>
      <c r="O2079" s="1291"/>
      <c r="P2079" s="1317"/>
      <c r="Q2079" s="1291"/>
    </row>
    <row r="2080">
      <c r="A2080" s="1160"/>
      <c r="B2080" s="1313"/>
      <c r="C2080" s="940"/>
      <c r="D2080" s="940"/>
      <c r="E2080" s="1291"/>
      <c r="F2080" s="1314"/>
      <c r="G2080" s="1315"/>
      <c r="H2080" s="1315"/>
      <c r="I2080" s="1315"/>
      <c r="J2080" s="1314"/>
      <c r="K2080" s="1314"/>
      <c r="L2080" s="1291"/>
      <c r="M2080" s="1316"/>
      <c r="N2080" s="1291"/>
      <c r="O2080" s="1291"/>
      <c r="P2080" s="1317"/>
      <c r="Q2080" s="1291"/>
    </row>
    <row r="2081">
      <c r="A2081" s="1160"/>
      <c r="B2081" s="1313"/>
      <c r="C2081" s="940"/>
      <c r="D2081" s="940"/>
      <c r="E2081" s="1291"/>
      <c r="F2081" s="1314"/>
      <c r="G2081" s="1315"/>
      <c r="H2081" s="1315"/>
      <c r="I2081" s="1315"/>
      <c r="J2081" s="1314"/>
      <c r="K2081" s="1314"/>
      <c r="L2081" s="1291"/>
      <c r="M2081" s="1316"/>
      <c r="N2081" s="1291"/>
      <c r="O2081" s="1291"/>
      <c r="P2081" s="1317"/>
      <c r="Q2081" s="1291"/>
    </row>
    <row r="2082">
      <c r="A2082" s="1160"/>
      <c r="B2082" s="1313"/>
      <c r="C2082" s="940"/>
      <c r="D2082" s="940"/>
      <c r="E2082" s="1291"/>
      <c r="F2082" s="1314"/>
      <c r="G2082" s="1315"/>
      <c r="H2082" s="1315"/>
      <c r="I2082" s="1315"/>
      <c r="J2082" s="1314"/>
      <c r="K2082" s="1314"/>
      <c r="L2082" s="1291"/>
      <c r="M2082" s="1316"/>
      <c r="N2082" s="1291"/>
      <c r="O2082" s="1291"/>
      <c r="P2082" s="1317"/>
      <c r="Q2082" s="1291"/>
    </row>
    <row r="2083">
      <c r="A2083" s="1160"/>
      <c r="B2083" s="1313"/>
      <c r="C2083" s="940"/>
      <c r="D2083" s="940"/>
      <c r="E2083" s="1291"/>
      <c r="F2083" s="1314"/>
      <c r="G2083" s="1315"/>
      <c r="H2083" s="1315"/>
      <c r="I2083" s="1315"/>
      <c r="J2083" s="1314"/>
      <c r="K2083" s="1314"/>
      <c r="L2083" s="1291"/>
      <c r="M2083" s="1316"/>
      <c r="N2083" s="1291"/>
      <c r="O2083" s="1291"/>
      <c r="P2083" s="1317"/>
      <c r="Q2083" s="1291"/>
    </row>
    <row r="2084">
      <c r="A2084" s="1160"/>
      <c r="B2084" s="1313"/>
      <c r="C2084" s="940"/>
      <c r="D2084" s="940"/>
      <c r="E2084" s="1291"/>
      <c r="F2084" s="1314"/>
      <c r="G2084" s="1315"/>
      <c r="H2084" s="1315"/>
      <c r="I2084" s="1315"/>
      <c r="J2084" s="1314"/>
      <c r="K2084" s="1314"/>
      <c r="L2084" s="1291"/>
      <c r="M2084" s="1316"/>
      <c r="N2084" s="1291"/>
      <c r="O2084" s="1291"/>
      <c r="P2084" s="1317"/>
      <c r="Q2084" s="1291"/>
    </row>
    <row r="2085">
      <c r="A2085" s="1160"/>
      <c r="B2085" s="1313"/>
      <c r="C2085" s="940"/>
      <c r="D2085" s="940"/>
      <c r="E2085" s="1291"/>
      <c r="F2085" s="1314"/>
      <c r="G2085" s="1315"/>
      <c r="H2085" s="1315"/>
      <c r="I2085" s="1315"/>
      <c r="J2085" s="1314"/>
      <c r="K2085" s="1314"/>
      <c r="L2085" s="1291"/>
      <c r="M2085" s="1316"/>
      <c r="N2085" s="1291"/>
      <c r="O2085" s="1291"/>
      <c r="P2085" s="1317"/>
      <c r="Q2085" s="1291"/>
    </row>
    <row r="2086">
      <c r="A2086" s="1160"/>
      <c r="B2086" s="1313"/>
      <c r="C2086" s="940"/>
      <c r="D2086" s="940"/>
      <c r="E2086" s="1291"/>
      <c r="F2086" s="1314"/>
      <c r="G2086" s="1315"/>
      <c r="H2086" s="1315"/>
      <c r="I2086" s="1315"/>
      <c r="J2086" s="1314"/>
      <c r="K2086" s="1314"/>
      <c r="L2086" s="1291"/>
      <c r="M2086" s="1316"/>
      <c r="N2086" s="1291"/>
      <c r="O2086" s="1291"/>
      <c r="P2086" s="1317"/>
      <c r="Q2086" s="1291"/>
    </row>
    <row r="2087">
      <c r="A2087" s="1160"/>
      <c r="B2087" s="1313"/>
      <c r="C2087" s="940"/>
      <c r="D2087" s="940"/>
      <c r="E2087" s="1291"/>
      <c r="F2087" s="1314"/>
      <c r="G2087" s="1315"/>
      <c r="H2087" s="1315"/>
      <c r="I2087" s="1315"/>
      <c r="J2087" s="1314"/>
      <c r="K2087" s="1314"/>
      <c r="L2087" s="1291"/>
      <c r="M2087" s="1316"/>
      <c r="N2087" s="1291"/>
      <c r="O2087" s="1291"/>
      <c r="P2087" s="1317"/>
      <c r="Q2087" s="1291"/>
    </row>
    <row r="2088">
      <c r="A2088" s="1160"/>
      <c r="B2088" s="1313"/>
      <c r="C2088" s="940"/>
      <c r="D2088" s="940"/>
      <c r="E2088" s="1291"/>
      <c r="F2088" s="1314"/>
      <c r="G2088" s="1315"/>
      <c r="H2088" s="1315"/>
      <c r="I2088" s="1315"/>
      <c r="J2088" s="1314"/>
      <c r="K2088" s="1314"/>
      <c r="L2088" s="1291"/>
      <c r="M2088" s="1316"/>
      <c r="N2088" s="1291"/>
      <c r="O2088" s="1291"/>
      <c r="P2088" s="1317"/>
      <c r="Q2088" s="1291"/>
    </row>
    <row r="2089">
      <c r="A2089" s="1160"/>
      <c r="B2089" s="1313"/>
      <c r="C2089" s="940"/>
      <c r="D2089" s="940"/>
      <c r="E2089" s="1291"/>
      <c r="F2089" s="1314"/>
      <c r="G2089" s="1315"/>
      <c r="H2089" s="1315"/>
      <c r="I2089" s="1315"/>
      <c r="J2089" s="1314"/>
      <c r="K2089" s="1314"/>
      <c r="L2089" s="1291"/>
      <c r="M2089" s="1316"/>
      <c r="N2089" s="1291"/>
      <c r="O2089" s="1291"/>
      <c r="P2089" s="1317"/>
      <c r="Q2089" s="1291"/>
    </row>
    <row r="2090">
      <c r="A2090" s="1160"/>
      <c r="B2090" s="1313"/>
      <c r="C2090" s="940"/>
      <c r="D2090" s="940"/>
      <c r="E2090" s="1291"/>
      <c r="F2090" s="1314"/>
      <c r="G2090" s="1315"/>
      <c r="H2090" s="1315"/>
      <c r="I2090" s="1315"/>
      <c r="J2090" s="1314"/>
      <c r="K2090" s="1314"/>
      <c r="L2090" s="1291"/>
      <c r="M2090" s="1316"/>
      <c r="N2090" s="1291"/>
      <c r="O2090" s="1291"/>
      <c r="P2090" s="1317"/>
      <c r="Q2090" s="1291"/>
    </row>
    <row r="2091">
      <c r="A2091" s="1160"/>
      <c r="B2091" s="1313"/>
      <c r="C2091" s="940"/>
      <c r="D2091" s="940"/>
      <c r="E2091" s="1291"/>
      <c r="F2091" s="1314"/>
      <c r="G2091" s="1315"/>
      <c r="H2091" s="1315"/>
      <c r="I2091" s="1315"/>
      <c r="J2091" s="1314"/>
      <c r="K2091" s="1314"/>
      <c r="L2091" s="1291"/>
      <c r="M2091" s="1316"/>
      <c r="N2091" s="1291"/>
      <c r="O2091" s="1291"/>
      <c r="P2091" s="1317"/>
      <c r="Q2091" s="1291"/>
    </row>
    <row r="2092">
      <c r="A2092" s="1160"/>
      <c r="B2092" s="1313"/>
      <c r="C2092" s="940"/>
      <c r="D2092" s="940"/>
      <c r="E2092" s="1291"/>
      <c r="F2092" s="1314"/>
      <c r="G2092" s="1315"/>
      <c r="H2092" s="1315"/>
      <c r="I2092" s="1315"/>
      <c r="J2092" s="1314"/>
      <c r="K2092" s="1314"/>
      <c r="L2092" s="1291"/>
      <c r="M2092" s="1316"/>
      <c r="N2092" s="1291"/>
      <c r="O2092" s="1291"/>
      <c r="P2092" s="1317"/>
      <c r="Q2092" s="1291"/>
    </row>
    <row r="2093">
      <c r="A2093" s="1160"/>
      <c r="B2093" s="1313"/>
      <c r="C2093" s="940"/>
      <c r="D2093" s="940"/>
      <c r="E2093" s="1291"/>
      <c r="F2093" s="1314"/>
      <c r="G2093" s="1315"/>
      <c r="H2093" s="1315"/>
      <c r="I2093" s="1315"/>
      <c r="J2093" s="1314"/>
      <c r="K2093" s="1314"/>
      <c r="L2093" s="1291"/>
      <c r="M2093" s="1316"/>
      <c r="N2093" s="1291"/>
      <c r="O2093" s="1291"/>
      <c r="P2093" s="1317"/>
      <c r="Q2093" s="1291"/>
    </row>
    <row r="2094">
      <c r="A2094" s="1160"/>
      <c r="B2094" s="1313"/>
      <c r="C2094" s="940"/>
      <c r="D2094" s="940"/>
      <c r="E2094" s="1291"/>
      <c r="F2094" s="1314"/>
      <c r="G2094" s="1315"/>
      <c r="H2094" s="1315"/>
      <c r="I2094" s="1315"/>
      <c r="J2094" s="1314"/>
      <c r="K2094" s="1314"/>
      <c r="L2094" s="1291"/>
      <c r="M2094" s="1316"/>
      <c r="N2094" s="1291"/>
      <c r="O2094" s="1291"/>
      <c r="P2094" s="1317"/>
      <c r="Q2094" s="1291"/>
    </row>
    <row r="2095">
      <c r="A2095" s="1160"/>
      <c r="B2095" s="1313"/>
      <c r="C2095" s="940"/>
      <c r="D2095" s="940"/>
      <c r="E2095" s="1291"/>
      <c r="F2095" s="1314"/>
      <c r="G2095" s="1315"/>
      <c r="H2095" s="1315"/>
      <c r="I2095" s="1315"/>
      <c r="J2095" s="1314"/>
      <c r="K2095" s="1314"/>
      <c r="L2095" s="1291"/>
      <c r="M2095" s="1316"/>
      <c r="N2095" s="1291"/>
      <c r="O2095" s="1291"/>
      <c r="P2095" s="1317"/>
      <c r="Q2095" s="1291"/>
    </row>
    <row r="2096">
      <c r="A2096" s="1160"/>
      <c r="B2096" s="1313"/>
      <c r="C2096" s="940"/>
      <c r="D2096" s="940"/>
      <c r="E2096" s="1291"/>
      <c r="F2096" s="1314"/>
      <c r="G2096" s="1315"/>
      <c r="H2096" s="1315"/>
      <c r="I2096" s="1315"/>
      <c r="J2096" s="1314"/>
      <c r="K2096" s="1314"/>
      <c r="L2096" s="1291"/>
      <c r="M2096" s="1316"/>
      <c r="N2096" s="1291"/>
      <c r="O2096" s="1291"/>
      <c r="P2096" s="1317"/>
      <c r="Q2096" s="1291"/>
    </row>
    <row r="2097">
      <c r="A2097" s="1160"/>
      <c r="B2097" s="1313"/>
      <c r="C2097" s="940"/>
      <c r="D2097" s="940"/>
      <c r="E2097" s="1291"/>
      <c r="F2097" s="1314"/>
      <c r="G2097" s="1315"/>
      <c r="H2097" s="1315"/>
      <c r="I2097" s="1315"/>
      <c r="J2097" s="1314"/>
      <c r="K2097" s="1314"/>
      <c r="L2097" s="1291"/>
      <c r="M2097" s="1316"/>
      <c r="N2097" s="1291"/>
      <c r="O2097" s="1291"/>
      <c r="P2097" s="1317"/>
      <c r="Q2097" s="1291"/>
    </row>
    <row r="2098">
      <c r="A2098" s="1160"/>
      <c r="B2098" s="1313"/>
      <c r="C2098" s="940"/>
      <c r="D2098" s="940"/>
      <c r="E2098" s="1291"/>
      <c r="F2098" s="1314"/>
      <c r="G2098" s="1315"/>
      <c r="H2098" s="1315"/>
      <c r="I2098" s="1315"/>
      <c r="J2098" s="1314"/>
      <c r="K2098" s="1314"/>
      <c r="L2098" s="1291"/>
      <c r="M2098" s="1316"/>
      <c r="N2098" s="1291"/>
      <c r="O2098" s="1291"/>
      <c r="P2098" s="1317"/>
      <c r="Q2098" s="1291"/>
    </row>
    <row r="2099">
      <c r="A2099" s="1160"/>
      <c r="B2099" s="1313"/>
      <c r="C2099" s="940"/>
      <c r="D2099" s="940"/>
      <c r="E2099" s="1291"/>
      <c r="F2099" s="1314"/>
      <c r="G2099" s="1315"/>
      <c r="H2099" s="1315"/>
      <c r="I2099" s="1315"/>
      <c r="J2099" s="1314"/>
      <c r="K2099" s="1314"/>
      <c r="L2099" s="1291"/>
      <c r="M2099" s="1316"/>
      <c r="N2099" s="1291"/>
      <c r="O2099" s="1291"/>
      <c r="P2099" s="1317"/>
      <c r="Q2099" s="1291"/>
    </row>
    <row r="2100">
      <c r="A2100" s="1160"/>
      <c r="B2100" s="1313"/>
      <c r="C2100" s="940"/>
      <c r="D2100" s="940"/>
      <c r="E2100" s="1291"/>
      <c r="F2100" s="1314"/>
      <c r="G2100" s="1315"/>
      <c r="H2100" s="1315"/>
      <c r="I2100" s="1315"/>
      <c r="J2100" s="1314"/>
      <c r="K2100" s="1314"/>
      <c r="L2100" s="1291"/>
      <c r="M2100" s="1316"/>
      <c r="N2100" s="1291"/>
      <c r="O2100" s="1291"/>
      <c r="P2100" s="1317"/>
      <c r="Q2100" s="1291"/>
    </row>
    <row r="2101">
      <c r="A2101" s="1160"/>
      <c r="B2101" s="1313"/>
      <c r="C2101" s="940"/>
      <c r="D2101" s="940"/>
      <c r="E2101" s="1291"/>
      <c r="F2101" s="1314"/>
      <c r="G2101" s="1315"/>
      <c r="H2101" s="1315"/>
      <c r="I2101" s="1315"/>
      <c r="J2101" s="1314"/>
      <c r="K2101" s="1314"/>
      <c r="L2101" s="1291"/>
      <c r="M2101" s="1316"/>
      <c r="N2101" s="1291"/>
      <c r="O2101" s="1291"/>
      <c r="P2101" s="1317"/>
      <c r="Q2101" s="1291"/>
    </row>
    <row r="2102">
      <c r="A2102" s="1160"/>
      <c r="B2102" s="1313"/>
      <c r="C2102" s="940"/>
      <c r="D2102" s="940"/>
      <c r="E2102" s="1291"/>
      <c r="F2102" s="1314"/>
      <c r="G2102" s="1315"/>
      <c r="H2102" s="1315"/>
      <c r="I2102" s="1315"/>
      <c r="J2102" s="1314"/>
      <c r="K2102" s="1314"/>
      <c r="L2102" s="1291"/>
      <c r="M2102" s="1316"/>
      <c r="N2102" s="1291"/>
      <c r="O2102" s="1291"/>
      <c r="P2102" s="1317"/>
      <c r="Q2102" s="1291"/>
    </row>
    <row r="2103">
      <c r="A2103" s="1160"/>
      <c r="B2103" s="1313"/>
      <c r="C2103" s="940"/>
      <c r="D2103" s="940"/>
      <c r="E2103" s="1291"/>
      <c r="F2103" s="1314"/>
      <c r="G2103" s="1315"/>
      <c r="H2103" s="1315"/>
      <c r="I2103" s="1315"/>
      <c r="J2103" s="1314"/>
      <c r="K2103" s="1314"/>
      <c r="L2103" s="1291"/>
      <c r="M2103" s="1316"/>
      <c r="N2103" s="1291"/>
      <c r="O2103" s="1291"/>
      <c r="P2103" s="1317"/>
      <c r="Q2103" s="1291"/>
    </row>
    <row r="2104">
      <c r="A2104" s="1160"/>
      <c r="B2104" s="1313"/>
      <c r="C2104" s="940"/>
      <c r="D2104" s="940"/>
      <c r="E2104" s="1291"/>
      <c r="F2104" s="1314"/>
      <c r="G2104" s="1315"/>
      <c r="H2104" s="1315"/>
      <c r="I2104" s="1315"/>
      <c r="J2104" s="1314"/>
      <c r="K2104" s="1314"/>
      <c r="L2104" s="1291"/>
      <c r="M2104" s="1316"/>
      <c r="N2104" s="1291"/>
      <c r="O2104" s="1291"/>
      <c r="P2104" s="1317"/>
      <c r="Q2104" s="1291"/>
    </row>
    <row r="2105">
      <c r="A2105" s="1160"/>
      <c r="B2105" s="1313"/>
      <c r="C2105" s="940"/>
      <c r="D2105" s="940"/>
      <c r="E2105" s="1291"/>
      <c r="F2105" s="1314"/>
      <c r="G2105" s="1315"/>
      <c r="H2105" s="1315"/>
      <c r="I2105" s="1315"/>
      <c r="J2105" s="1314"/>
      <c r="K2105" s="1314"/>
      <c r="L2105" s="1291"/>
      <c r="M2105" s="1316"/>
      <c r="N2105" s="1291"/>
      <c r="O2105" s="1291"/>
      <c r="P2105" s="1317"/>
      <c r="Q2105" s="1291"/>
    </row>
    <row r="2106">
      <c r="A2106" s="1160"/>
      <c r="B2106" s="1313"/>
      <c r="C2106" s="940"/>
      <c r="D2106" s="940"/>
      <c r="E2106" s="1291"/>
      <c r="F2106" s="1314"/>
      <c r="G2106" s="1315"/>
      <c r="H2106" s="1315"/>
      <c r="I2106" s="1315"/>
      <c r="J2106" s="1314"/>
      <c r="K2106" s="1314"/>
      <c r="L2106" s="1291"/>
      <c r="M2106" s="1316"/>
      <c r="N2106" s="1291"/>
      <c r="O2106" s="1291"/>
      <c r="P2106" s="1317"/>
      <c r="Q2106" s="1291"/>
    </row>
    <row r="2107">
      <c r="A2107" s="1160"/>
      <c r="B2107" s="1313"/>
      <c r="C2107" s="940"/>
      <c r="D2107" s="940"/>
      <c r="E2107" s="1291"/>
      <c r="F2107" s="1314"/>
      <c r="G2107" s="1315"/>
      <c r="H2107" s="1315"/>
      <c r="I2107" s="1315"/>
      <c r="J2107" s="1314"/>
      <c r="K2107" s="1314"/>
      <c r="L2107" s="1291"/>
      <c r="M2107" s="1316"/>
      <c r="N2107" s="1291"/>
      <c r="O2107" s="1291"/>
      <c r="P2107" s="1317"/>
      <c r="Q2107" s="1291"/>
    </row>
    <row r="2108">
      <c r="A2108" s="1160"/>
      <c r="B2108" s="1313"/>
      <c r="C2108" s="940"/>
      <c r="D2108" s="940"/>
      <c r="E2108" s="1291"/>
      <c r="F2108" s="1314"/>
      <c r="G2108" s="1315"/>
      <c r="H2108" s="1315"/>
      <c r="I2108" s="1315"/>
      <c r="J2108" s="1314"/>
      <c r="K2108" s="1314"/>
      <c r="L2108" s="1291"/>
      <c r="M2108" s="1316"/>
      <c r="N2108" s="1291"/>
      <c r="O2108" s="1291"/>
      <c r="P2108" s="1317"/>
      <c r="Q2108" s="1291"/>
    </row>
    <row r="2109">
      <c r="A2109" s="1160"/>
      <c r="B2109" s="1313"/>
      <c r="C2109" s="940"/>
      <c r="D2109" s="940"/>
      <c r="E2109" s="1291"/>
      <c r="F2109" s="1314"/>
      <c r="G2109" s="1315"/>
      <c r="H2109" s="1315"/>
      <c r="I2109" s="1315"/>
      <c r="J2109" s="1314"/>
      <c r="K2109" s="1314"/>
      <c r="L2109" s="1291"/>
      <c r="M2109" s="1316"/>
      <c r="N2109" s="1291"/>
      <c r="O2109" s="1291"/>
      <c r="P2109" s="1317"/>
      <c r="Q2109" s="1291"/>
    </row>
    <row r="2110">
      <c r="A2110" s="1160"/>
      <c r="B2110" s="1313"/>
      <c r="C2110" s="940"/>
      <c r="D2110" s="940"/>
      <c r="E2110" s="1291"/>
      <c r="F2110" s="1314"/>
      <c r="G2110" s="1315"/>
      <c r="H2110" s="1315"/>
      <c r="I2110" s="1315"/>
      <c r="J2110" s="1314"/>
      <c r="K2110" s="1314"/>
      <c r="L2110" s="1291"/>
      <c r="M2110" s="1316"/>
      <c r="N2110" s="1291"/>
      <c r="O2110" s="1291"/>
      <c r="P2110" s="1317"/>
      <c r="Q2110" s="1291"/>
    </row>
    <row r="2111">
      <c r="A2111" s="1160"/>
      <c r="B2111" s="1313"/>
      <c r="C2111" s="940"/>
      <c r="D2111" s="940"/>
      <c r="E2111" s="1291"/>
      <c r="F2111" s="1314"/>
      <c r="G2111" s="1315"/>
      <c r="H2111" s="1315"/>
      <c r="I2111" s="1315"/>
      <c r="J2111" s="1314"/>
      <c r="K2111" s="1314"/>
      <c r="L2111" s="1291"/>
      <c r="M2111" s="1316"/>
      <c r="N2111" s="1291"/>
      <c r="O2111" s="1291"/>
      <c r="P2111" s="1317"/>
      <c r="Q2111" s="1291"/>
    </row>
    <row r="2112">
      <c r="A2112" s="1160"/>
      <c r="B2112" s="1313"/>
      <c r="C2112" s="940"/>
      <c r="D2112" s="940"/>
      <c r="E2112" s="1291"/>
      <c r="F2112" s="1314"/>
      <c r="G2112" s="1315"/>
      <c r="H2112" s="1315"/>
      <c r="I2112" s="1315"/>
      <c r="J2112" s="1314"/>
      <c r="K2112" s="1314"/>
      <c r="L2112" s="1291"/>
      <c r="M2112" s="1316"/>
      <c r="N2112" s="1291"/>
      <c r="O2112" s="1291"/>
      <c r="P2112" s="1317"/>
      <c r="Q2112" s="1291"/>
    </row>
    <row r="2113">
      <c r="A2113" s="1160"/>
      <c r="B2113" s="1313"/>
      <c r="C2113" s="940"/>
      <c r="D2113" s="940"/>
      <c r="E2113" s="1291"/>
      <c r="F2113" s="1314"/>
      <c r="G2113" s="1315"/>
      <c r="H2113" s="1315"/>
      <c r="I2113" s="1315"/>
      <c r="J2113" s="1314"/>
      <c r="K2113" s="1314"/>
      <c r="L2113" s="1291"/>
      <c r="M2113" s="1316"/>
      <c r="N2113" s="1291"/>
      <c r="O2113" s="1291"/>
      <c r="P2113" s="1317"/>
      <c r="Q2113" s="1291"/>
    </row>
    <row r="2114">
      <c r="A2114" s="1160"/>
      <c r="B2114" s="1313"/>
      <c r="C2114" s="940"/>
      <c r="D2114" s="940"/>
      <c r="E2114" s="1291"/>
      <c r="F2114" s="1314"/>
      <c r="G2114" s="1315"/>
      <c r="H2114" s="1315"/>
      <c r="I2114" s="1315"/>
      <c r="J2114" s="1314"/>
      <c r="K2114" s="1314"/>
      <c r="L2114" s="1291"/>
      <c r="M2114" s="1316"/>
      <c r="N2114" s="1291"/>
      <c r="O2114" s="1291"/>
      <c r="P2114" s="1317"/>
      <c r="Q2114" s="1291"/>
    </row>
    <row r="2115">
      <c r="A2115" s="1160"/>
      <c r="B2115" s="1313"/>
      <c r="C2115" s="940"/>
      <c r="D2115" s="940"/>
      <c r="E2115" s="1291"/>
      <c r="F2115" s="1314"/>
      <c r="G2115" s="1315"/>
      <c r="H2115" s="1315"/>
      <c r="I2115" s="1315"/>
      <c r="J2115" s="1314"/>
      <c r="K2115" s="1314"/>
      <c r="L2115" s="1291"/>
      <c r="M2115" s="1316"/>
      <c r="N2115" s="1291"/>
      <c r="O2115" s="1291"/>
      <c r="P2115" s="1317"/>
      <c r="Q2115" s="1291"/>
    </row>
    <row r="2116">
      <c r="A2116" s="1160"/>
      <c r="B2116" s="1313"/>
      <c r="C2116" s="940"/>
      <c r="D2116" s="940"/>
      <c r="E2116" s="1291"/>
      <c r="F2116" s="1314"/>
      <c r="G2116" s="1315"/>
      <c r="H2116" s="1315"/>
      <c r="I2116" s="1315"/>
      <c r="J2116" s="1314"/>
      <c r="K2116" s="1314"/>
      <c r="L2116" s="1291"/>
      <c r="M2116" s="1316"/>
      <c r="N2116" s="1291"/>
      <c r="O2116" s="1291"/>
      <c r="P2116" s="1317"/>
      <c r="Q2116" s="1291"/>
    </row>
    <row r="2117">
      <c r="A2117" s="1160"/>
      <c r="B2117" s="1313"/>
      <c r="C2117" s="940"/>
      <c r="D2117" s="940"/>
      <c r="E2117" s="1291"/>
      <c r="F2117" s="1314"/>
      <c r="G2117" s="1315"/>
      <c r="H2117" s="1315"/>
      <c r="I2117" s="1315"/>
      <c r="J2117" s="1314"/>
      <c r="K2117" s="1314"/>
      <c r="L2117" s="1291"/>
      <c r="M2117" s="1316"/>
      <c r="N2117" s="1291"/>
      <c r="O2117" s="1291"/>
      <c r="P2117" s="1317"/>
      <c r="Q2117" s="1291"/>
    </row>
    <row r="2118">
      <c r="A2118" s="1160"/>
      <c r="B2118" s="1313"/>
      <c r="C2118" s="940"/>
      <c r="D2118" s="940"/>
      <c r="E2118" s="1291"/>
      <c r="F2118" s="1314"/>
      <c r="G2118" s="1315"/>
      <c r="H2118" s="1315"/>
      <c r="I2118" s="1315"/>
      <c r="J2118" s="1314"/>
      <c r="K2118" s="1314"/>
      <c r="L2118" s="1291"/>
      <c r="M2118" s="1316"/>
      <c r="N2118" s="1291"/>
      <c r="O2118" s="1291"/>
      <c r="P2118" s="1317"/>
      <c r="Q2118" s="1291"/>
    </row>
    <row r="2119">
      <c r="A2119" s="1160"/>
      <c r="B2119" s="1313"/>
      <c r="C2119" s="940"/>
      <c r="D2119" s="940"/>
      <c r="E2119" s="1291"/>
      <c r="F2119" s="1314"/>
      <c r="G2119" s="1315"/>
      <c r="H2119" s="1315"/>
      <c r="I2119" s="1315"/>
      <c r="J2119" s="1314"/>
      <c r="K2119" s="1314"/>
      <c r="L2119" s="1291"/>
      <c r="M2119" s="1316"/>
      <c r="N2119" s="1291"/>
      <c r="O2119" s="1291"/>
      <c r="P2119" s="1317"/>
      <c r="Q2119" s="1291"/>
    </row>
    <row r="2120">
      <c r="A2120" s="1160"/>
      <c r="B2120" s="1313"/>
      <c r="C2120" s="940"/>
      <c r="D2120" s="940"/>
      <c r="E2120" s="1291"/>
      <c r="F2120" s="1314"/>
      <c r="G2120" s="1315"/>
      <c r="H2120" s="1315"/>
      <c r="I2120" s="1315"/>
      <c r="J2120" s="1314"/>
      <c r="K2120" s="1314"/>
      <c r="L2120" s="1291"/>
      <c r="M2120" s="1316"/>
      <c r="N2120" s="1291"/>
      <c r="O2120" s="1291"/>
      <c r="P2120" s="1317"/>
      <c r="Q2120" s="1291"/>
    </row>
    <row r="2121">
      <c r="A2121" s="1160"/>
      <c r="B2121" s="1313"/>
      <c r="C2121" s="940"/>
      <c r="D2121" s="940"/>
      <c r="E2121" s="1291"/>
      <c r="F2121" s="1314"/>
      <c r="G2121" s="1315"/>
      <c r="H2121" s="1315"/>
      <c r="I2121" s="1315"/>
      <c r="J2121" s="1314"/>
      <c r="K2121" s="1314"/>
      <c r="L2121" s="1291"/>
      <c r="M2121" s="1316"/>
      <c r="N2121" s="1291"/>
      <c r="O2121" s="1291"/>
      <c r="P2121" s="1317"/>
      <c r="Q2121" s="1291"/>
    </row>
    <row r="2122">
      <c r="A2122" s="1160"/>
      <c r="B2122" s="1313"/>
      <c r="C2122" s="940"/>
      <c r="D2122" s="940"/>
      <c r="E2122" s="1291"/>
      <c r="F2122" s="1314"/>
      <c r="G2122" s="1315"/>
      <c r="H2122" s="1315"/>
      <c r="I2122" s="1315"/>
      <c r="J2122" s="1314"/>
      <c r="K2122" s="1314"/>
      <c r="L2122" s="1291"/>
      <c r="M2122" s="1316"/>
      <c r="N2122" s="1291"/>
      <c r="O2122" s="1291"/>
      <c r="P2122" s="1317"/>
      <c r="Q2122" s="1291"/>
    </row>
    <row r="2123">
      <c r="A2123" s="1160"/>
      <c r="B2123" s="1313"/>
      <c r="C2123" s="940"/>
      <c r="D2123" s="940"/>
      <c r="E2123" s="1291"/>
      <c r="F2123" s="1314"/>
      <c r="G2123" s="1315"/>
      <c r="H2123" s="1315"/>
      <c r="I2123" s="1315"/>
      <c r="J2123" s="1314"/>
      <c r="K2123" s="1314"/>
      <c r="L2123" s="1291"/>
      <c r="M2123" s="1316"/>
      <c r="N2123" s="1291"/>
      <c r="O2123" s="1291"/>
      <c r="P2123" s="1317"/>
      <c r="Q2123" s="1291"/>
    </row>
    <row r="2124">
      <c r="A2124" s="1160"/>
      <c r="B2124" s="1313"/>
      <c r="C2124" s="940"/>
      <c r="D2124" s="940"/>
      <c r="E2124" s="1291"/>
      <c r="F2124" s="1314"/>
      <c r="G2124" s="1315"/>
      <c r="H2124" s="1315"/>
      <c r="I2124" s="1315"/>
      <c r="J2124" s="1314"/>
      <c r="K2124" s="1314"/>
      <c r="L2124" s="1291"/>
      <c r="M2124" s="1316"/>
      <c r="N2124" s="1291"/>
      <c r="O2124" s="1291"/>
      <c r="P2124" s="1317"/>
      <c r="Q2124" s="1291"/>
    </row>
    <row r="2125">
      <c r="A2125" s="1160"/>
      <c r="B2125" s="1313"/>
      <c r="C2125" s="940"/>
      <c r="D2125" s="940"/>
      <c r="E2125" s="1291"/>
      <c r="F2125" s="1314"/>
      <c r="G2125" s="1315"/>
      <c r="H2125" s="1315"/>
      <c r="I2125" s="1315"/>
      <c r="J2125" s="1314"/>
      <c r="K2125" s="1314"/>
      <c r="L2125" s="1291"/>
      <c r="M2125" s="1316"/>
      <c r="N2125" s="1291"/>
      <c r="O2125" s="1291"/>
      <c r="P2125" s="1317"/>
      <c r="Q2125" s="1291"/>
    </row>
    <row r="2126">
      <c r="A2126" s="1160"/>
      <c r="B2126" s="1313"/>
      <c r="C2126" s="940"/>
      <c r="D2126" s="940"/>
      <c r="E2126" s="1291"/>
      <c r="F2126" s="1314"/>
      <c r="G2126" s="1315"/>
      <c r="H2126" s="1315"/>
      <c r="I2126" s="1315"/>
      <c r="J2126" s="1314"/>
      <c r="K2126" s="1314"/>
      <c r="L2126" s="1291"/>
      <c r="M2126" s="1316"/>
      <c r="N2126" s="1291"/>
      <c r="O2126" s="1291"/>
      <c r="P2126" s="1317"/>
      <c r="Q2126" s="1291"/>
    </row>
    <row r="2127">
      <c r="A2127" s="1160"/>
      <c r="B2127" s="1313"/>
      <c r="C2127" s="940"/>
      <c r="D2127" s="940"/>
      <c r="E2127" s="1291"/>
      <c r="F2127" s="1314"/>
      <c r="G2127" s="1315"/>
      <c r="H2127" s="1315"/>
      <c r="I2127" s="1315"/>
      <c r="J2127" s="1314"/>
      <c r="K2127" s="1314"/>
      <c r="L2127" s="1291"/>
      <c r="M2127" s="1316"/>
      <c r="N2127" s="1291"/>
      <c r="O2127" s="1291"/>
      <c r="P2127" s="1317"/>
      <c r="Q2127" s="1291"/>
    </row>
    <row r="2128">
      <c r="A2128" s="1160"/>
      <c r="B2128" s="1313"/>
      <c r="C2128" s="940"/>
      <c r="D2128" s="940"/>
      <c r="E2128" s="1291"/>
      <c r="F2128" s="1314"/>
      <c r="G2128" s="1315"/>
      <c r="H2128" s="1315"/>
      <c r="I2128" s="1315"/>
      <c r="J2128" s="1314"/>
      <c r="K2128" s="1314"/>
      <c r="L2128" s="1291"/>
      <c r="M2128" s="1316"/>
      <c r="N2128" s="1291"/>
      <c r="O2128" s="1291"/>
      <c r="P2128" s="1317"/>
      <c r="Q2128" s="1291"/>
    </row>
    <row r="2129">
      <c r="A2129" s="1160"/>
      <c r="B2129" s="1313"/>
      <c r="C2129" s="940"/>
      <c r="D2129" s="940"/>
      <c r="E2129" s="1291"/>
      <c r="F2129" s="1314"/>
      <c r="G2129" s="1315"/>
      <c r="H2129" s="1315"/>
      <c r="I2129" s="1315"/>
      <c r="J2129" s="1314"/>
      <c r="K2129" s="1314"/>
      <c r="L2129" s="1291"/>
      <c r="M2129" s="1316"/>
      <c r="N2129" s="1291"/>
      <c r="O2129" s="1291"/>
      <c r="P2129" s="1317"/>
      <c r="Q2129" s="1291"/>
    </row>
    <row r="2130">
      <c r="A2130" s="1160"/>
      <c r="B2130" s="1313"/>
      <c r="C2130" s="940"/>
      <c r="D2130" s="940"/>
      <c r="E2130" s="1291"/>
      <c r="F2130" s="1314"/>
      <c r="G2130" s="1315"/>
      <c r="H2130" s="1315"/>
      <c r="I2130" s="1315"/>
      <c r="J2130" s="1314"/>
      <c r="K2130" s="1314"/>
      <c r="L2130" s="1291"/>
      <c r="M2130" s="1316"/>
      <c r="N2130" s="1291"/>
      <c r="O2130" s="1291"/>
      <c r="P2130" s="1317"/>
      <c r="Q2130" s="1291"/>
    </row>
    <row r="2131">
      <c r="A2131" s="1160"/>
      <c r="B2131" s="1313"/>
      <c r="C2131" s="940"/>
      <c r="D2131" s="940"/>
      <c r="E2131" s="1291"/>
      <c r="F2131" s="1314"/>
      <c r="G2131" s="1315"/>
      <c r="H2131" s="1315"/>
      <c r="I2131" s="1315"/>
      <c r="J2131" s="1314"/>
      <c r="K2131" s="1314"/>
      <c r="L2131" s="1291"/>
      <c r="M2131" s="1316"/>
      <c r="N2131" s="1291"/>
      <c r="O2131" s="1291"/>
      <c r="P2131" s="1317"/>
      <c r="Q2131" s="1291"/>
    </row>
    <row r="2132">
      <c r="A2132" s="1160"/>
      <c r="B2132" s="1313"/>
      <c r="C2132" s="940"/>
      <c r="D2132" s="940"/>
      <c r="E2132" s="1291"/>
      <c r="F2132" s="1314"/>
      <c r="G2132" s="1315"/>
      <c r="H2132" s="1315"/>
      <c r="I2132" s="1315"/>
      <c r="J2132" s="1314"/>
      <c r="K2132" s="1314"/>
      <c r="L2132" s="1291"/>
      <c r="M2132" s="1316"/>
      <c r="N2132" s="1291"/>
      <c r="O2132" s="1291"/>
      <c r="P2132" s="1317"/>
      <c r="Q2132" s="1291"/>
    </row>
    <row r="2133">
      <c r="A2133" s="1160"/>
      <c r="B2133" s="1313"/>
      <c r="C2133" s="940"/>
      <c r="D2133" s="940"/>
      <c r="E2133" s="1291"/>
      <c r="F2133" s="1314"/>
      <c r="G2133" s="1315"/>
      <c r="H2133" s="1315"/>
      <c r="I2133" s="1315"/>
      <c r="J2133" s="1314"/>
      <c r="K2133" s="1314"/>
      <c r="L2133" s="1291"/>
      <c r="M2133" s="1316"/>
      <c r="N2133" s="1291"/>
      <c r="O2133" s="1291"/>
      <c r="P2133" s="1317"/>
      <c r="Q2133" s="1291"/>
    </row>
    <row r="2134">
      <c r="A2134" s="1160"/>
      <c r="B2134" s="1313"/>
      <c r="C2134" s="940"/>
      <c r="D2134" s="940"/>
      <c r="E2134" s="1291"/>
      <c r="F2134" s="1314"/>
      <c r="G2134" s="1315"/>
      <c r="H2134" s="1315"/>
      <c r="I2134" s="1315"/>
      <c r="J2134" s="1314"/>
      <c r="K2134" s="1314"/>
      <c r="L2134" s="1291"/>
      <c r="M2134" s="1316"/>
      <c r="N2134" s="1291"/>
      <c r="O2134" s="1291"/>
      <c r="P2134" s="1317"/>
      <c r="Q2134" s="1291"/>
    </row>
    <row r="2135">
      <c r="A2135" s="1160"/>
      <c r="B2135" s="1313"/>
      <c r="C2135" s="940"/>
      <c r="D2135" s="940"/>
      <c r="E2135" s="1291"/>
      <c r="F2135" s="1314"/>
      <c r="G2135" s="1315"/>
      <c r="H2135" s="1315"/>
      <c r="I2135" s="1315"/>
      <c r="J2135" s="1314"/>
      <c r="K2135" s="1314"/>
      <c r="L2135" s="1291"/>
      <c r="M2135" s="1316"/>
      <c r="N2135" s="1291"/>
      <c r="O2135" s="1291"/>
      <c r="P2135" s="1317"/>
      <c r="Q2135" s="1291"/>
    </row>
    <row r="2136">
      <c r="A2136" s="1160"/>
      <c r="B2136" s="1313"/>
      <c r="C2136" s="940"/>
      <c r="D2136" s="940"/>
      <c r="E2136" s="1291"/>
      <c r="F2136" s="1314"/>
      <c r="G2136" s="1315"/>
      <c r="H2136" s="1315"/>
      <c r="I2136" s="1315"/>
      <c r="J2136" s="1314"/>
      <c r="K2136" s="1314"/>
      <c r="L2136" s="1291"/>
      <c r="M2136" s="1316"/>
      <c r="N2136" s="1291"/>
      <c r="O2136" s="1291"/>
      <c r="P2136" s="1317"/>
      <c r="Q2136" s="1291"/>
    </row>
    <row r="2137">
      <c r="A2137" s="1160"/>
      <c r="B2137" s="1313"/>
      <c r="C2137" s="940"/>
      <c r="D2137" s="940"/>
      <c r="E2137" s="1291"/>
      <c r="F2137" s="1314"/>
      <c r="G2137" s="1315"/>
      <c r="H2137" s="1315"/>
      <c r="I2137" s="1315"/>
      <c r="J2137" s="1314"/>
      <c r="K2137" s="1314"/>
      <c r="L2137" s="1291"/>
      <c r="M2137" s="1316"/>
      <c r="N2137" s="1291"/>
      <c r="O2137" s="1291"/>
      <c r="P2137" s="1317"/>
      <c r="Q2137" s="1291"/>
    </row>
    <row r="2138">
      <c r="A2138" s="1160"/>
      <c r="B2138" s="1313"/>
      <c r="C2138" s="940"/>
      <c r="D2138" s="940"/>
      <c r="E2138" s="1291"/>
      <c r="F2138" s="1314"/>
      <c r="G2138" s="1315"/>
      <c r="H2138" s="1315"/>
      <c r="I2138" s="1315"/>
      <c r="J2138" s="1314"/>
      <c r="K2138" s="1314"/>
      <c r="L2138" s="1291"/>
      <c r="M2138" s="1316"/>
      <c r="N2138" s="1291"/>
      <c r="O2138" s="1291"/>
      <c r="P2138" s="1317"/>
      <c r="Q2138" s="1291"/>
    </row>
    <row r="2139">
      <c r="A2139" s="1160"/>
      <c r="B2139" s="1313"/>
      <c r="C2139" s="940"/>
      <c r="D2139" s="940"/>
      <c r="E2139" s="1291"/>
      <c r="F2139" s="1314"/>
      <c r="G2139" s="1315"/>
      <c r="H2139" s="1315"/>
      <c r="I2139" s="1315"/>
      <c r="J2139" s="1314"/>
      <c r="K2139" s="1314"/>
      <c r="L2139" s="1291"/>
      <c r="M2139" s="1316"/>
      <c r="N2139" s="1291"/>
      <c r="O2139" s="1291"/>
      <c r="P2139" s="1317"/>
      <c r="Q2139" s="1291"/>
    </row>
    <row r="2140">
      <c r="A2140" s="1160"/>
      <c r="B2140" s="1313"/>
      <c r="C2140" s="940"/>
      <c r="D2140" s="940"/>
      <c r="E2140" s="1291"/>
      <c r="F2140" s="1314"/>
      <c r="G2140" s="1315"/>
      <c r="H2140" s="1315"/>
      <c r="I2140" s="1315"/>
      <c r="J2140" s="1314"/>
      <c r="K2140" s="1314"/>
      <c r="L2140" s="1291"/>
      <c r="M2140" s="1316"/>
      <c r="N2140" s="1291"/>
      <c r="O2140" s="1291"/>
      <c r="P2140" s="1317"/>
      <c r="Q2140" s="1291"/>
    </row>
    <row r="2141">
      <c r="A2141" s="1160"/>
      <c r="B2141" s="1313"/>
      <c r="C2141" s="940"/>
      <c r="D2141" s="940"/>
      <c r="E2141" s="1291"/>
      <c r="F2141" s="1314"/>
      <c r="G2141" s="1315"/>
      <c r="H2141" s="1315"/>
      <c r="I2141" s="1315"/>
      <c r="J2141" s="1314"/>
      <c r="K2141" s="1314"/>
      <c r="L2141" s="1291"/>
      <c r="M2141" s="1316"/>
      <c r="N2141" s="1291"/>
      <c r="O2141" s="1291"/>
      <c r="P2141" s="1317"/>
      <c r="Q2141" s="1291"/>
    </row>
    <row r="2142">
      <c r="A2142" s="1160"/>
      <c r="B2142" s="1313"/>
      <c r="C2142" s="940"/>
      <c r="D2142" s="940"/>
      <c r="E2142" s="1291"/>
      <c r="F2142" s="1314"/>
      <c r="G2142" s="1315"/>
      <c r="H2142" s="1315"/>
      <c r="I2142" s="1315"/>
      <c r="J2142" s="1314"/>
      <c r="K2142" s="1314"/>
      <c r="L2142" s="1291"/>
      <c r="M2142" s="1316"/>
      <c r="N2142" s="1291"/>
      <c r="O2142" s="1291"/>
      <c r="P2142" s="1317"/>
      <c r="Q2142" s="1291"/>
    </row>
    <row r="2143">
      <c r="A2143" s="1160"/>
      <c r="B2143" s="1313"/>
      <c r="C2143" s="940"/>
      <c r="D2143" s="940"/>
      <c r="E2143" s="1291"/>
      <c r="F2143" s="1314"/>
      <c r="G2143" s="1315"/>
      <c r="H2143" s="1315"/>
      <c r="I2143" s="1315"/>
      <c r="J2143" s="1314"/>
      <c r="K2143" s="1314"/>
      <c r="L2143" s="1291"/>
      <c r="M2143" s="1316"/>
      <c r="N2143" s="1291"/>
      <c r="O2143" s="1291"/>
      <c r="P2143" s="1317"/>
      <c r="Q2143" s="1291"/>
    </row>
    <row r="2144">
      <c r="A2144" s="1160"/>
      <c r="B2144" s="1313"/>
      <c r="C2144" s="940"/>
      <c r="D2144" s="940"/>
      <c r="E2144" s="1291"/>
      <c r="F2144" s="1314"/>
      <c r="G2144" s="1315"/>
      <c r="H2144" s="1315"/>
      <c r="I2144" s="1315"/>
      <c r="J2144" s="1314"/>
      <c r="K2144" s="1314"/>
      <c r="L2144" s="1291"/>
      <c r="M2144" s="1316"/>
      <c r="N2144" s="1291"/>
      <c r="O2144" s="1291"/>
      <c r="P2144" s="1317"/>
      <c r="Q2144" s="1291"/>
    </row>
    <row r="2145">
      <c r="A2145" s="1160"/>
      <c r="B2145" s="1313"/>
      <c r="C2145" s="940"/>
      <c r="D2145" s="940"/>
      <c r="E2145" s="1291"/>
      <c r="F2145" s="1314"/>
      <c r="G2145" s="1315"/>
      <c r="H2145" s="1315"/>
      <c r="I2145" s="1315"/>
      <c r="J2145" s="1314"/>
      <c r="K2145" s="1314"/>
      <c r="L2145" s="1291"/>
      <c r="M2145" s="1316"/>
      <c r="N2145" s="1291"/>
      <c r="O2145" s="1291"/>
      <c r="P2145" s="1317"/>
      <c r="Q2145" s="1291"/>
    </row>
    <row r="2146">
      <c r="A2146" s="1160"/>
      <c r="B2146" s="1313"/>
      <c r="C2146" s="940"/>
      <c r="D2146" s="940"/>
      <c r="E2146" s="1291"/>
      <c r="F2146" s="1314"/>
      <c r="G2146" s="1315"/>
      <c r="H2146" s="1315"/>
      <c r="I2146" s="1315"/>
      <c r="J2146" s="1314"/>
      <c r="K2146" s="1314"/>
      <c r="L2146" s="1291"/>
      <c r="M2146" s="1316"/>
      <c r="N2146" s="1291"/>
      <c r="O2146" s="1291"/>
      <c r="P2146" s="1317"/>
      <c r="Q2146" s="1291"/>
    </row>
    <row r="2147">
      <c r="A2147" s="1160"/>
      <c r="B2147" s="1313"/>
      <c r="C2147" s="940"/>
      <c r="D2147" s="940"/>
      <c r="E2147" s="1291"/>
      <c r="F2147" s="1314"/>
      <c r="G2147" s="1315"/>
      <c r="H2147" s="1315"/>
      <c r="I2147" s="1315"/>
      <c r="J2147" s="1314"/>
      <c r="K2147" s="1314"/>
      <c r="L2147" s="1291"/>
      <c r="M2147" s="1316"/>
      <c r="N2147" s="1291"/>
      <c r="O2147" s="1291"/>
      <c r="P2147" s="1317"/>
      <c r="Q2147" s="1291"/>
    </row>
    <row r="2148">
      <c r="A2148" s="1160"/>
      <c r="B2148" s="1313"/>
      <c r="C2148" s="940"/>
      <c r="D2148" s="940"/>
      <c r="E2148" s="1291"/>
      <c r="F2148" s="1314"/>
      <c r="G2148" s="1315"/>
      <c r="H2148" s="1315"/>
      <c r="I2148" s="1315"/>
      <c r="J2148" s="1314"/>
      <c r="K2148" s="1314"/>
      <c r="L2148" s="1291"/>
      <c r="M2148" s="1316"/>
      <c r="N2148" s="1291"/>
      <c r="O2148" s="1291"/>
      <c r="P2148" s="1317"/>
      <c r="Q2148" s="1291"/>
    </row>
    <row r="2149">
      <c r="A2149" s="1160"/>
      <c r="B2149" s="1313"/>
      <c r="C2149" s="940"/>
      <c r="D2149" s="940"/>
      <c r="E2149" s="1291"/>
      <c r="F2149" s="1314"/>
      <c r="G2149" s="1315"/>
      <c r="H2149" s="1315"/>
      <c r="I2149" s="1315"/>
      <c r="J2149" s="1314"/>
      <c r="K2149" s="1314"/>
      <c r="L2149" s="1291"/>
      <c r="M2149" s="1316"/>
      <c r="N2149" s="1291"/>
      <c r="O2149" s="1291"/>
      <c r="P2149" s="1317"/>
      <c r="Q2149" s="1291"/>
    </row>
    <row r="2150">
      <c r="A2150" s="1160"/>
      <c r="B2150" s="1313"/>
      <c r="C2150" s="940"/>
      <c r="D2150" s="940"/>
      <c r="E2150" s="1291"/>
      <c r="F2150" s="1314"/>
      <c r="G2150" s="1315"/>
      <c r="H2150" s="1315"/>
      <c r="I2150" s="1315"/>
      <c r="J2150" s="1314"/>
      <c r="K2150" s="1314"/>
      <c r="L2150" s="1291"/>
      <c r="M2150" s="1316"/>
      <c r="N2150" s="1291"/>
      <c r="O2150" s="1291"/>
      <c r="P2150" s="1317"/>
      <c r="Q2150" s="1291"/>
    </row>
    <row r="2151">
      <c r="A2151" s="1160"/>
      <c r="B2151" s="1313"/>
      <c r="C2151" s="940"/>
      <c r="D2151" s="940"/>
      <c r="E2151" s="1291"/>
      <c r="F2151" s="1314"/>
      <c r="G2151" s="1315"/>
      <c r="H2151" s="1315"/>
      <c r="I2151" s="1315"/>
      <c r="J2151" s="1314"/>
      <c r="K2151" s="1314"/>
      <c r="L2151" s="1291"/>
      <c r="M2151" s="1316"/>
      <c r="N2151" s="1291"/>
      <c r="O2151" s="1291"/>
      <c r="P2151" s="1317"/>
      <c r="Q2151" s="1291"/>
    </row>
    <row r="2152">
      <c r="A2152" s="1160"/>
      <c r="B2152" s="1313"/>
      <c r="C2152" s="940"/>
      <c r="D2152" s="940"/>
      <c r="E2152" s="1291"/>
      <c r="F2152" s="1314"/>
      <c r="G2152" s="1315"/>
      <c r="H2152" s="1315"/>
      <c r="I2152" s="1315"/>
      <c r="J2152" s="1314"/>
      <c r="K2152" s="1314"/>
      <c r="L2152" s="1291"/>
      <c r="M2152" s="1316"/>
      <c r="N2152" s="1291"/>
      <c r="O2152" s="1291"/>
      <c r="P2152" s="1317"/>
      <c r="Q2152" s="1291"/>
    </row>
    <row r="2153">
      <c r="A2153" s="1160"/>
      <c r="B2153" s="1313"/>
      <c r="C2153" s="940"/>
      <c r="D2153" s="940"/>
      <c r="E2153" s="1291"/>
      <c r="F2153" s="1314"/>
      <c r="G2153" s="1315"/>
      <c r="H2153" s="1315"/>
      <c r="I2153" s="1315"/>
      <c r="J2153" s="1314"/>
      <c r="K2153" s="1314"/>
      <c r="L2153" s="1291"/>
      <c r="M2153" s="1316"/>
      <c r="N2153" s="1291"/>
      <c r="O2153" s="1291"/>
      <c r="P2153" s="1317"/>
      <c r="Q2153" s="1291"/>
    </row>
    <row r="2154">
      <c r="A2154" s="1160"/>
      <c r="B2154" s="1313"/>
      <c r="C2154" s="940"/>
      <c r="D2154" s="940"/>
      <c r="E2154" s="1291"/>
      <c r="F2154" s="1314"/>
      <c r="G2154" s="1315"/>
      <c r="H2154" s="1315"/>
      <c r="I2154" s="1315"/>
      <c r="J2154" s="1314"/>
      <c r="K2154" s="1314"/>
      <c r="L2154" s="1291"/>
      <c r="M2154" s="1316"/>
      <c r="N2154" s="1291"/>
      <c r="O2154" s="1291"/>
      <c r="P2154" s="1317"/>
      <c r="Q2154" s="1291"/>
    </row>
    <row r="2155">
      <c r="A2155" s="1160"/>
      <c r="B2155" s="1313"/>
      <c r="C2155" s="940"/>
      <c r="D2155" s="940"/>
      <c r="E2155" s="1291"/>
      <c r="F2155" s="1314"/>
      <c r="G2155" s="1315"/>
      <c r="H2155" s="1315"/>
      <c r="I2155" s="1315"/>
      <c r="J2155" s="1314"/>
      <c r="K2155" s="1314"/>
      <c r="L2155" s="1291"/>
      <c r="M2155" s="1316"/>
      <c r="N2155" s="1291"/>
      <c r="O2155" s="1291"/>
      <c r="P2155" s="1317"/>
      <c r="Q2155" s="1291"/>
    </row>
    <row r="2156">
      <c r="A2156" s="1160"/>
      <c r="B2156" s="1313"/>
      <c r="C2156" s="940"/>
      <c r="D2156" s="940"/>
      <c r="E2156" s="1291"/>
      <c r="F2156" s="1314"/>
      <c r="G2156" s="1315"/>
      <c r="H2156" s="1315"/>
      <c r="I2156" s="1315"/>
      <c r="J2156" s="1314"/>
      <c r="K2156" s="1314"/>
      <c r="L2156" s="1291"/>
      <c r="M2156" s="1316"/>
      <c r="N2156" s="1291"/>
      <c r="O2156" s="1291"/>
      <c r="P2156" s="1317"/>
      <c r="Q2156" s="1291"/>
    </row>
    <row r="2157">
      <c r="A2157" s="1160"/>
      <c r="B2157" s="1313"/>
      <c r="C2157" s="940"/>
      <c r="D2157" s="940"/>
      <c r="E2157" s="1291"/>
      <c r="F2157" s="1314"/>
      <c r="G2157" s="1315"/>
      <c r="H2157" s="1315"/>
      <c r="I2157" s="1315"/>
      <c r="J2157" s="1314"/>
      <c r="K2157" s="1314"/>
      <c r="L2157" s="1291"/>
      <c r="M2157" s="1316"/>
      <c r="N2157" s="1291"/>
      <c r="O2157" s="1291"/>
      <c r="P2157" s="1317"/>
      <c r="Q2157" s="1291"/>
    </row>
    <row r="2158">
      <c r="A2158" s="1160"/>
      <c r="B2158" s="1313"/>
      <c r="C2158" s="940"/>
      <c r="D2158" s="940"/>
      <c r="E2158" s="1291"/>
      <c r="F2158" s="1314"/>
      <c r="G2158" s="1315"/>
      <c r="H2158" s="1315"/>
      <c r="I2158" s="1315"/>
      <c r="J2158" s="1314"/>
      <c r="K2158" s="1314"/>
      <c r="L2158" s="1291"/>
      <c r="M2158" s="1316"/>
      <c r="N2158" s="1291"/>
      <c r="O2158" s="1291"/>
      <c r="P2158" s="1317"/>
      <c r="Q2158" s="1291"/>
    </row>
    <row r="2159">
      <c r="A2159" s="1160"/>
      <c r="B2159" s="1313"/>
      <c r="C2159" s="940"/>
      <c r="D2159" s="940"/>
      <c r="E2159" s="1291"/>
      <c r="F2159" s="1314"/>
      <c r="G2159" s="1315"/>
      <c r="H2159" s="1315"/>
      <c r="I2159" s="1315"/>
      <c r="J2159" s="1314"/>
      <c r="K2159" s="1314"/>
      <c r="L2159" s="1291"/>
      <c r="M2159" s="1316"/>
      <c r="N2159" s="1291"/>
      <c r="O2159" s="1291"/>
      <c r="P2159" s="1317"/>
      <c r="Q2159" s="1291"/>
    </row>
    <row r="2160">
      <c r="A2160" s="1160"/>
      <c r="B2160" s="1313"/>
      <c r="C2160" s="940"/>
      <c r="D2160" s="940"/>
      <c r="E2160" s="1291"/>
      <c r="F2160" s="1314"/>
      <c r="G2160" s="1315"/>
      <c r="H2160" s="1315"/>
      <c r="I2160" s="1315"/>
      <c r="J2160" s="1314"/>
      <c r="K2160" s="1314"/>
      <c r="L2160" s="1291"/>
      <c r="M2160" s="1316"/>
      <c r="N2160" s="1291"/>
      <c r="O2160" s="1291"/>
      <c r="P2160" s="1317"/>
      <c r="Q2160" s="1291"/>
    </row>
    <row r="2161">
      <c r="A2161" s="1160"/>
      <c r="B2161" s="1313"/>
      <c r="C2161" s="940"/>
      <c r="D2161" s="940"/>
      <c r="E2161" s="1291"/>
      <c r="F2161" s="1314"/>
      <c r="G2161" s="1315"/>
      <c r="H2161" s="1315"/>
      <c r="I2161" s="1315"/>
      <c r="J2161" s="1314"/>
      <c r="K2161" s="1314"/>
      <c r="L2161" s="1291"/>
      <c r="M2161" s="1316"/>
      <c r="N2161" s="1291"/>
      <c r="O2161" s="1291"/>
      <c r="P2161" s="1317"/>
      <c r="Q2161" s="1291"/>
    </row>
    <row r="2162">
      <c r="A2162" s="1160"/>
      <c r="B2162" s="1313"/>
      <c r="C2162" s="940"/>
      <c r="D2162" s="940"/>
      <c r="E2162" s="1291"/>
      <c r="F2162" s="1314"/>
      <c r="G2162" s="1315"/>
      <c r="H2162" s="1315"/>
      <c r="I2162" s="1315"/>
      <c r="J2162" s="1314"/>
      <c r="K2162" s="1314"/>
      <c r="L2162" s="1291"/>
      <c r="M2162" s="1316"/>
      <c r="N2162" s="1291"/>
      <c r="O2162" s="1291"/>
      <c r="P2162" s="1317"/>
      <c r="Q2162" s="1291"/>
    </row>
    <row r="2163">
      <c r="A2163" s="1160"/>
      <c r="B2163" s="1313"/>
      <c r="C2163" s="940"/>
      <c r="D2163" s="940"/>
      <c r="E2163" s="1291"/>
      <c r="F2163" s="1314"/>
      <c r="G2163" s="1315"/>
      <c r="H2163" s="1315"/>
      <c r="I2163" s="1315"/>
      <c r="J2163" s="1314"/>
      <c r="K2163" s="1314"/>
      <c r="L2163" s="1291"/>
      <c r="M2163" s="1316"/>
      <c r="N2163" s="1291"/>
      <c r="O2163" s="1291"/>
      <c r="P2163" s="1317"/>
      <c r="Q2163" s="1291"/>
    </row>
    <row r="2164">
      <c r="A2164" s="1160"/>
      <c r="B2164" s="1313"/>
      <c r="C2164" s="940"/>
      <c r="D2164" s="940"/>
      <c r="E2164" s="1291"/>
      <c r="F2164" s="1314"/>
      <c r="G2164" s="1315"/>
      <c r="H2164" s="1315"/>
      <c r="I2164" s="1315"/>
      <c r="J2164" s="1314"/>
      <c r="K2164" s="1314"/>
      <c r="L2164" s="1291"/>
      <c r="M2164" s="1316"/>
      <c r="N2164" s="1291"/>
      <c r="O2164" s="1291"/>
      <c r="P2164" s="1317"/>
      <c r="Q2164" s="1291"/>
    </row>
    <row r="2165">
      <c r="A2165" s="1160"/>
      <c r="B2165" s="1313"/>
      <c r="C2165" s="940"/>
      <c r="D2165" s="940"/>
      <c r="E2165" s="1291"/>
      <c r="F2165" s="1314"/>
      <c r="G2165" s="1315"/>
      <c r="H2165" s="1315"/>
      <c r="I2165" s="1315"/>
      <c r="J2165" s="1314"/>
      <c r="K2165" s="1314"/>
      <c r="L2165" s="1291"/>
      <c r="M2165" s="1316"/>
      <c r="N2165" s="1291"/>
      <c r="O2165" s="1291"/>
      <c r="P2165" s="1317"/>
      <c r="Q2165" s="1291"/>
    </row>
    <row r="2166">
      <c r="A2166" s="1160"/>
      <c r="B2166" s="1313"/>
      <c r="C2166" s="940"/>
      <c r="D2166" s="940"/>
      <c r="E2166" s="1291"/>
      <c r="F2166" s="1314"/>
      <c r="G2166" s="1315"/>
      <c r="H2166" s="1315"/>
      <c r="I2166" s="1315"/>
      <c r="J2166" s="1314"/>
      <c r="K2166" s="1314"/>
      <c r="L2166" s="1291"/>
      <c r="M2166" s="1316"/>
      <c r="N2166" s="1291"/>
      <c r="O2166" s="1291"/>
      <c r="P2166" s="1317"/>
      <c r="Q2166" s="1291"/>
    </row>
    <row r="2167">
      <c r="A2167" s="1160"/>
      <c r="B2167" s="1313"/>
      <c r="C2167" s="940"/>
      <c r="D2167" s="940"/>
      <c r="E2167" s="1291"/>
      <c r="F2167" s="1314"/>
      <c r="G2167" s="1315"/>
      <c r="H2167" s="1315"/>
      <c r="I2167" s="1315"/>
      <c r="J2167" s="1314"/>
      <c r="K2167" s="1314"/>
      <c r="L2167" s="1291"/>
      <c r="M2167" s="1316"/>
      <c r="N2167" s="1291"/>
      <c r="O2167" s="1291"/>
      <c r="P2167" s="1317"/>
      <c r="Q2167" s="1291"/>
    </row>
    <row r="2168">
      <c r="A2168" s="1160"/>
      <c r="B2168" s="1313"/>
      <c r="C2168" s="940"/>
      <c r="D2168" s="940"/>
      <c r="E2168" s="1291"/>
      <c r="F2168" s="1314"/>
      <c r="G2168" s="1315"/>
      <c r="H2168" s="1315"/>
      <c r="I2168" s="1315"/>
      <c r="J2168" s="1314"/>
      <c r="K2168" s="1314"/>
      <c r="L2168" s="1291"/>
      <c r="M2168" s="1316"/>
      <c r="N2168" s="1291"/>
      <c r="O2168" s="1291"/>
      <c r="P2168" s="1317"/>
      <c r="Q2168" s="1291"/>
    </row>
    <row r="2169">
      <c r="A2169" s="1160"/>
      <c r="B2169" s="1313"/>
      <c r="C2169" s="940"/>
      <c r="D2169" s="940"/>
      <c r="E2169" s="1291"/>
      <c r="F2169" s="1314"/>
      <c r="G2169" s="1315"/>
      <c r="H2169" s="1315"/>
      <c r="I2169" s="1315"/>
      <c r="J2169" s="1314"/>
      <c r="K2169" s="1314"/>
      <c r="L2169" s="1291"/>
      <c r="M2169" s="1316"/>
      <c r="N2169" s="1291"/>
      <c r="O2169" s="1291"/>
      <c r="P2169" s="1317"/>
      <c r="Q2169" s="1291"/>
    </row>
    <row r="2170">
      <c r="A2170" s="1160"/>
      <c r="B2170" s="1313"/>
      <c r="C2170" s="940"/>
      <c r="D2170" s="940"/>
      <c r="E2170" s="1291"/>
      <c r="F2170" s="1314"/>
      <c r="G2170" s="1315"/>
      <c r="H2170" s="1315"/>
      <c r="I2170" s="1315"/>
      <c r="J2170" s="1314"/>
      <c r="K2170" s="1314"/>
      <c r="L2170" s="1291"/>
      <c r="M2170" s="1316"/>
      <c r="N2170" s="1291"/>
      <c r="O2170" s="1291"/>
      <c r="P2170" s="1317"/>
      <c r="Q2170" s="1291"/>
    </row>
    <row r="2171">
      <c r="A2171" s="1160"/>
      <c r="B2171" s="1313"/>
      <c r="C2171" s="940"/>
      <c r="D2171" s="940"/>
      <c r="E2171" s="1291"/>
      <c r="F2171" s="1314"/>
      <c r="G2171" s="1315"/>
      <c r="H2171" s="1315"/>
      <c r="I2171" s="1315"/>
      <c r="J2171" s="1314"/>
      <c r="K2171" s="1314"/>
      <c r="L2171" s="1291"/>
      <c r="M2171" s="1316"/>
      <c r="N2171" s="1291"/>
      <c r="O2171" s="1291"/>
      <c r="P2171" s="1317"/>
      <c r="Q2171" s="1291"/>
    </row>
    <row r="2172">
      <c r="A2172" s="1160"/>
      <c r="B2172" s="1313"/>
      <c r="C2172" s="940"/>
      <c r="D2172" s="940"/>
      <c r="E2172" s="1291"/>
      <c r="F2172" s="1314"/>
      <c r="G2172" s="1315"/>
      <c r="H2172" s="1315"/>
      <c r="I2172" s="1315"/>
      <c r="J2172" s="1314"/>
      <c r="K2172" s="1314"/>
      <c r="L2172" s="1291"/>
      <c r="M2172" s="1316"/>
      <c r="N2172" s="1291"/>
      <c r="O2172" s="1291"/>
      <c r="P2172" s="1317"/>
      <c r="Q2172" s="1291"/>
    </row>
    <row r="2173">
      <c r="A2173" s="1160"/>
      <c r="B2173" s="1313"/>
      <c r="C2173" s="940"/>
      <c r="D2173" s="940"/>
      <c r="E2173" s="1291"/>
      <c r="F2173" s="1314"/>
      <c r="G2173" s="1315"/>
      <c r="H2173" s="1315"/>
      <c r="I2173" s="1315"/>
      <c r="J2173" s="1314"/>
      <c r="K2173" s="1314"/>
      <c r="L2173" s="1291"/>
      <c r="M2173" s="1316"/>
      <c r="N2173" s="1291"/>
      <c r="O2173" s="1291"/>
      <c r="P2173" s="1317"/>
      <c r="Q2173" s="1291"/>
    </row>
    <row r="2174">
      <c r="A2174" s="1160"/>
      <c r="B2174" s="1313"/>
      <c r="C2174" s="940"/>
      <c r="D2174" s="940"/>
      <c r="E2174" s="1291"/>
      <c r="F2174" s="1314"/>
      <c r="G2174" s="1315"/>
      <c r="H2174" s="1315"/>
      <c r="I2174" s="1315"/>
      <c r="J2174" s="1314"/>
      <c r="K2174" s="1314"/>
      <c r="L2174" s="1291"/>
      <c r="M2174" s="1316"/>
      <c r="N2174" s="1291"/>
      <c r="O2174" s="1291"/>
      <c r="P2174" s="1317"/>
      <c r="Q2174" s="1291"/>
    </row>
    <row r="2175">
      <c r="A2175" s="1160"/>
      <c r="B2175" s="1313"/>
      <c r="C2175" s="940"/>
      <c r="D2175" s="940"/>
      <c r="E2175" s="1291"/>
      <c r="F2175" s="1314"/>
      <c r="G2175" s="1315"/>
      <c r="H2175" s="1315"/>
      <c r="I2175" s="1315"/>
      <c r="J2175" s="1314"/>
      <c r="K2175" s="1314"/>
      <c r="L2175" s="1291"/>
      <c r="M2175" s="1316"/>
      <c r="N2175" s="1291"/>
      <c r="O2175" s="1291"/>
      <c r="P2175" s="1317"/>
      <c r="Q2175" s="1291"/>
    </row>
    <row r="2176">
      <c r="A2176" s="1160"/>
      <c r="B2176" s="1313"/>
      <c r="C2176" s="940"/>
      <c r="D2176" s="940"/>
      <c r="E2176" s="1291"/>
      <c r="F2176" s="1314"/>
      <c r="G2176" s="1315"/>
      <c r="H2176" s="1315"/>
      <c r="I2176" s="1315"/>
      <c r="J2176" s="1314"/>
      <c r="K2176" s="1314"/>
      <c r="L2176" s="1291"/>
      <c r="M2176" s="1316"/>
      <c r="N2176" s="1291"/>
      <c r="O2176" s="1291"/>
      <c r="P2176" s="1317"/>
      <c r="Q2176" s="1291"/>
    </row>
    <row r="2177">
      <c r="A2177" s="1160"/>
      <c r="B2177" s="1313"/>
      <c r="C2177" s="940"/>
      <c r="D2177" s="940"/>
      <c r="E2177" s="1291"/>
      <c r="F2177" s="1314"/>
      <c r="G2177" s="1315"/>
      <c r="H2177" s="1315"/>
      <c r="I2177" s="1315"/>
      <c r="J2177" s="1314"/>
      <c r="K2177" s="1314"/>
      <c r="L2177" s="1291"/>
      <c r="M2177" s="1316"/>
      <c r="N2177" s="1291"/>
      <c r="O2177" s="1291"/>
      <c r="P2177" s="1317"/>
      <c r="Q2177" s="1291"/>
    </row>
    <row r="2178">
      <c r="A2178" s="1160"/>
      <c r="B2178" s="1313"/>
      <c r="C2178" s="940"/>
      <c r="D2178" s="940"/>
      <c r="E2178" s="1291"/>
      <c r="F2178" s="1314"/>
      <c r="G2178" s="1315"/>
      <c r="H2178" s="1315"/>
      <c r="I2178" s="1315"/>
      <c r="J2178" s="1314"/>
      <c r="K2178" s="1314"/>
      <c r="L2178" s="1291"/>
      <c r="M2178" s="1316"/>
      <c r="N2178" s="1291"/>
      <c r="O2178" s="1291"/>
      <c r="P2178" s="1317"/>
      <c r="Q2178" s="1291"/>
    </row>
    <row r="2179">
      <c r="A2179" s="1160"/>
      <c r="B2179" s="1313"/>
      <c r="C2179" s="940"/>
      <c r="D2179" s="940"/>
      <c r="E2179" s="1291"/>
      <c r="F2179" s="1314"/>
      <c r="G2179" s="1315"/>
      <c r="H2179" s="1315"/>
      <c r="I2179" s="1315"/>
      <c r="J2179" s="1314"/>
      <c r="K2179" s="1314"/>
      <c r="L2179" s="1291"/>
      <c r="M2179" s="1316"/>
      <c r="N2179" s="1291"/>
      <c r="O2179" s="1291"/>
      <c r="P2179" s="1317"/>
      <c r="Q2179" s="1291"/>
    </row>
    <row r="2180">
      <c r="A2180" s="1160"/>
      <c r="B2180" s="1313"/>
      <c r="C2180" s="940"/>
      <c r="D2180" s="940"/>
      <c r="E2180" s="1291"/>
      <c r="F2180" s="1314"/>
      <c r="G2180" s="1315"/>
      <c r="H2180" s="1315"/>
      <c r="I2180" s="1315"/>
      <c r="J2180" s="1314"/>
      <c r="K2180" s="1314"/>
      <c r="L2180" s="1291"/>
      <c r="M2180" s="1316"/>
      <c r="N2180" s="1291"/>
      <c r="O2180" s="1291"/>
      <c r="P2180" s="1317"/>
      <c r="Q2180" s="1291"/>
    </row>
    <row r="2181">
      <c r="A2181" s="1160"/>
      <c r="B2181" s="1313"/>
      <c r="C2181" s="940"/>
      <c r="D2181" s="940"/>
      <c r="E2181" s="1291"/>
      <c r="F2181" s="1314"/>
      <c r="G2181" s="1315"/>
      <c r="H2181" s="1315"/>
      <c r="I2181" s="1315"/>
      <c r="J2181" s="1314"/>
      <c r="K2181" s="1314"/>
      <c r="L2181" s="1291"/>
      <c r="M2181" s="1316"/>
      <c r="N2181" s="1291"/>
      <c r="O2181" s="1291"/>
      <c r="P2181" s="1317"/>
      <c r="Q2181" s="1291"/>
    </row>
    <row r="2182">
      <c r="A2182" s="1160"/>
      <c r="B2182" s="1313"/>
      <c r="C2182" s="940"/>
      <c r="D2182" s="940"/>
      <c r="E2182" s="1291"/>
      <c r="F2182" s="1314"/>
      <c r="G2182" s="1315"/>
      <c r="H2182" s="1315"/>
      <c r="I2182" s="1315"/>
      <c r="J2182" s="1314"/>
      <c r="K2182" s="1314"/>
      <c r="L2182" s="1291"/>
      <c r="M2182" s="1316"/>
      <c r="N2182" s="1291"/>
      <c r="O2182" s="1291"/>
      <c r="P2182" s="1317"/>
      <c r="Q2182" s="1291"/>
    </row>
    <row r="2183">
      <c r="A2183" s="1160"/>
      <c r="B2183" s="1313"/>
      <c r="C2183" s="940"/>
      <c r="D2183" s="940"/>
      <c r="E2183" s="1291"/>
      <c r="F2183" s="1314"/>
      <c r="G2183" s="1315"/>
      <c r="H2183" s="1315"/>
      <c r="I2183" s="1315"/>
      <c r="J2183" s="1314"/>
      <c r="K2183" s="1314"/>
      <c r="L2183" s="1291"/>
      <c r="M2183" s="1316"/>
      <c r="N2183" s="1291"/>
      <c r="O2183" s="1291"/>
      <c r="P2183" s="1317"/>
      <c r="Q2183" s="1291"/>
    </row>
    <row r="2184">
      <c r="A2184" s="1160"/>
      <c r="B2184" s="1313"/>
      <c r="C2184" s="940"/>
      <c r="D2184" s="940"/>
      <c r="E2184" s="1291"/>
      <c r="F2184" s="1314"/>
      <c r="G2184" s="1315"/>
      <c r="H2184" s="1315"/>
      <c r="I2184" s="1315"/>
      <c r="J2184" s="1314"/>
      <c r="K2184" s="1314"/>
      <c r="L2184" s="1291"/>
      <c r="M2184" s="1316"/>
      <c r="N2184" s="1291"/>
      <c r="O2184" s="1291"/>
      <c r="P2184" s="1317"/>
      <c r="Q2184" s="1291"/>
    </row>
    <row r="2185">
      <c r="A2185" s="1160"/>
      <c r="B2185" s="1313"/>
      <c r="C2185" s="940"/>
      <c r="D2185" s="940"/>
      <c r="E2185" s="1291"/>
      <c r="F2185" s="1314"/>
      <c r="G2185" s="1315"/>
      <c r="H2185" s="1315"/>
      <c r="I2185" s="1315"/>
      <c r="J2185" s="1314"/>
      <c r="K2185" s="1314"/>
      <c r="L2185" s="1291"/>
      <c r="M2185" s="1316"/>
      <c r="N2185" s="1291"/>
      <c r="O2185" s="1291"/>
      <c r="P2185" s="1317"/>
      <c r="Q2185" s="1291"/>
    </row>
    <row r="2186">
      <c r="A2186" s="1160"/>
      <c r="B2186" s="1313"/>
      <c r="C2186" s="940"/>
      <c r="D2186" s="940"/>
      <c r="E2186" s="1291"/>
      <c r="F2186" s="1314"/>
      <c r="G2186" s="1315"/>
      <c r="H2186" s="1315"/>
      <c r="I2186" s="1315"/>
      <c r="J2186" s="1314"/>
      <c r="K2186" s="1314"/>
      <c r="L2186" s="1291"/>
      <c r="M2186" s="1316"/>
      <c r="N2186" s="1291"/>
      <c r="O2186" s="1291"/>
      <c r="P2186" s="1317"/>
      <c r="Q2186" s="1291"/>
    </row>
    <row r="2187">
      <c r="A2187" s="1160"/>
      <c r="B2187" s="1313"/>
      <c r="C2187" s="940"/>
      <c r="D2187" s="940"/>
      <c r="E2187" s="1291"/>
      <c r="F2187" s="1314"/>
      <c r="G2187" s="1315"/>
      <c r="H2187" s="1315"/>
      <c r="I2187" s="1315"/>
      <c r="J2187" s="1314"/>
      <c r="K2187" s="1314"/>
      <c r="L2187" s="1291"/>
      <c r="M2187" s="1316"/>
      <c r="N2187" s="1291"/>
      <c r="O2187" s="1291"/>
      <c r="P2187" s="1317"/>
      <c r="Q2187" s="1291"/>
    </row>
    <row r="2188">
      <c r="A2188" s="1160"/>
      <c r="B2188" s="1313"/>
      <c r="C2188" s="940"/>
      <c r="D2188" s="940"/>
      <c r="E2188" s="1291"/>
      <c r="F2188" s="1314"/>
      <c r="G2188" s="1315"/>
      <c r="H2188" s="1315"/>
      <c r="I2188" s="1315"/>
      <c r="J2188" s="1314"/>
      <c r="K2188" s="1314"/>
      <c r="L2188" s="1291"/>
      <c r="M2188" s="1316"/>
      <c r="N2188" s="1291"/>
      <c r="O2188" s="1291"/>
      <c r="P2188" s="1317"/>
      <c r="Q2188" s="1291"/>
    </row>
    <row r="2189">
      <c r="A2189" s="1160"/>
      <c r="B2189" s="1313"/>
      <c r="C2189" s="940"/>
      <c r="D2189" s="940"/>
      <c r="E2189" s="1291"/>
      <c r="F2189" s="1314"/>
      <c r="G2189" s="1315"/>
      <c r="H2189" s="1315"/>
      <c r="I2189" s="1315"/>
      <c r="J2189" s="1314"/>
      <c r="K2189" s="1314"/>
      <c r="L2189" s="1291"/>
      <c r="M2189" s="1316"/>
      <c r="N2189" s="1291"/>
      <c r="O2189" s="1291"/>
      <c r="P2189" s="1317"/>
      <c r="Q2189" s="1291"/>
    </row>
    <row r="2190">
      <c r="A2190" s="1160"/>
      <c r="B2190" s="1313"/>
      <c r="C2190" s="940"/>
      <c r="D2190" s="940"/>
      <c r="E2190" s="1291"/>
      <c r="F2190" s="1314"/>
      <c r="G2190" s="1315"/>
      <c r="H2190" s="1315"/>
      <c r="I2190" s="1315"/>
      <c r="J2190" s="1314"/>
      <c r="K2190" s="1314"/>
      <c r="L2190" s="1291"/>
      <c r="M2190" s="1316"/>
      <c r="N2190" s="1291"/>
      <c r="O2190" s="1291"/>
      <c r="P2190" s="1317"/>
      <c r="Q2190" s="1291"/>
    </row>
    <row r="2191">
      <c r="A2191" s="1160"/>
      <c r="B2191" s="1313"/>
      <c r="C2191" s="940"/>
      <c r="D2191" s="940"/>
      <c r="E2191" s="1291"/>
      <c r="F2191" s="1314"/>
      <c r="G2191" s="1315"/>
      <c r="H2191" s="1315"/>
      <c r="I2191" s="1315"/>
      <c r="J2191" s="1314"/>
      <c r="K2191" s="1314"/>
      <c r="L2191" s="1291"/>
      <c r="M2191" s="1316"/>
      <c r="N2191" s="1291"/>
      <c r="O2191" s="1291"/>
      <c r="P2191" s="1317"/>
      <c r="Q2191" s="1291"/>
    </row>
    <row r="2192">
      <c r="A2192" s="1160"/>
      <c r="B2192" s="1313"/>
      <c r="C2192" s="940"/>
      <c r="D2192" s="940"/>
      <c r="E2192" s="1291"/>
      <c r="F2192" s="1314"/>
      <c r="G2192" s="1315"/>
      <c r="H2192" s="1315"/>
      <c r="I2192" s="1315"/>
      <c r="J2192" s="1314"/>
      <c r="K2192" s="1314"/>
      <c r="L2192" s="1291"/>
      <c r="M2192" s="1316"/>
      <c r="N2192" s="1291"/>
      <c r="O2192" s="1291"/>
      <c r="P2192" s="1317"/>
      <c r="Q2192" s="1291"/>
    </row>
    <row r="2193">
      <c r="A2193" s="1160"/>
      <c r="B2193" s="1313"/>
      <c r="C2193" s="940"/>
      <c r="D2193" s="940"/>
      <c r="E2193" s="1291"/>
      <c r="F2193" s="1314"/>
      <c r="G2193" s="1315"/>
      <c r="H2193" s="1315"/>
      <c r="I2193" s="1315"/>
      <c r="J2193" s="1314"/>
      <c r="K2193" s="1314"/>
      <c r="L2193" s="1291"/>
      <c r="M2193" s="1316"/>
      <c r="N2193" s="1291"/>
      <c r="O2193" s="1291"/>
      <c r="P2193" s="1317"/>
      <c r="Q2193" s="1291"/>
    </row>
    <row r="2194">
      <c r="A2194" s="1160"/>
      <c r="B2194" s="1313"/>
      <c r="C2194" s="940"/>
      <c r="D2194" s="940"/>
      <c r="E2194" s="1291"/>
      <c r="F2194" s="1314"/>
      <c r="G2194" s="1315"/>
      <c r="H2194" s="1315"/>
      <c r="I2194" s="1315"/>
      <c r="J2194" s="1314"/>
      <c r="K2194" s="1314"/>
      <c r="L2194" s="1291"/>
      <c r="M2194" s="1316"/>
      <c r="N2194" s="1291"/>
      <c r="O2194" s="1291"/>
      <c r="P2194" s="1317"/>
      <c r="Q2194" s="1291"/>
    </row>
    <row r="2195">
      <c r="A2195" s="1160"/>
      <c r="B2195" s="1313"/>
      <c r="C2195" s="940"/>
      <c r="D2195" s="940"/>
      <c r="E2195" s="1291"/>
      <c r="F2195" s="1314"/>
      <c r="G2195" s="1315"/>
      <c r="H2195" s="1315"/>
      <c r="I2195" s="1315"/>
      <c r="J2195" s="1314"/>
      <c r="K2195" s="1314"/>
      <c r="L2195" s="1291"/>
      <c r="M2195" s="1316"/>
      <c r="N2195" s="1291"/>
      <c r="O2195" s="1291"/>
      <c r="P2195" s="1317"/>
      <c r="Q2195" s="1291"/>
    </row>
    <row r="2196">
      <c r="A2196" s="1160"/>
      <c r="B2196" s="1313"/>
      <c r="C2196" s="940"/>
      <c r="D2196" s="940"/>
      <c r="E2196" s="1291"/>
      <c r="F2196" s="1314"/>
      <c r="G2196" s="1315"/>
      <c r="H2196" s="1315"/>
      <c r="I2196" s="1315"/>
      <c r="J2196" s="1314"/>
      <c r="K2196" s="1314"/>
      <c r="L2196" s="1291"/>
      <c r="M2196" s="1316"/>
      <c r="N2196" s="1291"/>
      <c r="O2196" s="1291"/>
      <c r="P2196" s="1317"/>
      <c r="Q2196" s="1291"/>
    </row>
    <row r="2197">
      <c r="A2197" s="1160"/>
      <c r="B2197" s="1313"/>
      <c r="C2197" s="940"/>
      <c r="D2197" s="940"/>
      <c r="E2197" s="1291"/>
      <c r="F2197" s="1314"/>
      <c r="G2197" s="1315"/>
      <c r="H2197" s="1315"/>
      <c r="I2197" s="1315"/>
      <c r="J2197" s="1314"/>
      <c r="K2197" s="1314"/>
      <c r="L2197" s="1291"/>
      <c r="M2197" s="1316"/>
      <c r="N2197" s="1291"/>
      <c r="O2197" s="1291"/>
      <c r="P2197" s="1317"/>
      <c r="Q2197" s="1291"/>
    </row>
    <row r="2198">
      <c r="A2198" s="1160"/>
      <c r="B2198" s="1313"/>
      <c r="C2198" s="940"/>
      <c r="D2198" s="940"/>
      <c r="E2198" s="1291"/>
      <c r="F2198" s="1314"/>
      <c r="G2198" s="1315"/>
      <c r="H2198" s="1315"/>
      <c r="I2198" s="1315"/>
      <c r="J2198" s="1314"/>
      <c r="K2198" s="1314"/>
      <c r="L2198" s="1291"/>
      <c r="M2198" s="1316"/>
      <c r="N2198" s="1291"/>
      <c r="O2198" s="1291"/>
      <c r="P2198" s="1317"/>
      <c r="Q2198" s="1291"/>
    </row>
    <row r="2199">
      <c r="A2199" s="1160"/>
      <c r="B2199" s="1313"/>
      <c r="C2199" s="940"/>
      <c r="D2199" s="940"/>
      <c r="E2199" s="1291"/>
      <c r="F2199" s="1314"/>
      <c r="G2199" s="1315"/>
      <c r="H2199" s="1315"/>
      <c r="I2199" s="1315"/>
      <c r="J2199" s="1314"/>
      <c r="K2199" s="1314"/>
      <c r="L2199" s="1291"/>
      <c r="M2199" s="1316"/>
      <c r="N2199" s="1291"/>
      <c r="O2199" s="1291"/>
      <c r="P2199" s="1317"/>
      <c r="Q2199" s="1291"/>
    </row>
    <row r="2200">
      <c r="A2200" s="1160"/>
      <c r="B2200" s="1313"/>
      <c r="C2200" s="940"/>
      <c r="D2200" s="940"/>
      <c r="E2200" s="1291"/>
      <c r="F2200" s="1314"/>
      <c r="G2200" s="1315"/>
      <c r="H2200" s="1315"/>
      <c r="I2200" s="1315"/>
      <c r="J2200" s="1314"/>
      <c r="K2200" s="1314"/>
      <c r="L2200" s="1291"/>
      <c r="M2200" s="1316"/>
      <c r="N2200" s="1291"/>
      <c r="O2200" s="1291"/>
      <c r="P2200" s="1317"/>
      <c r="Q2200" s="1291"/>
    </row>
    <row r="2201">
      <c r="A2201" s="1160"/>
      <c r="B2201" s="1313"/>
      <c r="C2201" s="940"/>
      <c r="D2201" s="940"/>
      <c r="E2201" s="1291"/>
      <c r="F2201" s="1314"/>
      <c r="G2201" s="1315"/>
      <c r="H2201" s="1315"/>
      <c r="I2201" s="1315"/>
      <c r="J2201" s="1314"/>
      <c r="K2201" s="1314"/>
      <c r="L2201" s="1291"/>
      <c r="M2201" s="1316"/>
      <c r="N2201" s="1291"/>
      <c r="O2201" s="1291"/>
      <c r="P2201" s="1317"/>
      <c r="Q2201" s="1291"/>
    </row>
    <row r="2202">
      <c r="A2202" s="1160"/>
      <c r="B2202" s="1313"/>
      <c r="C2202" s="940"/>
      <c r="D2202" s="940"/>
      <c r="E2202" s="1291"/>
      <c r="F2202" s="1314"/>
      <c r="G2202" s="1315"/>
      <c r="H2202" s="1315"/>
      <c r="I2202" s="1315"/>
      <c r="J2202" s="1314"/>
      <c r="K2202" s="1314"/>
      <c r="L2202" s="1291"/>
      <c r="M2202" s="1316"/>
      <c r="N2202" s="1291"/>
      <c r="O2202" s="1291"/>
      <c r="P2202" s="1317"/>
      <c r="Q2202" s="1291"/>
    </row>
    <row r="2203">
      <c r="A2203" s="1160"/>
      <c r="B2203" s="1313"/>
      <c r="C2203" s="940"/>
      <c r="D2203" s="940"/>
      <c r="E2203" s="1291"/>
      <c r="F2203" s="1314"/>
      <c r="G2203" s="1315"/>
      <c r="H2203" s="1315"/>
      <c r="I2203" s="1315"/>
      <c r="J2203" s="1314"/>
      <c r="K2203" s="1314"/>
      <c r="L2203" s="1291"/>
      <c r="M2203" s="1316"/>
      <c r="N2203" s="1291"/>
      <c r="O2203" s="1291"/>
      <c r="P2203" s="1317"/>
      <c r="Q2203" s="1291"/>
    </row>
    <row r="2204">
      <c r="A2204" s="1160"/>
      <c r="B2204" s="1313"/>
      <c r="C2204" s="940"/>
      <c r="D2204" s="940"/>
      <c r="E2204" s="1291"/>
      <c r="F2204" s="1314"/>
      <c r="G2204" s="1315"/>
      <c r="H2204" s="1315"/>
      <c r="I2204" s="1315"/>
      <c r="J2204" s="1314"/>
      <c r="K2204" s="1314"/>
      <c r="L2204" s="1291"/>
      <c r="M2204" s="1316"/>
      <c r="N2204" s="1291"/>
      <c r="O2204" s="1291"/>
      <c r="P2204" s="1317"/>
      <c r="Q2204" s="1291"/>
    </row>
    <row r="2205">
      <c r="A2205" s="1160"/>
      <c r="B2205" s="1313"/>
      <c r="C2205" s="940"/>
      <c r="D2205" s="940"/>
      <c r="E2205" s="1291"/>
      <c r="F2205" s="1314"/>
      <c r="G2205" s="1315"/>
      <c r="H2205" s="1315"/>
      <c r="I2205" s="1315"/>
      <c r="J2205" s="1314"/>
      <c r="K2205" s="1314"/>
      <c r="L2205" s="1291"/>
      <c r="M2205" s="1316"/>
      <c r="N2205" s="1291"/>
      <c r="O2205" s="1291"/>
      <c r="P2205" s="1317"/>
      <c r="Q2205" s="1291"/>
    </row>
    <row r="2206">
      <c r="A2206" s="1160"/>
      <c r="B2206" s="1313"/>
      <c r="C2206" s="940"/>
      <c r="D2206" s="940"/>
      <c r="E2206" s="1291"/>
      <c r="F2206" s="1314"/>
      <c r="G2206" s="1315"/>
      <c r="H2206" s="1315"/>
      <c r="I2206" s="1315"/>
      <c r="J2206" s="1314"/>
      <c r="K2206" s="1314"/>
      <c r="L2206" s="1291"/>
      <c r="M2206" s="1316"/>
      <c r="N2206" s="1291"/>
      <c r="O2206" s="1291"/>
      <c r="P2206" s="1317"/>
      <c r="Q2206" s="1291"/>
    </row>
    <row r="2207">
      <c r="A2207" s="1160"/>
      <c r="B2207" s="1313"/>
      <c r="C2207" s="940"/>
      <c r="D2207" s="940"/>
      <c r="E2207" s="1291"/>
      <c r="F2207" s="1314"/>
      <c r="G2207" s="1315"/>
      <c r="H2207" s="1315"/>
      <c r="I2207" s="1315"/>
      <c r="J2207" s="1314"/>
      <c r="K2207" s="1314"/>
      <c r="L2207" s="1291"/>
      <c r="M2207" s="1316"/>
      <c r="N2207" s="1291"/>
      <c r="O2207" s="1291"/>
      <c r="P2207" s="1317"/>
      <c r="Q2207" s="1291"/>
    </row>
    <row r="2208">
      <c r="A2208" s="1160"/>
      <c r="B2208" s="1313"/>
      <c r="C2208" s="940"/>
      <c r="D2208" s="940"/>
      <c r="E2208" s="1291"/>
      <c r="F2208" s="1314"/>
      <c r="G2208" s="1315"/>
      <c r="H2208" s="1315"/>
      <c r="I2208" s="1315"/>
      <c r="J2208" s="1314"/>
      <c r="K2208" s="1314"/>
      <c r="L2208" s="1291"/>
      <c r="M2208" s="1316"/>
      <c r="N2208" s="1291"/>
      <c r="O2208" s="1291"/>
      <c r="P2208" s="1317"/>
      <c r="Q2208" s="1291"/>
    </row>
    <row r="2209">
      <c r="A2209" s="1160"/>
      <c r="B2209" s="1313"/>
      <c r="C2209" s="940"/>
      <c r="D2209" s="940"/>
      <c r="E2209" s="1291"/>
      <c r="F2209" s="1314"/>
      <c r="G2209" s="1315"/>
      <c r="H2209" s="1315"/>
      <c r="I2209" s="1315"/>
      <c r="J2209" s="1314"/>
      <c r="K2209" s="1314"/>
      <c r="L2209" s="1291"/>
      <c r="M2209" s="1316"/>
      <c r="N2209" s="1291"/>
      <c r="O2209" s="1291"/>
      <c r="P2209" s="1317"/>
      <c r="Q2209" s="1291"/>
    </row>
    <row r="2210">
      <c r="A2210" s="1160"/>
      <c r="B2210" s="1313"/>
      <c r="C2210" s="940"/>
      <c r="D2210" s="940"/>
      <c r="E2210" s="1291"/>
      <c r="F2210" s="1314"/>
      <c r="G2210" s="1315"/>
      <c r="H2210" s="1315"/>
      <c r="I2210" s="1315"/>
      <c r="J2210" s="1314"/>
      <c r="K2210" s="1314"/>
      <c r="L2210" s="1291"/>
      <c r="M2210" s="1316"/>
      <c r="N2210" s="1291"/>
      <c r="O2210" s="1291"/>
      <c r="P2210" s="1317"/>
      <c r="Q2210" s="1291"/>
    </row>
    <row r="2211">
      <c r="A2211" s="1160"/>
      <c r="B2211" s="1313"/>
      <c r="C2211" s="940"/>
      <c r="D2211" s="940"/>
      <c r="E2211" s="1291"/>
      <c r="F2211" s="1314"/>
      <c r="G2211" s="1315"/>
      <c r="H2211" s="1315"/>
      <c r="I2211" s="1315"/>
      <c r="J2211" s="1314"/>
      <c r="K2211" s="1314"/>
      <c r="L2211" s="1291"/>
      <c r="M2211" s="1316"/>
      <c r="N2211" s="1291"/>
      <c r="O2211" s="1291"/>
      <c r="P2211" s="1317"/>
      <c r="Q2211" s="1291"/>
    </row>
    <row r="2212">
      <c r="A2212" s="1160"/>
      <c r="B2212" s="1313"/>
      <c r="C2212" s="940"/>
      <c r="D2212" s="940"/>
      <c r="E2212" s="1291"/>
      <c r="F2212" s="1314"/>
      <c r="G2212" s="1315"/>
      <c r="H2212" s="1315"/>
      <c r="I2212" s="1315"/>
      <c r="J2212" s="1314"/>
      <c r="K2212" s="1314"/>
      <c r="L2212" s="1291"/>
      <c r="M2212" s="1316"/>
      <c r="N2212" s="1291"/>
      <c r="O2212" s="1291"/>
      <c r="P2212" s="1317"/>
      <c r="Q2212" s="1291"/>
    </row>
    <row r="2213">
      <c r="A2213" s="1160"/>
      <c r="B2213" s="1313"/>
      <c r="C2213" s="940"/>
      <c r="D2213" s="940"/>
      <c r="E2213" s="1291"/>
      <c r="F2213" s="1314"/>
      <c r="G2213" s="1315"/>
      <c r="H2213" s="1315"/>
      <c r="I2213" s="1315"/>
      <c r="J2213" s="1314"/>
      <c r="K2213" s="1314"/>
      <c r="L2213" s="1291"/>
      <c r="M2213" s="1316"/>
      <c r="N2213" s="1291"/>
      <c r="O2213" s="1291"/>
      <c r="P2213" s="1317"/>
      <c r="Q2213" s="1291"/>
    </row>
    <row r="2214">
      <c r="A2214" s="1160"/>
      <c r="B2214" s="1313"/>
      <c r="C2214" s="940"/>
      <c r="D2214" s="940"/>
      <c r="E2214" s="1291"/>
      <c r="F2214" s="1314"/>
      <c r="G2214" s="1315"/>
      <c r="H2214" s="1315"/>
      <c r="I2214" s="1315"/>
      <c r="J2214" s="1314"/>
      <c r="K2214" s="1314"/>
      <c r="L2214" s="1291"/>
      <c r="M2214" s="1316"/>
      <c r="N2214" s="1291"/>
      <c r="O2214" s="1291"/>
      <c r="P2214" s="1317"/>
      <c r="Q2214" s="1291"/>
    </row>
    <row r="2215">
      <c r="A2215" s="1160"/>
      <c r="B2215" s="1313"/>
      <c r="C2215" s="940"/>
      <c r="D2215" s="940"/>
      <c r="E2215" s="1291"/>
      <c r="F2215" s="1314"/>
      <c r="G2215" s="1315"/>
      <c r="H2215" s="1315"/>
      <c r="I2215" s="1315"/>
      <c r="J2215" s="1314"/>
      <c r="K2215" s="1314"/>
      <c r="L2215" s="1291"/>
      <c r="M2215" s="1316"/>
      <c r="N2215" s="1291"/>
      <c r="O2215" s="1291"/>
      <c r="P2215" s="1317"/>
      <c r="Q2215" s="1291"/>
    </row>
    <row r="2216">
      <c r="A2216" s="1160"/>
      <c r="B2216" s="1313"/>
      <c r="C2216" s="940"/>
      <c r="D2216" s="940"/>
      <c r="E2216" s="1291"/>
      <c r="F2216" s="1314"/>
      <c r="G2216" s="1315"/>
      <c r="H2216" s="1315"/>
      <c r="I2216" s="1315"/>
      <c r="J2216" s="1314"/>
      <c r="K2216" s="1314"/>
      <c r="L2216" s="1291"/>
      <c r="M2216" s="1316"/>
      <c r="N2216" s="1291"/>
      <c r="O2216" s="1291"/>
      <c r="P2216" s="1317"/>
      <c r="Q2216" s="1291"/>
    </row>
    <row r="2217">
      <c r="A2217" s="1160"/>
      <c r="B2217" s="1313"/>
      <c r="C2217" s="940"/>
      <c r="D2217" s="940"/>
      <c r="E2217" s="1291"/>
      <c r="F2217" s="1314"/>
      <c r="G2217" s="1315"/>
      <c r="H2217" s="1315"/>
      <c r="I2217" s="1315"/>
      <c r="J2217" s="1314"/>
      <c r="K2217" s="1314"/>
      <c r="L2217" s="1291"/>
      <c r="M2217" s="1316"/>
      <c r="N2217" s="1291"/>
      <c r="O2217" s="1291"/>
      <c r="P2217" s="1317"/>
      <c r="Q2217" s="1291"/>
    </row>
    <row r="2218">
      <c r="A2218" s="1160"/>
      <c r="B2218" s="1313"/>
      <c r="C2218" s="940"/>
      <c r="D2218" s="940"/>
      <c r="E2218" s="1291"/>
      <c r="F2218" s="1314"/>
      <c r="G2218" s="1315"/>
      <c r="H2218" s="1315"/>
      <c r="I2218" s="1315"/>
      <c r="J2218" s="1314"/>
      <c r="K2218" s="1314"/>
      <c r="L2218" s="1291"/>
      <c r="M2218" s="1316"/>
      <c r="N2218" s="1291"/>
      <c r="O2218" s="1291"/>
      <c r="P2218" s="1317"/>
      <c r="Q2218" s="1291"/>
    </row>
    <row r="2219">
      <c r="A2219" s="1160"/>
      <c r="B2219" s="1313"/>
      <c r="C2219" s="940"/>
      <c r="D2219" s="940"/>
      <c r="E2219" s="1291"/>
      <c r="F2219" s="1314"/>
      <c r="G2219" s="1315"/>
      <c r="H2219" s="1315"/>
      <c r="I2219" s="1315"/>
      <c r="J2219" s="1314"/>
      <c r="K2219" s="1314"/>
      <c r="L2219" s="1291"/>
      <c r="M2219" s="1316"/>
      <c r="N2219" s="1291"/>
      <c r="O2219" s="1291"/>
      <c r="P2219" s="1317"/>
      <c r="Q2219" s="1291"/>
    </row>
    <row r="2220">
      <c r="A2220" s="1160"/>
      <c r="B2220" s="1313"/>
      <c r="C2220" s="940"/>
      <c r="D2220" s="940"/>
      <c r="E2220" s="1291"/>
      <c r="F2220" s="1314"/>
      <c r="G2220" s="1315"/>
      <c r="H2220" s="1315"/>
      <c r="I2220" s="1315"/>
      <c r="J2220" s="1314"/>
      <c r="K2220" s="1314"/>
      <c r="L2220" s="1291"/>
      <c r="M2220" s="1316"/>
      <c r="N2220" s="1291"/>
      <c r="O2220" s="1291"/>
      <c r="P2220" s="1317"/>
      <c r="Q2220" s="1291"/>
    </row>
    <row r="2221">
      <c r="A2221" s="1160"/>
      <c r="B2221" s="1313"/>
      <c r="C2221" s="940"/>
      <c r="D2221" s="940"/>
      <c r="E2221" s="1291"/>
      <c r="F2221" s="1314"/>
      <c r="G2221" s="1315"/>
      <c r="H2221" s="1315"/>
      <c r="I2221" s="1315"/>
      <c r="J2221" s="1314"/>
      <c r="K2221" s="1314"/>
      <c r="L2221" s="1291"/>
      <c r="M2221" s="1316"/>
      <c r="N2221" s="1291"/>
      <c r="O2221" s="1291"/>
      <c r="P2221" s="1317"/>
      <c r="Q2221" s="1291"/>
    </row>
    <row r="2222">
      <c r="A2222" s="1160"/>
      <c r="B2222" s="1313"/>
      <c r="C2222" s="940"/>
      <c r="D2222" s="940"/>
      <c r="E2222" s="1291"/>
      <c r="F2222" s="1314"/>
      <c r="G2222" s="1315"/>
      <c r="H2222" s="1315"/>
      <c r="I2222" s="1315"/>
      <c r="J2222" s="1314"/>
      <c r="K2222" s="1314"/>
      <c r="L2222" s="1291"/>
      <c r="M2222" s="1316"/>
      <c r="N2222" s="1291"/>
      <c r="O2222" s="1291"/>
      <c r="P2222" s="1317"/>
      <c r="Q2222" s="1291"/>
    </row>
    <row r="2223">
      <c r="A2223" s="1160"/>
      <c r="B2223" s="1313"/>
      <c r="C2223" s="940"/>
      <c r="D2223" s="940"/>
      <c r="E2223" s="1291"/>
      <c r="F2223" s="1314"/>
      <c r="G2223" s="1315"/>
      <c r="H2223" s="1315"/>
      <c r="I2223" s="1315"/>
      <c r="J2223" s="1314"/>
      <c r="K2223" s="1314"/>
      <c r="L2223" s="1291"/>
      <c r="M2223" s="1316"/>
      <c r="N2223" s="1291"/>
      <c r="O2223" s="1291"/>
      <c r="P2223" s="1317"/>
      <c r="Q2223" s="1291"/>
    </row>
    <row r="2224">
      <c r="A2224" s="1160"/>
      <c r="B2224" s="1313"/>
      <c r="C2224" s="940"/>
      <c r="D2224" s="940"/>
      <c r="E2224" s="1291"/>
      <c r="F2224" s="1314"/>
      <c r="G2224" s="1315"/>
      <c r="H2224" s="1315"/>
      <c r="I2224" s="1315"/>
      <c r="J2224" s="1314"/>
      <c r="K2224" s="1314"/>
      <c r="L2224" s="1291"/>
      <c r="M2224" s="1316"/>
      <c r="N2224" s="1291"/>
      <c r="O2224" s="1291"/>
      <c r="P2224" s="1317"/>
      <c r="Q2224" s="1291"/>
    </row>
    <row r="2225">
      <c r="A2225" s="1160"/>
      <c r="B2225" s="1313"/>
      <c r="C2225" s="940"/>
      <c r="D2225" s="940"/>
      <c r="E2225" s="1291"/>
      <c r="F2225" s="1314"/>
      <c r="G2225" s="1315"/>
      <c r="H2225" s="1315"/>
      <c r="I2225" s="1315"/>
      <c r="J2225" s="1314"/>
      <c r="K2225" s="1314"/>
      <c r="L2225" s="1291"/>
      <c r="M2225" s="1316"/>
      <c r="N2225" s="1291"/>
      <c r="O2225" s="1291"/>
      <c r="P2225" s="1317"/>
      <c r="Q2225" s="1291"/>
    </row>
    <row r="2226">
      <c r="A2226" s="1160"/>
      <c r="B2226" s="1313"/>
      <c r="C2226" s="940"/>
      <c r="D2226" s="940"/>
      <c r="E2226" s="1291"/>
      <c r="F2226" s="1314"/>
      <c r="G2226" s="1315"/>
      <c r="H2226" s="1315"/>
      <c r="I2226" s="1315"/>
      <c r="J2226" s="1314"/>
      <c r="K2226" s="1314"/>
      <c r="L2226" s="1291"/>
      <c r="M2226" s="1316"/>
      <c r="N2226" s="1291"/>
      <c r="O2226" s="1291"/>
      <c r="P2226" s="1317"/>
      <c r="Q2226" s="1291"/>
    </row>
    <row r="2227">
      <c r="A2227" s="1160"/>
      <c r="B2227" s="1313"/>
      <c r="C2227" s="940"/>
      <c r="D2227" s="940"/>
      <c r="E2227" s="1291"/>
      <c r="F2227" s="1314"/>
      <c r="G2227" s="1315"/>
      <c r="H2227" s="1315"/>
      <c r="I2227" s="1315"/>
      <c r="J2227" s="1314"/>
      <c r="K2227" s="1314"/>
      <c r="L2227" s="1291"/>
      <c r="M2227" s="1316"/>
      <c r="N2227" s="1291"/>
      <c r="O2227" s="1291"/>
      <c r="P2227" s="1317"/>
      <c r="Q2227" s="1291"/>
    </row>
    <row r="2228">
      <c r="A2228" s="1160"/>
      <c r="B2228" s="1313"/>
      <c r="C2228" s="940"/>
      <c r="D2228" s="940"/>
      <c r="E2228" s="1291"/>
      <c r="F2228" s="1314"/>
      <c r="G2228" s="1315"/>
      <c r="H2228" s="1315"/>
      <c r="I2228" s="1315"/>
      <c r="J2228" s="1314"/>
      <c r="K2228" s="1314"/>
      <c r="L2228" s="1291"/>
      <c r="M2228" s="1316"/>
      <c r="N2228" s="1291"/>
      <c r="O2228" s="1291"/>
      <c r="P2228" s="1317"/>
      <c r="Q2228" s="1291"/>
    </row>
    <row r="2229">
      <c r="A2229" s="1160"/>
      <c r="B2229" s="1313"/>
      <c r="C2229" s="940"/>
      <c r="D2229" s="940"/>
      <c r="E2229" s="1291"/>
      <c r="F2229" s="1314"/>
      <c r="G2229" s="1315"/>
      <c r="H2229" s="1315"/>
      <c r="I2229" s="1315"/>
      <c r="J2229" s="1314"/>
      <c r="K2229" s="1314"/>
      <c r="L2229" s="1291"/>
      <c r="M2229" s="1316"/>
      <c r="N2229" s="1291"/>
      <c r="O2229" s="1291"/>
      <c r="P2229" s="1317"/>
      <c r="Q2229" s="1291"/>
    </row>
    <row r="2230">
      <c r="A2230" s="1160"/>
      <c r="B2230" s="1313"/>
      <c r="C2230" s="940"/>
      <c r="D2230" s="940"/>
      <c r="E2230" s="1291"/>
      <c r="F2230" s="1314"/>
      <c r="G2230" s="1315"/>
      <c r="H2230" s="1315"/>
      <c r="I2230" s="1315"/>
      <c r="J2230" s="1314"/>
      <c r="K2230" s="1314"/>
      <c r="L2230" s="1291"/>
      <c r="M2230" s="1316"/>
      <c r="N2230" s="1291"/>
      <c r="O2230" s="1291"/>
      <c r="P2230" s="1317"/>
      <c r="Q2230" s="1291"/>
    </row>
    <row r="2231">
      <c r="A2231" s="1160"/>
      <c r="B2231" s="1313"/>
      <c r="C2231" s="940"/>
      <c r="D2231" s="940"/>
      <c r="E2231" s="1291"/>
      <c r="F2231" s="1314"/>
      <c r="G2231" s="1315"/>
      <c r="H2231" s="1315"/>
      <c r="I2231" s="1315"/>
      <c r="J2231" s="1314"/>
      <c r="K2231" s="1314"/>
      <c r="L2231" s="1291"/>
      <c r="M2231" s="1316"/>
      <c r="N2231" s="1291"/>
      <c r="O2231" s="1291"/>
      <c r="P2231" s="1317"/>
      <c r="Q2231" s="1291"/>
    </row>
    <row r="2232">
      <c r="A2232" s="1160"/>
      <c r="B2232" s="1313"/>
      <c r="C2232" s="940"/>
      <c r="D2232" s="940"/>
      <c r="E2232" s="1291"/>
      <c r="F2232" s="1314"/>
      <c r="G2232" s="1315"/>
      <c r="H2232" s="1315"/>
      <c r="I2232" s="1315"/>
      <c r="J2232" s="1314"/>
      <c r="K2232" s="1314"/>
      <c r="L2232" s="1291"/>
      <c r="M2232" s="1316"/>
      <c r="N2232" s="1291"/>
      <c r="O2232" s="1291"/>
      <c r="P2232" s="1317"/>
      <c r="Q2232" s="1291"/>
    </row>
    <row r="2233">
      <c r="A2233" s="1160"/>
      <c r="B2233" s="1313"/>
      <c r="C2233" s="940"/>
      <c r="D2233" s="940"/>
      <c r="E2233" s="1291"/>
      <c r="F2233" s="1314"/>
      <c r="G2233" s="1315"/>
      <c r="H2233" s="1315"/>
      <c r="I2233" s="1315"/>
      <c r="J2233" s="1314"/>
      <c r="K2233" s="1314"/>
      <c r="L2233" s="1291"/>
      <c r="M2233" s="1316"/>
      <c r="N2233" s="1291"/>
      <c r="O2233" s="1291"/>
      <c r="P2233" s="1317"/>
      <c r="Q2233" s="1291"/>
    </row>
    <row r="2234">
      <c r="A2234" s="1160"/>
      <c r="B2234" s="1313"/>
      <c r="C2234" s="940"/>
      <c r="D2234" s="940"/>
      <c r="E2234" s="1291"/>
      <c r="F2234" s="1314"/>
      <c r="G2234" s="1315"/>
      <c r="H2234" s="1315"/>
      <c r="I2234" s="1315"/>
      <c r="J2234" s="1314"/>
      <c r="K2234" s="1314"/>
      <c r="L2234" s="1291"/>
      <c r="M2234" s="1316"/>
      <c r="N2234" s="1291"/>
      <c r="O2234" s="1291"/>
      <c r="P2234" s="1317"/>
      <c r="Q2234" s="1291"/>
    </row>
    <row r="2235">
      <c r="A2235" s="1160"/>
      <c r="B2235" s="1313"/>
      <c r="C2235" s="940"/>
      <c r="D2235" s="940"/>
      <c r="E2235" s="1291"/>
      <c r="F2235" s="1314"/>
      <c r="G2235" s="1315"/>
      <c r="H2235" s="1315"/>
      <c r="I2235" s="1315"/>
      <c r="J2235" s="1314"/>
      <c r="K2235" s="1314"/>
      <c r="L2235" s="1291"/>
      <c r="M2235" s="1316"/>
      <c r="N2235" s="1291"/>
      <c r="O2235" s="1291"/>
      <c r="P2235" s="1317"/>
      <c r="Q2235" s="1291"/>
    </row>
    <row r="2236">
      <c r="A2236" s="1160"/>
      <c r="B2236" s="1313"/>
      <c r="C2236" s="940"/>
      <c r="D2236" s="940"/>
      <c r="E2236" s="1291"/>
      <c r="F2236" s="1314"/>
      <c r="G2236" s="1315"/>
      <c r="H2236" s="1315"/>
      <c r="I2236" s="1315"/>
      <c r="J2236" s="1314"/>
      <c r="K2236" s="1314"/>
      <c r="L2236" s="1291"/>
      <c r="M2236" s="1316"/>
      <c r="N2236" s="1291"/>
      <c r="O2236" s="1291"/>
      <c r="P2236" s="1317"/>
      <c r="Q2236" s="1291"/>
    </row>
    <row r="2237">
      <c r="A2237" s="1160"/>
      <c r="B2237" s="1313"/>
      <c r="C2237" s="940"/>
      <c r="D2237" s="940"/>
      <c r="E2237" s="1291"/>
      <c r="F2237" s="1314"/>
      <c r="G2237" s="1315"/>
      <c r="H2237" s="1315"/>
      <c r="I2237" s="1315"/>
      <c r="J2237" s="1314"/>
      <c r="K2237" s="1314"/>
      <c r="L2237" s="1291"/>
      <c r="M2237" s="1316"/>
      <c r="N2237" s="1291"/>
      <c r="O2237" s="1291"/>
      <c r="P2237" s="1317"/>
      <c r="Q2237" s="1291"/>
    </row>
    <row r="2238">
      <c r="A2238" s="1160"/>
      <c r="B2238" s="1313"/>
      <c r="C2238" s="940"/>
      <c r="D2238" s="940"/>
      <c r="E2238" s="1291"/>
      <c r="F2238" s="1314"/>
      <c r="G2238" s="1315"/>
      <c r="H2238" s="1315"/>
      <c r="I2238" s="1315"/>
      <c r="J2238" s="1314"/>
      <c r="K2238" s="1314"/>
      <c r="L2238" s="1291"/>
      <c r="M2238" s="1316"/>
      <c r="N2238" s="1291"/>
      <c r="O2238" s="1291"/>
      <c r="P2238" s="1317"/>
      <c r="Q2238" s="1291"/>
    </row>
    <row r="2239">
      <c r="A2239" s="1160"/>
      <c r="B2239" s="1313"/>
      <c r="C2239" s="940"/>
      <c r="D2239" s="940"/>
      <c r="E2239" s="1291"/>
      <c r="F2239" s="1314"/>
      <c r="G2239" s="1315"/>
      <c r="H2239" s="1315"/>
      <c r="I2239" s="1315"/>
      <c r="J2239" s="1314"/>
      <c r="K2239" s="1314"/>
      <c r="L2239" s="1291"/>
      <c r="M2239" s="1316"/>
      <c r="N2239" s="1291"/>
      <c r="O2239" s="1291"/>
      <c r="P2239" s="1317"/>
      <c r="Q2239" s="1291"/>
    </row>
    <row r="2240">
      <c r="A2240" s="1160"/>
      <c r="B2240" s="1313"/>
      <c r="C2240" s="940"/>
      <c r="D2240" s="940"/>
      <c r="E2240" s="1291"/>
      <c r="F2240" s="1314"/>
      <c r="G2240" s="1315"/>
      <c r="H2240" s="1315"/>
      <c r="I2240" s="1315"/>
      <c r="J2240" s="1314"/>
      <c r="K2240" s="1314"/>
      <c r="L2240" s="1291"/>
      <c r="M2240" s="1316"/>
      <c r="N2240" s="1291"/>
      <c r="O2240" s="1291"/>
      <c r="P2240" s="1317"/>
      <c r="Q2240" s="1291"/>
    </row>
    <row r="2241">
      <c r="A2241" s="1160"/>
      <c r="B2241" s="1313"/>
      <c r="C2241" s="940"/>
      <c r="D2241" s="940"/>
      <c r="E2241" s="1291"/>
      <c r="F2241" s="1314"/>
      <c r="G2241" s="1315"/>
      <c r="H2241" s="1315"/>
      <c r="I2241" s="1315"/>
      <c r="J2241" s="1314"/>
      <c r="K2241" s="1314"/>
      <c r="L2241" s="1291"/>
      <c r="M2241" s="1316"/>
      <c r="N2241" s="1291"/>
      <c r="O2241" s="1291"/>
      <c r="P2241" s="1317"/>
      <c r="Q2241" s="1291"/>
    </row>
    <row r="2242">
      <c r="A2242" s="1160"/>
      <c r="B2242" s="1313"/>
      <c r="C2242" s="940"/>
      <c r="D2242" s="940"/>
      <c r="E2242" s="1291"/>
      <c r="F2242" s="1314"/>
      <c r="G2242" s="1315"/>
      <c r="H2242" s="1315"/>
      <c r="I2242" s="1315"/>
      <c r="J2242" s="1314"/>
      <c r="K2242" s="1314"/>
      <c r="L2242" s="1291"/>
      <c r="M2242" s="1316"/>
      <c r="N2242" s="1291"/>
      <c r="O2242" s="1291"/>
      <c r="P2242" s="1317"/>
      <c r="Q2242" s="1291"/>
    </row>
    <row r="2243">
      <c r="A2243" s="1160"/>
      <c r="B2243" s="1313"/>
      <c r="C2243" s="940"/>
      <c r="D2243" s="940"/>
      <c r="E2243" s="1291"/>
      <c r="F2243" s="1314"/>
      <c r="G2243" s="1315"/>
      <c r="H2243" s="1315"/>
      <c r="I2243" s="1315"/>
      <c r="J2243" s="1314"/>
      <c r="K2243" s="1314"/>
      <c r="L2243" s="1291"/>
      <c r="M2243" s="1316"/>
      <c r="N2243" s="1291"/>
      <c r="O2243" s="1291"/>
      <c r="P2243" s="1317"/>
      <c r="Q2243" s="1291"/>
    </row>
    <row r="2244">
      <c r="A2244" s="1160"/>
      <c r="B2244" s="1313"/>
      <c r="C2244" s="940"/>
      <c r="D2244" s="940"/>
      <c r="E2244" s="1291"/>
      <c r="F2244" s="1314"/>
      <c r="G2244" s="1315"/>
      <c r="H2244" s="1315"/>
      <c r="I2244" s="1315"/>
      <c r="J2244" s="1314"/>
      <c r="K2244" s="1314"/>
      <c r="L2244" s="1291"/>
      <c r="M2244" s="1316"/>
      <c r="N2244" s="1291"/>
      <c r="O2244" s="1291"/>
      <c r="P2244" s="1317"/>
      <c r="Q2244" s="1291"/>
    </row>
    <row r="2245">
      <c r="A2245" s="1160"/>
      <c r="B2245" s="1313"/>
      <c r="C2245" s="940"/>
      <c r="D2245" s="940"/>
      <c r="E2245" s="1291"/>
      <c r="F2245" s="1314"/>
      <c r="G2245" s="1315"/>
      <c r="H2245" s="1315"/>
      <c r="I2245" s="1315"/>
      <c r="J2245" s="1314"/>
      <c r="K2245" s="1314"/>
      <c r="L2245" s="1291"/>
      <c r="M2245" s="1316"/>
      <c r="N2245" s="1291"/>
      <c r="O2245" s="1291"/>
      <c r="P2245" s="1317"/>
      <c r="Q2245" s="1291"/>
    </row>
    <row r="2246">
      <c r="A2246" s="1160"/>
      <c r="B2246" s="1313"/>
      <c r="C2246" s="940"/>
      <c r="D2246" s="940"/>
      <c r="E2246" s="1291"/>
      <c r="F2246" s="1314"/>
      <c r="G2246" s="1315"/>
      <c r="H2246" s="1315"/>
      <c r="I2246" s="1315"/>
      <c r="J2246" s="1314"/>
      <c r="K2246" s="1314"/>
      <c r="L2246" s="1291"/>
      <c r="M2246" s="1316"/>
      <c r="N2246" s="1291"/>
      <c r="O2246" s="1291"/>
      <c r="P2246" s="1317"/>
      <c r="Q2246" s="1291"/>
    </row>
    <row r="2247">
      <c r="A2247" s="1160"/>
      <c r="B2247" s="1313"/>
      <c r="C2247" s="940"/>
      <c r="D2247" s="940"/>
      <c r="E2247" s="1291"/>
      <c r="F2247" s="1314"/>
      <c r="G2247" s="1315"/>
      <c r="H2247" s="1315"/>
      <c r="I2247" s="1315"/>
      <c r="J2247" s="1314"/>
      <c r="K2247" s="1314"/>
      <c r="L2247" s="1291"/>
      <c r="M2247" s="1316"/>
      <c r="N2247" s="1291"/>
      <c r="O2247" s="1291"/>
      <c r="P2247" s="1317"/>
      <c r="Q2247" s="1291"/>
    </row>
    <row r="2248">
      <c r="A2248" s="1160"/>
      <c r="B2248" s="1313"/>
      <c r="C2248" s="940"/>
      <c r="D2248" s="940"/>
      <c r="E2248" s="1291"/>
      <c r="F2248" s="1314"/>
      <c r="G2248" s="1315"/>
      <c r="H2248" s="1315"/>
      <c r="I2248" s="1315"/>
      <c r="J2248" s="1314"/>
      <c r="K2248" s="1314"/>
      <c r="L2248" s="1291"/>
      <c r="M2248" s="1316"/>
      <c r="N2248" s="1291"/>
      <c r="O2248" s="1291"/>
      <c r="P2248" s="1317"/>
      <c r="Q2248" s="1291"/>
    </row>
    <row r="2249">
      <c r="A2249" s="1160"/>
      <c r="B2249" s="1313"/>
      <c r="C2249" s="940"/>
      <c r="D2249" s="940"/>
      <c r="E2249" s="1291"/>
      <c r="F2249" s="1314"/>
      <c r="G2249" s="1315"/>
      <c r="H2249" s="1315"/>
      <c r="I2249" s="1315"/>
      <c r="J2249" s="1314"/>
      <c r="K2249" s="1314"/>
      <c r="L2249" s="1291"/>
      <c r="M2249" s="1316"/>
      <c r="N2249" s="1291"/>
      <c r="O2249" s="1291"/>
      <c r="P2249" s="1317"/>
      <c r="Q2249" s="1291"/>
    </row>
    <row r="2250">
      <c r="A2250" s="1160"/>
      <c r="B2250" s="1313"/>
      <c r="C2250" s="940"/>
      <c r="D2250" s="940"/>
      <c r="E2250" s="1291"/>
      <c r="F2250" s="1314"/>
      <c r="G2250" s="1315"/>
      <c r="H2250" s="1315"/>
      <c r="I2250" s="1315"/>
      <c r="J2250" s="1314"/>
      <c r="K2250" s="1314"/>
      <c r="L2250" s="1291"/>
      <c r="M2250" s="1316"/>
      <c r="N2250" s="1291"/>
      <c r="O2250" s="1291"/>
      <c r="P2250" s="1317"/>
      <c r="Q2250" s="1291"/>
    </row>
    <row r="2251">
      <c r="A2251" s="1160"/>
      <c r="B2251" s="1313"/>
      <c r="C2251" s="940"/>
      <c r="D2251" s="940"/>
      <c r="E2251" s="1291"/>
      <c r="F2251" s="1314"/>
      <c r="G2251" s="1315"/>
      <c r="H2251" s="1315"/>
      <c r="I2251" s="1315"/>
      <c r="J2251" s="1314"/>
      <c r="K2251" s="1314"/>
      <c r="L2251" s="1291"/>
      <c r="M2251" s="1316"/>
      <c r="N2251" s="1291"/>
      <c r="O2251" s="1291"/>
      <c r="P2251" s="1317"/>
      <c r="Q2251" s="1291"/>
    </row>
    <row r="2252">
      <c r="A2252" s="1160"/>
      <c r="B2252" s="1313"/>
      <c r="C2252" s="940"/>
      <c r="D2252" s="940"/>
      <c r="E2252" s="1291"/>
      <c r="F2252" s="1314"/>
      <c r="G2252" s="1315"/>
      <c r="H2252" s="1315"/>
      <c r="I2252" s="1315"/>
      <c r="J2252" s="1314"/>
      <c r="K2252" s="1314"/>
      <c r="L2252" s="1291"/>
      <c r="M2252" s="1316"/>
      <c r="N2252" s="1291"/>
      <c r="O2252" s="1291"/>
      <c r="P2252" s="1317"/>
      <c r="Q2252" s="1291"/>
    </row>
    <row r="2253">
      <c r="A2253" s="1160"/>
      <c r="B2253" s="1313"/>
      <c r="C2253" s="940"/>
      <c r="D2253" s="940"/>
      <c r="E2253" s="1291"/>
      <c r="F2253" s="1314"/>
      <c r="G2253" s="1315"/>
      <c r="H2253" s="1315"/>
      <c r="I2253" s="1315"/>
      <c r="J2253" s="1314"/>
      <c r="K2253" s="1314"/>
      <c r="L2253" s="1291"/>
      <c r="M2253" s="1316"/>
      <c r="N2253" s="1291"/>
      <c r="O2253" s="1291"/>
      <c r="P2253" s="1317"/>
      <c r="Q2253" s="1291"/>
    </row>
    <row r="2254">
      <c r="A2254" s="1160"/>
      <c r="B2254" s="1313"/>
      <c r="C2254" s="940"/>
      <c r="D2254" s="940"/>
      <c r="E2254" s="1291"/>
      <c r="F2254" s="1314"/>
      <c r="G2254" s="1315"/>
      <c r="H2254" s="1315"/>
      <c r="I2254" s="1315"/>
      <c r="J2254" s="1314"/>
      <c r="K2254" s="1314"/>
      <c r="L2254" s="1291"/>
      <c r="M2254" s="1316"/>
      <c r="N2254" s="1291"/>
      <c r="O2254" s="1291"/>
      <c r="P2254" s="1317"/>
      <c r="Q2254" s="1291"/>
    </row>
    <row r="2255">
      <c r="A2255" s="1160"/>
      <c r="B2255" s="1313"/>
      <c r="C2255" s="940"/>
      <c r="D2255" s="940"/>
      <c r="E2255" s="1291"/>
      <c r="F2255" s="1314"/>
      <c r="G2255" s="1315"/>
      <c r="H2255" s="1315"/>
      <c r="I2255" s="1315"/>
      <c r="J2255" s="1314"/>
      <c r="K2255" s="1314"/>
      <c r="L2255" s="1291"/>
      <c r="M2255" s="1316"/>
      <c r="N2255" s="1291"/>
      <c r="O2255" s="1291"/>
      <c r="P2255" s="1317"/>
      <c r="Q2255" s="1291"/>
    </row>
    <row r="2256">
      <c r="A2256" s="1160"/>
      <c r="B2256" s="1313"/>
      <c r="C2256" s="940"/>
      <c r="D2256" s="940"/>
      <c r="E2256" s="1291"/>
      <c r="F2256" s="1314"/>
      <c r="G2256" s="1315"/>
      <c r="H2256" s="1315"/>
      <c r="I2256" s="1315"/>
      <c r="J2256" s="1314"/>
      <c r="K2256" s="1314"/>
      <c r="L2256" s="1291"/>
      <c r="M2256" s="1316"/>
      <c r="N2256" s="1291"/>
      <c r="O2256" s="1291"/>
      <c r="P2256" s="1317"/>
      <c r="Q2256" s="1291"/>
    </row>
    <row r="2257">
      <c r="A2257" s="1160"/>
      <c r="B2257" s="1313"/>
      <c r="C2257" s="940"/>
      <c r="D2257" s="940"/>
      <c r="E2257" s="1291"/>
      <c r="F2257" s="1314"/>
      <c r="G2257" s="1315"/>
      <c r="H2257" s="1315"/>
      <c r="I2257" s="1315"/>
      <c r="J2257" s="1314"/>
      <c r="K2257" s="1314"/>
      <c r="L2257" s="1291"/>
      <c r="M2257" s="1316"/>
      <c r="N2257" s="1291"/>
      <c r="O2257" s="1291"/>
      <c r="P2257" s="1317"/>
      <c r="Q2257" s="1291"/>
    </row>
    <row r="2258">
      <c r="A2258" s="1160"/>
      <c r="B2258" s="1313"/>
      <c r="C2258" s="940"/>
      <c r="D2258" s="940"/>
      <c r="E2258" s="1291"/>
      <c r="F2258" s="1314"/>
      <c r="G2258" s="1315"/>
      <c r="H2258" s="1315"/>
      <c r="I2258" s="1315"/>
      <c r="J2258" s="1314"/>
      <c r="K2258" s="1314"/>
      <c r="L2258" s="1291"/>
      <c r="M2258" s="1316"/>
      <c r="N2258" s="1291"/>
      <c r="O2258" s="1291"/>
      <c r="P2258" s="1317"/>
      <c r="Q2258" s="1291"/>
    </row>
    <row r="2259">
      <c r="A2259" s="1160"/>
      <c r="B2259" s="1313"/>
      <c r="C2259" s="940"/>
      <c r="D2259" s="940"/>
      <c r="E2259" s="1291"/>
      <c r="F2259" s="1314"/>
      <c r="G2259" s="1315"/>
      <c r="H2259" s="1315"/>
      <c r="I2259" s="1315"/>
      <c r="J2259" s="1314"/>
      <c r="K2259" s="1314"/>
      <c r="L2259" s="1291"/>
      <c r="M2259" s="1316"/>
      <c r="N2259" s="1291"/>
      <c r="O2259" s="1291"/>
      <c r="P2259" s="1317"/>
      <c r="Q2259" s="1291"/>
    </row>
    <row r="2260">
      <c r="A2260" s="1160"/>
      <c r="B2260" s="1313"/>
      <c r="C2260" s="940"/>
      <c r="D2260" s="940"/>
      <c r="E2260" s="1291"/>
      <c r="F2260" s="1314"/>
      <c r="G2260" s="1315"/>
      <c r="H2260" s="1315"/>
      <c r="I2260" s="1315"/>
      <c r="J2260" s="1314"/>
      <c r="K2260" s="1314"/>
      <c r="L2260" s="1291"/>
      <c r="M2260" s="1316"/>
      <c r="N2260" s="1291"/>
      <c r="O2260" s="1291"/>
      <c r="P2260" s="1317"/>
      <c r="Q2260" s="1291"/>
    </row>
    <row r="2261">
      <c r="A2261" s="1160"/>
      <c r="B2261" s="1313"/>
      <c r="C2261" s="940"/>
      <c r="D2261" s="940"/>
      <c r="E2261" s="1291"/>
      <c r="F2261" s="1314"/>
      <c r="G2261" s="1315"/>
      <c r="H2261" s="1315"/>
      <c r="I2261" s="1315"/>
      <c r="J2261" s="1314"/>
      <c r="K2261" s="1314"/>
      <c r="L2261" s="1291"/>
      <c r="M2261" s="1316"/>
      <c r="N2261" s="1291"/>
      <c r="O2261" s="1291"/>
      <c r="P2261" s="1317"/>
      <c r="Q2261" s="1291"/>
    </row>
    <row r="2262">
      <c r="A2262" s="1160"/>
      <c r="B2262" s="1313"/>
      <c r="C2262" s="940"/>
      <c r="D2262" s="940"/>
      <c r="E2262" s="1291"/>
      <c r="F2262" s="1314"/>
      <c r="G2262" s="1315"/>
      <c r="H2262" s="1315"/>
      <c r="I2262" s="1315"/>
      <c r="J2262" s="1314"/>
      <c r="K2262" s="1314"/>
      <c r="L2262" s="1291"/>
      <c r="M2262" s="1316"/>
      <c r="N2262" s="1291"/>
      <c r="O2262" s="1291"/>
      <c r="P2262" s="1317"/>
      <c r="Q2262" s="1291"/>
    </row>
    <row r="2263">
      <c r="A2263" s="1160"/>
      <c r="B2263" s="1313"/>
      <c r="C2263" s="940"/>
      <c r="D2263" s="940"/>
      <c r="E2263" s="1291"/>
      <c r="F2263" s="1314"/>
      <c r="G2263" s="1315"/>
      <c r="H2263" s="1315"/>
      <c r="I2263" s="1315"/>
      <c r="J2263" s="1314"/>
      <c r="K2263" s="1314"/>
      <c r="L2263" s="1291"/>
      <c r="M2263" s="1316"/>
      <c r="N2263" s="1291"/>
      <c r="O2263" s="1291"/>
      <c r="P2263" s="1317"/>
      <c r="Q2263" s="1291"/>
    </row>
    <row r="2264">
      <c r="A2264" s="1160"/>
      <c r="B2264" s="1313"/>
      <c r="C2264" s="940"/>
      <c r="D2264" s="940"/>
      <c r="E2264" s="1291"/>
      <c r="F2264" s="1314"/>
      <c r="G2264" s="1315"/>
      <c r="H2264" s="1315"/>
      <c r="I2264" s="1315"/>
      <c r="J2264" s="1314"/>
      <c r="K2264" s="1314"/>
      <c r="L2264" s="1291"/>
      <c r="M2264" s="1316"/>
      <c r="N2264" s="1291"/>
      <c r="O2264" s="1291"/>
      <c r="P2264" s="1317"/>
      <c r="Q2264" s="1291"/>
    </row>
    <row r="2265">
      <c r="A2265" s="1160"/>
      <c r="B2265" s="1313"/>
      <c r="C2265" s="940"/>
      <c r="D2265" s="940"/>
      <c r="E2265" s="1291"/>
      <c r="F2265" s="1314"/>
      <c r="G2265" s="1315"/>
      <c r="H2265" s="1315"/>
      <c r="I2265" s="1315"/>
      <c r="J2265" s="1314"/>
      <c r="K2265" s="1314"/>
      <c r="L2265" s="1291"/>
      <c r="M2265" s="1316"/>
      <c r="N2265" s="1291"/>
      <c r="O2265" s="1291"/>
      <c r="P2265" s="1317"/>
      <c r="Q2265" s="1291"/>
    </row>
    <row r="2266">
      <c r="A2266" s="1160"/>
      <c r="B2266" s="1313"/>
      <c r="C2266" s="940"/>
      <c r="D2266" s="940"/>
      <c r="E2266" s="1291"/>
      <c r="F2266" s="1314"/>
      <c r="G2266" s="1315"/>
      <c r="H2266" s="1315"/>
      <c r="I2266" s="1315"/>
      <c r="J2266" s="1314"/>
      <c r="K2266" s="1314"/>
      <c r="L2266" s="1291"/>
      <c r="M2266" s="1316"/>
      <c r="N2266" s="1291"/>
      <c r="O2266" s="1291"/>
      <c r="P2266" s="1317"/>
      <c r="Q2266" s="1291"/>
    </row>
    <row r="2267">
      <c r="A2267" s="1160"/>
      <c r="B2267" s="1313"/>
      <c r="C2267" s="940"/>
      <c r="D2267" s="940"/>
      <c r="E2267" s="1291"/>
      <c r="F2267" s="1314"/>
      <c r="G2267" s="1315"/>
      <c r="H2267" s="1315"/>
      <c r="I2267" s="1315"/>
      <c r="J2267" s="1314"/>
      <c r="K2267" s="1314"/>
      <c r="L2267" s="1291"/>
      <c r="M2267" s="1316"/>
      <c r="N2267" s="1291"/>
      <c r="O2267" s="1291"/>
      <c r="P2267" s="1317"/>
      <c r="Q2267" s="1291"/>
    </row>
    <row r="2268">
      <c r="A2268" s="1160"/>
      <c r="B2268" s="1313"/>
      <c r="C2268" s="940"/>
      <c r="D2268" s="940"/>
      <c r="E2268" s="1291"/>
      <c r="F2268" s="1314"/>
      <c r="G2268" s="1315"/>
      <c r="H2268" s="1315"/>
      <c r="I2268" s="1315"/>
      <c r="J2268" s="1314"/>
      <c r="K2268" s="1314"/>
      <c r="L2268" s="1291"/>
      <c r="M2268" s="1316"/>
      <c r="N2268" s="1291"/>
      <c r="O2268" s="1291"/>
      <c r="P2268" s="1317"/>
      <c r="Q2268" s="1291"/>
    </row>
    <row r="2269">
      <c r="A2269" s="1160"/>
      <c r="B2269" s="1313"/>
      <c r="C2269" s="940"/>
      <c r="D2269" s="940"/>
      <c r="E2269" s="1291"/>
      <c r="F2269" s="1314"/>
      <c r="G2269" s="1315"/>
      <c r="H2269" s="1315"/>
      <c r="I2269" s="1315"/>
      <c r="J2269" s="1314"/>
      <c r="K2269" s="1314"/>
      <c r="L2269" s="1291"/>
      <c r="M2269" s="1316"/>
      <c r="N2269" s="1291"/>
      <c r="O2269" s="1291"/>
      <c r="P2269" s="1317"/>
      <c r="Q2269" s="1291"/>
    </row>
    <row r="2270">
      <c r="A2270" s="1160"/>
      <c r="B2270" s="1313"/>
      <c r="C2270" s="940"/>
      <c r="D2270" s="940"/>
      <c r="E2270" s="1291"/>
      <c r="F2270" s="1314"/>
      <c r="G2270" s="1315"/>
      <c r="H2270" s="1315"/>
      <c r="I2270" s="1315"/>
      <c r="J2270" s="1314"/>
      <c r="K2270" s="1314"/>
      <c r="L2270" s="1291"/>
      <c r="M2270" s="1316"/>
      <c r="N2270" s="1291"/>
      <c r="O2270" s="1291"/>
      <c r="P2270" s="1317"/>
      <c r="Q2270" s="1291"/>
    </row>
    <row r="2271">
      <c r="A2271" s="1160"/>
      <c r="B2271" s="1313"/>
      <c r="C2271" s="940"/>
      <c r="D2271" s="940"/>
      <c r="E2271" s="1291"/>
      <c r="F2271" s="1314"/>
      <c r="G2271" s="1315"/>
      <c r="H2271" s="1315"/>
      <c r="I2271" s="1315"/>
      <c r="J2271" s="1314"/>
      <c r="K2271" s="1314"/>
      <c r="L2271" s="1291"/>
      <c r="M2271" s="1316"/>
      <c r="N2271" s="1291"/>
      <c r="O2271" s="1291"/>
      <c r="P2271" s="1317"/>
      <c r="Q2271" s="1291"/>
    </row>
    <row r="2272">
      <c r="A2272" s="1160"/>
      <c r="B2272" s="1313"/>
      <c r="C2272" s="940"/>
      <c r="D2272" s="940"/>
      <c r="E2272" s="1291"/>
      <c r="F2272" s="1314"/>
      <c r="G2272" s="1315"/>
      <c r="H2272" s="1315"/>
      <c r="I2272" s="1315"/>
      <c r="J2272" s="1314"/>
      <c r="K2272" s="1314"/>
      <c r="L2272" s="1291"/>
      <c r="M2272" s="1316"/>
      <c r="N2272" s="1291"/>
      <c r="O2272" s="1291"/>
      <c r="P2272" s="1317"/>
      <c r="Q2272" s="1291"/>
    </row>
    <row r="2273">
      <c r="A2273" s="1160"/>
      <c r="B2273" s="1313"/>
      <c r="C2273" s="940"/>
      <c r="D2273" s="940"/>
      <c r="E2273" s="1291"/>
      <c r="F2273" s="1314"/>
      <c r="G2273" s="1315"/>
      <c r="H2273" s="1315"/>
      <c r="I2273" s="1315"/>
      <c r="J2273" s="1314"/>
      <c r="K2273" s="1314"/>
      <c r="L2273" s="1291"/>
      <c r="M2273" s="1316"/>
      <c r="N2273" s="1291"/>
      <c r="O2273" s="1291"/>
      <c r="P2273" s="1317"/>
      <c r="Q2273" s="1291"/>
    </row>
    <row r="2274">
      <c r="A2274" s="1160"/>
      <c r="B2274" s="1313"/>
      <c r="C2274" s="940"/>
      <c r="D2274" s="940"/>
      <c r="E2274" s="1291"/>
      <c r="F2274" s="1314"/>
      <c r="G2274" s="1315"/>
      <c r="H2274" s="1315"/>
      <c r="I2274" s="1315"/>
      <c r="J2274" s="1314"/>
      <c r="K2274" s="1314"/>
      <c r="L2274" s="1291"/>
      <c r="M2274" s="1316"/>
      <c r="N2274" s="1291"/>
      <c r="O2274" s="1291"/>
      <c r="P2274" s="1317"/>
      <c r="Q2274" s="1291"/>
    </row>
    <row r="2275">
      <c r="A2275" s="1160"/>
      <c r="B2275" s="1313"/>
      <c r="C2275" s="940"/>
      <c r="D2275" s="940"/>
      <c r="E2275" s="1291"/>
      <c r="F2275" s="1314"/>
      <c r="G2275" s="1315"/>
      <c r="H2275" s="1315"/>
      <c r="I2275" s="1315"/>
      <c r="J2275" s="1314"/>
      <c r="K2275" s="1314"/>
      <c r="L2275" s="1291"/>
      <c r="M2275" s="1316"/>
      <c r="N2275" s="1291"/>
      <c r="O2275" s="1291"/>
      <c r="P2275" s="1317"/>
      <c r="Q2275" s="1291"/>
    </row>
    <row r="2276">
      <c r="A2276" s="1160"/>
      <c r="B2276" s="1313"/>
      <c r="C2276" s="940"/>
      <c r="D2276" s="940"/>
      <c r="E2276" s="1291"/>
      <c r="F2276" s="1314"/>
      <c r="G2276" s="1315"/>
      <c r="H2276" s="1315"/>
      <c r="I2276" s="1315"/>
      <c r="J2276" s="1314"/>
      <c r="K2276" s="1314"/>
      <c r="L2276" s="1291"/>
      <c r="M2276" s="1316"/>
      <c r="N2276" s="1291"/>
      <c r="O2276" s="1291"/>
      <c r="P2276" s="1317"/>
      <c r="Q2276" s="1291"/>
    </row>
    <row r="2277">
      <c r="A2277" s="1160"/>
      <c r="B2277" s="1313"/>
      <c r="C2277" s="940"/>
      <c r="D2277" s="940"/>
      <c r="E2277" s="1291"/>
      <c r="F2277" s="1314"/>
      <c r="G2277" s="1315"/>
      <c r="H2277" s="1315"/>
      <c r="I2277" s="1315"/>
      <c r="J2277" s="1314"/>
      <c r="K2277" s="1314"/>
      <c r="L2277" s="1291"/>
      <c r="M2277" s="1316"/>
      <c r="N2277" s="1291"/>
      <c r="O2277" s="1291"/>
      <c r="P2277" s="1317"/>
      <c r="Q2277" s="1291"/>
    </row>
    <row r="2278">
      <c r="A2278" s="1160"/>
      <c r="B2278" s="1313"/>
      <c r="C2278" s="940"/>
      <c r="D2278" s="940"/>
      <c r="E2278" s="1291"/>
      <c r="F2278" s="1314"/>
      <c r="G2278" s="1315"/>
      <c r="H2278" s="1315"/>
      <c r="I2278" s="1315"/>
      <c r="J2278" s="1314"/>
      <c r="K2278" s="1314"/>
      <c r="L2278" s="1291"/>
      <c r="M2278" s="1316"/>
      <c r="N2278" s="1291"/>
      <c r="O2278" s="1291"/>
      <c r="P2278" s="1317"/>
      <c r="Q2278" s="1291"/>
    </row>
    <row r="2279">
      <c r="A2279" s="1160"/>
      <c r="B2279" s="1313"/>
      <c r="C2279" s="940"/>
      <c r="D2279" s="940"/>
      <c r="E2279" s="1291"/>
      <c r="F2279" s="1314"/>
      <c r="G2279" s="1315"/>
      <c r="H2279" s="1315"/>
      <c r="I2279" s="1315"/>
      <c r="J2279" s="1314"/>
      <c r="K2279" s="1314"/>
      <c r="L2279" s="1291"/>
      <c r="M2279" s="1316"/>
      <c r="N2279" s="1291"/>
      <c r="O2279" s="1291"/>
      <c r="P2279" s="1317"/>
      <c r="Q2279" s="1291"/>
    </row>
    <row r="2280">
      <c r="A2280" s="1160"/>
      <c r="B2280" s="1313"/>
      <c r="C2280" s="940"/>
      <c r="D2280" s="940"/>
      <c r="E2280" s="1291"/>
      <c r="F2280" s="1314"/>
      <c r="G2280" s="1315"/>
      <c r="H2280" s="1315"/>
      <c r="I2280" s="1315"/>
      <c r="J2280" s="1314"/>
      <c r="K2280" s="1314"/>
      <c r="L2280" s="1291"/>
      <c r="M2280" s="1316"/>
      <c r="N2280" s="1291"/>
      <c r="O2280" s="1291"/>
      <c r="P2280" s="1317"/>
      <c r="Q2280" s="1291"/>
    </row>
    <row r="2281">
      <c r="A2281" s="1160"/>
      <c r="B2281" s="1313"/>
      <c r="C2281" s="940"/>
      <c r="D2281" s="940"/>
      <c r="E2281" s="1291"/>
      <c r="F2281" s="1314"/>
      <c r="G2281" s="1315"/>
      <c r="H2281" s="1315"/>
      <c r="I2281" s="1315"/>
      <c r="J2281" s="1314"/>
      <c r="K2281" s="1314"/>
      <c r="L2281" s="1291"/>
      <c r="M2281" s="1316"/>
      <c r="N2281" s="1291"/>
      <c r="O2281" s="1291"/>
      <c r="P2281" s="1317"/>
      <c r="Q2281" s="1291"/>
    </row>
    <row r="2282">
      <c r="A2282" s="1160"/>
      <c r="B2282" s="1313"/>
      <c r="C2282" s="940"/>
      <c r="D2282" s="940"/>
      <c r="E2282" s="1291"/>
      <c r="F2282" s="1314"/>
      <c r="G2282" s="1315"/>
      <c r="H2282" s="1315"/>
      <c r="I2282" s="1315"/>
      <c r="J2282" s="1314"/>
      <c r="K2282" s="1314"/>
      <c r="L2282" s="1291"/>
      <c r="M2282" s="1316"/>
      <c r="N2282" s="1291"/>
      <c r="O2282" s="1291"/>
      <c r="P2282" s="1317"/>
      <c r="Q2282" s="1291"/>
    </row>
    <row r="2283">
      <c r="A2283" s="1160"/>
      <c r="B2283" s="1313"/>
      <c r="C2283" s="940"/>
      <c r="D2283" s="940"/>
      <c r="E2283" s="1291"/>
      <c r="F2283" s="1314"/>
      <c r="G2283" s="1315"/>
      <c r="H2283" s="1315"/>
      <c r="I2283" s="1315"/>
      <c r="J2283" s="1314"/>
      <c r="K2283" s="1314"/>
      <c r="L2283" s="1291"/>
      <c r="M2283" s="1316"/>
      <c r="N2283" s="1291"/>
      <c r="O2283" s="1291"/>
      <c r="P2283" s="1317"/>
      <c r="Q2283" s="1291"/>
    </row>
    <row r="2284">
      <c r="A2284" s="1160"/>
      <c r="B2284" s="1313"/>
      <c r="C2284" s="940"/>
      <c r="D2284" s="940"/>
      <c r="E2284" s="1291"/>
      <c r="F2284" s="1314"/>
      <c r="G2284" s="1315"/>
      <c r="H2284" s="1315"/>
      <c r="I2284" s="1315"/>
      <c r="J2284" s="1314"/>
      <c r="K2284" s="1314"/>
      <c r="L2284" s="1291"/>
      <c r="M2284" s="1316"/>
      <c r="N2284" s="1291"/>
      <c r="O2284" s="1291"/>
      <c r="P2284" s="1317"/>
      <c r="Q2284" s="1291"/>
    </row>
    <row r="2285">
      <c r="A2285" s="1160"/>
      <c r="B2285" s="1313"/>
      <c r="C2285" s="940"/>
      <c r="D2285" s="940"/>
      <c r="E2285" s="1291"/>
      <c r="F2285" s="1314"/>
      <c r="G2285" s="1315"/>
      <c r="H2285" s="1315"/>
      <c r="I2285" s="1315"/>
      <c r="J2285" s="1314"/>
      <c r="K2285" s="1314"/>
      <c r="L2285" s="1291"/>
      <c r="M2285" s="1316"/>
      <c r="N2285" s="1291"/>
      <c r="O2285" s="1291"/>
      <c r="P2285" s="1317"/>
      <c r="Q2285" s="1291"/>
    </row>
    <row r="2286">
      <c r="A2286" s="1160"/>
      <c r="B2286" s="1313"/>
      <c r="C2286" s="940"/>
      <c r="D2286" s="940"/>
      <c r="E2286" s="1291"/>
      <c r="F2286" s="1314"/>
      <c r="G2286" s="1315"/>
      <c r="H2286" s="1315"/>
      <c r="I2286" s="1315"/>
      <c r="J2286" s="1314"/>
      <c r="K2286" s="1314"/>
      <c r="L2286" s="1291"/>
      <c r="M2286" s="1316"/>
      <c r="N2286" s="1291"/>
      <c r="O2286" s="1291"/>
      <c r="P2286" s="1317"/>
      <c r="Q2286" s="1291"/>
    </row>
    <row r="2287">
      <c r="A2287" s="1160"/>
      <c r="B2287" s="1313"/>
      <c r="C2287" s="940"/>
      <c r="D2287" s="940"/>
      <c r="E2287" s="1291"/>
      <c r="F2287" s="1314"/>
      <c r="G2287" s="1315"/>
      <c r="H2287" s="1315"/>
      <c r="I2287" s="1315"/>
      <c r="J2287" s="1314"/>
      <c r="K2287" s="1314"/>
      <c r="L2287" s="1291"/>
      <c r="M2287" s="1316"/>
      <c r="N2287" s="1291"/>
      <c r="O2287" s="1291"/>
      <c r="P2287" s="1317"/>
      <c r="Q2287" s="1291"/>
    </row>
    <row r="2288">
      <c r="A2288" s="1160"/>
      <c r="B2288" s="1313"/>
      <c r="C2288" s="940"/>
      <c r="D2288" s="940"/>
      <c r="E2288" s="1291"/>
      <c r="F2288" s="1314"/>
      <c r="G2288" s="1315"/>
      <c r="H2288" s="1315"/>
      <c r="I2288" s="1315"/>
      <c r="J2288" s="1314"/>
      <c r="K2288" s="1314"/>
      <c r="L2288" s="1291"/>
      <c r="M2288" s="1316"/>
      <c r="N2288" s="1291"/>
      <c r="O2288" s="1291"/>
      <c r="P2288" s="1317"/>
      <c r="Q2288" s="1291"/>
    </row>
    <row r="2289">
      <c r="A2289" s="1160"/>
      <c r="B2289" s="1313"/>
      <c r="C2289" s="940"/>
      <c r="D2289" s="940"/>
      <c r="E2289" s="1291"/>
      <c r="F2289" s="1314"/>
      <c r="G2289" s="1315"/>
      <c r="H2289" s="1315"/>
      <c r="I2289" s="1315"/>
      <c r="J2289" s="1314"/>
      <c r="K2289" s="1314"/>
      <c r="L2289" s="1291"/>
      <c r="M2289" s="1316"/>
      <c r="N2289" s="1291"/>
      <c r="O2289" s="1291"/>
      <c r="P2289" s="1317"/>
      <c r="Q2289" s="1291"/>
    </row>
    <row r="2290">
      <c r="A2290" s="1160"/>
      <c r="B2290" s="1313"/>
      <c r="C2290" s="940"/>
      <c r="D2290" s="940"/>
      <c r="E2290" s="1291"/>
      <c r="F2290" s="1314"/>
      <c r="G2290" s="1315"/>
      <c r="H2290" s="1315"/>
      <c r="I2290" s="1315"/>
      <c r="J2290" s="1314"/>
      <c r="K2290" s="1314"/>
      <c r="L2290" s="1291"/>
      <c r="M2290" s="1316"/>
      <c r="N2290" s="1291"/>
      <c r="O2290" s="1291"/>
      <c r="P2290" s="1317"/>
      <c r="Q2290" s="1291"/>
    </row>
    <row r="2291">
      <c r="A2291" s="1160"/>
      <c r="B2291" s="1313"/>
      <c r="C2291" s="940"/>
      <c r="D2291" s="940"/>
      <c r="E2291" s="1291"/>
      <c r="F2291" s="1314"/>
      <c r="G2291" s="1315"/>
      <c r="H2291" s="1315"/>
      <c r="I2291" s="1315"/>
      <c r="J2291" s="1314"/>
      <c r="K2291" s="1314"/>
      <c r="L2291" s="1291"/>
      <c r="M2291" s="1316"/>
      <c r="N2291" s="1291"/>
      <c r="O2291" s="1291"/>
      <c r="P2291" s="1317"/>
      <c r="Q2291" s="1291"/>
    </row>
    <row r="2292">
      <c r="A2292" s="1160"/>
      <c r="B2292" s="1313"/>
      <c r="C2292" s="940"/>
      <c r="D2292" s="940"/>
      <c r="E2292" s="1291"/>
      <c r="F2292" s="1314"/>
      <c r="G2292" s="1315"/>
      <c r="H2292" s="1315"/>
      <c r="I2292" s="1315"/>
      <c r="J2292" s="1314"/>
      <c r="K2292" s="1314"/>
      <c r="L2292" s="1291"/>
      <c r="M2292" s="1316"/>
      <c r="N2292" s="1291"/>
      <c r="O2292" s="1291"/>
      <c r="P2292" s="1317"/>
      <c r="Q2292" s="1291"/>
    </row>
    <row r="2293">
      <c r="A2293" s="1160"/>
      <c r="B2293" s="1313"/>
      <c r="C2293" s="940"/>
      <c r="D2293" s="940"/>
      <c r="E2293" s="1291"/>
      <c r="F2293" s="1314"/>
      <c r="G2293" s="1315"/>
      <c r="H2293" s="1315"/>
      <c r="I2293" s="1315"/>
      <c r="J2293" s="1314"/>
      <c r="K2293" s="1314"/>
      <c r="L2293" s="1291"/>
      <c r="M2293" s="1316"/>
      <c r="N2293" s="1291"/>
      <c r="O2293" s="1291"/>
      <c r="P2293" s="1317"/>
      <c r="Q2293" s="1291"/>
    </row>
    <row r="2294">
      <c r="A2294" s="1160"/>
      <c r="B2294" s="1313"/>
      <c r="C2294" s="940"/>
      <c r="D2294" s="940"/>
      <c r="E2294" s="1291"/>
      <c r="F2294" s="1314"/>
      <c r="G2294" s="1315"/>
      <c r="H2294" s="1315"/>
      <c r="I2294" s="1315"/>
      <c r="J2294" s="1314"/>
      <c r="K2294" s="1314"/>
      <c r="L2294" s="1291"/>
      <c r="M2294" s="1316"/>
      <c r="N2294" s="1291"/>
      <c r="O2294" s="1291"/>
      <c r="P2294" s="1317"/>
      <c r="Q2294" s="1291"/>
    </row>
    <row r="2295">
      <c r="A2295" s="1160"/>
      <c r="B2295" s="1313"/>
      <c r="C2295" s="940"/>
      <c r="D2295" s="940"/>
      <c r="E2295" s="1291"/>
      <c r="F2295" s="1314"/>
      <c r="G2295" s="1315"/>
      <c r="H2295" s="1315"/>
      <c r="I2295" s="1315"/>
      <c r="J2295" s="1314"/>
      <c r="K2295" s="1314"/>
      <c r="L2295" s="1291"/>
      <c r="M2295" s="1316"/>
      <c r="N2295" s="1291"/>
      <c r="O2295" s="1291"/>
      <c r="P2295" s="1317"/>
      <c r="Q2295" s="1291"/>
    </row>
    <row r="2296">
      <c r="A2296" s="1160"/>
      <c r="B2296" s="1313"/>
      <c r="C2296" s="940"/>
      <c r="D2296" s="940"/>
      <c r="E2296" s="1291"/>
      <c r="F2296" s="1314"/>
      <c r="G2296" s="1315"/>
      <c r="H2296" s="1315"/>
      <c r="I2296" s="1315"/>
      <c r="J2296" s="1314"/>
      <c r="K2296" s="1314"/>
      <c r="L2296" s="1291"/>
      <c r="M2296" s="1316"/>
      <c r="N2296" s="1291"/>
      <c r="O2296" s="1291"/>
      <c r="P2296" s="1317"/>
      <c r="Q2296" s="1291"/>
    </row>
    <row r="2297">
      <c r="A2297" s="1160"/>
      <c r="B2297" s="1313"/>
      <c r="C2297" s="940"/>
      <c r="D2297" s="940"/>
      <c r="E2297" s="1291"/>
      <c r="F2297" s="1314"/>
      <c r="G2297" s="1315"/>
      <c r="H2297" s="1315"/>
      <c r="I2297" s="1315"/>
      <c r="J2297" s="1314"/>
      <c r="K2297" s="1314"/>
      <c r="L2297" s="1291"/>
      <c r="M2297" s="1316"/>
      <c r="N2297" s="1291"/>
      <c r="O2297" s="1291"/>
      <c r="P2297" s="1317"/>
      <c r="Q2297" s="1291"/>
    </row>
    <row r="2298">
      <c r="A2298" s="1160"/>
      <c r="B2298" s="1313"/>
      <c r="C2298" s="940"/>
      <c r="D2298" s="940"/>
      <c r="E2298" s="1291"/>
      <c r="F2298" s="1314"/>
      <c r="G2298" s="1315"/>
      <c r="H2298" s="1315"/>
      <c r="I2298" s="1315"/>
      <c r="J2298" s="1314"/>
      <c r="K2298" s="1314"/>
      <c r="L2298" s="1291"/>
      <c r="M2298" s="1316"/>
      <c r="N2298" s="1291"/>
      <c r="O2298" s="1291"/>
      <c r="P2298" s="1317"/>
      <c r="Q2298" s="1291"/>
    </row>
    <row r="2299">
      <c r="A2299" s="1160"/>
      <c r="B2299" s="1313"/>
      <c r="C2299" s="940"/>
      <c r="D2299" s="940"/>
      <c r="E2299" s="1291"/>
      <c r="F2299" s="1314"/>
      <c r="G2299" s="1315"/>
      <c r="H2299" s="1315"/>
      <c r="I2299" s="1315"/>
      <c r="J2299" s="1314"/>
      <c r="K2299" s="1314"/>
      <c r="L2299" s="1291"/>
      <c r="M2299" s="1316"/>
      <c r="N2299" s="1291"/>
      <c r="O2299" s="1291"/>
      <c r="P2299" s="1317"/>
      <c r="Q2299" s="1291"/>
    </row>
    <row r="2300">
      <c r="A2300" s="1160"/>
      <c r="B2300" s="1313"/>
      <c r="C2300" s="940"/>
      <c r="D2300" s="940"/>
      <c r="E2300" s="1291"/>
      <c r="F2300" s="1314"/>
      <c r="G2300" s="1315"/>
      <c r="H2300" s="1315"/>
      <c r="I2300" s="1315"/>
      <c r="J2300" s="1314"/>
      <c r="K2300" s="1314"/>
      <c r="L2300" s="1291"/>
      <c r="M2300" s="1316"/>
      <c r="N2300" s="1291"/>
      <c r="O2300" s="1291"/>
      <c r="P2300" s="1317"/>
      <c r="Q2300" s="1291"/>
    </row>
    <row r="2301">
      <c r="A2301" s="1160"/>
      <c r="B2301" s="1313"/>
      <c r="C2301" s="940"/>
      <c r="D2301" s="940"/>
      <c r="E2301" s="1291"/>
      <c r="F2301" s="1314"/>
      <c r="G2301" s="1315"/>
      <c r="H2301" s="1315"/>
      <c r="I2301" s="1315"/>
      <c r="J2301" s="1314"/>
      <c r="K2301" s="1314"/>
      <c r="L2301" s="1291"/>
      <c r="M2301" s="1316"/>
      <c r="N2301" s="1291"/>
      <c r="O2301" s="1291"/>
      <c r="P2301" s="1317"/>
      <c r="Q2301" s="1291"/>
    </row>
    <row r="2302">
      <c r="A2302" s="1160"/>
      <c r="B2302" s="1313"/>
      <c r="C2302" s="940"/>
      <c r="D2302" s="940"/>
      <c r="E2302" s="1291"/>
      <c r="F2302" s="1314"/>
      <c r="G2302" s="1315"/>
      <c r="H2302" s="1315"/>
      <c r="I2302" s="1315"/>
      <c r="J2302" s="1314"/>
      <c r="K2302" s="1314"/>
      <c r="L2302" s="1291"/>
      <c r="M2302" s="1316"/>
      <c r="N2302" s="1291"/>
      <c r="O2302" s="1291"/>
      <c r="P2302" s="1317"/>
      <c r="Q2302" s="1291"/>
    </row>
    <row r="2303">
      <c r="A2303" s="1160"/>
      <c r="B2303" s="1313"/>
      <c r="C2303" s="940"/>
      <c r="D2303" s="940"/>
      <c r="E2303" s="1291"/>
      <c r="F2303" s="1314"/>
      <c r="G2303" s="1315"/>
      <c r="H2303" s="1315"/>
      <c r="I2303" s="1315"/>
      <c r="J2303" s="1314"/>
      <c r="K2303" s="1314"/>
      <c r="L2303" s="1291"/>
      <c r="M2303" s="1316"/>
      <c r="N2303" s="1291"/>
      <c r="O2303" s="1291"/>
      <c r="P2303" s="1317"/>
      <c r="Q2303" s="1291"/>
    </row>
    <row r="2304">
      <c r="A2304" s="1160"/>
      <c r="B2304" s="1313"/>
      <c r="C2304" s="940"/>
      <c r="D2304" s="940"/>
      <c r="E2304" s="1291"/>
      <c r="F2304" s="1314"/>
      <c r="G2304" s="1315"/>
      <c r="H2304" s="1315"/>
      <c r="I2304" s="1315"/>
      <c r="J2304" s="1314"/>
      <c r="K2304" s="1314"/>
      <c r="L2304" s="1291"/>
      <c r="M2304" s="1316"/>
      <c r="N2304" s="1291"/>
      <c r="O2304" s="1291"/>
      <c r="P2304" s="1317"/>
      <c r="Q2304" s="1291"/>
    </row>
    <row r="2305">
      <c r="A2305" s="1160"/>
      <c r="B2305" s="1313"/>
      <c r="C2305" s="940"/>
      <c r="D2305" s="940"/>
      <c r="E2305" s="1291"/>
      <c r="F2305" s="1314"/>
      <c r="G2305" s="1315"/>
      <c r="H2305" s="1315"/>
      <c r="I2305" s="1315"/>
      <c r="J2305" s="1314"/>
      <c r="K2305" s="1314"/>
      <c r="L2305" s="1291"/>
      <c r="M2305" s="1316"/>
      <c r="N2305" s="1291"/>
      <c r="O2305" s="1291"/>
      <c r="P2305" s="1317"/>
      <c r="Q2305" s="1291"/>
    </row>
    <row r="2306">
      <c r="A2306" s="1160"/>
      <c r="B2306" s="1313"/>
      <c r="C2306" s="940"/>
      <c r="D2306" s="940"/>
      <c r="E2306" s="1291"/>
      <c r="F2306" s="1314"/>
      <c r="G2306" s="1315"/>
      <c r="H2306" s="1315"/>
      <c r="I2306" s="1315"/>
      <c r="J2306" s="1314"/>
      <c r="K2306" s="1314"/>
      <c r="L2306" s="1291"/>
      <c r="M2306" s="1316"/>
      <c r="N2306" s="1291"/>
      <c r="O2306" s="1291"/>
      <c r="P2306" s="1317"/>
      <c r="Q2306" s="1291"/>
    </row>
    <row r="2307">
      <c r="A2307" s="1160"/>
      <c r="B2307" s="1313"/>
      <c r="C2307" s="940"/>
      <c r="D2307" s="940"/>
      <c r="E2307" s="1291"/>
      <c r="F2307" s="1314"/>
      <c r="G2307" s="1315"/>
      <c r="H2307" s="1315"/>
      <c r="I2307" s="1315"/>
      <c r="J2307" s="1314"/>
      <c r="K2307" s="1314"/>
      <c r="L2307" s="1291"/>
      <c r="M2307" s="1316"/>
      <c r="N2307" s="1291"/>
      <c r="O2307" s="1291"/>
      <c r="P2307" s="1317"/>
      <c r="Q2307" s="1291"/>
    </row>
    <row r="2308">
      <c r="A2308" s="1160"/>
      <c r="B2308" s="1313"/>
      <c r="C2308" s="940"/>
      <c r="D2308" s="940"/>
      <c r="E2308" s="1291"/>
      <c r="F2308" s="1314"/>
      <c r="G2308" s="1315"/>
      <c r="H2308" s="1315"/>
      <c r="I2308" s="1315"/>
      <c r="J2308" s="1314"/>
      <c r="K2308" s="1314"/>
      <c r="L2308" s="1291"/>
      <c r="M2308" s="1316"/>
      <c r="N2308" s="1291"/>
      <c r="O2308" s="1291"/>
      <c r="P2308" s="1317"/>
      <c r="Q2308" s="1291"/>
    </row>
    <row r="2309">
      <c r="A2309" s="1160"/>
      <c r="B2309" s="1313"/>
      <c r="C2309" s="940"/>
      <c r="D2309" s="940"/>
      <c r="E2309" s="1291"/>
      <c r="F2309" s="1314"/>
      <c r="G2309" s="1315"/>
      <c r="H2309" s="1315"/>
      <c r="I2309" s="1315"/>
      <c r="J2309" s="1314"/>
      <c r="K2309" s="1314"/>
      <c r="L2309" s="1291"/>
      <c r="M2309" s="1316"/>
      <c r="N2309" s="1291"/>
      <c r="O2309" s="1291"/>
      <c r="P2309" s="1317"/>
      <c r="Q2309" s="1291"/>
    </row>
    <row r="2310">
      <c r="A2310" s="1160"/>
      <c r="B2310" s="1313"/>
      <c r="C2310" s="940"/>
      <c r="D2310" s="940"/>
      <c r="E2310" s="1291"/>
      <c r="F2310" s="1314"/>
      <c r="G2310" s="1315"/>
      <c r="H2310" s="1315"/>
      <c r="I2310" s="1315"/>
      <c r="J2310" s="1314"/>
      <c r="K2310" s="1314"/>
      <c r="L2310" s="1291"/>
      <c r="M2310" s="1316"/>
      <c r="N2310" s="1291"/>
      <c r="O2310" s="1291"/>
      <c r="P2310" s="1317"/>
      <c r="Q2310" s="1291"/>
    </row>
    <row r="2311">
      <c r="A2311" s="1160"/>
      <c r="B2311" s="1313"/>
      <c r="C2311" s="940"/>
      <c r="D2311" s="940"/>
      <c r="E2311" s="1291"/>
      <c r="F2311" s="1314"/>
      <c r="G2311" s="1315"/>
      <c r="H2311" s="1315"/>
      <c r="I2311" s="1315"/>
      <c r="J2311" s="1314"/>
      <c r="K2311" s="1314"/>
      <c r="L2311" s="1291"/>
      <c r="M2311" s="1316"/>
      <c r="N2311" s="1291"/>
      <c r="O2311" s="1291"/>
      <c r="P2311" s="1317"/>
      <c r="Q2311" s="1291"/>
    </row>
    <row r="2312">
      <c r="A2312" s="1160"/>
      <c r="B2312" s="1313"/>
      <c r="C2312" s="940"/>
      <c r="D2312" s="940"/>
      <c r="E2312" s="1291"/>
      <c r="F2312" s="1314"/>
      <c r="G2312" s="1315"/>
      <c r="H2312" s="1315"/>
      <c r="I2312" s="1315"/>
      <c r="J2312" s="1314"/>
      <c r="K2312" s="1314"/>
      <c r="L2312" s="1291"/>
      <c r="M2312" s="1316"/>
      <c r="N2312" s="1291"/>
      <c r="O2312" s="1291"/>
      <c r="P2312" s="1317"/>
      <c r="Q2312" s="1291"/>
    </row>
    <row r="2313">
      <c r="A2313" s="1160"/>
      <c r="B2313" s="1313"/>
      <c r="C2313" s="940"/>
      <c r="D2313" s="940"/>
      <c r="E2313" s="1291"/>
      <c r="F2313" s="1314"/>
      <c r="G2313" s="1315"/>
      <c r="H2313" s="1315"/>
      <c r="I2313" s="1315"/>
      <c r="J2313" s="1314"/>
      <c r="K2313" s="1314"/>
      <c r="L2313" s="1291"/>
      <c r="M2313" s="1316"/>
      <c r="N2313" s="1291"/>
      <c r="O2313" s="1291"/>
      <c r="P2313" s="1317"/>
      <c r="Q2313" s="1291"/>
    </row>
    <row r="2314">
      <c r="A2314" s="1160"/>
      <c r="B2314" s="1313"/>
      <c r="C2314" s="940"/>
      <c r="D2314" s="940"/>
      <c r="E2314" s="1291"/>
      <c r="F2314" s="1314"/>
      <c r="G2314" s="1315"/>
      <c r="H2314" s="1315"/>
      <c r="I2314" s="1315"/>
      <c r="J2314" s="1314"/>
      <c r="K2314" s="1314"/>
      <c r="L2314" s="1291"/>
      <c r="M2314" s="1316"/>
      <c r="N2314" s="1291"/>
      <c r="O2314" s="1291"/>
      <c r="P2314" s="1317"/>
      <c r="Q2314" s="1291"/>
    </row>
    <row r="2315">
      <c r="A2315" s="1160"/>
      <c r="B2315" s="1313"/>
      <c r="C2315" s="940"/>
      <c r="D2315" s="940"/>
      <c r="E2315" s="1291"/>
      <c r="F2315" s="1314"/>
      <c r="G2315" s="1315"/>
      <c r="H2315" s="1315"/>
      <c r="I2315" s="1315"/>
      <c r="J2315" s="1314"/>
      <c r="K2315" s="1314"/>
      <c r="L2315" s="1291"/>
      <c r="M2315" s="1316"/>
      <c r="N2315" s="1291"/>
      <c r="O2315" s="1291"/>
      <c r="P2315" s="1317"/>
      <c r="Q2315" s="1291"/>
    </row>
    <row r="2316">
      <c r="A2316" s="1160"/>
      <c r="B2316" s="1313"/>
      <c r="C2316" s="940"/>
      <c r="D2316" s="940"/>
      <c r="E2316" s="1291"/>
      <c r="F2316" s="1314"/>
      <c r="G2316" s="1315"/>
      <c r="H2316" s="1315"/>
      <c r="I2316" s="1315"/>
      <c r="J2316" s="1314"/>
      <c r="K2316" s="1314"/>
      <c r="L2316" s="1291"/>
      <c r="M2316" s="1316"/>
      <c r="N2316" s="1291"/>
      <c r="O2316" s="1291"/>
      <c r="P2316" s="1317"/>
      <c r="Q2316" s="1291"/>
    </row>
    <row r="2317">
      <c r="A2317" s="1160"/>
      <c r="B2317" s="1313"/>
      <c r="C2317" s="940"/>
      <c r="D2317" s="940"/>
      <c r="E2317" s="1291"/>
      <c r="F2317" s="1314"/>
      <c r="G2317" s="1315"/>
      <c r="H2317" s="1315"/>
      <c r="I2317" s="1315"/>
      <c r="J2317" s="1314"/>
      <c r="K2317" s="1314"/>
      <c r="L2317" s="1291"/>
      <c r="M2317" s="1316"/>
      <c r="N2317" s="1291"/>
      <c r="O2317" s="1291"/>
      <c r="P2317" s="1317"/>
      <c r="Q2317" s="1291"/>
    </row>
    <row r="2318">
      <c r="A2318" s="1160"/>
      <c r="B2318" s="1313"/>
      <c r="C2318" s="940"/>
      <c r="D2318" s="940"/>
      <c r="E2318" s="1291"/>
      <c r="F2318" s="1314"/>
      <c r="G2318" s="1315"/>
      <c r="H2318" s="1315"/>
      <c r="I2318" s="1315"/>
      <c r="J2318" s="1314"/>
      <c r="K2318" s="1314"/>
      <c r="L2318" s="1291"/>
      <c r="M2318" s="1316"/>
      <c r="N2318" s="1291"/>
      <c r="O2318" s="1291"/>
      <c r="P2318" s="1317"/>
      <c r="Q2318" s="1291"/>
    </row>
    <row r="2319">
      <c r="A2319" s="1160"/>
      <c r="B2319" s="1313"/>
      <c r="C2319" s="940"/>
      <c r="D2319" s="940"/>
      <c r="E2319" s="1291"/>
      <c r="F2319" s="1314"/>
      <c r="G2319" s="1315"/>
      <c r="H2319" s="1315"/>
      <c r="I2319" s="1315"/>
      <c r="J2319" s="1314"/>
      <c r="K2319" s="1314"/>
      <c r="L2319" s="1291"/>
      <c r="M2319" s="1316"/>
      <c r="N2319" s="1291"/>
      <c r="O2319" s="1291"/>
      <c r="P2319" s="1317"/>
      <c r="Q2319" s="1291"/>
    </row>
    <row r="2320">
      <c r="A2320" s="1160"/>
      <c r="B2320" s="1313"/>
      <c r="C2320" s="940"/>
      <c r="D2320" s="940"/>
      <c r="E2320" s="1291"/>
      <c r="F2320" s="1314"/>
      <c r="G2320" s="1315"/>
      <c r="H2320" s="1315"/>
      <c r="I2320" s="1315"/>
      <c r="J2320" s="1314"/>
      <c r="K2320" s="1314"/>
      <c r="L2320" s="1291"/>
      <c r="M2320" s="1316"/>
      <c r="N2320" s="1291"/>
      <c r="O2320" s="1291"/>
      <c r="P2320" s="1317"/>
      <c r="Q2320" s="1291"/>
    </row>
    <row r="2321">
      <c r="A2321" s="1160"/>
      <c r="B2321" s="1313"/>
      <c r="C2321" s="940"/>
      <c r="D2321" s="940"/>
      <c r="E2321" s="1291"/>
      <c r="F2321" s="1314"/>
      <c r="G2321" s="1315"/>
      <c r="H2321" s="1315"/>
      <c r="I2321" s="1315"/>
      <c r="J2321" s="1314"/>
      <c r="K2321" s="1314"/>
      <c r="L2321" s="1291"/>
      <c r="M2321" s="1316"/>
      <c r="N2321" s="1291"/>
      <c r="O2321" s="1291"/>
      <c r="P2321" s="1317"/>
      <c r="Q2321" s="1291"/>
    </row>
    <row r="2322">
      <c r="A2322" s="1160"/>
      <c r="B2322" s="1313"/>
      <c r="C2322" s="940"/>
      <c r="D2322" s="940"/>
      <c r="E2322" s="1291"/>
      <c r="F2322" s="1314"/>
      <c r="G2322" s="1315"/>
      <c r="H2322" s="1315"/>
      <c r="I2322" s="1315"/>
      <c r="J2322" s="1314"/>
      <c r="K2322" s="1314"/>
      <c r="L2322" s="1291"/>
      <c r="M2322" s="1316"/>
      <c r="N2322" s="1291"/>
      <c r="O2322" s="1291"/>
      <c r="P2322" s="1317"/>
      <c r="Q2322" s="1291"/>
    </row>
    <row r="2323">
      <c r="A2323" s="1160"/>
      <c r="B2323" s="1313"/>
      <c r="C2323" s="940"/>
      <c r="D2323" s="940"/>
      <c r="E2323" s="1291"/>
      <c r="F2323" s="1314"/>
      <c r="G2323" s="1315"/>
      <c r="H2323" s="1315"/>
      <c r="I2323" s="1315"/>
      <c r="J2323" s="1314"/>
      <c r="K2323" s="1314"/>
      <c r="L2323" s="1291"/>
      <c r="M2323" s="1316"/>
      <c r="N2323" s="1291"/>
      <c r="O2323" s="1291"/>
      <c r="P2323" s="1317"/>
      <c r="Q2323" s="1291"/>
    </row>
    <row r="2324">
      <c r="A2324" s="1160"/>
      <c r="B2324" s="1313"/>
      <c r="C2324" s="940"/>
      <c r="D2324" s="940"/>
      <c r="E2324" s="1291"/>
      <c r="F2324" s="1314"/>
      <c r="G2324" s="1315"/>
      <c r="H2324" s="1315"/>
      <c r="I2324" s="1315"/>
      <c r="J2324" s="1314"/>
      <c r="K2324" s="1314"/>
      <c r="L2324" s="1291"/>
      <c r="M2324" s="1316"/>
      <c r="N2324" s="1291"/>
      <c r="O2324" s="1291"/>
      <c r="P2324" s="1317"/>
      <c r="Q2324" s="1291"/>
    </row>
    <row r="2325">
      <c r="A2325" s="1160"/>
      <c r="B2325" s="1313"/>
      <c r="C2325" s="940"/>
      <c r="D2325" s="940"/>
      <c r="E2325" s="1291"/>
      <c r="F2325" s="1314"/>
      <c r="G2325" s="1315"/>
      <c r="H2325" s="1315"/>
      <c r="I2325" s="1315"/>
      <c r="J2325" s="1314"/>
      <c r="K2325" s="1314"/>
      <c r="L2325" s="1291"/>
      <c r="M2325" s="1316"/>
      <c r="N2325" s="1291"/>
      <c r="O2325" s="1291"/>
      <c r="P2325" s="1317"/>
      <c r="Q2325" s="1291"/>
    </row>
    <row r="2326">
      <c r="A2326" s="1160"/>
      <c r="B2326" s="1313"/>
      <c r="C2326" s="940"/>
      <c r="D2326" s="940"/>
      <c r="E2326" s="1291"/>
      <c r="F2326" s="1314"/>
      <c r="G2326" s="1315"/>
      <c r="H2326" s="1315"/>
      <c r="I2326" s="1315"/>
      <c r="J2326" s="1314"/>
      <c r="K2326" s="1314"/>
      <c r="L2326" s="1291"/>
      <c r="M2326" s="1316"/>
      <c r="N2326" s="1291"/>
      <c r="O2326" s="1291"/>
      <c r="P2326" s="1317"/>
      <c r="Q2326" s="1291"/>
    </row>
    <row r="2327">
      <c r="A2327" s="1160"/>
      <c r="B2327" s="1313"/>
      <c r="C2327" s="940"/>
      <c r="D2327" s="940"/>
      <c r="E2327" s="1291"/>
      <c r="F2327" s="1314"/>
      <c r="G2327" s="1315"/>
      <c r="H2327" s="1315"/>
      <c r="I2327" s="1315"/>
      <c r="J2327" s="1314"/>
      <c r="K2327" s="1314"/>
      <c r="L2327" s="1291"/>
      <c r="M2327" s="1316"/>
      <c r="N2327" s="1291"/>
      <c r="O2327" s="1291"/>
      <c r="P2327" s="1317"/>
      <c r="Q2327" s="1291"/>
    </row>
    <row r="2328">
      <c r="A2328" s="1160"/>
      <c r="B2328" s="1313"/>
      <c r="C2328" s="940"/>
      <c r="D2328" s="940"/>
      <c r="E2328" s="1291"/>
      <c r="F2328" s="1314"/>
      <c r="G2328" s="1315"/>
      <c r="H2328" s="1315"/>
      <c r="I2328" s="1315"/>
      <c r="J2328" s="1314"/>
      <c r="K2328" s="1314"/>
      <c r="L2328" s="1291"/>
      <c r="M2328" s="1316"/>
      <c r="N2328" s="1291"/>
      <c r="O2328" s="1291"/>
      <c r="P2328" s="1317"/>
      <c r="Q2328" s="1291"/>
    </row>
    <row r="2329">
      <c r="A2329" s="1160"/>
      <c r="B2329" s="1313"/>
      <c r="C2329" s="940"/>
      <c r="D2329" s="940"/>
      <c r="E2329" s="1291"/>
      <c r="F2329" s="1314"/>
      <c r="G2329" s="1315"/>
      <c r="H2329" s="1315"/>
      <c r="I2329" s="1315"/>
      <c r="J2329" s="1314"/>
      <c r="K2329" s="1314"/>
      <c r="L2329" s="1291"/>
      <c r="M2329" s="1316"/>
      <c r="N2329" s="1291"/>
      <c r="O2329" s="1291"/>
      <c r="P2329" s="1317"/>
      <c r="Q2329" s="1291"/>
    </row>
    <row r="2330">
      <c r="A2330" s="1160"/>
      <c r="B2330" s="1313"/>
      <c r="C2330" s="940"/>
      <c r="D2330" s="940"/>
      <c r="E2330" s="1291"/>
      <c r="F2330" s="1314"/>
      <c r="G2330" s="1315"/>
      <c r="H2330" s="1315"/>
      <c r="I2330" s="1315"/>
      <c r="J2330" s="1314"/>
      <c r="K2330" s="1314"/>
      <c r="L2330" s="1291"/>
      <c r="M2330" s="1316"/>
      <c r="N2330" s="1291"/>
      <c r="O2330" s="1291"/>
      <c r="P2330" s="1317"/>
      <c r="Q2330" s="1291"/>
    </row>
    <row r="2331">
      <c r="A2331" s="1160"/>
      <c r="B2331" s="1313"/>
      <c r="C2331" s="940"/>
      <c r="D2331" s="940"/>
      <c r="E2331" s="1291"/>
      <c r="F2331" s="1314"/>
      <c r="G2331" s="1315"/>
      <c r="H2331" s="1315"/>
      <c r="I2331" s="1315"/>
      <c r="J2331" s="1314"/>
      <c r="K2331" s="1314"/>
      <c r="L2331" s="1291"/>
      <c r="M2331" s="1316"/>
      <c r="N2331" s="1291"/>
      <c r="O2331" s="1291"/>
      <c r="P2331" s="1317"/>
      <c r="Q2331" s="1291"/>
    </row>
    <row r="2332">
      <c r="A2332" s="1160"/>
      <c r="B2332" s="1313"/>
      <c r="C2332" s="940"/>
      <c r="D2332" s="940"/>
      <c r="E2332" s="1291"/>
      <c r="F2332" s="1314"/>
      <c r="G2332" s="1315"/>
      <c r="H2332" s="1315"/>
      <c r="I2332" s="1315"/>
      <c r="J2332" s="1314"/>
      <c r="K2332" s="1314"/>
      <c r="L2332" s="1291"/>
      <c r="M2332" s="1316"/>
      <c r="N2332" s="1291"/>
      <c r="O2332" s="1291"/>
      <c r="P2332" s="1317"/>
      <c r="Q2332" s="1291"/>
    </row>
    <row r="2333">
      <c r="A2333" s="1160"/>
      <c r="B2333" s="1313"/>
      <c r="C2333" s="940"/>
      <c r="D2333" s="940"/>
      <c r="E2333" s="1291"/>
      <c r="F2333" s="1314"/>
      <c r="G2333" s="1315"/>
      <c r="H2333" s="1315"/>
      <c r="I2333" s="1315"/>
      <c r="J2333" s="1314"/>
      <c r="K2333" s="1314"/>
      <c r="L2333" s="1291"/>
      <c r="M2333" s="1316"/>
      <c r="N2333" s="1291"/>
      <c r="O2333" s="1291"/>
      <c r="P2333" s="1317"/>
      <c r="Q2333" s="1291"/>
    </row>
    <row r="2334">
      <c r="A2334" s="1160"/>
      <c r="B2334" s="1313"/>
      <c r="C2334" s="940"/>
      <c r="D2334" s="940"/>
      <c r="E2334" s="1291"/>
      <c r="F2334" s="1314"/>
      <c r="G2334" s="1315"/>
      <c r="H2334" s="1315"/>
      <c r="I2334" s="1315"/>
      <c r="J2334" s="1314"/>
      <c r="K2334" s="1314"/>
      <c r="L2334" s="1291"/>
      <c r="M2334" s="1316"/>
      <c r="N2334" s="1291"/>
      <c r="O2334" s="1291"/>
      <c r="P2334" s="1317"/>
      <c r="Q2334" s="1291"/>
    </row>
    <row r="2335">
      <c r="A2335" s="1160"/>
      <c r="B2335" s="1313"/>
      <c r="C2335" s="940"/>
      <c r="D2335" s="940"/>
      <c r="E2335" s="1291"/>
      <c r="F2335" s="1314"/>
      <c r="G2335" s="1315"/>
      <c r="H2335" s="1315"/>
      <c r="I2335" s="1315"/>
      <c r="J2335" s="1314"/>
      <c r="K2335" s="1314"/>
      <c r="L2335" s="1291"/>
      <c r="M2335" s="1316"/>
      <c r="N2335" s="1291"/>
      <c r="O2335" s="1291"/>
      <c r="P2335" s="1317"/>
      <c r="Q2335" s="1291"/>
    </row>
    <row r="2336">
      <c r="A2336" s="1160"/>
      <c r="B2336" s="1313"/>
      <c r="C2336" s="940"/>
      <c r="D2336" s="940"/>
      <c r="E2336" s="1291"/>
      <c r="F2336" s="1314"/>
      <c r="G2336" s="1315"/>
      <c r="H2336" s="1315"/>
      <c r="I2336" s="1315"/>
      <c r="J2336" s="1314"/>
      <c r="K2336" s="1314"/>
      <c r="L2336" s="1291"/>
      <c r="M2336" s="1316"/>
      <c r="N2336" s="1291"/>
      <c r="O2336" s="1291"/>
      <c r="P2336" s="1317"/>
      <c r="Q2336" s="1291"/>
    </row>
    <row r="2337">
      <c r="A2337" s="1160"/>
      <c r="B2337" s="1313"/>
      <c r="C2337" s="940"/>
      <c r="D2337" s="940"/>
      <c r="E2337" s="1291"/>
      <c r="F2337" s="1314"/>
      <c r="G2337" s="1315"/>
      <c r="H2337" s="1315"/>
      <c r="I2337" s="1315"/>
      <c r="J2337" s="1314"/>
      <c r="K2337" s="1314"/>
      <c r="L2337" s="1291"/>
      <c r="M2337" s="1316"/>
      <c r="N2337" s="1291"/>
      <c r="O2337" s="1291"/>
      <c r="P2337" s="1317"/>
      <c r="Q2337" s="1291"/>
    </row>
    <row r="2338">
      <c r="A2338" s="1160"/>
      <c r="B2338" s="1313"/>
      <c r="C2338" s="940"/>
      <c r="D2338" s="940"/>
      <c r="E2338" s="1291"/>
      <c r="F2338" s="1314"/>
      <c r="G2338" s="1315"/>
      <c r="H2338" s="1315"/>
      <c r="I2338" s="1315"/>
      <c r="J2338" s="1314"/>
      <c r="K2338" s="1314"/>
      <c r="L2338" s="1291"/>
      <c r="M2338" s="1316"/>
      <c r="N2338" s="1291"/>
      <c r="O2338" s="1291"/>
      <c r="P2338" s="1317"/>
      <c r="Q2338" s="1291"/>
    </row>
    <row r="2339">
      <c r="A2339" s="1160"/>
      <c r="B2339" s="1313"/>
      <c r="C2339" s="940"/>
      <c r="D2339" s="940"/>
      <c r="E2339" s="1291"/>
      <c r="F2339" s="1314"/>
      <c r="G2339" s="1315"/>
      <c r="H2339" s="1315"/>
      <c r="I2339" s="1315"/>
      <c r="J2339" s="1314"/>
      <c r="K2339" s="1314"/>
      <c r="L2339" s="1291"/>
      <c r="M2339" s="1316"/>
      <c r="N2339" s="1291"/>
      <c r="O2339" s="1291"/>
      <c r="P2339" s="1317"/>
      <c r="Q2339" s="1291"/>
    </row>
    <row r="2340">
      <c r="A2340" s="1160"/>
      <c r="B2340" s="1313"/>
      <c r="C2340" s="940"/>
      <c r="D2340" s="940"/>
      <c r="E2340" s="1291"/>
      <c r="F2340" s="1314"/>
      <c r="G2340" s="1315"/>
      <c r="H2340" s="1315"/>
      <c r="I2340" s="1315"/>
      <c r="J2340" s="1314"/>
      <c r="K2340" s="1314"/>
      <c r="L2340" s="1291"/>
      <c r="M2340" s="1316"/>
      <c r="N2340" s="1291"/>
      <c r="O2340" s="1291"/>
      <c r="P2340" s="1317"/>
      <c r="Q2340" s="1291"/>
    </row>
    <row r="2341">
      <c r="A2341" s="1160"/>
      <c r="B2341" s="1313"/>
      <c r="C2341" s="940"/>
      <c r="D2341" s="940"/>
      <c r="E2341" s="1291"/>
      <c r="F2341" s="1314"/>
      <c r="G2341" s="1315"/>
      <c r="H2341" s="1315"/>
      <c r="I2341" s="1315"/>
      <c r="J2341" s="1314"/>
      <c r="K2341" s="1314"/>
      <c r="L2341" s="1291"/>
      <c r="M2341" s="1316"/>
      <c r="N2341" s="1291"/>
      <c r="O2341" s="1291"/>
      <c r="P2341" s="1317"/>
      <c r="Q2341" s="1291"/>
    </row>
    <row r="2342">
      <c r="A2342" s="1160"/>
      <c r="B2342" s="1313"/>
      <c r="C2342" s="940"/>
      <c r="D2342" s="940"/>
      <c r="E2342" s="1291"/>
      <c r="F2342" s="1314"/>
      <c r="G2342" s="1315"/>
      <c r="H2342" s="1315"/>
      <c r="I2342" s="1315"/>
      <c r="J2342" s="1314"/>
      <c r="K2342" s="1314"/>
      <c r="L2342" s="1291"/>
      <c r="M2342" s="1316"/>
      <c r="N2342" s="1291"/>
      <c r="O2342" s="1291"/>
      <c r="P2342" s="1317"/>
      <c r="Q2342" s="1291"/>
    </row>
    <row r="2343">
      <c r="A2343" s="1160"/>
      <c r="B2343" s="1313"/>
      <c r="C2343" s="940"/>
      <c r="D2343" s="940"/>
      <c r="E2343" s="1291"/>
      <c r="F2343" s="1314"/>
      <c r="G2343" s="1315"/>
      <c r="H2343" s="1315"/>
      <c r="I2343" s="1315"/>
      <c r="J2343" s="1314"/>
      <c r="K2343" s="1314"/>
      <c r="L2343" s="1291"/>
      <c r="M2343" s="1316"/>
      <c r="N2343" s="1291"/>
      <c r="O2343" s="1291"/>
      <c r="P2343" s="1317"/>
      <c r="Q2343" s="1291"/>
    </row>
    <row r="2344">
      <c r="A2344" s="1160"/>
      <c r="B2344" s="1313"/>
      <c r="C2344" s="940"/>
      <c r="D2344" s="940"/>
      <c r="E2344" s="1291"/>
      <c r="F2344" s="1314"/>
      <c r="G2344" s="1315"/>
      <c r="H2344" s="1315"/>
      <c r="I2344" s="1315"/>
      <c r="J2344" s="1314"/>
      <c r="K2344" s="1314"/>
      <c r="L2344" s="1291"/>
      <c r="M2344" s="1316"/>
      <c r="N2344" s="1291"/>
      <c r="O2344" s="1291"/>
      <c r="P2344" s="1317"/>
      <c r="Q2344" s="1291"/>
    </row>
    <row r="2345">
      <c r="A2345" s="1160"/>
      <c r="B2345" s="1313"/>
      <c r="C2345" s="940"/>
      <c r="D2345" s="940"/>
      <c r="E2345" s="1291"/>
      <c r="F2345" s="1314"/>
      <c r="G2345" s="1315"/>
      <c r="H2345" s="1315"/>
      <c r="I2345" s="1315"/>
      <c r="J2345" s="1314"/>
      <c r="K2345" s="1314"/>
      <c r="L2345" s="1291"/>
      <c r="M2345" s="1316"/>
      <c r="N2345" s="1291"/>
      <c r="O2345" s="1291"/>
      <c r="P2345" s="1317"/>
      <c r="Q2345" s="1291"/>
    </row>
    <row r="2346">
      <c r="A2346" s="1160"/>
      <c r="B2346" s="1313"/>
      <c r="C2346" s="940"/>
      <c r="D2346" s="940"/>
      <c r="E2346" s="1291"/>
      <c r="F2346" s="1314"/>
      <c r="G2346" s="1315"/>
      <c r="H2346" s="1315"/>
      <c r="I2346" s="1315"/>
      <c r="J2346" s="1314"/>
      <c r="K2346" s="1314"/>
      <c r="L2346" s="1291"/>
      <c r="M2346" s="1316"/>
      <c r="N2346" s="1291"/>
      <c r="O2346" s="1291"/>
      <c r="P2346" s="1317"/>
      <c r="Q2346" s="1291"/>
    </row>
    <row r="2347">
      <c r="A2347" s="1160"/>
      <c r="B2347" s="1313"/>
      <c r="C2347" s="940"/>
      <c r="D2347" s="940"/>
      <c r="E2347" s="1291"/>
      <c r="F2347" s="1314"/>
      <c r="G2347" s="1315"/>
      <c r="H2347" s="1315"/>
      <c r="I2347" s="1315"/>
      <c r="J2347" s="1314"/>
      <c r="K2347" s="1314"/>
      <c r="L2347" s="1291"/>
      <c r="M2347" s="1316"/>
      <c r="N2347" s="1291"/>
      <c r="O2347" s="1291"/>
      <c r="P2347" s="1317"/>
      <c r="Q2347" s="1291"/>
    </row>
    <row r="2348">
      <c r="A2348" s="1160"/>
      <c r="B2348" s="1313"/>
      <c r="C2348" s="940"/>
      <c r="D2348" s="940"/>
      <c r="E2348" s="1291"/>
      <c r="F2348" s="1314"/>
      <c r="G2348" s="1315"/>
      <c r="H2348" s="1315"/>
      <c r="I2348" s="1315"/>
      <c r="J2348" s="1314"/>
      <c r="K2348" s="1314"/>
      <c r="L2348" s="1291"/>
      <c r="M2348" s="1316"/>
      <c r="N2348" s="1291"/>
      <c r="O2348" s="1291"/>
      <c r="P2348" s="1317"/>
      <c r="Q2348" s="1291"/>
    </row>
    <row r="2349">
      <c r="A2349" s="1160"/>
      <c r="B2349" s="1313"/>
      <c r="C2349" s="940"/>
      <c r="D2349" s="940"/>
      <c r="E2349" s="1291"/>
      <c r="F2349" s="1314"/>
      <c r="G2349" s="1315"/>
      <c r="H2349" s="1315"/>
      <c r="I2349" s="1315"/>
      <c r="J2349" s="1314"/>
      <c r="K2349" s="1314"/>
      <c r="L2349" s="1291"/>
      <c r="M2349" s="1316"/>
      <c r="N2349" s="1291"/>
      <c r="O2349" s="1291"/>
      <c r="P2349" s="1317"/>
      <c r="Q2349" s="1291"/>
    </row>
    <row r="2350">
      <c r="A2350" s="1160"/>
      <c r="B2350" s="1313"/>
      <c r="C2350" s="940"/>
      <c r="D2350" s="940"/>
      <c r="E2350" s="1291"/>
      <c r="F2350" s="1314"/>
      <c r="G2350" s="1315"/>
      <c r="H2350" s="1315"/>
      <c r="I2350" s="1315"/>
      <c r="J2350" s="1314"/>
      <c r="K2350" s="1314"/>
      <c r="L2350" s="1291"/>
      <c r="M2350" s="1316"/>
      <c r="N2350" s="1291"/>
      <c r="O2350" s="1291"/>
      <c r="P2350" s="1317"/>
      <c r="Q2350" s="1291"/>
    </row>
    <row r="2351">
      <c r="A2351" s="1160"/>
      <c r="B2351" s="1313"/>
      <c r="C2351" s="940"/>
      <c r="D2351" s="940"/>
      <c r="E2351" s="1291"/>
      <c r="F2351" s="1314"/>
      <c r="G2351" s="1315"/>
      <c r="H2351" s="1315"/>
      <c r="I2351" s="1315"/>
      <c r="J2351" s="1314"/>
      <c r="K2351" s="1314"/>
      <c r="L2351" s="1291"/>
      <c r="M2351" s="1316"/>
      <c r="N2351" s="1291"/>
      <c r="O2351" s="1291"/>
      <c r="P2351" s="1317"/>
      <c r="Q2351" s="1291"/>
    </row>
    <row r="2352">
      <c r="A2352" s="1160"/>
      <c r="B2352" s="1313"/>
      <c r="C2352" s="940"/>
      <c r="D2352" s="940"/>
      <c r="E2352" s="1291"/>
      <c r="F2352" s="1314"/>
      <c r="G2352" s="1315"/>
      <c r="H2352" s="1315"/>
      <c r="I2352" s="1315"/>
      <c r="J2352" s="1314"/>
      <c r="K2352" s="1314"/>
      <c r="L2352" s="1291"/>
      <c r="M2352" s="1316"/>
      <c r="N2352" s="1291"/>
      <c r="O2352" s="1291"/>
      <c r="P2352" s="1317"/>
      <c r="Q2352" s="1291"/>
    </row>
    <row r="2353">
      <c r="A2353" s="1160"/>
      <c r="B2353" s="1313"/>
      <c r="C2353" s="940"/>
      <c r="D2353" s="940"/>
      <c r="E2353" s="1291"/>
      <c r="F2353" s="1314"/>
      <c r="G2353" s="1315"/>
      <c r="H2353" s="1315"/>
      <c r="I2353" s="1315"/>
      <c r="J2353" s="1314"/>
      <c r="K2353" s="1314"/>
      <c r="L2353" s="1291"/>
      <c r="M2353" s="1316"/>
      <c r="N2353" s="1291"/>
      <c r="O2353" s="1291"/>
      <c r="P2353" s="1317"/>
      <c r="Q2353" s="1291"/>
    </row>
    <row r="2354">
      <c r="A2354" s="1160"/>
      <c r="B2354" s="1313"/>
      <c r="C2354" s="940"/>
      <c r="D2354" s="940"/>
      <c r="E2354" s="1291"/>
      <c r="F2354" s="1314"/>
      <c r="G2354" s="1315"/>
      <c r="H2354" s="1315"/>
      <c r="I2354" s="1315"/>
      <c r="J2354" s="1314"/>
      <c r="K2354" s="1314"/>
      <c r="L2354" s="1291"/>
      <c r="M2354" s="1316"/>
      <c r="N2354" s="1291"/>
      <c r="O2354" s="1291"/>
      <c r="P2354" s="1317"/>
      <c r="Q2354" s="1291"/>
    </row>
    <row r="2355">
      <c r="A2355" s="1160"/>
      <c r="B2355" s="1313"/>
      <c r="C2355" s="940"/>
      <c r="D2355" s="940"/>
      <c r="E2355" s="1291"/>
      <c r="F2355" s="1314"/>
      <c r="G2355" s="1315"/>
      <c r="H2355" s="1315"/>
      <c r="I2355" s="1315"/>
      <c r="J2355" s="1314"/>
      <c r="K2355" s="1314"/>
      <c r="L2355" s="1291"/>
      <c r="M2355" s="1316"/>
      <c r="N2355" s="1291"/>
      <c r="O2355" s="1291"/>
      <c r="P2355" s="1317"/>
      <c r="Q2355" s="1291"/>
    </row>
    <row r="2356">
      <c r="A2356" s="1160"/>
      <c r="B2356" s="1313"/>
      <c r="C2356" s="940"/>
      <c r="D2356" s="940"/>
      <c r="E2356" s="1291"/>
      <c r="F2356" s="1314"/>
      <c r="G2356" s="1315"/>
      <c r="H2356" s="1315"/>
      <c r="I2356" s="1315"/>
      <c r="J2356" s="1314"/>
      <c r="K2356" s="1314"/>
      <c r="L2356" s="1291"/>
      <c r="M2356" s="1316"/>
      <c r="N2356" s="1291"/>
      <c r="O2356" s="1291"/>
      <c r="P2356" s="1317"/>
      <c r="Q2356" s="1291"/>
    </row>
    <row r="2357">
      <c r="A2357" s="1160"/>
      <c r="B2357" s="1313"/>
      <c r="C2357" s="940"/>
      <c r="D2357" s="940"/>
      <c r="E2357" s="1291"/>
      <c r="F2357" s="1314"/>
      <c r="G2357" s="1315"/>
      <c r="H2357" s="1315"/>
      <c r="I2357" s="1315"/>
      <c r="J2357" s="1314"/>
      <c r="K2357" s="1314"/>
      <c r="L2357" s="1291"/>
      <c r="M2357" s="1316"/>
      <c r="N2357" s="1291"/>
      <c r="O2357" s="1291"/>
      <c r="P2357" s="1317"/>
      <c r="Q2357" s="1291"/>
    </row>
    <row r="2358">
      <c r="A2358" s="1160"/>
      <c r="B2358" s="1313"/>
      <c r="C2358" s="940"/>
      <c r="D2358" s="940"/>
      <c r="E2358" s="1291"/>
      <c r="F2358" s="1314"/>
      <c r="G2358" s="1315"/>
      <c r="H2358" s="1315"/>
      <c r="I2358" s="1315"/>
      <c r="J2358" s="1314"/>
      <c r="K2358" s="1314"/>
      <c r="L2358" s="1291"/>
      <c r="M2358" s="1316"/>
      <c r="N2358" s="1291"/>
      <c r="O2358" s="1291"/>
      <c r="P2358" s="1317"/>
      <c r="Q2358" s="1291"/>
    </row>
    <row r="2359">
      <c r="A2359" s="1160"/>
      <c r="B2359" s="1313"/>
      <c r="C2359" s="940"/>
      <c r="D2359" s="940"/>
      <c r="E2359" s="1291"/>
      <c r="F2359" s="1314"/>
      <c r="G2359" s="1315"/>
      <c r="H2359" s="1315"/>
      <c r="I2359" s="1315"/>
      <c r="J2359" s="1314"/>
      <c r="K2359" s="1314"/>
      <c r="L2359" s="1291"/>
      <c r="M2359" s="1316"/>
      <c r="N2359" s="1291"/>
      <c r="O2359" s="1291"/>
      <c r="P2359" s="1317"/>
      <c r="Q2359" s="1291"/>
    </row>
    <row r="2360">
      <c r="A2360" s="1160"/>
      <c r="B2360" s="1313"/>
      <c r="C2360" s="940"/>
      <c r="D2360" s="940"/>
      <c r="E2360" s="1291"/>
      <c r="F2360" s="1314"/>
      <c r="G2360" s="1315"/>
      <c r="H2360" s="1315"/>
      <c r="I2360" s="1315"/>
      <c r="J2360" s="1314"/>
      <c r="K2360" s="1314"/>
      <c r="L2360" s="1291"/>
      <c r="M2360" s="1316"/>
      <c r="N2360" s="1291"/>
      <c r="O2360" s="1291"/>
      <c r="P2360" s="1317"/>
      <c r="Q2360" s="1291"/>
    </row>
    <row r="2361">
      <c r="A2361" s="1160"/>
      <c r="B2361" s="1313"/>
      <c r="C2361" s="940"/>
      <c r="D2361" s="940"/>
      <c r="E2361" s="1291"/>
      <c r="F2361" s="1314"/>
      <c r="G2361" s="1315"/>
      <c r="H2361" s="1315"/>
      <c r="I2361" s="1315"/>
      <c r="J2361" s="1314"/>
      <c r="K2361" s="1314"/>
      <c r="L2361" s="1291"/>
      <c r="M2361" s="1316"/>
      <c r="N2361" s="1291"/>
      <c r="O2361" s="1291"/>
      <c r="P2361" s="1317"/>
      <c r="Q2361" s="1291"/>
    </row>
    <row r="2362">
      <c r="A2362" s="1160"/>
      <c r="B2362" s="1313"/>
      <c r="C2362" s="940"/>
      <c r="D2362" s="940"/>
      <c r="E2362" s="1291"/>
      <c r="F2362" s="1314"/>
      <c r="G2362" s="1315"/>
      <c r="H2362" s="1315"/>
      <c r="I2362" s="1315"/>
      <c r="J2362" s="1314"/>
      <c r="K2362" s="1314"/>
      <c r="L2362" s="1291"/>
      <c r="M2362" s="1316"/>
      <c r="N2362" s="1291"/>
      <c r="O2362" s="1291"/>
      <c r="P2362" s="1317"/>
      <c r="Q2362" s="1291"/>
    </row>
    <row r="2363">
      <c r="A2363" s="1160"/>
      <c r="B2363" s="1313"/>
      <c r="C2363" s="940"/>
      <c r="D2363" s="940"/>
      <c r="E2363" s="1291"/>
      <c r="F2363" s="1314"/>
      <c r="G2363" s="1315"/>
      <c r="H2363" s="1315"/>
      <c r="I2363" s="1315"/>
      <c r="J2363" s="1314"/>
      <c r="K2363" s="1314"/>
      <c r="L2363" s="1291"/>
      <c r="M2363" s="1316"/>
      <c r="N2363" s="1291"/>
      <c r="O2363" s="1291"/>
      <c r="P2363" s="1317"/>
      <c r="Q2363" s="1291"/>
    </row>
    <row r="2364">
      <c r="A2364" s="1160"/>
      <c r="B2364" s="1313"/>
      <c r="C2364" s="940"/>
      <c r="D2364" s="940"/>
      <c r="E2364" s="1291"/>
      <c r="F2364" s="1314"/>
      <c r="G2364" s="1315"/>
      <c r="H2364" s="1315"/>
      <c r="I2364" s="1315"/>
      <c r="J2364" s="1314"/>
      <c r="K2364" s="1314"/>
      <c r="L2364" s="1291"/>
      <c r="M2364" s="1316"/>
      <c r="N2364" s="1291"/>
      <c r="O2364" s="1291"/>
      <c r="P2364" s="1317"/>
      <c r="Q2364" s="1291"/>
    </row>
    <row r="2365">
      <c r="A2365" s="1160"/>
      <c r="B2365" s="1313"/>
      <c r="C2365" s="940"/>
      <c r="D2365" s="940"/>
      <c r="E2365" s="1291"/>
      <c r="F2365" s="1314"/>
      <c r="G2365" s="1315"/>
      <c r="H2365" s="1315"/>
      <c r="I2365" s="1315"/>
      <c r="J2365" s="1314"/>
      <c r="K2365" s="1314"/>
      <c r="L2365" s="1291"/>
      <c r="M2365" s="1316"/>
      <c r="N2365" s="1291"/>
      <c r="O2365" s="1291"/>
      <c r="P2365" s="1317"/>
      <c r="Q2365" s="1291"/>
    </row>
    <row r="2366">
      <c r="A2366" s="1160"/>
      <c r="B2366" s="1313"/>
      <c r="C2366" s="940"/>
      <c r="D2366" s="940"/>
      <c r="E2366" s="1291"/>
      <c r="F2366" s="1314"/>
      <c r="G2366" s="1315"/>
      <c r="H2366" s="1315"/>
      <c r="I2366" s="1315"/>
      <c r="J2366" s="1314"/>
      <c r="K2366" s="1314"/>
      <c r="L2366" s="1291"/>
      <c r="M2366" s="1316"/>
      <c r="N2366" s="1291"/>
      <c r="O2366" s="1291"/>
      <c r="P2366" s="1317"/>
      <c r="Q2366" s="1291"/>
    </row>
    <row r="2367">
      <c r="A2367" s="1160"/>
      <c r="B2367" s="1313"/>
      <c r="C2367" s="940"/>
      <c r="D2367" s="940"/>
      <c r="E2367" s="1291"/>
      <c r="F2367" s="1314"/>
      <c r="G2367" s="1315"/>
      <c r="H2367" s="1315"/>
      <c r="I2367" s="1315"/>
      <c r="J2367" s="1314"/>
      <c r="K2367" s="1314"/>
      <c r="L2367" s="1291"/>
      <c r="M2367" s="1316"/>
      <c r="N2367" s="1291"/>
      <c r="O2367" s="1291"/>
      <c r="P2367" s="1317"/>
      <c r="Q2367" s="1291"/>
    </row>
    <row r="2368">
      <c r="A2368" s="1160"/>
      <c r="B2368" s="1313"/>
      <c r="C2368" s="940"/>
      <c r="D2368" s="940"/>
      <c r="E2368" s="1291"/>
      <c r="F2368" s="1314"/>
      <c r="G2368" s="1315"/>
      <c r="H2368" s="1315"/>
      <c r="I2368" s="1315"/>
      <c r="J2368" s="1314"/>
      <c r="K2368" s="1314"/>
      <c r="L2368" s="1291"/>
      <c r="M2368" s="1316"/>
      <c r="N2368" s="1291"/>
      <c r="O2368" s="1291"/>
      <c r="P2368" s="1317"/>
      <c r="Q2368" s="1291"/>
    </row>
    <row r="2369">
      <c r="A2369" s="1160"/>
      <c r="B2369" s="1313"/>
      <c r="C2369" s="940"/>
      <c r="D2369" s="940"/>
      <c r="E2369" s="1291"/>
      <c r="F2369" s="1314"/>
      <c r="G2369" s="1315"/>
      <c r="H2369" s="1315"/>
      <c r="I2369" s="1315"/>
      <c r="J2369" s="1314"/>
      <c r="K2369" s="1314"/>
      <c r="L2369" s="1291"/>
      <c r="M2369" s="1316"/>
      <c r="N2369" s="1291"/>
      <c r="O2369" s="1291"/>
      <c r="P2369" s="1317"/>
      <c r="Q2369" s="1291"/>
    </row>
    <row r="2370">
      <c r="A2370" s="1160"/>
      <c r="B2370" s="1313"/>
      <c r="C2370" s="940"/>
      <c r="D2370" s="940"/>
      <c r="E2370" s="1291"/>
      <c r="F2370" s="1314"/>
      <c r="G2370" s="1315"/>
      <c r="H2370" s="1315"/>
      <c r="I2370" s="1315"/>
      <c r="J2370" s="1314"/>
      <c r="K2370" s="1314"/>
      <c r="L2370" s="1291"/>
      <c r="M2370" s="1316"/>
      <c r="N2370" s="1291"/>
      <c r="O2370" s="1291"/>
      <c r="P2370" s="1317"/>
      <c r="Q2370" s="1291"/>
    </row>
    <row r="2371">
      <c r="A2371" s="1160"/>
      <c r="B2371" s="1313"/>
      <c r="C2371" s="940"/>
      <c r="D2371" s="940"/>
      <c r="E2371" s="1291"/>
      <c r="F2371" s="1314"/>
      <c r="G2371" s="1315"/>
      <c r="H2371" s="1315"/>
      <c r="I2371" s="1315"/>
      <c r="J2371" s="1314"/>
      <c r="K2371" s="1314"/>
      <c r="L2371" s="1291"/>
      <c r="M2371" s="1316"/>
      <c r="N2371" s="1291"/>
      <c r="O2371" s="1291"/>
      <c r="P2371" s="1317"/>
      <c r="Q2371" s="1291"/>
    </row>
    <row r="2372">
      <c r="A2372" s="1160"/>
      <c r="B2372" s="1313"/>
      <c r="C2372" s="940"/>
      <c r="D2372" s="940"/>
      <c r="E2372" s="1291"/>
      <c r="F2372" s="1314"/>
      <c r="G2372" s="1315"/>
      <c r="H2372" s="1315"/>
      <c r="I2372" s="1315"/>
      <c r="J2372" s="1314"/>
      <c r="K2372" s="1314"/>
      <c r="L2372" s="1291"/>
      <c r="M2372" s="1316"/>
      <c r="N2372" s="1291"/>
      <c r="O2372" s="1291"/>
      <c r="P2372" s="1317"/>
      <c r="Q2372" s="1291"/>
    </row>
    <row r="2373">
      <c r="A2373" s="1160"/>
      <c r="B2373" s="1313"/>
      <c r="C2373" s="940"/>
      <c r="D2373" s="940"/>
      <c r="E2373" s="1291"/>
      <c r="F2373" s="1314"/>
      <c r="G2373" s="1315"/>
      <c r="H2373" s="1315"/>
      <c r="I2373" s="1315"/>
      <c r="J2373" s="1314"/>
      <c r="K2373" s="1314"/>
      <c r="L2373" s="1291"/>
      <c r="M2373" s="1316"/>
      <c r="N2373" s="1291"/>
      <c r="O2373" s="1291"/>
      <c r="P2373" s="1317"/>
      <c r="Q2373" s="1291"/>
    </row>
    <row r="2374">
      <c r="A2374" s="1160"/>
      <c r="B2374" s="1313"/>
      <c r="C2374" s="940"/>
      <c r="D2374" s="940"/>
      <c r="E2374" s="1291"/>
      <c r="F2374" s="1314"/>
      <c r="G2374" s="1315"/>
      <c r="H2374" s="1315"/>
      <c r="I2374" s="1315"/>
      <c r="J2374" s="1314"/>
      <c r="K2374" s="1314"/>
      <c r="L2374" s="1291"/>
      <c r="M2374" s="1316"/>
      <c r="N2374" s="1291"/>
      <c r="O2374" s="1291"/>
      <c r="P2374" s="1317"/>
      <c r="Q2374" s="1291"/>
    </row>
    <row r="2375">
      <c r="A2375" s="1160"/>
      <c r="B2375" s="1313"/>
      <c r="C2375" s="940"/>
      <c r="D2375" s="940"/>
      <c r="E2375" s="1291"/>
      <c r="F2375" s="1314"/>
      <c r="G2375" s="1315"/>
      <c r="H2375" s="1315"/>
      <c r="I2375" s="1315"/>
      <c r="J2375" s="1314"/>
      <c r="K2375" s="1314"/>
      <c r="L2375" s="1291"/>
      <c r="M2375" s="1316"/>
      <c r="N2375" s="1291"/>
      <c r="O2375" s="1291"/>
      <c r="P2375" s="1317"/>
      <c r="Q2375" s="1291"/>
    </row>
    <row r="2376">
      <c r="A2376" s="1160"/>
      <c r="B2376" s="1313"/>
      <c r="C2376" s="940"/>
      <c r="D2376" s="940"/>
      <c r="E2376" s="1291"/>
      <c r="F2376" s="1314"/>
      <c r="G2376" s="1315"/>
      <c r="H2376" s="1315"/>
      <c r="I2376" s="1315"/>
      <c r="J2376" s="1314"/>
      <c r="K2376" s="1314"/>
      <c r="L2376" s="1291"/>
      <c r="M2376" s="1316"/>
      <c r="N2376" s="1291"/>
      <c r="O2376" s="1291"/>
      <c r="P2376" s="1317"/>
      <c r="Q2376" s="1291"/>
    </row>
    <row r="2377">
      <c r="A2377" s="1160"/>
      <c r="B2377" s="1313"/>
      <c r="C2377" s="940"/>
      <c r="D2377" s="940"/>
      <c r="E2377" s="1291"/>
      <c r="F2377" s="1314"/>
      <c r="G2377" s="1315"/>
      <c r="H2377" s="1315"/>
      <c r="I2377" s="1315"/>
      <c r="J2377" s="1314"/>
      <c r="K2377" s="1314"/>
      <c r="L2377" s="1291"/>
      <c r="M2377" s="1316"/>
      <c r="N2377" s="1291"/>
      <c r="O2377" s="1291"/>
      <c r="P2377" s="1317"/>
      <c r="Q2377" s="1291"/>
    </row>
    <row r="2378">
      <c r="A2378" s="1160"/>
      <c r="B2378" s="1313"/>
      <c r="C2378" s="940"/>
      <c r="D2378" s="940"/>
      <c r="E2378" s="1291"/>
      <c r="F2378" s="1314"/>
      <c r="G2378" s="1315"/>
      <c r="H2378" s="1315"/>
      <c r="I2378" s="1315"/>
      <c r="J2378" s="1314"/>
      <c r="K2378" s="1314"/>
      <c r="L2378" s="1291"/>
      <c r="M2378" s="1316"/>
      <c r="N2378" s="1291"/>
      <c r="O2378" s="1291"/>
      <c r="P2378" s="1317"/>
      <c r="Q2378" s="1291"/>
    </row>
    <row r="2379">
      <c r="A2379" s="1160"/>
      <c r="B2379" s="1313"/>
      <c r="C2379" s="940"/>
      <c r="D2379" s="940"/>
      <c r="E2379" s="1291"/>
      <c r="F2379" s="1314"/>
      <c r="G2379" s="1315"/>
      <c r="H2379" s="1315"/>
      <c r="I2379" s="1315"/>
      <c r="J2379" s="1314"/>
      <c r="K2379" s="1314"/>
      <c r="L2379" s="1291"/>
      <c r="M2379" s="1316"/>
      <c r="N2379" s="1291"/>
      <c r="O2379" s="1291"/>
      <c r="P2379" s="1317"/>
      <c r="Q2379" s="1291"/>
    </row>
    <row r="2380">
      <c r="A2380" s="1160"/>
      <c r="B2380" s="1313"/>
      <c r="C2380" s="940"/>
      <c r="D2380" s="940"/>
      <c r="E2380" s="1291"/>
      <c r="F2380" s="1314"/>
      <c r="G2380" s="1315"/>
      <c r="H2380" s="1315"/>
      <c r="I2380" s="1315"/>
      <c r="J2380" s="1314"/>
      <c r="K2380" s="1314"/>
      <c r="L2380" s="1291"/>
      <c r="M2380" s="1316"/>
      <c r="N2380" s="1291"/>
      <c r="O2380" s="1291"/>
      <c r="P2380" s="1317"/>
      <c r="Q2380" s="1291"/>
    </row>
    <row r="2381">
      <c r="A2381" s="1160"/>
      <c r="B2381" s="1313"/>
      <c r="C2381" s="940"/>
      <c r="D2381" s="940"/>
      <c r="E2381" s="1291"/>
      <c r="F2381" s="1314"/>
      <c r="G2381" s="1315"/>
      <c r="H2381" s="1315"/>
      <c r="I2381" s="1315"/>
      <c r="J2381" s="1314"/>
      <c r="K2381" s="1314"/>
      <c r="L2381" s="1291"/>
      <c r="M2381" s="1316"/>
      <c r="N2381" s="1291"/>
      <c r="O2381" s="1291"/>
      <c r="P2381" s="1317"/>
      <c r="Q2381" s="1291"/>
    </row>
    <row r="2382">
      <c r="A2382" s="1160"/>
      <c r="B2382" s="1313"/>
      <c r="C2382" s="940"/>
      <c r="D2382" s="940"/>
      <c r="E2382" s="1291"/>
      <c r="F2382" s="1314"/>
      <c r="G2382" s="1315"/>
      <c r="H2382" s="1315"/>
      <c r="I2382" s="1315"/>
      <c r="J2382" s="1314"/>
      <c r="K2382" s="1314"/>
      <c r="L2382" s="1291"/>
      <c r="M2382" s="1316"/>
      <c r="N2382" s="1291"/>
      <c r="O2382" s="1291"/>
      <c r="P2382" s="1317"/>
      <c r="Q2382" s="1291"/>
    </row>
    <row r="2383">
      <c r="A2383" s="1160"/>
      <c r="B2383" s="1313"/>
      <c r="C2383" s="940"/>
      <c r="D2383" s="940"/>
      <c r="E2383" s="1291"/>
      <c r="F2383" s="1314"/>
      <c r="G2383" s="1315"/>
      <c r="H2383" s="1315"/>
      <c r="I2383" s="1315"/>
      <c r="J2383" s="1314"/>
      <c r="K2383" s="1314"/>
      <c r="L2383" s="1291"/>
      <c r="M2383" s="1316"/>
      <c r="N2383" s="1291"/>
      <c r="O2383" s="1291"/>
      <c r="P2383" s="1317"/>
      <c r="Q2383" s="1291"/>
    </row>
    <row r="2384">
      <c r="A2384" s="1160"/>
      <c r="B2384" s="1313"/>
      <c r="C2384" s="940"/>
      <c r="D2384" s="940"/>
      <c r="E2384" s="1291"/>
      <c r="F2384" s="1314"/>
      <c r="G2384" s="1315"/>
      <c r="H2384" s="1315"/>
      <c r="I2384" s="1315"/>
      <c r="J2384" s="1314"/>
      <c r="K2384" s="1314"/>
      <c r="L2384" s="1291"/>
      <c r="M2384" s="1316"/>
      <c r="N2384" s="1291"/>
      <c r="O2384" s="1291"/>
      <c r="P2384" s="1317"/>
      <c r="Q2384" s="1291"/>
    </row>
    <row r="2385">
      <c r="A2385" s="1160"/>
      <c r="B2385" s="1313"/>
      <c r="C2385" s="940"/>
      <c r="D2385" s="940"/>
      <c r="E2385" s="1291"/>
      <c r="F2385" s="1314"/>
      <c r="G2385" s="1315"/>
      <c r="H2385" s="1315"/>
      <c r="I2385" s="1315"/>
      <c r="J2385" s="1314"/>
      <c r="K2385" s="1314"/>
      <c r="L2385" s="1291"/>
      <c r="M2385" s="1316"/>
      <c r="N2385" s="1291"/>
      <c r="O2385" s="1291"/>
      <c r="P2385" s="1317"/>
      <c r="Q2385" s="1291"/>
    </row>
    <row r="2386">
      <c r="A2386" s="1160"/>
      <c r="B2386" s="1313"/>
      <c r="C2386" s="940"/>
      <c r="D2386" s="940"/>
      <c r="E2386" s="1291"/>
      <c r="F2386" s="1314"/>
      <c r="G2386" s="1315"/>
      <c r="H2386" s="1315"/>
      <c r="I2386" s="1315"/>
      <c r="J2386" s="1314"/>
      <c r="K2386" s="1314"/>
      <c r="L2386" s="1291"/>
      <c r="M2386" s="1316"/>
      <c r="N2386" s="1291"/>
      <c r="O2386" s="1291"/>
      <c r="P2386" s="1317"/>
      <c r="Q2386" s="1291"/>
    </row>
    <row r="2387">
      <c r="A2387" s="1160"/>
      <c r="B2387" s="1313"/>
      <c r="C2387" s="940"/>
      <c r="D2387" s="940"/>
      <c r="E2387" s="1291"/>
      <c r="F2387" s="1314"/>
      <c r="G2387" s="1315"/>
      <c r="H2387" s="1315"/>
      <c r="I2387" s="1315"/>
      <c r="J2387" s="1314"/>
      <c r="K2387" s="1314"/>
      <c r="L2387" s="1291"/>
      <c r="M2387" s="1316"/>
      <c r="N2387" s="1291"/>
      <c r="O2387" s="1291"/>
      <c r="P2387" s="1317"/>
      <c r="Q2387" s="1291"/>
    </row>
    <row r="2388">
      <c r="A2388" s="1160"/>
      <c r="B2388" s="1313"/>
      <c r="C2388" s="940"/>
      <c r="D2388" s="940"/>
      <c r="E2388" s="1291"/>
      <c r="F2388" s="1314"/>
      <c r="G2388" s="1315"/>
      <c r="H2388" s="1315"/>
      <c r="I2388" s="1315"/>
      <c r="J2388" s="1314"/>
      <c r="K2388" s="1314"/>
      <c r="L2388" s="1291"/>
      <c r="M2388" s="1316"/>
      <c r="N2388" s="1291"/>
      <c r="O2388" s="1291"/>
      <c r="P2388" s="1317"/>
      <c r="Q2388" s="1291"/>
    </row>
    <row r="2389">
      <c r="A2389" s="1160"/>
      <c r="B2389" s="1313"/>
      <c r="C2389" s="940"/>
      <c r="D2389" s="940"/>
      <c r="E2389" s="1291"/>
      <c r="F2389" s="1314"/>
      <c r="G2389" s="1315"/>
      <c r="H2389" s="1315"/>
      <c r="I2389" s="1315"/>
      <c r="J2389" s="1314"/>
      <c r="K2389" s="1314"/>
      <c r="L2389" s="1291"/>
      <c r="M2389" s="1316"/>
      <c r="N2389" s="1291"/>
      <c r="O2389" s="1291"/>
      <c r="P2389" s="1317"/>
      <c r="Q2389" s="1291"/>
    </row>
    <row r="2390">
      <c r="A2390" s="1160"/>
      <c r="B2390" s="1313"/>
      <c r="C2390" s="940"/>
      <c r="D2390" s="940"/>
      <c r="E2390" s="1291"/>
      <c r="F2390" s="1314"/>
      <c r="G2390" s="1315"/>
      <c r="H2390" s="1315"/>
      <c r="I2390" s="1315"/>
      <c r="J2390" s="1314"/>
      <c r="K2390" s="1314"/>
      <c r="L2390" s="1291"/>
      <c r="M2390" s="1316"/>
      <c r="N2390" s="1291"/>
      <c r="O2390" s="1291"/>
      <c r="P2390" s="1317"/>
      <c r="Q2390" s="1291"/>
    </row>
  </sheetData>
  <mergeCells count="2">
    <mergeCell ref="B4:D7"/>
    <mergeCell ref="A9:D9"/>
  </mergeCells>
  <dataValidations>
    <dataValidation type="list" allowBlank="1" showErrorMessage="1" sqref="B12:B2390">
      <formula1>"Pré-Vendas (Prospecção),Executivos de Vendas,Planejamento Comercial,Líderes de Vendas,Canais e Parcerias,Class,PipeLovers,Ferramentas de Vendas,CONSTRUÇÃO DE MÁQUINA DE VENDAS,CERTIFICAÇÃO EM IA,Programa de gestão,Certificação de vendedores,ESPECIALIZAÇÃO"</formula1>
    </dataValidation>
  </dataValidations>
  <hyperlinks>
    <hyperlink r:id="rId1" ref="B8"/>
    <hyperlink r:id="rId2" ref="G12"/>
    <hyperlink r:id="rId3" ref="K12"/>
    <hyperlink r:id="rId4" ref="L12"/>
    <hyperlink r:id="rId5" ref="G13"/>
    <hyperlink r:id="rId6" ref="K13"/>
    <hyperlink r:id="rId7" ref="L13"/>
    <hyperlink r:id="rId8" ref="G14"/>
    <hyperlink r:id="rId9" ref="K14"/>
    <hyperlink r:id="rId10" ref="L14"/>
    <hyperlink r:id="rId11" ref="G15"/>
    <hyperlink r:id="rId12" ref="K15"/>
    <hyperlink r:id="rId13" ref="L15"/>
    <hyperlink r:id="rId14" ref="G16"/>
    <hyperlink r:id="rId15" ref="K16"/>
    <hyperlink r:id="rId16" ref="L16"/>
    <hyperlink r:id="rId17" ref="G17"/>
    <hyperlink r:id="rId18" ref="K17"/>
    <hyperlink r:id="rId19" ref="L17"/>
    <hyperlink r:id="rId20" ref="G18"/>
    <hyperlink r:id="rId21" ref="K18"/>
    <hyperlink r:id="rId22" ref="L18"/>
    <hyperlink r:id="rId23" ref="G19"/>
    <hyperlink r:id="rId24" ref="K19"/>
    <hyperlink r:id="rId25" ref="L19"/>
    <hyperlink r:id="rId26" ref="G20"/>
    <hyperlink r:id="rId27" ref="K20"/>
    <hyperlink r:id="rId28" ref="L20"/>
    <hyperlink r:id="rId29" ref="G21"/>
    <hyperlink r:id="rId30" ref="K21"/>
    <hyperlink r:id="rId31" ref="L21"/>
    <hyperlink r:id="rId32" ref="G22"/>
    <hyperlink r:id="rId33" ref="K22"/>
    <hyperlink r:id="rId34" ref="L22"/>
    <hyperlink r:id="rId35" ref="K23"/>
    <hyperlink r:id="rId36" ref="L23"/>
    <hyperlink r:id="rId37" ref="K24"/>
    <hyperlink r:id="rId38" ref="L24"/>
    <hyperlink r:id="rId39" ref="G25"/>
    <hyperlink r:id="rId40" ref="K25"/>
    <hyperlink r:id="rId41" ref="L25"/>
    <hyperlink r:id="rId42" ref="G26"/>
    <hyperlink r:id="rId43" ref="K26"/>
    <hyperlink r:id="rId44" ref="L26"/>
    <hyperlink r:id="rId45" ref="G27"/>
    <hyperlink r:id="rId46" ref="K27"/>
    <hyperlink r:id="rId47" ref="L27"/>
    <hyperlink r:id="rId48" ref="G28"/>
    <hyperlink r:id="rId49" ref="K28"/>
    <hyperlink r:id="rId50" ref="L28"/>
    <hyperlink r:id="rId51" ref="G29"/>
    <hyperlink r:id="rId52" ref="K29"/>
    <hyperlink r:id="rId53" ref="L29"/>
    <hyperlink r:id="rId54" ref="G30"/>
    <hyperlink r:id="rId55" ref="K30"/>
    <hyperlink r:id="rId56" ref="L30"/>
    <hyperlink r:id="rId57" ref="G31"/>
    <hyperlink r:id="rId58" ref="K31"/>
    <hyperlink r:id="rId59" ref="L31"/>
    <hyperlink r:id="rId60" ref="G32"/>
    <hyperlink r:id="rId61" ref="K32"/>
    <hyperlink r:id="rId62" ref="L32"/>
    <hyperlink r:id="rId63" ref="G33"/>
    <hyperlink r:id="rId64" ref="K33"/>
    <hyperlink r:id="rId65" ref="L33"/>
    <hyperlink r:id="rId66" ref="G34"/>
    <hyperlink r:id="rId67" ref="K34"/>
    <hyperlink r:id="rId68" ref="L34"/>
    <hyperlink r:id="rId69" ref="G35"/>
    <hyperlink r:id="rId70" ref="K35"/>
    <hyperlink r:id="rId71" ref="L35"/>
    <hyperlink r:id="rId72" ref="G36"/>
    <hyperlink r:id="rId73" ref="K36"/>
    <hyperlink r:id="rId74" ref="L36"/>
    <hyperlink r:id="rId75" ref="G37"/>
    <hyperlink r:id="rId76" ref="K37"/>
    <hyperlink r:id="rId77" ref="L37"/>
    <hyperlink r:id="rId78" ref="G38"/>
    <hyperlink r:id="rId79" ref="K38"/>
    <hyperlink r:id="rId80" ref="L38"/>
    <hyperlink r:id="rId81" ref="G39"/>
    <hyperlink r:id="rId82" ref="K39"/>
    <hyperlink r:id="rId83" ref="L39"/>
    <hyperlink r:id="rId84" ref="K40"/>
    <hyperlink r:id="rId85" ref="L40"/>
    <hyperlink r:id="rId86" ref="G41"/>
    <hyperlink r:id="rId87" ref="K41"/>
    <hyperlink r:id="rId88" ref="L41"/>
    <hyperlink r:id="rId89" ref="K42"/>
    <hyperlink r:id="rId90" ref="L42"/>
    <hyperlink r:id="rId91" ref="G43"/>
    <hyperlink r:id="rId92" ref="K43"/>
    <hyperlink r:id="rId93" ref="L43"/>
    <hyperlink r:id="rId94" ref="G44"/>
    <hyperlink r:id="rId95" ref="K44"/>
    <hyperlink r:id="rId96" ref="L44"/>
    <hyperlink r:id="rId97" ref="K45"/>
    <hyperlink r:id="rId98" ref="L45"/>
    <hyperlink r:id="rId99" ref="K46"/>
    <hyperlink r:id="rId100" ref="L46"/>
    <hyperlink r:id="rId101" ref="G47"/>
    <hyperlink r:id="rId102" ref="K47"/>
    <hyperlink r:id="rId103" ref="L47"/>
    <hyperlink r:id="rId104" ref="G48"/>
    <hyperlink r:id="rId105" ref="K48"/>
    <hyperlink r:id="rId106" ref="L48"/>
    <hyperlink r:id="rId107" ref="G49"/>
    <hyperlink r:id="rId108" ref="K49"/>
    <hyperlink r:id="rId109" ref="L49"/>
    <hyperlink r:id="rId110" ref="G50"/>
    <hyperlink r:id="rId111" ref="K50"/>
    <hyperlink r:id="rId112" ref="L50"/>
    <hyperlink r:id="rId113" ref="G51"/>
    <hyperlink r:id="rId114" ref="K51"/>
    <hyperlink r:id="rId115" ref="L51"/>
    <hyperlink r:id="rId116" ref="G52"/>
    <hyperlink r:id="rId117" ref="K52"/>
    <hyperlink r:id="rId118" ref="L52"/>
    <hyperlink r:id="rId119" ref="G53"/>
    <hyperlink r:id="rId120" ref="K53"/>
    <hyperlink r:id="rId121" ref="L53"/>
    <hyperlink r:id="rId122" ref="G54"/>
    <hyperlink r:id="rId123" ref="K54"/>
    <hyperlink r:id="rId124" ref="L54"/>
    <hyperlink r:id="rId125" ref="G55"/>
    <hyperlink r:id="rId126" ref="K55"/>
    <hyperlink r:id="rId127" ref="L55"/>
    <hyperlink r:id="rId128" ref="G56"/>
    <hyperlink r:id="rId129" ref="K56"/>
    <hyperlink r:id="rId130" ref="L56"/>
    <hyperlink r:id="rId131" ref="G57"/>
    <hyperlink r:id="rId132" ref="K57"/>
    <hyperlink r:id="rId133" ref="L57"/>
    <hyperlink r:id="rId134" ref="G58"/>
    <hyperlink r:id="rId135" ref="K58"/>
    <hyperlink r:id="rId136" ref="L58"/>
    <hyperlink r:id="rId137" ref="G59"/>
    <hyperlink r:id="rId138" ref="K59"/>
    <hyperlink r:id="rId139" ref="L59"/>
    <hyperlink r:id="rId140" ref="G60"/>
    <hyperlink r:id="rId141" ref="K60"/>
    <hyperlink r:id="rId142" ref="L60"/>
    <hyperlink r:id="rId143" ref="G61"/>
    <hyperlink r:id="rId144" ref="K61"/>
    <hyperlink r:id="rId145" ref="L61"/>
    <hyperlink r:id="rId146" ref="G62"/>
    <hyperlink r:id="rId147" ref="K62"/>
    <hyperlink r:id="rId148" ref="L62"/>
    <hyperlink r:id="rId149" ref="G63"/>
    <hyperlink r:id="rId150" ref="K63"/>
    <hyperlink r:id="rId151" ref="L63"/>
    <hyperlink r:id="rId152" ref="G64"/>
    <hyperlink r:id="rId153" ref="K64"/>
    <hyperlink r:id="rId154" ref="L64"/>
    <hyperlink r:id="rId155" ref="G65"/>
    <hyperlink r:id="rId156" ref="K65"/>
    <hyperlink r:id="rId157" ref="L65"/>
    <hyperlink r:id="rId158" ref="G66"/>
    <hyperlink r:id="rId159" ref="K66"/>
    <hyperlink r:id="rId160" ref="L66"/>
    <hyperlink r:id="rId161" ref="G67"/>
    <hyperlink r:id="rId162" ref="K67"/>
    <hyperlink r:id="rId163" ref="L67"/>
    <hyperlink r:id="rId164" ref="G68"/>
    <hyperlink r:id="rId165" ref="K68"/>
    <hyperlink r:id="rId166" ref="L68"/>
    <hyperlink r:id="rId167" ref="G69"/>
    <hyperlink r:id="rId168" ref="K69"/>
    <hyperlink r:id="rId169" ref="L69"/>
    <hyperlink r:id="rId170" ref="G70"/>
    <hyperlink r:id="rId171" ref="K70"/>
    <hyperlink r:id="rId172" ref="L70"/>
    <hyperlink r:id="rId173" ref="G71"/>
    <hyperlink r:id="rId174" ref="K71"/>
    <hyperlink r:id="rId175" ref="L71"/>
    <hyperlink r:id="rId176" ref="G72"/>
    <hyperlink r:id="rId177" ref="K72"/>
    <hyperlink r:id="rId178" ref="L72"/>
    <hyperlink r:id="rId179" ref="G73"/>
    <hyperlink r:id="rId180" ref="K73"/>
    <hyperlink r:id="rId181" ref="L73"/>
    <hyperlink r:id="rId182" ref="G74"/>
    <hyperlink r:id="rId183" ref="K74"/>
    <hyperlink r:id="rId184" ref="L74"/>
    <hyperlink r:id="rId185" ref="G75"/>
    <hyperlink r:id="rId186" ref="K75"/>
    <hyperlink r:id="rId187" ref="L75"/>
    <hyperlink r:id="rId188" ref="G76"/>
    <hyperlink r:id="rId189" ref="K76"/>
    <hyperlink r:id="rId190" ref="L76"/>
    <hyperlink r:id="rId191" ref="G77"/>
    <hyperlink r:id="rId192" ref="K77"/>
    <hyperlink r:id="rId193" ref="L77"/>
    <hyperlink r:id="rId194" ref="G78"/>
    <hyperlink r:id="rId195" ref="K78"/>
    <hyperlink r:id="rId196" ref="L78"/>
    <hyperlink r:id="rId197" ref="G79"/>
    <hyperlink r:id="rId198" ref="K79"/>
    <hyperlink r:id="rId199" ref="L79"/>
    <hyperlink r:id="rId200" ref="G80"/>
    <hyperlink r:id="rId201" ref="K80"/>
    <hyperlink r:id="rId202" ref="L80"/>
    <hyperlink r:id="rId203" ref="G81"/>
    <hyperlink r:id="rId204" ref="K81"/>
    <hyperlink r:id="rId205" ref="L81"/>
    <hyperlink r:id="rId206" ref="G82"/>
    <hyperlink r:id="rId207" ref="K82"/>
    <hyperlink r:id="rId208" ref="L82"/>
    <hyperlink r:id="rId209" ref="G83"/>
    <hyperlink r:id="rId210" ref="K83"/>
    <hyperlink r:id="rId211" ref="L83"/>
    <hyperlink r:id="rId212" ref="G84"/>
    <hyperlink r:id="rId213" ref="K84"/>
    <hyperlink r:id="rId214" ref="L84"/>
    <hyperlink r:id="rId215" ref="G85"/>
    <hyperlink r:id="rId216" ref="K85"/>
    <hyperlink r:id="rId217" ref="L85"/>
    <hyperlink r:id="rId218" ref="G86"/>
    <hyperlink r:id="rId219" ref="K86"/>
    <hyperlink r:id="rId220" ref="L86"/>
    <hyperlink r:id="rId221" ref="G87"/>
    <hyperlink r:id="rId222" ref="K87"/>
    <hyperlink r:id="rId223" ref="L87"/>
    <hyperlink r:id="rId224" ref="G88"/>
    <hyperlink r:id="rId225" ref="K88"/>
    <hyperlink r:id="rId226" ref="L88"/>
    <hyperlink r:id="rId227" ref="G89"/>
    <hyperlink r:id="rId228" ref="K89"/>
    <hyperlink r:id="rId229" ref="L89"/>
    <hyperlink r:id="rId230" ref="G90"/>
    <hyperlink r:id="rId231" ref="K90"/>
    <hyperlink r:id="rId232" ref="L90"/>
    <hyperlink r:id="rId233" ref="G91"/>
    <hyperlink r:id="rId234" ref="K91"/>
    <hyperlink r:id="rId235" ref="L91"/>
    <hyperlink r:id="rId236" ref="G92"/>
    <hyperlink r:id="rId237" ref="K92"/>
    <hyperlink r:id="rId238" ref="L92"/>
    <hyperlink r:id="rId239" ref="G93"/>
    <hyperlink r:id="rId240" ref="K93"/>
    <hyperlink r:id="rId241" ref="L93"/>
    <hyperlink r:id="rId242" ref="G94"/>
    <hyperlink r:id="rId243" ref="K94"/>
    <hyperlink r:id="rId244" ref="L94"/>
    <hyperlink r:id="rId245" ref="G95"/>
    <hyperlink r:id="rId246" ref="K95"/>
    <hyperlink r:id="rId247" ref="L95"/>
    <hyperlink r:id="rId248" ref="G96"/>
    <hyperlink r:id="rId249" ref="K96"/>
    <hyperlink r:id="rId250" ref="L96"/>
    <hyperlink r:id="rId251" ref="G97"/>
    <hyperlink r:id="rId252" ref="K97"/>
    <hyperlink r:id="rId253" ref="L97"/>
    <hyperlink r:id="rId254" ref="G98"/>
    <hyperlink r:id="rId255" ref="K98"/>
    <hyperlink r:id="rId256" ref="L98"/>
    <hyperlink r:id="rId257" ref="G99"/>
    <hyperlink r:id="rId258" ref="K99"/>
    <hyperlink r:id="rId259" ref="L99"/>
    <hyperlink r:id="rId260" ref="G100"/>
    <hyperlink r:id="rId261" ref="K100"/>
    <hyperlink r:id="rId262" ref="L100"/>
    <hyperlink r:id="rId263" ref="G101"/>
    <hyperlink r:id="rId264" ref="K101"/>
    <hyperlink r:id="rId265" ref="L101"/>
    <hyperlink r:id="rId266" ref="G102"/>
    <hyperlink r:id="rId267" ref="K102"/>
    <hyperlink r:id="rId268" ref="L102"/>
    <hyperlink r:id="rId269" ref="G103"/>
    <hyperlink r:id="rId270" ref="K103"/>
    <hyperlink r:id="rId271" ref="L103"/>
    <hyperlink r:id="rId272" ref="G104"/>
    <hyperlink r:id="rId273" ref="K104"/>
    <hyperlink r:id="rId274" ref="L104"/>
    <hyperlink r:id="rId275" ref="G105"/>
    <hyperlink r:id="rId276" ref="K105"/>
    <hyperlink r:id="rId277" ref="L105"/>
    <hyperlink r:id="rId278" ref="K106"/>
    <hyperlink r:id="rId279" ref="L106"/>
    <hyperlink r:id="rId280" ref="G107"/>
    <hyperlink r:id="rId281" ref="K107"/>
    <hyperlink r:id="rId282" ref="L107"/>
    <hyperlink r:id="rId283" ref="G108"/>
    <hyperlink r:id="rId284" ref="K108"/>
    <hyperlink r:id="rId285" ref="L108"/>
    <hyperlink r:id="rId286" ref="G109"/>
    <hyperlink r:id="rId287" ref="K109"/>
    <hyperlink r:id="rId288" ref="L109"/>
    <hyperlink r:id="rId289" ref="G110"/>
    <hyperlink r:id="rId290" ref="K110"/>
    <hyperlink r:id="rId291" ref="L110"/>
    <hyperlink r:id="rId292" ref="G111"/>
    <hyperlink r:id="rId293" ref="K111"/>
    <hyperlink r:id="rId294" ref="L111"/>
    <hyperlink r:id="rId295" ref="G112"/>
    <hyperlink r:id="rId296" ref="K112"/>
    <hyperlink r:id="rId297" ref="L112"/>
    <hyperlink r:id="rId298" ref="G113"/>
    <hyperlink r:id="rId299" ref="K113"/>
    <hyperlink r:id="rId300" ref="L113"/>
    <hyperlink r:id="rId301" ref="G114"/>
    <hyperlink r:id="rId302" ref="K114"/>
    <hyperlink r:id="rId303" ref="L114"/>
    <hyperlink r:id="rId304" ref="G115"/>
    <hyperlink r:id="rId305" ref="K115"/>
    <hyperlink r:id="rId306" ref="L115"/>
    <hyperlink r:id="rId307" ref="G116"/>
    <hyperlink r:id="rId308" ref="K116"/>
    <hyperlink r:id="rId309" ref="L116"/>
    <hyperlink r:id="rId310" ref="G117"/>
    <hyperlink r:id="rId311" ref="K117"/>
    <hyperlink r:id="rId312" ref="L117"/>
    <hyperlink r:id="rId313" ref="G118"/>
    <hyperlink r:id="rId314" ref="K118"/>
    <hyperlink r:id="rId315" ref="L118"/>
    <hyperlink r:id="rId316" ref="G119"/>
    <hyperlink r:id="rId317" ref="K119"/>
    <hyperlink r:id="rId318" ref="L119"/>
    <hyperlink r:id="rId319" ref="G120"/>
    <hyperlink r:id="rId320" ref="K120"/>
    <hyperlink r:id="rId321" ref="L120"/>
    <hyperlink r:id="rId322" ref="G121"/>
    <hyperlink r:id="rId323" ref="K121"/>
    <hyperlink r:id="rId324" ref="L121"/>
    <hyperlink r:id="rId325" ref="G122"/>
    <hyperlink r:id="rId326" ref="K122"/>
    <hyperlink r:id="rId327" ref="L122"/>
    <hyperlink r:id="rId328" ref="G123"/>
    <hyperlink r:id="rId329" ref="K123"/>
    <hyperlink r:id="rId330" ref="L123"/>
    <hyperlink r:id="rId331" ref="G124"/>
    <hyperlink r:id="rId332" ref="K124"/>
    <hyperlink r:id="rId333" ref="L124"/>
    <hyperlink r:id="rId334" ref="G125"/>
    <hyperlink r:id="rId335" ref="K125"/>
    <hyperlink r:id="rId336" ref="L125"/>
    <hyperlink r:id="rId337" ref="K126"/>
    <hyperlink r:id="rId338" ref="L126"/>
    <hyperlink r:id="rId339" ref="G127"/>
    <hyperlink r:id="rId340" ref="K127"/>
    <hyperlink r:id="rId341" ref="L127"/>
    <hyperlink r:id="rId342" ref="G128"/>
    <hyperlink r:id="rId343" ref="K128"/>
    <hyperlink r:id="rId344" ref="L128"/>
    <hyperlink r:id="rId345" ref="G129"/>
    <hyperlink r:id="rId346" ref="K129"/>
    <hyperlink r:id="rId347" ref="L129"/>
    <hyperlink r:id="rId348" ref="G130"/>
    <hyperlink r:id="rId349" ref="K130"/>
    <hyperlink r:id="rId350" ref="L130"/>
    <hyperlink r:id="rId351" ref="G131"/>
    <hyperlink r:id="rId352" ref="K131"/>
    <hyperlink r:id="rId353" ref="L131"/>
    <hyperlink r:id="rId354" ref="G132"/>
    <hyperlink r:id="rId355" ref="K132"/>
    <hyperlink r:id="rId356" ref="L132"/>
    <hyperlink r:id="rId357" ref="G133"/>
    <hyperlink r:id="rId358" ref="K133"/>
    <hyperlink r:id="rId359" ref="L133"/>
    <hyperlink r:id="rId360" ref="G134"/>
    <hyperlink r:id="rId361" ref="K134"/>
    <hyperlink r:id="rId362" ref="L134"/>
    <hyperlink r:id="rId363" ref="G135"/>
    <hyperlink r:id="rId364" ref="K135"/>
    <hyperlink r:id="rId365" ref="L135"/>
    <hyperlink r:id="rId366" ref="G136"/>
    <hyperlink r:id="rId367" ref="K136"/>
    <hyperlink r:id="rId368" ref="L136"/>
    <hyperlink r:id="rId369" ref="G137"/>
    <hyperlink r:id="rId370" ref="K137"/>
    <hyperlink r:id="rId371" ref="L137"/>
    <hyperlink r:id="rId372" ref="G138"/>
    <hyperlink r:id="rId373" ref="K138"/>
    <hyperlink r:id="rId374" ref="L138"/>
    <hyperlink r:id="rId375" ref="G139"/>
    <hyperlink r:id="rId376" ref="K139"/>
    <hyperlink r:id="rId377" ref="L139"/>
    <hyperlink r:id="rId378" ref="G140"/>
    <hyperlink r:id="rId379" ref="K140"/>
    <hyperlink r:id="rId380" ref="L140"/>
    <hyperlink r:id="rId381" ref="G141"/>
    <hyperlink r:id="rId382" ref="K141"/>
    <hyperlink r:id="rId383" ref="L141"/>
    <hyperlink r:id="rId384" ref="G142"/>
    <hyperlink r:id="rId385" ref="K142"/>
    <hyperlink r:id="rId386" ref="L142"/>
    <hyperlink r:id="rId387" ref="G143"/>
    <hyperlink r:id="rId388" ref="K143"/>
    <hyperlink r:id="rId389" ref="L143"/>
    <hyperlink r:id="rId390" ref="G144"/>
    <hyperlink r:id="rId391" ref="K144"/>
    <hyperlink r:id="rId392" ref="L144"/>
    <hyperlink r:id="rId393" ref="G145"/>
    <hyperlink r:id="rId394" ref="K145"/>
    <hyperlink r:id="rId395" ref="L145"/>
    <hyperlink r:id="rId396" ref="G146"/>
    <hyperlink r:id="rId397" ref="K146"/>
    <hyperlink r:id="rId398" ref="L146"/>
    <hyperlink r:id="rId399" ref="G147"/>
    <hyperlink r:id="rId400" ref="K147"/>
    <hyperlink r:id="rId401" ref="L147"/>
    <hyperlink r:id="rId402" ref="G148"/>
    <hyperlink r:id="rId403" ref="K148"/>
    <hyperlink r:id="rId404" ref="L148"/>
    <hyperlink r:id="rId405" ref="G149"/>
    <hyperlink r:id="rId406" ref="K149"/>
    <hyperlink r:id="rId407" ref="L149"/>
    <hyperlink r:id="rId408" ref="G150"/>
    <hyperlink r:id="rId409" ref="K150"/>
    <hyperlink r:id="rId410" ref="L150"/>
    <hyperlink r:id="rId411" ref="G151"/>
    <hyperlink r:id="rId412" ref="K151"/>
    <hyperlink r:id="rId413" ref="L151"/>
    <hyperlink r:id="rId414" ref="G152"/>
    <hyperlink r:id="rId415" ref="K152"/>
    <hyperlink r:id="rId416" ref="L152"/>
    <hyperlink r:id="rId417" ref="G153"/>
    <hyperlink r:id="rId418" ref="K153"/>
    <hyperlink r:id="rId419" ref="L153"/>
    <hyperlink r:id="rId420" ref="G154"/>
    <hyperlink r:id="rId421" ref="K154"/>
    <hyperlink r:id="rId422" ref="L154"/>
    <hyperlink r:id="rId423" ref="G155"/>
    <hyperlink r:id="rId424" ref="K155"/>
    <hyperlink r:id="rId425" ref="L155"/>
    <hyperlink r:id="rId426" ref="G156"/>
    <hyperlink r:id="rId427" ref="K156"/>
    <hyperlink r:id="rId428" ref="G157"/>
    <hyperlink r:id="rId429" ref="K157"/>
    <hyperlink r:id="rId430" ref="L157"/>
    <hyperlink r:id="rId431" ref="G158"/>
    <hyperlink r:id="rId432" ref="K158"/>
    <hyperlink r:id="rId433" ref="L158"/>
    <hyperlink r:id="rId434" ref="G159"/>
    <hyperlink r:id="rId435" ref="K159"/>
    <hyperlink r:id="rId436" ref="L159"/>
    <hyperlink r:id="rId437" ref="G160"/>
    <hyperlink r:id="rId438" ref="K160"/>
    <hyperlink r:id="rId439" ref="L160"/>
    <hyperlink r:id="rId440" ref="G161"/>
    <hyperlink r:id="rId441" ref="K161"/>
    <hyperlink r:id="rId442" ref="L161"/>
    <hyperlink r:id="rId443" ref="G162"/>
    <hyperlink r:id="rId444" ref="K162"/>
    <hyperlink r:id="rId445" ref="L162"/>
    <hyperlink r:id="rId446" ref="G163"/>
    <hyperlink r:id="rId447" ref="K163"/>
    <hyperlink r:id="rId448" ref="L163"/>
    <hyperlink r:id="rId449" ref="G164"/>
    <hyperlink r:id="rId450" ref="K164"/>
    <hyperlink r:id="rId451" ref="L164"/>
    <hyperlink r:id="rId452" ref="G165"/>
    <hyperlink r:id="rId453" ref="K165"/>
    <hyperlink r:id="rId454" ref="L165"/>
    <hyperlink r:id="rId455" ref="G166"/>
    <hyperlink r:id="rId456" ref="K166"/>
    <hyperlink r:id="rId457" ref="L166"/>
    <hyperlink r:id="rId458" ref="G167"/>
    <hyperlink r:id="rId459" ref="K167"/>
    <hyperlink r:id="rId460" ref="L167"/>
    <hyperlink r:id="rId461" ref="G168"/>
    <hyperlink r:id="rId462" ref="K168"/>
    <hyperlink r:id="rId463" ref="L168"/>
    <hyperlink r:id="rId464" ref="G169"/>
    <hyperlink r:id="rId465" ref="K169"/>
    <hyperlink r:id="rId466" ref="L169"/>
    <hyperlink r:id="rId467" ref="G170"/>
    <hyperlink r:id="rId468" ref="K170"/>
    <hyperlink r:id="rId469" ref="L170"/>
    <hyperlink r:id="rId470" ref="G171"/>
    <hyperlink r:id="rId471" ref="K171"/>
    <hyperlink r:id="rId472" ref="L171"/>
    <hyperlink r:id="rId473" ref="G172"/>
    <hyperlink r:id="rId474" ref="K172"/>
    <hyperlink r:id="rId475" ref="L172"/>
    <hyperlink r:id="rId476" ref="G173"/>
    <hyperlink r:id="rId477" ref="K173"/>
    <hyperlink r:id="rId478" ref="L173"/>
    <hyperlink r:id="rId479" ref="G174"/>
    <hyperlink r:id="rId480" ref="K174"/>
    <hyperlink r:id="rId481" ref="L174"/>
    <hyperlink r:id="rId482" ref="F175"/>
    <hyperlink r:id="rId483" ref="G175"/>
    <hyperlink r:id="rId484" ref="K175"/>
    <hyperlink r:id="rId485" ref="L175"/>
    <hyperlink r:id="rId486" ref="G176"/>
    <hyperlink r:id="rId487" ref="K176"/>
    <hyperlink r:id="rId488" ref="L176"/>
    <hyperlink r:id="rId489" ref="G177"/>
    <hyperlink r:id="rId490" ref="K177"/>
    <hyperlink r:id="rId491" ref="L177"/>
    <hyperlink r:id="rId492" ref="G178"/>
    <hyperlink r:id="rId493" ref="K178"/>
    <hyperlink r:id="rId494" ref="L178"/>
    <hyperlink r:id="rId495" ref="G179"/>
    <hyperlink r:id="rId496" ref="K179"/>
    <hyperlink r:id="rId497" ref="L179"/>
    <hyperlink r:id="rId498" ref="G180"/>
    <hyperlink r:id="rId499" ref="K180"/>
    <hyperlink r:id="rId500" ref="L180"/>
    <hyperlink r:id="rId501" ref="G181"/>
    <hyperlink r:id="rId502" ref="K181"/>
    <hyperlink r:id="rId503" ref="L181"/>
    <hyperlink r:id="rId504" ref="G182"/>
    <hyperlink r:id="rId505" ref="K182"/>
    <hyperlink r:id="rId506" ref="L182"/>
    <hyperlink r:id="rId507" ref="G183"/>
    <hyperlink r:id="rId508" ref="K183"/>
    <hyperlink r:id="rId509" ref="L183"/>
    <hyperlink r:id="rId510" ref="G184"/>
    <hyperlink r:id="rId511" ref="K184"/>
    <hyperlink r:id="rId512" ref="L184"/>
    <hyperlink r:id="rId513" ref="G185"/>
    <hyperlink r:id="rId514" ref="K185"/>
    <hyperlink r:id="rId515" ref="L185"/>
    <hyperlink r:id="rId516" ref="G186"/>
    <hyperlink r:id="rId517" ref="K186"/>
    <hyperlink r:id="rId518" ref="L186"/>
    <hyperlink r:id="rId519" ref="G187"/>
    <hyperlink r:id="rId520" ref="K187"/>
    <hyperlink r:id="rId521" ref="L187"/>
    <hyperlink r:id="rId522" ref="G188"/>
    <hyperlink r:id="rId523" ref="K188"/>
    <hyperlink r:id="rId524" ref="L188"/>
    <hyperlink r:id="rId525" ref="G189"/>
    <hyperlink r:id="rId526" ref="K189"/>
    <hyperlink r:id="rId527" ref="L189"/>
    <hyperlink r:id="rId528" ref="G190"/>
    <hyperlink r:id="rId529" ref="K190"/>
    <hyperlink r:id="rId530" ref="L190"/>
    <hyperlink r:id="rId531" ref="G191"/>
    <hyperlink r:id="rId532" ref="K191"/>
    <hyperlink r:id="rId533" ref="L191"/>
    <hyperlink r:id="rId534" ref="G192"/>
    <hyperlink r:id="rId535" ref="K192"/>
    <hyperlink r:id="rId536" ref="L192"/>
    <hyperlink r:id="rId537" ref="G193"/>
    <hyperlink r:id="rId538" ref="K193"/>
    <hyperlink r:id="rId539" ref="L193"/>
    <hyperlink r:id="rId540" ref="G194"/>
    <hyperlink r:id="rId541" ref="K194"/>
    <hyperlink r:id="rId542" ref="L194"/>
    <hyperlink r:id="rId543" ref="G195"/>
    <hyperlink r:id="rId544" ref="K195"/>
    <hyperlink r:id="rId545" ref="L195"/>
    <hyperlink r:id="rId546" ref="G196"/>
    <hyperlink r:id="rId547" ref="K196"/>
    <hyperlink r:id="rId548" ref="L196"/>
    <hyperlink r:id="rId549" ref="G197"/>
    <hyperlink r:id="rId550" ref="K197"/>
    <hyperlink r:id="rId551" ref="L197"/>
    <hyperlink r:id="rId552" ref="G198"/>
    <hyperlink r:id="rId553" ref="K198"/>
    <hyperlink r:id="rId554" ref="L198"/>
    <hyperlink r:id="rId555" ref="G199"/>
    <hyperlink r:id="rId556" ref="K199"/>
    <hyperlink r:id="rId557" ref="L199"/>
    <hyperlink r:id="rId558" ref="G200"/>
    <hyperlink r:id="rId559" ref="K200"/>
    <hyperlink r:id="rId560" ref="L200"/>
    <hyperlink r:id="rId561" ref="G201"/>
    <hyperlink r:id="rId562" ref="K201"/>
    <hyperlink r:id="rId563" ref="G202"/>
    <hyperlink r:id="rId564" ref="K202"/>
    <hyperlink r:id="rId565" ref="G203"/>
    <hyperlink r:id="rId566" ref="K203"/>
    <hyperlink r:id="rId567" ref="G204"/>
    <hyperlink r:id="rId568" ref="K204"/>
    <hyperlink r:id="rId569" ref="L204"/>
    <hyperlink r:id="rId570" ref="G205"/>
    <hyperlink r:id="rId571" ref="K205"/>
    <hyperlink r:id="rId572" ref="L205"/>
    <hyperlink r:id="rId573" ref="G206"/>
    <hyperlink r:id="rId574" ref="K206"/>
    <hyperlink r:id="rId575" ref="G207"/>
    <hyperlink r:id="rId576" ref="K207"/>
    <hyperlink r:id="rId577" ref="G208"/>
    <hyperlink r:id="rId578" ref="K208"/>
    <hyperlink r:id="rId579" ref="G209"/>
    <hyperlink r:id="rId580" ref="K209"/>
    <hyperlink r:id="rId581" ref="L209"/>
    <hyperlink r:id="rId582" ref="G210"/>
    <hyperlink r:id="rId583" ref="K210"/>
    <hyperlink r:id="rId584" ref="G211"/>
    <hyperlink r:id="rId585" ref="K211"/>
    <hyperlink r:id="rId586" ref="G212"/>
    <hyperlink r:id="rId587" ref="K212"/>
    <hyperlink r:id="rId588" ref="G213"/>
    <hyperlink r:id="rId589" ref="K213"/>
    <hyperlink r:id="rId590" ref="G214"/>
    <hyperlink r:id="rId591" ref="K214"/>
    <hyperlink r:id="rId592" ref="G215"/>
    <hyperlink r:id="rId593" ref="K215"/>
    <hyperlink r:id="rId594" ref="G216"/>
    <hyperlink r:id="rId595" ref="K216"/>
    <hyperlink r:id="rId596" ref="G217"/>
    <hyperlink r:id="rId597" ref="K217"/>
    <hyperlink r:id="rId598" ref="L217"/>
    <hyperlink r:id="rId599" ref="G219"/>
    <hyperlink r:id="rId600" ref="K219"/>
    <hyperlink r:id="rId601" ref="L219"/>
    <hyperlink r:id="rId602" ref="G220"/>
    <hyperlink r:id="rId603" ref="K220"/>
    <hyperlink r:id="rId604" ref="L220"/>
    <hyperlink r:id="rId605" ref="G221"/>
    <hyperlink r:id="rId606" ref="K221"/>
    <hyperlink r:id="rId607" ref="L221"/>
    <hyperlink r:id="rId608" ref="N221"/>
    <hyperlink r:id="rId609" ref="G222"/>
    <hyperlink r:id="rId610" ref="K222"/>
    <hyperlink r:id="rId611" ref="L222"/>
    <hyperlink r:id="rId612" ref="N222"/>
    <hyperlink r:id="rId613" ref="G223"/>
    <hyperlink r:id="rId614" ref="K223"/>
    <hyperlink r:id="rId615" ref="L223"/>
    <hyperlink r:id="rId616" ref="N223"/>
    <hyperlink r:id="rId617" ref="G224"/>
    <hyperlink r:id="rId618" ref="K224"/>
    <hyperlink r:id="rId619" ref="L224"/>
    <hyperlink r:id="rId620" ref="N224"/>
    <hyperlink r:id="rId621" ref="G225"/>
    <hyperlink r:id="rId622" ref="K225"/>
    <hyperlink r:id="rId623" ref="L225"/>
    <hyperlink r:id="rId624" ref="N225"/>
    <hyperlink r:id="rId625" ref="G226"/>
    <hyperlink r:id="rId626" ref="K226"/>
    <hyperlink r:id="rId627" ref="L226"/>
    <hyperlink r:id="rId628" ref="N226"/>
    <hyperlink r:id="rId629" ref="G227"/>
    <hyperlink r:id="rId630" ref="K227"/>
    <hyperlink r:id="rId631" ref="L227"/>
    <hyperlink r:id="rId632" ref="N227"/>
    <hyperlink r:id="rId633" ref="G228"/>
    <hyperlink r:id="rId634" ref="K228"/>
    <hyperlink r:id="rId635" ref="L228"/>
    <hyperlink r:id="rId636" ref="N228"/>
    <hyperlink r:id="rId637" ref="G229"/>
    <hyperlink r:id="rId638" ref="K229"/>
    <hyperlink r:id="rId639" ref="L229"/>
    <hyperlink r:id="rId640" ref="N229"/>
    <hyperlink r:id="rId641" ref="G230"/>
    <hyperlink r:id="rId642" ref="K230"/>
    <hyperlink r:id="rId643" ref="L230"/>
    <hyperlink r:id="rId644" ref="N230"/>
    <hyperlink r:id="rId645" ref="G231"/>
    <hyperlink r:id="rId646" ref="K231"/>
    <hyperlink r:id="rId647" ref="L231"/>
    <hyperlink r:id="rId648" ref="N231"/>
    <hyperlink r:id="rId649" ref="G232"/>
    <hyperlink r:id="rId650" ref="K232"/>
    <hyperlink r:id="rId651" ref="L232"/>
    <hyperlink r:id="rId652" ref="N232"/>
    <hyperlink r:id="rId653" ref="G233"/>
    <hyperlink r:id="rId654" ref="K233"/>
    <hyperlink r:id="rId655" ref="L233"/>
    <hyperlink r:id="rId656" ref="N233"/>
    <hyperlink r:id="rId657" ref="G234"/>
    <hyperlink r:id="rId658" ref="K234"/>
    <hyperlink r:id="rId659" ref="L234"/>
    <hyperlink r:id="rId660" ref="N234"/>
    <hyperlink r:id="rId661" ref="G235"/>
    <hyperlink r:id="rId662" ref="K235"/>
    <hyperlink r:id="rId663" ref="L235"/>
    <hyperlink r:id="rId664" ref="N235"/>
    <hyperlink r:id="rId665" ref="G236"/>
    <hyperlink r:id="rId666" ref="K236"/>
    <hyperlink r:id="rId667" ref="L236"/>
    <hyperlink r:id="rId668" ref="N236"/>
    <hyperlink r:id="rId669" ref="G237"/>
    <hyperlink r:id="rId670" ref="K237"/>
    <hyperlink r:id="rId671" ref="L237"/>
    <hyperlink r:id="rId672" ref="N237"/>
    <hyperlink r:id="rId673" ref="G238"/>
    <hyperlink r:id="rId674" ref="K238"/>
    <hyperlink r:id="rId675" ref="L238"/>
    <hyperlink r:id="rId676" ref="N238"/>
    <hyperlink r:id="rId677" ref="G239"/>
    <hyperlink r:id="rId678" ref="K239"/>
    <hyperlink r:id="rId679" ref="L239"/>
    <hyperlink r:id="rId680" ref="N239"/>
    <hyperlink r:id="rId681" ref="G240"/>
    <hyperlink r:id="rId682" ref="K240"/>
    <hyperlink r:id="rId683" ref="L240"/>
    <hyperlink r:id="rId684" ref="N240"/>
    <hyperlink r:id="rId685" ref="G241"/>
    <hyperlink r:id="rId686" ref="K241"/>
    <hyperlink r:id="rId687" ref="L241"/>
    <hyperlink r:id="rId688" ref="N241"/>
    <hyperlink r:id="rId689" ref="G242"/>
    <hyperlink r:id="rId690" ref="K242"/>
    <hyperlink r:id="rId691" ref="L242"/>
    <hyperlink r:id="rId692" ref="N242"/>
    <hyperlink r:id="rId693" ref="G243"/>
    <hyperlink r:id="rId694" ref="K243"/>
    <hyperlink r:id="rId695" ref="L243"/>
    <hyperlink r:id="rId696" ref="N243"/>
    <hyperlink r:id="rId697" ref="G244"/>
    <hyperlink r:id="rId698" ref="K244"/>
    <hyperlink r:id="rId699" ref="L244"/>
    <hyperlink r:id="rId700" ref="N244"/>
    <hyperlink r:id="rId701" ref="G245"/>
    <hyperlink r:id="rId702" ref="K245"/>
    <hyperlink r:id="rId703" ref="L245"/>
    <hyperlink r:id="rId704" ref="N245"/>
    <hyperlink r:id="rId705" ref="G246"/>
    <hyperlink r:id="rId706" ref="K246"/>
    <hyperlink r:id="rId707" ref="L246"/>
    <hyperlink r:id="rId708" ref="N246"/>
    <hyperlink r:id="rId709" ref="G247"/>
    <hyperlink r:id="rId710" ref="K247"/>
    <hyperlink r:id="rId711" ref="L247"/>
    <hyperlink r:id="rId712" ref="N247"/>
    <hyperlink r:id="rId713" ref="G248"/>
    <hyperlink r:id="rId714" ref="K248"/>
    <hyperlink r:id="rId715" ref="L248"/>
    <hyperlink r:id="rId716" ref="N248"/>
    <hyperlink r:id="rId717" ref="G249"/>
    <hyperlink r:id="rId718" ref="K249"/>
    <hyperlink r:id="rId719" ref="L249"/>
    <hyperlink r:id="rId720" ref="N249"/>
    <hyperlink r:id="rId721" ref="G250"/>
    <hyperlink r:id="rId722" ref="K250"/>
    <hyperlink r:id="rId723" ref="L250"/>
    <hyperlink r:id="rId724" ref="N250"/>
    <hyperlink r:id="rId725" ref="G251"/>
    <hyperlink r:id="rId726" ref="K251"/>
    <hyperlink r:id="rId727" ref="L251"/>
    <hyperlink r:id="rId728" ref="N251"/>
    <hyperlink r:id="rId729" ref="G252"/>
    <hyperlink r:id="rId730" ref="K252"/>
    <hyperlink r:id="rId731" ref="L252"/>
    <hyperlink r:id="rId732" ref="N252"/>
    <hyperlink r:id="rId733" ref="G253"/>
    <hyperlink r:id="rId734" ref="K253"/>
    <hyperlink r:id="rId735" ref="L253"/>
    <hyperlink r:id="rId736" ref="N253"/>
    <hyperlink r:id="rId737" ref="G254"/>
    <hyperlink r:id="rId738" ref="K254"/>
    <hyperlink r:id="rId739" ref="L254"/>
    <hyperlink r:id="rId740" ref="N254"/>
    <hyperlink r:id="rId741" ref="G255"/>
    <hyperlink r:id="rId742" ref="K255"/>
    <hyperlink r:id="rId743" ref="L255"/>
    <hyperlink r:id="rId744" ref="N255"/>
    <hyperlink r:id="rId745" ref="G256"/>
    <hyperlink r:id="rId746" ref="K256"/>
    <hyperlink r:id="rId747" ref="L256"/>
    <hyperlink r:id="rId748" ref="N256"/>
    <hyperlink r:id="rId749" ref="G257"/>
    <hyperlink r:id="rId750" ref="K257"/>
    <hyperlink r:id="rId751" ref="L257"/>
    <hyperlink r:id="rId752" ref="N257"/>
    <hyperlink r:id="rId753" ref="G258"/>
    <hyperlink r:id="rId754" ref="K258"/>
    <hyperlink r:id="rId755" ref="L258"/>
    <hyperlink r:id="rId756" ref="N258"/>
    <hyperlink r:id="rId757" ref="G259"/>
    <hyperlink r:id="rId758" ref="K259"/>
    <hyperlink r:id="rId759" ref="L259"/>
    <hyperlink r:id="rId760" ref="N259"/>
    <hyperlink r:id="rId761" ref="G260"/>
    <hyperlink r:id="rId762" ref="K260"/>
    <hyperlink r:id="rId763" ref="L260"/>
    <hyperlink r:id="rId764" ref="N260"/>
    <hyperlink r:id="rId765" ref="G261"/>
    <hyperlink r:id="rId766" ref="K261"/>
    <hyperlink r:id="rId767" ref="L261"/>
    <hyperlink r:id="rId768" ref="N261"/>
    <hyperlink r:id="rId769" ref="G262"/>
    <hyperlink r:id="rId770" ref="K262"/>
    <hyperlink r:id="rId771" ref="L262"/>
    <hyperlink r:id="rId772" ref="N262"/>
    <hyperlink r:id="rId773" ref="G263"/>
    <hyperlink r:id="rId774" ref="K263"/>
    <hyperlink r:id="rId775" ref="L263"/>
    <hyperlink r:id="rId776" ref="N263"/>
    <hyperlink r:id="rId777" ref="G264"/>
    <hyperlink r:id="rId778" ref="K264"/>
    <hyperlink r:id="rId779" ref="L264"/>
    <hyperlink r:id="rId780" ref="N264"/>
    <hyperlink r:id="rId781" ref="G265"/>
    <hyperlink r:id="rId782" ref="K265"/>
    <hyperlink r:id="rId783" ref="L265"/>
    <hyperlink r:id="rId784" ref="N265"/>
    <hyperlink r:id="rId785" ref="G266"/>
    <hyperlink r:id="rId786" ref="K266"/>
    <hyperlink r:id="rId787" ref="L266"/>
    <hyperlink r:id="rId788" ref="N266"/>
    <hyperlink r:id="rId789" ref="G267"/>
    <hyperlink r:id="rId790" ref="K267"/>
    <hyperlink r:id="rId791" ref="L267"/>
    <hyperlink r:id="rId792" ref="N267"/>
    <hyperlink r:id="rId793" ref="G268"/>
    <hyperlink r:id="rId794" ref="K268"/>
    <hyperlink r:id="rId795" ref="L268"/>
    <hyperlink r:id="rId796" ref="N268"/>
    <hyperlink r:id="rId797" ref="G269"/>
    <hyperlink r:id="rId798" ref="K269"/>
    <hyperlink r:id="rId799" ref="L269"/>
    <hyperlink r:id="rId800" ref="N269"/>
    <hyperlink r:id="rId801" ref="K270"/>
    <hyperlink r:id="rId802" ref="L270"/>
    <hyperlink r:id="rId803" ref="N270"/>
    <hyperlink r:id="rId804" ref="G271"/>
    <hyperlink r:id="rId805" ref="K271"/>
    <hyperlink r:id="rId806" ref="L271"/>
    <hyperlink r:id="rId807" ref="N271"/>
    <hyperlink r:id="rId808" ref="G272"/>
    <hyperlink r:id="rId809" ref="K272"/>
    <hyperlink r:id="rId810" ref="L272"/>
    <hyperlink r:id="rId811" ref="N272"/>
    <hyperlink r:id="rId812" ref="G273"/>
    <hyperlink r:id="rId813" ref="K273"/>
    <hyperlink r:id="rId814" ref="L273"/>
    <hyperlink r:id="rId815" ref="N273"/>
    <hyperlink r:id="rId816" ref="G274"/>
    <hyperlink r:id="rId817" ref="K274"/>
    <hyperlink r:id="rId818" ref="L274"/>
    <hyperlink r:id="rId819" ref="N274"/>
    <hyperlink r:id="rId820" ref="G275"/>
    <hyperlink r:id="rId821" ref="K275"/>
    <hyperlink r:id="rId822" ref="L275"/>
    <hyperlink r:id="rId823" ref="N275"/>
    <hyperlink r:id="rId824" ref="G276"/>
    <hyperlink r:id="rId825" ref="K276"/>
    <hyperlink r:id="rId826" ref="L276"/>
    <hyperlink r:id="rId827" ref="N276"/>
    <hyperlink r:id="rId828" ref="G277"/>
    <hyperlink r:id="rId829" ref="K277"/>
    <hyperlink r:id="rId830" ref="L277"/>
    <hyperlink r:id="rId831" ref="N277"/>
    <hyperlink r:id="rId832" ref="G278"/>
    <hyperlink r:id="rId833" ref="K278"/>
    <hyperlink r:id="rId834" ref="L278"/>
    <hyperlink r:id="rId835" ref="N278"/>
    <hyperlink r:id="rId836" ref="G279"/>
    <hyperlink r:id="rId837" ref="K279"/>
    <hyperlink r:id="rId838" ref="L279"/>
    <hyperlink r:id="rId839" ref="N279"/>
    <hyperlink r:id="rId840" ref="G280"/>
    <hyperlink r:id="rId841" ref="K280"/>
    <hyperlink r:id="rId842" ref="L280"/>
    <hyperlink r:id="rId843" ref="N280"/>
    <hyperlink r:id="rId844" ref="G281"/>
    <hyperlink r:id="rId845" ref="K281"/>
    <hyperlink r:id="rId846" ref="L281"/>
    <hyperlink r:id="rId847" ref="N281"/>
    <hyperlink r:id="rId848" ref="G282"/>
    <hyperlink r:id="rId849" ref="K282"/>
    <hyperlink r:id="rId850" ref="L282"/>
    <hyperlink r:id="rId851" ref="N282"/>
    <hyperlink r:id="rId852" ref="G283"/>
    <hyperlink r:id="rId853" ref="K283"/>
    <hyperlink r:id="rId854" ref="L283"/>
    <hyperlink r:id="rId855" ref="N283"/>
    <hyperlink r:id="rId856" ref="G284"/>
    <hyperlink r:id="rId857" ref="K284"/>
    <hyperlink r:id="rId858" ref="L284"/>
    <hyperlink r:id="rId859" ref="N284"/>
    <hyperlink r:id="rId860" ref="G285"/>
    <hyperlink r:id="rId861" ref="K285"/>
    <hyperlink r:id="rId862" ref="L285"/>
    <hyperlink r:id="rId863" ref="N285"/>
    <hyperlink r:id="rId864" ref="G286"/>
    <hyperlink r:id="rId865" ref="K286"/>
    <hyperlink r:id="rId866" ref="L286"/>
    <hyperlink r:id="rId867" ref="N286"/>
    <hyperlink r:id="rId868" ref="G287"/>
    <hyperlink r:id="rId869" ref="K287"/>
    <hyperlink r:id="rId870" ref="L287"/>
    <hyperlink r:id="rId871" ref="N287"/>
    <hyperlink r:id="rId872" ref="G288"/>
    <hyperlink r:id="rId873" ref="K288"/>
    <hyperlink r:id="rId874" ref="L288"/>
    <hyperlink r:id="rId875" ref="N288"/>
    <hyperlink r:id="rId876" ref="G289"/>
    <hyperlink r:id="rId877" ref="K289"/>
    <hyperlink r:id="rId878" ref="L289"/>
    <hyperlink r:id="rId879" ref="N289"/>
    <hyperlink r:id="rId880" ref="G290"/>
    <hyperlink r:id="rId881" ref="K290"/>
    <hyperlink r:id="rId882" ref="L290"/>
    <hyperlink r:id="rId883" ref="N290"/>
    <hyperlink r:id="rId884" ref="G291"/>
    <hyperlink r:id="rId885" ref="K291"/>
    <hyperlink r:id="rId886" ref="L291"/>
    <hyperlink r:id="rId887" ref="N291"/>
    <hyperlink r:id="rId888" ref="G292"/>
    <hyperlink r:id="rId889" ref="K292"/>
    <hyperlink r:id="rId890" ref="L292"/>
    <hyperlink r:id="rId891" ref="N292"/>
    <hyperlink r:id="rId892" ref="G293"/>
    <hyperlink r:id="rId893" ref="K293"/>
    <hyperlink r:id="rId894" ref="L293"/>
    <hyperlink r:id="rId895" ref="N293"/>
    <hyperlink r:id="rId896" ref="G294"/>
    <hyperlink r:id="rId897" ref="K294"/>
    <hyperlink r:id="rId898" ref="L294"/>
    <hyperlink r:id="rId899" ref="G295"/>
    <hyperlink r:id="rId900" ref="K295"/>
    <hyperlink r:id="rId901" ref="L295"/>
    <hyperlink r:id="rId902" ref="N295"/>
    <hyperlink r:id="rId903" ref="G296"/>
    <hyperlink r:id="rId904" ref="K296"/>
    <hyperlink r:id="rId905" ref="L296"/>
    <hyperlink r:id="rId906" ref="N296"/>
    <hyperlink r:id="rId907" ref="G297"/>
    <hyperlink r:id="rId908" ref="K297"/>
    <hyperlink r:id="rId909" ref="L297"/>
    <hyperlink r:id="rId910" ref="N297"/>
    <hyperlink r:id="rId911" ref="G298"/>
    <hyperlink r:id="rId912" ref="K298"/>
    <hyperlink r:id="rId913" ref="L298"/>
    <hyperlink r:id="rId914" ref="N298"/>
    <hyperlink r:id="rId915" ref="G299"/>
    <hyperlink r:id="rId916" ref="K299"/>
    <hyperlink r:id="rId917" ref="L299"/>
    <hyperlink r:id="rId918" ref="N299"/>
    <hyperlink r:id="rId919" ref="G300"/>
    <hyperlink r:id="rId920" ref="K300"/>
    <hyperlink r:id="rId921" ref="L300"/>
    <hyperlink r:id="rId922" ref="N300"/>
    <hyperlink r:id="rId923" ref="G301"/>
    <hyperlink r:id="rId924" ref="K301"/>
    <hyperlink r:id="rId925" ref="L301"/>
    <hyperlink r:id="rId926" ref="N301"/>
    <hyperlink r:id="rId927" ref="G302"/>
    <hyperlink r:id="rId928" ref="K302"/>
    <hyperlink r:id="rId929" ref="L302"/>
    <hyperlink r:id="rId930" ref="N302"/>
    <hyperlink r:id="rId931" ref="G303"/>
    <hyperlink r:id="rId932" ref="K303"/>
    <hyperlink r:id="rId933" ref="L303"/>
    <hyperlink r:id="rId934" ref="N303"/>
    <hyperlink r:id="rId935" ref="G304"/>
    <hyperlink r:id="rId936" ref="K304"/>
    <hyperlink r:id="rId937" ref="L304"/>
    <hyperlink r:id="rId938" ref="N304"/>
    <hyperlink r:id="rId939" ref="G305"/>
    <hyperlink r:id="rId940" ref="K305"/>
    <hyperlink r:id="rId941" ref="L305"/>
    <hyperlink r:id="rId942" ref="N305"/>
    <hyperlink r:id="rId943" ref="G306"/>
    <hyperlink r:id="rId944" ref="K306"/>
    <hyperlink r:id="rId945" ref="L306"/>
    <hyperlink r:id="rId946" ref="N306"/>
    <hyperlink r:id="rId947" ref="G307"/>
    <hyperlink r:id="rId948" ref="K307"/>
    <hyperlink r:id="rId949" ref="L307"/>
    <hyperlink r:id="rId950" ref="N307"/>
    <hyperlink r:id="rId951" ref="G308"/>
    <hyperlink r:id="rId952" ref="K308"/>
    <hyperlink r:id="rId953" ref="L308"/>
    <hyperlink r:id="rId954" ref="N308"/>
    <hyperlink r:id="rId955" ref="G309"/>
    <hyperlink r:id="rId956" ref="K309"/>
    <hyperlink r:id="rId957" ref="L309"/>
    <hyperlink r:id="rId958" ref="N309"/>
    <hyperlink r:id="rId959" ref="G310"/>
    <hyperlink r:id="rId960" ref="K310"/>
    <hyperlink r:id="rId961" ref="L310"/>
    <hyperlink r:id="rId962" ref="N310"/>
    <hyperlink r:id="rId963" ref="G311"/>
    <hyperlink r:id="rId964" ref="K311"/>
    <hyperlink r:id="rId965" ref="L311"/>
    <hyperlink r:id="rId966" ref="N311"/>
    <hyperlink r:id="rId967" ref="G312"/>
    <hyperlink r:id="rId968" ref="K312"/>
    <hyperlink r:id="rId969" ref="L312"/>
    <hyperlink r:id="rId970" ref="N312"/>
    <hyperlink r:id="rId971" ref="G313"/>
    <hyperlink r:id="rId972" ref="K313"/>
    <hyperlink r:id="rId973" ref="L313"/>
    <hyperlink r:id="rId974" ref="N313"/>
    <hyperlink r:id="rId975" ref="G314"/>
    <hyperlink r:id="rId976" ref="K314"/>
    <hyperlink r:id="rId977" ref="L314"/>
    <hyperlink r:id="rId978" ref="N314"/>
    <hyperlink r:id="rId979" ref="G315"/>
    <hyperlink r:id="rId980" ref="K315"/>
    <hyperlink r:id="rId981" ref="L315"/>
    <hyperlink r:id="rId982" ref="N315"/>
    <hyperlink r:id="rId983" ref="G316"/>
    <hyperlink r:id="rId984" ref="K316"/>
    <hyperlink r:id="rId985" ref="L316"/>
    <hyperlink r:id="rId986" ref="N316"/>
    <hyperlink r:id="rId987" ref="G317"/>
    <hyperlink r:id="rId988" ref="K317"/>
    <hyperlink r:id="rId989" ref="L317"/>
    <hyperlink r:id="rId990" ref="N317"/>
    <hyperlink r:id="rId991" ref="G318"/>
    <hyperlink r:id="rId992" ref="K318"/>
    <hyperlink r:id="rId993" ref="L318"/>
    <hyperlink r:id="rId994" ref="N318"/>
    <hyperlink r:id="rId995" ref="G319"/>
    <hyperlink r:id="rId996" ref="K319"/>
    <hyperlink r:id="rId997" ref="L319"/>
    <hyperlink r:id="rId998" ref="N319"/>
    <hyperlink r:id="rId999" ref="G320"/>
    <hyperlink r:id="rId1000" ref="K320"/>
    <hyperlink r:id="rId1001" ref="L320"/>
    <hyperlink r:id="rId1002" ref="N320"/>
    <hyperlink r:id="rId1003" ref="G321"/>
    <hyperlink r:id="rId1004" ref="K321"/>
    <hyperlink r:id="rId1005" ref="L321"/>
    <hyperlink r:id="rId1006" ref="N321"/>
    <hyperlink r:id="rId1007" ref="G322"/>
    <hyperlink r:id="rId1008" ref="K322"/>
    <hyperlink r:id="rId1009" ref="L322"/>
    <hyperlink r:id="rId1010" ref="N322"/>
    <hyperlink r:id="rId1011" ref="G323"/>
    <hyperlink r:id="rId1012" ref="K323"/>
    <hyperlink r:id="rId1013" ref="L323"/>
    <hyperlink r:id="rId1014" ref="N323"/>
    <hyperlink r:id="rId1015" ref="G324"/>
    <hyperlink r:id="rId1016" ref="K324"/>
    <hyperlink r:id="rId1017" ref="L324"/>
    <hyperlink r:id="rId1018" ref="N324"/>
    <hyperlink r:id="rId1019" ref="G325"/>
    <hyperlink r:id="rId1020" ref="K325"/>
    <hyperlink r:id="rId1021" ref="L325"/>
    <hyperlink r:id="rId1022" ref="N325"/>
    <hyperlink r:id="rId1023" ref="G326"/>
    <hyperlink r:id="rId1024" ref="K326"/>
    <hyperlink r:id="rId1025" ref="L326"/>
    <hyperlink r:id="rId1026" ref="N326"/>
    <hyperlink r:id="rId1027" ref="G327"/>
    <hyperlink r:id="rId1028" ref="K327"/>
    <hyperlink r:id="rId1029" ref="L327"/>
    <hyperlink r:id="rId1030" ref="N327"/>
    <hyperlink r:id="rId1031" ref="G328"/>
    <hyperlink r:id="rId1032" ref="K328"/>
    <hyperlink r:id="rId1033" ref="L328"/>
    <hyperlink r:id="rId1034" ref="N328"/>
    <hyperlink r:id="rId1035" ref="G329"/>
    <hyperlink r:id="rId1036" ref="K329"/>
    <hyperlink r:id="rId1037" ref="L329"/>
    <hyperlink r:id="rId1038" ref="N329"/>
    <hyperlink r:id="rId1039" ref="G330"/>
    <hyperlink r:id="rId1040" ref="K330"/>
    <hyperlink r:id="rId1041" ref="L330"/>
    <hyperlink r:id="rId1042" ref="N330"/>
    <hyperlink r:id="rId1043" ref="G331"/>
    <hyperlink r:id="rId1044" ref="K331"/>
    <hyperlink r:id="rId1045" ref="L331"/>
    <hyperlink r:id="rId1046" ref="N331"/>
    <hyperlink r:id="rId1047" ref="G332"/>
    <hyperlink r:id="rId1048" ref="K332"/>
    <hyperlink r:id="rId1049" ref="L332"/>
    <hyperlink r:id="rId1050" ref="N332"/>
    <hyperlink r:id="rId1051" ref="G333"/>
    <hyperlink r:id="rId1052" ref="K333"/>
    <hyperlink r:id="rId1053" ref="L333"/>
    <hyperlink r:id="rId1054" ref="N333"/>
    <hyperlink r:id="rId1055" ref="G334"/>
    <hyperlink r:id="rId1056" ref="K334"/>
    <hyperlink r:id="rId1057" ref="L334"/>
    <hyperlink r:id="rId1058" ref="N334"/>
    <hyperlink r:id="rId1059" ref="G335"/>
    <hyperlink r:id="rId1060" ref="K335"/>
    <hyperlink r:id="rId1061" ref="L335"/>
    <hyperlink r:id="rId1062" ref="N335"/>
    <hyperlink r:id="rId1063" ref="G336"/>
    <hyperlink r:id="rId1064" ref="K336"/>
    <hyperlink r:id="rId1065" ref="L336"/>
    <hyperlink r:id="rId1066" ref="N336"/>
    <hyperlink r:id="rId1067" ref="G337"/>
    <hyperlink r:id="rId1068" ref="K337"/>
    <hyperlink r:id="rId1069" ref="L337"/>
    <hyperlink r:id="rId1070" ref="N337"/>
    <hyperlink r:id="rId1071" ref="G338"/>
    <hyperlink r:id="rId1072" ref="K338"/>
    <hyperlink r:id="rId1073" ref="L338"/>
    <hyperlink r:id="rId1074" ref="N338"/>
    <hyperlink r:id="rId1075" ref="F339"/>
    <hyperlink r:id="rId1076" ref="G339"/>
    <hyperlink r:id="rId1077" ref="K339"/>
    <hyperlink r:id="rId1078" ref="L339"/>
    <hyperlink r:id="rId1079" ref="N339"/>
    <hyperlink r:id="rId1080" ref="G340"/>
    <hyperlink r:id="rId1081" ref="K340"/>
    <hyperlink r:id="rId1082" ref="L340"/>
    <hyperlink r:id="rId1083" ref="N340"/>
    <hyperlink r:id="rId1084" ref="G341"/>
    <hyperlink r:id="rId1085" ref="K341"/>
    <hyperlink r:id="rId1086" ref="L341"/>
    <hyperlink r:id="rId1087" ref="N341"/>
    <hyperlink r:id="rId1088" ref="G342"/>
    <hyperlink r:id="rId1089" ref="K342"/>
    <hyperlink r:id="rId1090" ref="L342"/>
    <hyperlink r:id="rId1091" ref="N342"/>
    <hyperlink r:id="rId1092" ref="G343"/>
    <hyperlink r:id="rId1093" ref="K343"/>
    <hyperlink r:id="rId1094" ref="L343"/>
    <hyperlink r:id="rId1095" ref="N343"/>
    <hyperlink r:id="rId1096" ref="G344"/>
    <hyperlink r:id="rId1097" ref="K344"/>
    <hyperlink r:id="rId1098" ref="L344"/>
    <hyperlink r:id="rId1099" ref="N344"/>
    <hyperlink r:id="rId1100" ref="G345"/>
    <hyperlink r:id="rId1101" ref="K345"/>
    <hyperlink r:id="rId1102" ref="L345"/>
    <hyperlink r:id="rId1103" ref="N345"/>
    <hyperlink r:id="rId1104" ref="G346"/>
    <hyperlink r:id="rId1105" ref="K346"/>
    <hyperlink r:id="rId1106" ref="L346"/>
    <hyperlink r:id="rId1107" ref="N346"/>
    <hyperlink r:id="rId1108" ref="G347"/>
    <hyperlink r:id="rId1109" ref="K347"/>
    <hyperlink r:id="rId1110" ref="L347"/>
    <hyperlink r:id="rId1111" ref="N347"/>
    <hyperlink r:id="rId1112" ref="G348"/>
    <hyperlink r:id="rId1113" ref="K348"/>
    <hyperlink r:id="rId1114" ref="L348"/>
    <hyperlink r:id="rId1115" ref="N348"/>
    <hyperlink r:id="rId1116" ref="G349"/>
    <hyperlink r:id="rId1117" ref="K349"/>
    <hyperlink r:id="rId1118" ref="L349"/>
    <hyperlink r:id="rId1119" ref="N349"/>
    <hyperlink r:id="rId1120" ref="G350"/>
    <hyperlink r:id="rId1121" ref="K350"/>
    <hyperlink r:id="rId1122" ref="L350"/>
    <hyperlink r:id="rId1123" ref="N350"/>
    <hyperlink r:id="rId1124" ref="G351"/>
    <hyperlink r:id="rId1125" ref="K351"/>
    <hyperlink r:id="rId1126" ref="L351"/>
    <hyperlink r:id="rId1127" ref="N351"/>
    <hyperlink r:id="rId1128" ref="G352"/>
    <hyperlink r:id="rId1129" ref="K352"/>
    <hyperlink r:id="rId1130" ref="L352"/>
    <hyperlink r:id="rId1131" ref="N352"/>
    <hyperlink r:id="rId1132" ref="G353"/>
    <hyperlink r:id="rId1133" ref="K353"/>
    <hyperlink r:id="rId1134" ref="L353"/>
    <hyperlink r:id="rId1135" ref="N353"/>
    <hyperlink r:id="rId1136" ref="G354"/>
    <hyperlink r:id="rId1137" ref="K354"/>
    <hyperlink r:id="rId1138" ref="L354"/>
    <hyperlink r:id="rId1139" ref="N354"/>
    <hyperlink r:id="rId1140" ref="G355"/>
    <hyperlink r:id="rId1141" ref="K355"/>
    <hyperlink r:id="rId1142" ref="L355"/>
    <hyperlink r:id="rId1143" ref="N355"/>
    <hyperlink r:id="rId1144" ref="G356"/>
    <hyperlink r:id="rId1145" ref="K356"/>
    <hyperlink r:id="rId1146" ref="L356"/>
    <hyperlink r:id="rId1147" ref="N356"/>
    <hyperlink r:id="rId1148" ref="G357"/>
    <hyperlink r:id="rId1149" ref="K357"/>
    <hyperlink r:id="rId1150" ref="L357"/>
    <hyperlink r:id="rId1151" ref="N357"/>
    <hyperlink r:id="rId1152" ref="G358"/>
    <hyperlink r:id="rId1153" ref="K358"/>
    <hyperlink r:id="rId1154" ref="L358"/>
    <hyperlink r:id="rId1155" ref="N358"/>
    <hyperlink r:id="rId1156" ref="G359"/>
    <hyperlink r:id="rId1157" ref="K359"/>
    <hyperlink r:id="rId1158" ref="L359"/>
    <hyperlink r:id="rId1159" ref="N359"/>
    <hyperlink r:id="rId1160" ref="G360"/>
    <hyperlink r:id="rId1161" ref="K360"/>
    <hyperlink r:id="rId1162" ref="L360"/>
    <hyperlink r:id="rId1163" ref="N360"/>
    <hyperlink r:id="rId1164" ref="G361"/>
    <hyperlink r:id="rId1165" ref="K361"/>
    <hyperlink r:id="rId1166" ref="L361"/>
    <hyperlink r:id="rId1167" ref="N361"/>
    <hyperlink r:id="rId1168" ref="G362"/>
    <hyperlink r:id="rId1169" ref="K362"/>
    <hyperlink r:id="rId1170" ref="L362"/>
    <hyperlink r:id="rId1171" ref="G363"/>
    <hyperlink r:id="rId1172" ref="K363"/>
    <hyperlink r:id="rId1173" ref="L363"/>
    <hyperlink r:id="rId1174" ref="G364"/>
    <hyperlink r:id="rId1175" ref="K364"/>
    <hyperlink r:id="rId1176" ref="L364"/>
    <hyperlink r:id="rId1177" ref="G365"/>
    <hyperlink r:id="rId1178" ref="K365"/>
    <hyperlink r:id="rId1179" ref="L365"/>
    <hyperlink r:id="rId1180" ref="G366"/>
    <hyperlink r:id="rId1181" ref="K366"/>
    <hyperlink r:id="rId1182" ref="L366"/>
    <hyperlink r:id="rId1183" ref="G367"/>
    <hyperlink r:id="rId1184" ref="K367"/>
    <hyperlink r:id="rId1185" ref="L367"/>
    <hyperlink r:id="rId1186" ref="G368"/>
    <hyperlink r:id="rId1187" ref="K368"/>
    <hyperlink r:id="rId1188" ref="L368"/>
    <hyperlink r:id="rId1189" ref="G369"/>
    <hyperlink r:id="rId1190" ref="K369"/>
    <hyperlink r:id="rId1191" ref="L369"/>
    <hyperlink r:id="rId1192" ref="G370"/>
    <hyperlink r:id="rId1193" ref="K370"/>
    <hyperlink r:id="rId1194" ref="L370"/>
    <hyperlink r:id="rId1195" ref="G371"/>
    <hyperlink r:id="rId1196" ref="K371"/>
    <hyperlink r:id="rId1197" ref="L371"/>
    <hyperlink r:id="rId1198" ref="G372"/>
    <hyperlink r:id="rId1199" ref="K372"/>
    <hyperlink r:id="rId1200" ref="L372"/>
    <hyperlink r:id="rId1201" ref="G373"/>
    <hyperlink r:id="rId1202" ref="K373"/>
    <hyperlink r:id="rId1203" ref="L373"/>
    <hyperlink r:id="rId1204" ref="G374"/>
    <hyperlink r:id="rId1205" ref="K374"/>
    <hyperlink r:id="rId1206" ref="L374"/>
    <hyperlink r:id="rId1207" ref="G375"/>
    <hyperlink r:id="rId1208" ref="K375"/>
    <hyperlink r:id="rId1209" ref="G376"/>
    <hyperlink r:id="rId1210" ref="K376"/>
    <hyperlink r:id="rId1211" ref="L376"/>
    <hyperlink r:id="rId1212" ref="G377"/>
    <hyperlink r:id="rId1213" ref="K377"/>
    <hyperlink r:id="rId1214" ref="L377"/>
    <hyperlink r:id="rId1215" ref="G378"/>
    <hyperlink r:id="rId1216" ref="K378"/>
    <hyperlink r:id="rId1217" ref="L378"/>
    <hyperlink r:id="rId1218" ref="G379"/>
    <hyperlink r:id="rId1219" ref="K379"/>
    <hyperlink r:id="rId1220" ref="L379"/>
    <hyperlink r:id="rId1221" ref="G380"/>
    <hyperlink r:id="rId1222" ref="K380"/>
    <hyperlink r:id="rId1223" ref="L380"/>
    <hyperlink r:id="rId1224" ref="G381"/>
    <hyperlink r:id="rId1225" ref="K381"/>
    <hyperlink r:id="rId1226" ref="L381"/>
    <hyperlink r:id="rId1227" ref="G382"/>
    <hyperlink r:id="rId1228" ref="K382"/>
    <hyperlink r:id="rId1229" ref="L382"/>
    <hyperlink r:id="rId1230" ref="G383"/>
    <hyperlink r:id="rId1231" ref="K383"/>
    <hyperlink r:id="rId1232" ref="L383"/>
    <hyperlink r:id="rId1233" ref="G384"/>
    <hyperlink r:id="rId1234" ref="K384"/>
    <hyperlink r:id="rId1235" ref="L384"/>
    <hyperlink r:id="rId1236" ref="G385"/>
    <hyperlink r:id="rId1237" ref="K385"/>
    <hyperlink r:id="rId1238" ref="G386"/>
    <hyperlink r:id="rId1239" ref="K386"/>
    <hyperlink r:id="rId1240" ref="G387"/>
    <hyperlink r:id="rId1241" ref="K387"/>
    <hyperlink r:id="rId1242" ref="G388"/>
    <hyperlink r:id="rId1243" ref="K388"/>
    <hyperlink r:id="rId1244" ref="G389"/>
    <hyperlink r:id="rId1245" ref="K389"/>
    <hyperlink r:id="rId1246" ref="G390"/>
    <hyperlink r:id="rId1247" ref="K390"/>
    <hyperlink r:id="rId1248" ref="G391"/>
    <hyperlink r:id="rId1249" ref="K391"/>
    <hyperlink r:id="rId1250" ref="G392"/>
    <hyperlink r:id="rId1251" ref="K392"/>
    <hyperlink r:id="rId1252" ref="G393"/>
    <hyperlink r:id="rId1253" ref="K393"/>
    <hyperlink r:id="rId1254" ref="G394"/>
    <hyperlink r:id="rId1255" ref="K394"/>
    <hyperlink r:id="rId1256" ref="G395"/>
    <hyperlink r:id="rId1257" ref="K395"/>
    <hyperlink r:id="rId1258" ref="G396"/>
    <hyperlink r:id="rId1259" ref="K396"/>
    <hyperlink r:id="rId1260" ref="G397"/>
    <hyperlink r:id="rId1261" ref="K397"/>
    <hyperlink r:id="rId1262" ref="G398"/>
    <hyperlink r:id="rId1263" ref="K398"/>
    <hyperlink r:id="rId1264" ref="G399"/>
    <hyperlink r:id="rId1265" ref="K399"/>
    <hyperlink r:id="rId1266" ref="G400"/>
    <hyperlink r:id="rId1267" ref="K400"/>
    <hyperlink r:id="rId1268" ref="G401"/>
    <hyperlink r:id="rId1269" ref="K401"/>
    <hyperlink r:id="rId1270" ref="G402"/>
    <hyperlink r:id="rId1271" ref="K402"/>
    <hyperlink r:id="rId1272" ref="G403"/>
    <hyperlink r:id="rId1273" ref="K403"/>
    <hyperlink r:id="rId1274" ref="G404"/>
    <hyperlink r:id="rId1275" ref="K404"/>
    <hyperlink r:id="rId1276" ref="L404"/>
    <hyperlink r:id="rId1277" ref="K406"/>
    <hyperlink r:id="rId1278" ref="K407"/>
    <hyperlink r:id="rId1279" ref="L407"/>
    <hyperlink r:id="rId1280" ref="K408"/>
    <hyperlink r:id="rId1281" ref="L408"/>
    <hyperlink r:id="rId1282" ref="K409"/>
    <hyperlink r:id="rId1283" ref="L409"/>
    <hyperlink r:id="rId1284" ref="K410"/>
    <hyperlink r:id="rId1285" ref="L410"/>
    <hyperlink r:id="rId1286" ref="K411"/>
    <hyperlink r:id="rId1287" ref="L411"/>
    <hyperlink r:id="rId1288" ref="G412"/>
    <hyperlink r:id="rId1289" ref="K412"/>
    <hyperlink r:id="rId1290" ref="L412"/>
    <hyperlink r:id="rId1291" ref="K413"/>
    <hyperlink r:id="rId1292" ref="L413"/>
    <hyperlink r:id="rId1293" ref="G414"/>
    <hyperlink r:id="rId1294" ref="K414"/>
    <hyperlink r:id="rId1295" ref="L414"/>
    <hyperlink r:id="rId1296" ref="K415"/>
    <hyperlink r:id="rId1297" ref="L415"/>
    <hyperlink r:id="rId1298" ref="K416"/>
    <hyperlink r:id="rId1299" ref="L416"/>
    <hyperlink r:id="rId1300" ref="G417"/>
    <hyperlink r:id="rId1301" ref="K417"/>
    <hyperlink r:id="rId1302" ref="L417"/>
    <hyperlink r:id="rId1303" ref="K418"/>
    <hyperlink r:id="rId1304" ref="L418"/>
    <hyperlink r:id="rId1305" ref="K419"/>
    <hyperlink r:id="rId1306" ref="L419"/>
    <hyperlink r:id="rId1307" ref="K420"/>
    <hyperlink r:id="rId1308" ref="L420"/>
    <hyperlink r:id="rId1309" ref="F421"/>
    <hyperlink r:id="rId1310" ref="K421"/>
    <hyperlink r:id="rId1311" ref="L421"/>
    <hyperlink r:id="rId1312" ref="G422"/>
    <hyperlink r:id="rId1313" ref="K422"/>
    <hyperlink r:id="rId1314" ref="L422"/>
    <hyperlink r:id="rId1315" ref="K423"/>
    <hyperlink r:id="rId1316" ref="L423"/>
    <hyperlink r:id="rId1317" ref="K424"/>
    <hyperlink r:id="rId1318" ref="L424"/>
    <hyperlink r:id="rId1319" ref="G425"/>
    <hyperlink r:id="rId1320" ref="K425"/>
    <hyperlink r:id="rId1321" ref="L425"/>
    <hyperlink r:id="rId1322" ref="G426"/>
    <hyperlink r:id="rId1323" ref="K426"/>
    <hyperlink r:id="rId1324" ref="L426"/>
    <hyperlink r:id="rId1325" ref="K427"/>
    <hyperlink r:id="rId1326" ref="L427"/>
    <hyperlink r:id="rId1327" ref="K428"/>
    <hyperlink r:id="rId1328" ref="L428"/>
    <hyperlink r:id="rId1329" ref="K429"/>
    <hyperlink r:id="rId1330" ref="L429"/>
    <hyperlink r:id="rId1331" ref="K430"/>
    <hyperlink r:id="rId1332" ref="L430"/>
    <hyperlink r:id="rId1333" ref="K431"/>
    <hyperlink r:id="rId1334" ref="L431"/>
    <hyperlink r:id="rId1335" ref="K432"/>
    <hyperlink r:id="rId1336" ref="L432"/>
    <hyperlink r:id="rId1337" ref="G433"/>
    <hyperlink r:id="rId1338" ref="K433"/>
    <hyperlink r:id="rId1339" ref="L433"/>
    <hyperlink r:id="rId1340" ref="G434"/>
    <hyperlink r:id="rId1341" ref="K434"/>
    <hyperlink r:id="rId1342" ref="L434"/>
    <hyperlink r:id="rId1343" ref="K435"/>
    <hyperlink r:id="rId1344" ref="L435"/>
    <hyperlink r:id="rId1345" ref="K436"/>
    <hyperlink r:id="rId1346" ref="L436"/>
    <hyperlink r:id="rId1347" ref="K437"/>
    <hyperlink r:id="rId1348" ref="L437"/>
    <hyperlink r:id="rId1349" ref="K438"/>
    <hyperlink r:id="rId1350" ref="L438"/>
    <hyperlink r:id="rId1351" ref="K439"/>
    <hyperlink r:id="rId1352" ref="L439"/>
    <hyperlink r:id="rId1353" ref="K440"/>
    <hyperlink r:id="rId1354" ref="L440"/>
    <hyperlink r:id="rId1355" ref="K441"/>
    <hyperlink r:id="rId1356" ref="L441"/>
    <hyperlink r:id="rId1357" ref="G442"/>
    <hyperlink r:id="rId1358" ref="K442"/>
    <hyperlink r:id="rId1359" ref="L442"/>
    <hyperlink r:id="rId1360" ref="K443"/>
    <hyperlink r:id="rId1361" ref="L443"/>
    <hyperlink r:id="rId1362" ref="K444"/>
    <hyperlink r:id="rId1363" ref="L444"/>
    <hyperlink r:id="rId1364" ref="K445"/>
    <hyperlink r:id="rId1365" ref="L445"/>
    <hyperlink r:id="rId1366" ref="K446"/>
    <hyperlink r:id="rId1367" ref="L446"/>
    <hyperlink r:id="rId1368" ref="K447"/>
    <hyperlink r:id="rId1369" ref="L447"/>
    <hyperlink r:id="rId1370" ref="K448"/>
    <hyperlink r:id="rId1371" ref="L448"/>
    <hyperlink r:id="rId1372" ref="K450"/>
    <hyperlink r:id="rId1373" ref="L450"/>
    <hyperlink r:id="rId1374" ref="K451"/>
    <hyperlink r:id="rId1375" ref="L451"/>
    <hyperlink r:id="rId1376" ref="K452"/>
    <hyperlink r:id="rId1377" ref="L452"/>
    <hyperlink r:id="rId1378" ref="K453"/>
    <hyperlink r:id="rId1379" ref="L453"/>
    <hyperlink r:id="rId1380" ref="K454"/>
    <hyperlink r:id="rId1381" ref="L454"/>
    <hyperlink r:id="rId1382" ref="G455"/>
    <hyperlink r:id="rId1383" ref="K455"/>
    <hyperlink r:id="rId1384" ref="L455"/>
    <hyperlink r:id="rId1385" ref="K456"/>
    <hyperlink r:id="rId1386" ref="L456"/>
    <hyperlink r:id="rId1387" ref="K457"/>
    <hyperlink r:id="rId1388" ref="L457"/>
    <hyperlink r:id="rId1389" ref="K458"/>
    <hyperlink r:id="rId1390" ref="L458"/>
    <hyperlink r:id="rId1391" ref="K459"/>
    <hyperlink r:id="rId1392" ref="L459"/>
    <hyperlink r:id="rId1393" ref="K460"/>
    <hyperlink r:id="rId1394" ref="L460"/>
    <hyperlink r:id="rId1395" ref="K461"/>
    <hyperlink r:id="rId1396" ref="L461"/>
    <hyperlink r:id="rId1397" ref="K462"/>
    <hyperlink r:id="rId1398" ref="K463"/>
    <hyperlink r:id="rId1399" ref="L463"/>
    <hyperlink r:id="rId1400" ref="K464"/>
    <hyperlink r:id="rId1401" ref="L464"/>
    <hyperlink r:id="rId1402" ref="K465"/>
    <hyperlink r:id="rId1403" ref="L465"/>
    <hyperlink r:id="rId1404" ref="K466"/>
    <hyperlink r:id="rId1405" ref="L466"/>
    <hyperlink r:id="rId1406" ref="K467"/>
    <hyperlink r:id="rId1407" ref="L467"/>
    <hyperlink r:id="rId1408" ref="K468"/>
    <hyperlink r:id="rId1409" ref="L468"/>
    <hyperlink r:id="rId1410" ref="G469"/>
    <hyperlink r:id="rId1411" ref="K469"/>
    <hyperlink r:id="rId1412" ref="L469"/>
    <hyperlink r:id="rId1413" ref="G470"/>
    <hyperlink r:id="rId1414" ref="K470"/>
    <hyperlink r:id="rId1415" ref="L470"/>
    <hyperlink r:id="rId1416" ref="K471"/>
    <hyperlink r:id="rId1417" ref="L471"/>
    <hyperlink r:id="rId1418" ref="K472"/>
    <hyperlink r:id="rId1419" ref="L472"/>
    <hyperlink r:id="rId1420" ref="G473"/>
    <hyperlink r:id="rId1421" ref="K473"/>
    <hyperlink r:id="rId1422" ref="L473"/>
    <hyperlink r:id="rId1423" ref="K474"/>
    <hyperlink r:id="rId1424" ref="L474"/>
    <hyperlink r:id="rId1425" ref="K475"/>
    <hyperlink r:id="rId1426" ref="L475"/>
    <hyperlink r:id="rId1427" ref="G476"/>
    <hyperlink r:id="rId1428" ref="K476"/>
    <hyperlink r:id="rId1429" ref="L476"/>
    <hyperlink r:id="rId1430" ref="K477"/>
    <hyperlink r:id="rId1431" ref="L477"/>
    <hyperlink r:id="rId1432" ref="K478"/>
    <hyperlink r:id="rId1433" ref="L478"/>
    <hyperlink r:id="rId1434" ref="K479"/>
    <hyperlink r:id="rId1435" ref="L479"/>
    <hyperlink r:id="rId1436" ref="G480"/>
    <hyperlink r:id="rId1437" ref="K480"/>
    <hyperlink r:id="rId1438" ref="L480"/>
    <hyperlink r:id="rId1439" ref="K481"/>
    <hyperlink r:id="rId1440" ref="L481"/>
    <hyperlink r:id="rId1441" ref="G482"/>
    <hyperlink r:id="rId1442" ref="K482"/>
    <hyperlink r:id="rId1443" ref="L482"/>
    <hyperlink r:id="rId1444" ref="K483"/>
    <hyperlink r:id="rId1445" ref="L483"/>
    <hyperlink r:id="rId1446" ref="K484"/>
    <hyperlink r:id="rId1447" ref="L484"/>
    <hyperlink r:id="rId1448" ref="G485"/>
    <hyperlink r:id="rId1449" ref="K485"/>
    <hyperlink r:id="rId1450" ref="L485"/>
    <hyperlink r:id="rId1451" ref="K486"/>
    <hyperlink r:id="rId1452" ref="L486"/>
    <hyperlink r:id="rId1453" ref="K487"/>
    <hyperlink r:id="rId1454" ref="L487"/>
    <hyperlink r:id="rId1455" ref="K488"/>
    <hyperlink r:id="rId1456" ref="L488"/>
    <hyperlink r:id="rId1457" ref="K489"/>
    <hyperlink r:id="rId1458" ref="L489"/>
    <hyperlink r:id="rId1459" ref="K490"/>
    <hyperlink r:id="rId1460" ref="L490"/>
    <hyperlink r:id="rId1461" ref="K491"/>
    <hyperlink r:id="rId1462" ref="L491"/>
    <hyperlink r:id="rId1463" ref="K492"/>
    <hyperlink r:id="rId1464" ref="L492"/>
    <hyperlink r:id="rId1465" ref="K493"/>
    <hyperlink r:id="rId1466" ref="L493"/>
    <hyperlink r:id="rId1467" ref="K494"/>
    <hyperlink r:id="rId1468" ref="L494"/>
    <hyperlink r:id="rId1469" ref="K495"/>
    <hyperlink r:id="rId1470" ref="L495"/>
    <hyperlink r:id="rId1471" ref="K496"/>
    <hyperlink r:id="rId1472" ref="L496"/>
    <hyperlink r:id="rId1473" ref="K497"/>
    <hyperlink r:id="rId1474" ref="L497"/>
    <hyperlink r:id="rId1475" ref="K498"/>
    <hyperlink r:id="rId1476" ref="L498"/>
    <hyperlink r:id="rId1477" ref="K499"/>
    <hyperlink r:id="rId1478" ref="L499"/>
    <hyperlink r:id="rId1479" ref="K500"/>
    <hyperlink r:id="rId1480" ref="L500"/>
    <hyperlink r:id="rId1481" ref="K501"/>
    <hyperlink r:id="rId1482" ref="L501"/>
    <hyperlink r:id="rId1483" ref="K502"/>
    <hyperlink r:id="rId1484" ref="L502"/>
    <hyperlink r:id="rId1485" ref="G503"/>
    <hyperlink r:id="rId1486" ref="K503"/>
    <hyperlink r:id="rId1487" ref="L503"/>
    <hyperlink r:id="rId1488" ref="K504"/>
    <hyperlink r:id="rId1489" ref="L504"/>
    <hyperlink r:id="rId1490" ref="K505"/>
    <hyperlink r:id="rId1491" ref="L505"/>
    <hyperlink r:id="rId1492" ref="K506"/>
    <hyperlink r:id="rId1493" ref="L506"/>
    <hyperlink r:id="rId1494" ref="K507"/>
    <hyperlink r:id="rId1495" ref="L507"/>
    <hyperlink r:id="rId1496" ref="K508"/>
    <hyperlink r:id="rId1497" ref="L508"/>
    <hyperlink r:id="rId1498" ref="K509"/>
    <hyperlink r:id="rId1499" ref="L509"/>
    <hyperlink r:id="rId1500" ref="G510"/>
    <hyperlink r:id="rId1501" ref="K510"/>
    <hyperlink r:id="rId1502" ref="L510"/>
    <hyperlink r:id="rId1503" ref="K511"/>
    <hyperlink r:id="rId1504" ref="L511"/>
    <hyperlink r:id="rId1505" ref="K512"/>
    <hyperlink r:id="rId1506" ref="L512"/>
    <hyperlink r:id="rId1507" ref="G513"/>
    <hyperlink r:id="rId1508" ref="K513"/>
    <hyperlink r:id="rId1509" ref="L513"/>
    <hyperlink r:id="rId1510" ref="K514"/>
    <hyperlink r:id="rId1511" ref="L514"/>
    <hyperlink r:id="rId1512" ref="G515"/>
    <hyperlink r:id="rId1513" ref="K515"/>
    <hyperlink r:id="rId1514" ref="L515"/>
    <hyperlink r:id="rId1515" ref="G516"/>
    <hyperlink r:id="rId1516" ref="K516"/>
    <hyperlink r:id="rId1517" ref="L516"/>
    <hyperlink r:id="rId1518" ref="K517"/>
    <hyperlink r:id="rId1519" ref="L517"/>
    <hyperlink r:id="rId1520" ref="K518"/>
    <hyperlink r:id="rId1521" ref="L518"/>
    <hyperlink r:id="rId1522" ref="G519"/>
    <hyperlink r:id="rId1523" ref="K519"/>
    <hyperlink r:id="rId1524" ref="L519"/>
    <hyperlink r:id="rId1525" ref="K520"/>
    <hyperlink r:id="rId1526" ref="L520"/>
    <hyperlink r:id="rId1527" ref="K521"/>
    <hyperlink r:id="rId1528" ref="L521"/>
    <hyperlink r:id="rId1529" ref="G522"/>
    <hyperlink r:id="rId1530" ref="K522"/>
    <hyperlink r:id="rId1531" ref="L522"/>
    <hyperlink r:id="rId1532" ref="K523"/>
    <hyperlink r:id="rId1533" ref="L523"/>
    <hyperlink r:id="rId1534" ref="K524"/>
    <hyperlink r:id="rId1535" ref="L524"/>
    <hyperlink r:id="rId1536" ref="K525"/>
    <hyperlink r:id="rId1537" ref="L525"/>
    <hyperlink r:id="rId1538" ref="K526"/>
    <hyperlink r:id="rId1539" ref="L526"/>
    <hyperlink r:id="rId1540" ref="K527"/>
    <hyperlink r:id="rId1541" ref="L527"/>
    <hyperlink r:id="rId1542" ref="K528"/>
    <hyperlink r:id="rId1543" ref="L528"/>
    <hyperlink r:id="rId1544" ref="K529"/>
    <hyperlink r:id="rId1545" ref="L529"/>
    <hyperlink r:id="rId1546" ref="K530"/>
    <hyperlink r:id="rId1547" ref="L530"/>
    <hyperlink r:id="rId1548" ref="K531"/>
    <hyperlink r:id="rId1549" ref="L531"/>
    <hyperlink r:id="rId1550" ref="K532"/>
    <hyperlink r:id="rId1551" ref="L532"/>
    <hyperlink r:id="rId1552" ref="K533"/>
    <hyperlink r:id="rId1553" ref="L533"/>
    <hyperlink r:id="rId1554" ref="G534"/>
    <hyperlink r:id="rId1555" ref="K534"/>
    <hyperlink r:id="rId1556" ref="L534"/>
    <hyperlink r:id="rId1557" ref="K535"/>
    <hyperlink r:id="rId1558" ref="L535"/>
    <hyperlink r:id="rId1559" ref="K536"/>
    <hyperlink r:id="rId1560" ref="L536"/>
    <hyperlink r:id="rId1561" ref="K537"/>
    <hyperlink r:id="rId1562" ref="L537"/>
    <hyperlink r:id="rId1563" ref="K538"/>
    <hyperlink r:id="rId1564" ref="L538"/>
    <hyperlink r:id="rId1565" ref="K539"/>
    <hyperlink r:id="rId1566" ref="L539"/>
    <hyperlink r:id="rId1567" ref="G540"/>
    <hyperlink r:id="rId1568" ref="K540"/>
    <hyperlink r:id="rId1569" ref="L540"/>
    <hyperlink r:id="rId1570" ref="K541"/>
    <hyperlink r:id="rId1571" ref="L541"/>
    <hyperlink r:id="rId1572" ref="K542"/>
    <hyperlink r:id="rId1573" ref="L542"/>
    <hyperlink r:id="rId1574" ref="K543"/>
    <hyperlink r:id="rId1575" ref="L543"/>
    <hyperlink r:id="rId1576" ref="K544"/>
    <hyperlink r:id="rId1577" ref="L544"/>
    <hyperlink r:id="rId1578" ref="K545"/>
    <hyperlink r:id="rId1579" ref="L545"/>
    <hyperlink r:id="rId1580" ref="K546"/>
    <hyperlink r:id="rId1581" ref="L546"/>
    <hyperlink r:id="rId1582" ref="K547"/>
    <hyperlink r:id="rId1583" ref="L547"/>
    <hyperlink r:id="rId1584" ref="K548"/>
    <hyperlink r:id="rId1585" ref="L548"/>
    <hyperlink r:id="rId1586" ref="G549"/>
    <hyperlink r:id="rId1587" ref="K549"/>
    <hyperlink r:id="rId1588" ref="L549"/>
    <hyperlink r:id="rId1589" ref="K550"/>
    <hyperlink r:id="rId1590" ref="L550"/>
    <hyperlink r:id="rId1591" ref="K551"/>
    <hyperlink r:id="rId1592" ref="L551"/>
    <hyperlink r:id="rId1593" ref="G552"/>
    <hyperlink r:id="rId1594" ref="K552"/>
    <hyperlink r:id="rId1595" ref="L552"/>
    <hyperlink r:id="rId1596" ref="K553"/>
    <hyperlink r:id="rId1597" ref="L553"/>
    <hyperlink r:id="rId1598" ref="G554"/>
    <hyperlink r:id="rId1599" ref="K554"/>
    <hyperlink r:id="rId1600" ref="L554"/>
    <hyperlink r:id="rId1601" ref="G555"/>
    <hyperlink r:id="rId1602" ref="K555"/>
    <hyperlink r:id="rId1603" ref="L555"/>
    <hyperlink r:id="rId1604" ref="G556"/>
    <hyperlink r:id="rId1605" ref="K556"/>
    <hyperlink r:id="rId1606" ref="L556"/>
    <hyperlink r:id="rId1607" ref="G557"/>
    <hyperlink r:id="rId1608" ref="K557"/>
    <hyperlink r:id="rId1609" ref="L557"/>
    <hyperlink r:id="rId1610" ref="K558"/>
    <hyperlink r:id="rId1611" ref="L558"/>
    <hyperlink r:id="rId1612" ref="K559"/>
    <hyperlink r:id="rId1613" ref="L559"/>
    <hyperlink r:id="rId1614" ref="K560"/>
    <hyperlink r:id="rId1615" ref="L560"/>
    <hyperlink r:id="rId1616" ref="K561"/>
    <hyperlink r:id="rId1617" ref="L561"/>
    <hyperlink r:id="rId1618" ref="G562"/>
    <hyperlink r:id="rId1619" ref="K562"/>
    <hyperlink r:id="rId1620" ref="L562"/>
    <hyperlink r:id="rId1621" ref="K563"/>
    <hyperlink r:id="rId1622" ref="L563"/>
    <hyperlink r:id="rId1623" ref="K564"/>
    <hyperlink r:id="rId1624" ref="L564"/>
    <hyperlink r:id="rId1625" ref="K565"/>
    <hyperlink r:id="rId1626" ref="L565"/>
    <hyperlink r:id="rId1627" ref="K566"/>
    <hyperlink r:id="rId1628" ref="L566"/>
    <hyperlink r:id="rId1629" ref="K567"/>
    <hyperlink r:id="rId1630" ref="L567"/>
    <hyperlink r:id="rId1631" ref="G568"/>
    <hyperlink r:id="rId1632" ref="K568"/>
    <hyperlink r:id="rId1633" ref="L568"/>
    <hyperlink r:id="rId1634" ref="G569"/>
    <hyperlink r:id="rId1635" ref="K569"/>
    <hyperlink r:id="rId1636" ref="L569"/>
    <hyperlink r:id="rId1637" ref="G570"/>
    <hyperlink r:id="rId1638" ref="K570"/>
    <hyperlink r:id="rId1639" ref="L570"/>
    <hyperlink r:id="rId1640" ref="K571"/>
    <hyperlink r:id="rId1641" ref="L571"/>
    <hyperlink r:id="rId1642" ref="G572"/>
    <hyperlink r:id="rId1643" ref="K572"/>
    <hyperlink r:id="rId1644" ref="L572"/>
    <hyperlink r:id="rId1645" ref="G573"/>
    <hyperlink r:id="rId1646" ref="K573"/>
    <hyperlink r:id="rId1647" ref="L573"/>
    <hyperlink r:id="rId1648" ref="G574"/>
    <hyperlink r:id="rId1649" ref="K574"/>
    <hyperlink r:id="rId1650" ref="L574"/>
    <hyperlink r:id="rId1651" ref="G575"/>
    <hyperlink r:id="rId1652" ref="K575"/>
    <hyperlink r:id="rId1653" ref="L575"/>
    <hyperlink r:id="rId1654" ref="G576"/>
    <hyperlink r:id="rId1655" ref="K576"/>
    <hyperlink r:id="rId1656" ref="L576"/>
    <hyperlink r:id="rId1657" ref="K577"/>
    <hyperlink r:id="rId1658" ref="L577"/>
    <hyperlink r:id="rId1659" ref="G578"/>
    <hyperlink r:id="rId1660" ref="K578"/>
    <hyperlink r:id="rId1661" ref="L578"/>
    <hyperlink r:id="rId1662" ref="K579"/>
    <hyperlink r:id="rId1663" ref="L579"/>
    <hyperlink r:id="rId1664" ref="K580"/>
    <hyperlink r:id="rId1665" ref="L580"/>
    <hyperlink r:id="rId1666" ref="K581"/>
    <hyperlink r:id="rId1667" ref="L581"/>
    <hyperlink r:id="rId1668" ref="K582"/>
    <hyperlink r:id="rId1669" ref="L582"/>
    <hyperlink r:id="rId1670" ref="G583"/>
    <hyperlink r:id="rId1671" ref="K583"/>
    <hyperlink r:id="rId1672" ref="L583"/>
    <hyperlink r:id="rId1673" ref="G584"/>
    <hyperlink r:id="rId1674" ref="K584"/>
    <hyperlink r:id="rId1675" ref="L584"/>
    <hyperlink r:id="rId1676" ref="K585"/>
    <hyperlink r:id="rId1677" ref="L585"/>
    <hyperlink r:id="rId1678" ref="K586"/>
    <hyperlink r:id="rId1679" ref="L586"/>
    <hyperlink r:id="rId1680" ref="F587"/>
    <hyperlink r:id="rId1681" ref="G587"/>
    <hyperlink r:id="rId1682" ref="K587"/>
    <hyperlink r:id="rId1683" ref="L587"/>
    <hyperlink r:id="rId1684" ref="K588"/>
    <hyperlink r:id="rId1685" ref="L588"/>
    <hyperlink r:id="rId1686" ref="K589"/>
    <hyperlink r:id="rId1687" ref="L589"/>
    <hyperlink r:id="rId1688" ref="K590"/>
    <hyperlink r:id="rId1689" ref="L590"/>
    <hyperlink r:id="rId1690" ref="K591"/>
    <hyperlink r:id="rId1691" ref="L591"/>
    <hyperlink r:id="rId1692" ref="K592"/>
    <hyperlink r:id="rId1693" ref="L592"/>
    <hyperlink r:id="rId1694" ref="K593"/>
    <hyperlink r:id="rId1695" ref="L593"/>
    <hyperlink r:id="rId1696" ref="K594"/>
    <hyperlink r:id="rId1697" ref="L594"/>
    <hyperlink r:id="rId1698" ref="G595"/>
    <hyperlink r:id="rId1699" ref="K595"/>
    <hyperlink r:id="rId1700" ref="L595"/>
    <hyperlink r:id="rId1701" ref="F596"/>
    <hyperlink r:id="rId1702" ref="K596"/>
    <hyperlink r:id="rId1703" ref="L596"/>
    <hyperlink r:id="rId1704" ref="K597"/>
    <hyperlink r:id="rId1705" ref="L597"/>
    <hyperlink r:id="rId1706" ref="G598"/>
    <hyperlink r:id="rId1707" ref="K598"/>
    <hyperlink r:id="rId1708" ref="L598"/>
    <hyperlink r:id="rId1709" ref="K599"/>
    <hyperlink r:id="rId1710" ref="L599"/>
    <hyperlink r:id="rId1711" ref="K600"/>
    <hyperlink r:id="rId1712" ref="L600"/>
    <hyperlink r:id="rId1713" ref="K601"/>
    <hyperlink r:id="rId1714" ref="L601"/>
    <hyperlink r:id="rId1715" ref="K602"/>
    <hyperlink r:id="rId1716" ref="L602"/>
    <hyperlink r:id="rId1717" ref="G603"/>
    <hyperlink r:id="rId1718" ref="K603"/>
    <hyperlink r:id="rId1719" ref="L603"/>
    <hyperlink r:id="rId1720" ref="G604"/>
    <hyperlink r:id="rId1721" ref="K604"/>
    <hyperlink r:id="rId1722" ref="L604"/>
    <hyperlink r:id="rId1723" ref="K605"/>
    <hyperlink r:id="rId1724" ref="L605"/>
    <hyperlink r:id="rId1725" ref="K606"/>
    <hyperlink r:id="rId1726" ref="L606"/>
    <hyperlink r:id="rId1727" ref="G607"/>
    <hyperlink r:id="rId1728" ref="K607"/>
    <hyperlink r:id="rId1729" ref="L607"/>
    <hyperlink r:id="rId1730" ref="K608"/>
    <hyperlink r:id="rId1731" ref="L608"/>
    <hyperlink r:id="rId1732" ref="K609"/>
    <hyperlink r:id="rId1733" ref="L609"/>
    <hyperlink r:id="rId1734" ref="G610"/>
    <hyperlink r:id="rId1735" ref="K610"/>
    <hyperlink r:id="rId1736" ref="L610"/>
    <hyperlink r:id="rId1737" ref="G611"/>
    <hyperlink r:id="rId1738" ref="K611"/>
    <hyperlink r:id="rId1739" ref="L611"/>
    <hyperlink r:id="rId1740" ref="G612"/>
    <hyperlink r:id="rId1741" ref="K612"/>
    <hyperlink r:id="rId1742" ref="L612"/>
    <hyperlink r:id="rId1743" ref="G613"/>
    <hyperlink r:id="rId1744" ref="K613"/>
    <hyperlink r:id="rId1745" ref="L613"/>
    <hyperlink r:id="rId1746" ref="G614"/>
    <hyperlink r:id="rId1747" ref="K614"/>
    <hyperlink r:id="rId1748" ref="L614"/>
    <hyperlink r:id="rId1749" ref="G615"/>
    <hyperlink r:id="rId1750" ref="K615"/>
    <hyperlink r:id="rId1751" ref="L615"/>
    <hyperlink r:id="rId1752" ref="G616"/>
    <hyperlink r:id="rId1753" ref="K616"/>
    <hyperlink r:id="rId1754" ref="L616"/>
    <hyperlink r:id="rId1755" ref="G617"/>
    <hyperlink r:id="rId1756" ref="K617"/>
    <hyperlink r:id="rId1757" ref="L617"/>
    <hyperlink r:id="rId1758" ref="G618"/>
    <hyperlink r:id="rId1759" ref="K618"/>
    <hyperlink r:id="rId1760" ref="L618"/>
    <hyperlink r:id="rId1761" ref="G619"/>
    <hyperlink r:id="rId1762" ref="K619"/>
    <hyperlink r:id="rId1763" ref="L619"/>
    <hyperlink r:id="rId1764" ref="F620"/>
    <hyperlink r:id="rId1765" ref="G620"/>
    <hyperlink r:id="rId1766" ref="K620"/>
    <hyperlink r:id="rId1767" ref="L620"/>
    <hyperlink r:id="rId1768" ref="G621"/>
    <hyperlink r:id="rId1769" ref="K621"/>
    <hyperlink r:id="rId1770" ref="L621"/>
    <hyperlink r:id="rId1771" ref="G622"/>
    <hyperlink r:id="rId1772" ref="K622"/>
    <hyperlink r:id="rId1773" ref="L622"/>
    <hyperlink r:id="rId1774" ref="G623"/>
    <hyperlink r:id="rId1775" ref="K623"/>
    <hyperlink r:id="rId1776" ref="L623"/>
    <hyperlink r:id="rId1777" ref="G624"/>
    <hyperlink r:id="rId1778" ref="K624"/>
    <hyperlink r:id="rId1779" ref="L624"/>
    <hyperlink r:id="rId1780" ref="K625"/>
    <hyperlink r:id="rId1781" ref="L625"/>
    <hyperlink r:id="rId1782" ref="G626"/>
    <hyperlink r:id="rId1783" ref="K626"/>
    <hyperlink r:id="rId1784" ref="L626"/>
    <hyperlink r:id="rId1785" ref="G627"/>
    <hyperlink r:id="rId1786" ref="K627"/>
    <hyperlink r:id="rId1787" ref="L627"/>
    <hyperlink r:id="rId1788" ref="K628"/>
    <hyperlink r:id="rId1789" ref="L628"/>
    <hyperlink r:id="rId1790" ref="G629"/>
    <hyperlink r:id="rId1791" ref="K629"/>
    <hyperlink r:id="rId1792" ref="L629"/>
    <hyperlink r:id="rId1793" ref="G630"/>
    <hyperlink r:id="rId1794" ref="K630"/>
    <hyperlink r:id="rId1795" ref="L630"/>
    <hyperlink r:id="rId1796" ref="G631"/>
    <hyperlink r:id="rId1797" ref="K631"/>
    <hyperlink r:id="rId1798" ref="L631"/>
    <hyperlink r:id="rId1799" ref="G632"/>
    <hyperlink r:id="rId1800" ref="K632"/>
    <hyperlink r:id="rId1801" ref="L632"/>
    <hyperlink r:id="rId1802" ref="G633"/>
    <hyperlink r:id="rId1803" ref="K633"/>
    <hyperlink r:id="rId1804" ref="G634"/>
    <hyperlink r:id="rId1805" ref="K634"/>
    <hyperlink r:id="rId1806" ref="L634"/>
    <hyperlink r:id="rId1807" ref="G635"/>
    <hyperlink r:id="rId1808" ref="K635"/>
    <hyperlink r:id="rId1809" ref="G636"/>
    <hyperlink r:id="rId1810" ref="K636"/>
    <hyperlink r:id="rId1811" ref="G637"/>
    <hyperlink r:id="rId1812" ref="K637"/>
    <hyperlink r:id="rId1813" ref="G638"/>
    <hyperlink r:id="rId1814" ref="K638"/>
    <hyperlink r:id="rId1815" ref="G639"/>
    <hyperlink r:id="rId1816" ref="K639"/>
    <hyperlink r:id="rId1817" ref="G640"/>
    <hyperlink r:id="rId1818" ref="K640"/>
    <hyperlink r:id="rId1819" ref="G641"/>
    <hyperlink r:id="rId1820" ref="K641"/>
    <hyperlink r:id="rId1821" ref="G642"/>
    <hyperlink r:id="rId1822" ref="K642"/>
    <hyperlink r:id="rId1823" ref="G643"/>
    <hyperlink r:id="rId1824" ref="K643"/>
    <hyperlink r:id="rId1825" ref="G644"/>
    <hyperlink r:id="rId1826" ref="K644"/>
    <hyperlink r:id="rId1827" ref="F645"/>
    <hyperlink r:id="rId1828" ref="K645"/>
    <hyperlink r:id="rId1829" ref="G646"/>
    <hyperlink r:id="rId1830" ref="K646"/>
    <hyperlink r:id="rId1831" ref="G647"/>
    <hyperlink r:id="rId1832" ref="K647"/>
    <hyperlink r:id="rId1833" ref="G648"/>
    <hyperlink r:id="rId1834" ref="K648"/>
    <hyperlink r:id="rId1835" ref="G649"/>
    <hyperlink r:id="rId1836" ref="K649"/>
    <hyperlink r:id="rId1837" ref="L649"/>
    <hyperlink r:id="rId1838" ref="G651"/>
    <hyperlink r:id="rId1839" ref="K651"/>
    <hyperlink r:id="rId1840" ref="L651"/>
    <hyperlink r:id="rId1841" ref="N651"/>
    <hyperlink r:id="rId1842" ref="G652"/>
    <hyperlink r:id="rId1843" ref="K652"/>
    <hyperlink r:id="rId1844" ref="L652"/>
    <hyperlink r:id="rId1845" ref="N652"/>
    <hyperlink r:id="rId1846" ref="G653"/>
    <hyperlink r:id="rId1847" ref="K653"/>
    <hyperlink r:id="rId1848" ref="L653"/>
    <hyperlink r:id="rId1849" ref="N653"/>
    <hyperlink r:id="rId1850" ref="G654"/>
    <hyperlink r:id="rId1851" ref="K654"/>
    <hyperlink r:id="rId1852" ref="L654"/>
    <hyperlink r:id="rId1853" ref="N654"/>
    <hyperlink r:id="rId1854" ref="G655"/>
    <hyperlink r:id="rId1855" ref="K655"/>
    <hyperlink r:id="rId1856" ref="L655"/>
    <hyperlink r:id="rId1857" ref="N655"/>
    <hyperlink r:id="rId1858" ref="G656"/>
    <hyperlink r:id="rId1859" ref="K656"/>
    <hyperlink r:id="rId1860" ref="L656"/>
    <hyperlink r:id="rId1861" ref="N656"/>
    <hyperlink r:id="rId1862" ref="G657"/>
    <hyperlink r:id="rId1863" ref="K657"/>
    <hyperlink r:id="rId1864" ref="L657"/>
    <hyperlink r:id="rId1865" ref="N657"/>
    <hyperlink r:id="rId1866" ref="G658"/>
    <hyperlink r:id="rId1867" ref="K658"/>
    <hyperlink r:id="rId1868" ref="L658"/>
    <hyperlink r:id="rId1869" ref="N658"/>
    <hyperlink r:id="rId1870" ref="G659"/>
    <hyperlink r:id="rId1871" ref="K659"/>
    <hyperlink r:id="rId1872" ref="L659"/>
    <hyperlink r:id="rId1873" ref="N659"/>
    <hyperlink r:id="rId1874" ref="G660"/>
    <hyperlink r:id="rId1875" ref="K660"/>
    <hyperlink r:id="rId1876" ref="L660"/>
    <hyperlink r:id="rId1877" ref="N660"/>
    <hyperlink r:id="rId1878" ref="G661"/>
    <hyperlink r:id="rId1879" ref="K661"/>
    <hyperlink r:id="rId1880" ref="L661"/>
    <hyperlink r:id="rId1881" ref="N661"/>
    <hyperlink r:id="rId1882" ref="G662"/>
    <hyperlink r:id="rId1883" ref="K662"/>
    <hyperlink r:id="rId1884" ref="L662"/>
    <hyperlink r:id="rId1885" ref="N662"/>
    <hyperlink r:id="rId1886" ref="G663"/>
    <hyperlink r:id="rId1887" ref="K663"/>
    <hyperlink r:id="rId1888" ref="L663"/>
    <hyperlink r:id="rId1889" ref="N663"/>
    <hyperlink r:id="rId1890" ref="G664"/>
    <hyperlink r:id="rId1891" ref="K664"/>
    <hyperlink r:id="rId1892" ref="L664"/>
    <hyperlink r:id="rId1893" ref="N664"/>
    <hyperlink r:id="rId1894" ref="G665"/>
    <hyperlink r:id="rId1895" ref="K665"/>
    <hyperlink r:id="rId1896" ref="L665"/>
    <hyperlink r:id="rId1897" ref="G666"/>
    <hyperlink r:id="rId1898" ref="K666"/>
    <hyperlink r:id="rId1899" ref="L666"/>
    <hyperlink r:id="rId1900" ref="N666"/>
    <hyperlink r:id="rId1901" ref="G667"/>
    <hyperlink r:id="rId1902" ref="K667"/>
    <hyperlink r:id="rId1903" ref="L667"/>
    <hyperlink r:id="rId1904" ref="N667"/>
    <hyperlink r:id="rId1905" ref="G668"/>
    <hyperlink r:id="rId1906" ref="K668"/>
    <hyperlink r:id="rId1907" ref="L668"/>
    <hyperlink r:id="rId1908" ref="N668"/>
    <hyperlink r:id="rId1909" ref="G669"/>
    <hyperlink r:id="rId1910" ref="K669"/>
    <hyperlink r:id="rId1911" ref="L669"/>
    <hyperlink r:id="rId1912" ref="N669"/>
    <hyperlink r:id="rId1913" ref="G670"/>
    <hyperlink r:id="rId1914" ref="K670"/>
    <hyperlink r:id="rId1915" ref="L670"/>
    <hyperlink r:id="rId1916" ref="N670"/>
    <hyperlink r:id="rId1917" ref="G671"/>
    <hyperlink r:id="rId1918" ref="K671"/>
    <hyperlink r:id="rId1919" ref="L671"/>
    <hyperlink r:id="rId1920" ref="N671"/>
    <hyperlink r:id="rId1921" ref="G672"/>
    <hyperlink r:id="rId1922" ref="K672"/>
    <hyperlink r:id="rId1923" ref="L672"/>
    <hyperlink r:id="rId1924" ref="N672"/>
    <hyperlink r:id="rId1925" ref="G673"/>
    <hyperlink r:id="rId1926" ref="K673"/>
    <hyperlink r:id="rId1927" ref="L673"/>
    <hyperlink r:id="rId1928" ref="N673"/>
    <hyperlink r:id="rId1929" ref="G674"/>
    <hyperlink r:id="rId1930" ref="K674"/>
    <hyperlink r:id="rId1931" ref="L674"/>
    <hyperlink r:id="rId1932" ref="N674"/>
    <hyperlink r:id="rId1933" ref="G675"/>
    <hyperlink r:id="rId1934" ref="K675"/>
    <hyperlink r:id="rId1935" ref="L675"/>
    <hyperlink r:id="rId1936" ref="N675"/>
    <hyperlink r:id="rId1937" ref="G676"/>
    <hyperlink r:id="rId1938" ref="K676"/>
    <hyperlink r:id="rId1939" ref="L676"/>
    <hyperlink r:id="rId1940" ref="N676"/>
    <hyperlink r:id="rId1941" ref="G677"/>
    <hyperlink r:id="rId1942" ref="K677"/>
    <hyperlink r:id="rId1943" ref="L677"/>
    <hyperlink r:id="rId1944" ref="N677"/>
    <hyperlink r:id="rId1945" ref="G678"/>
    <hyperlink r:id="rId1946" ref="K678"/>
    <hyperlink r:id="rId1947" ref="L678"/>
    <hyperlink r:id="rId1948" ref="N678"/>
    <hyperlink r:id="rId1949" ref="G679"/>
    <hyperlink r:id="rId1950" ref="K679"/>
    <hyperlink r:id="rId1951" ref="L679"/>
    <hyperlink r:id="rId1952" ref="N679"/>
    <hyperlink r:id="rId1953" ref="G680"/>
    <hyperlink r:id="rId1954" ref="K680"/>
    <hyperlink r:id="rId1955" ref="L680"/>
    <hyperlink r:id="rId1956" ref="N680"/>
    <hyperlink r:id="rId1957" ref="G681"/>
    <hyperlink r:id="rId1958" ref="K681"/>
    <hyperlink r:id="rId1959" ref="L681"/>
    <hyperlink r:id="rId1960" ref="N681"/>
    <hyperlink r:id="rId1961" ref="G682"/>
    <hyperlink r:id="rId1962" ref="K682"/>
    <hyperlink r:id="rId1963" ref="L682"/>
    <hyperlink r:id="rId1964" ref="N682"/>
    <hyperlink r:id="rId1965" ref="G683"/>
    <hyperlink r:id="rId1966" ref="K683"/>
    <hyperlink r:id="rId1967" ref="L683"/>
    <hyperlink r:id="rId1968" ref="N683"/>
    <hyperlink r:id="rId1969" ref="G684"/>
    <hyperlink r:id="rId1970" ref="K684"/>
    <hyperlink r:id="rId1971" ref="L684"/>
    <hyperlink r:id="rId1972" ref="N684"/>
    <hyperlink r:id="rId1973" ref="G685"/>
    <hyperlink r:id="rId1974" ref="K685"/>
    <hyperlink r:id="rId1975" ref="L685"/>
    <hyperlink r:id="rId1976" ref="N685"/>
    <hyperlink r:id="rId1977" ref="G686"/>
    <hyperlink r:id="rId1978" ref="K686"/>
    <hyperlink r:id="rId1979" ref="L686"/>
    <hyperlink r:id="rId1980" ref="N686"/>
    <hyperlink r:id="rId1981" ref="G687"/>
    <hyperlink r:id="rId1982" ref="K687"/>
    <hyperlink r:id="rId1983" ref="L687"/>
    <hyperlink r:id="rId1984" ref="N687"/>
    <hyperlink r:id="rId1985" ref="G688"/>
    <hyperlink r:id="rId1986" ref="K688"/>
    <hyperlink r:id="rId1987" ref="L688"/>
    <hyperlink r:id="rId1988" ref="N688"/>
    <hyperlink r:id="rId1989" ref="G689"/>
    <hyperlink r:id="rId1990" ref="K689"/>
    <hyperlink r:id="rId1991" ref="L689"/>
    <hyperlink r:id="rId1992" ref="N689"/>
    <hyperlink r:id="rId1993" ref="G690"/>
    <hyperlink r:id="rId1994" ref="K690"/>
    <hyperlink r:id="rId1995" ref="L690"/>
    <hyperlink r:id="rId1996" ref="N690"/>
    <hyperlink r:id="rId1997" ref="G691"/>
    <hyperlink r:id="rId1998" ref="K691"/>
    <hyperlink r:id="rId1999" ref="L691"/>
    <hyperlink r:id="rId2000" ref="N691"/>
    <hyperlink r:id="rId2001" ref="G692"/>
    <hyperlink r:id="rId2002" ref="K692"/>
    <hyperlink r:id="rId2003" ref="L692"/>
    <hyperlink r:id="rId2004" ref="N692"/>
    <hyperlink r:id="rId2005" ref="G693"/>
    <hyperlink r:id="rId2006" ref="K693"/>
    <hyperlink r:id="rId2007" ref="L693"/>
    <hyperlink r:id="rId2008" ref="N693"/>
    <hyperlink r:id="rId2009" ref="G694"/>
    <hyperlink r:id="rId2010" ref="K694"/>
    <hyperlink r:id="rId2011" ref="L694"/>
    <hyperlink r:id="rId2012" ref="N694"/>
    <hyperlink r:id="rId2013" ref="G695"/>
    <hyperlink r:id="rId2014" ref="K695"/>
    <hyperlink r:id="rId2015" ref="L695"/>
    <hyperlink r:id="rId2016" ref="N695"/>
    <hyperlink r:id="rId2017" ref="G696"/>
    <hyperlink r:id="rId2018" ref="K696"/>
    <hyperlink r:id="rId2019" ref="L696"/>
    <hyperlink r:id="rId2020" ref="N696"/>
    <hyperlink r:id="rId2021" ref="K697"/>
    <hyperlink r:id="rId2022" ref="L697"/>
    <hyperlink r:id="rId2023" ref="N697"/>
    <hyperlink r:id="rId2024" ref="G698"/>
    <hyperlink r:id="rId2025" ref="K698"/>
    <hyperlink r:id="rId2026" ref="L698"/>
    <hyperlink r:id="rId2027" ref="N698"/>
    <hyperlink r:id="rId2028" ref="G699"/>
    <hyperlink r:id="rId2029" ref="K699"/>
    <hyperlink r:id="rId2030" ref="L699"/>
    <hyperlink r:id="rId2031" ref="N699"/>
    <hyperlink r:id="rId2032" ref="G700"/>
    <hyperlink r:id="rId2033" ref="K700"/>
    <hyperlink r:id="rId2034" ref="L700"/>
    <hyperlink r:id="rId2035" ref="N700"/>
    <hyperlink r:id="rId2036" ref="G701"/>
    <hyperlink r:id="rId2037" ref="K701"/>
    <hyperlink r:id="rId2038" ref="L701"/>
    <hyperlink r:id="rId2039" ref="N701"/>
    <hyperlink r:id="rId2040" ref="G702"/>
    <hyperlink r:id="rId2041" ref="K702"/>
    <hyperlink r:id="rId2042" ref="L702"/>
    <hyperlink r:id="rId2043" ref="N702"/>
    <hyperlink r:id="rId2044" ref="G703"/>
    <hyperlink r:id="rId2045" ref="K703"/>
    <hyperlink r:id="rId2046" ref="L703"/>
    <hyperlink r:id="rId2047" ref="N703"/>
    <hyperlink r:id="rId2048" ref="G704"/>
    <hyperlink r:id="rId2049" ref="K704"/>
    <hyperlink r:id="rId2050" ref="L704"/>
    <hyperlink r:id="rId2051" ref="N704"/>
    <hyperlink r:id="rId2052" ref="G705"/>
    <hyperlink r:id="rId2053" ref="K705"/>
    <hyperlink r:id="rId2054" ref="L705"/>
    <hyperlink r:id="rId2055" ref="N705"/>
    <hyperlink r:id="rId2056" ref="G706"/>
    <hyperlink r:id="rId2057" ref="K706"/>
    <hyperlink r:id="rId2058" ref="L706"/>
    <hyperlink r:id="rId2059" ref="N706"/>
    <hyperlink r:id="rId2060" ref="G707"/>
    <hyperlink r:id="rId2061" ref="K707"/>
    <hyperlink r:id="rId2062" ref="L707"/>
    <hyperlink r:id="rId2063" ref="N707"/>
    <hyperlink r:id="rId2064" ref="G708"/>
    <hyperlink r:id="rId2065" ref="K708"/>
    <hyperlink r:id="rId2066" ref="L708"/>
    <hyperlink r:id="rId2067" ref="N708"/>
    <hyperlink r:id="rId2068" ref="G709"/>
    <hyperlink r:id="rId2069" ref="K709"/>
    <hyperlink r:id="rId2070" ref="L709"/>
    <hyperlink r:id="rId2071" ref="N709"/>
    <hyperlink r:id="rId2072" ref="G710"/>
    <hyperlink r:id="rId2073" ref="K710"/>
    <hyperlink r:id="rId2074" ref="L710"/>
    <hyperlink r:id="rId2075" ref="N710"/>
    <hyperlink r:id="rId2076" ref="G711"/>
    <hyperlink r:id="rId2077" ref="K711"/>
    <hyperlink r:id="rId2078" ref="L711"/>
    <hyperlink r:id="rId2079" ref="N711"/>
    <hyperlink r:id="rId2080" ref="G712"/>
    <hyperlink r:id="rId2081" ref="K712"/>
    <hyperlink r:id="rId2082" ref="L712"/>
    <hyperlink r:id="rId2083" ref="N712"/>
    <hyperlink r:id="rId2084" ref="G713"/>
    <hyperlink r:id="rId2085" ref="K713"/>
    <hyperlink r:id="rId2086" ref="L713"/>
    <hyperlink r:id="rId2087" ref="N713"/>
    <hyperlink r:id="rId2088" ref="G714"/>
    <hyperlink r:id="rId2089" ref="K714"/>
    <hyperlink r:id="rId2090" ref="L714"/>
    <hyperlink r:id="rId2091" ref="N714"/>
    <hyperlink r:id="rId2092" ref="G715"/>
    <hyperlink r:id="rId2093" ref="K715"/>
    <hyperlink r:id="rId2094" ref="L715"/>
    <hyperlink r:id="rId2095" ref="N715"/>
    <hyperlink r:id="rId2096" ref="G716"/>
    <hyperlink r:id="rId2097" ref="K716"/>
    <hyperlink r:id="rId2098" ref="L716"/>
    <hyperlink r:id="rId2099" ref="N716"/>
    <hyperlink r:id="rId2100" ref="G717"/>
    <hyperlink r:id="rId2101" ref="K717"/>
    <hyperlink r:id="rId2102" ref="L717"/>
    <hyperlink r:id="rId2103" ref="N717"/>
    <hyperlink r:id="rId2104" ref="G718"/>
    <hyperlink r:id="rId2105" ref="K718"/>
    <hyperlink r:id="rId2106" ref="L718"/>
    <hyperlink r:id="rId2107" ref="N718"/>
    <hyperlink r:id="rId2108" ref="G719"/>
    <hyperlink r:id="rId2109" ref="K719"/>
    <hyperlink r:id="rId2110" ref="L719"/>
    <hyperlink r:id="rId2111" ref="N719"/>
    <hyperlink r:id="rId2112" ref="G720"/>
    <hyperlink r:id="rId2113" ref="K720"/>
    <hyperlink r:id="rId2114" ref="L720"/>
    <hyperlink r:id="rId2115" ref="N720"/>
    <hyperlink r:id="rId2116" ref="G721"/>
    <hyperlink r:id="rId2117" ref="K721"/>
    <hyperlink r:id="rId2118" ref="L721"/>
    <hyperlink r:id="rId2119" ref="N721"/>
    <hyperlink r:id="rId2120" ref="G722"/>
    <hyperlink r:id="rId2121" ref="K722"/>
    <hyperlink r:id="rId2122" ref="L722"/>
    <hyperlink r:id="rId2123" ref="N722"/>
    <hyperlink r:id="rId2124" ref="G723"/>
    <hyperlink r:id="rId2125" ref="K723"/>
    <hyperlink r:id="rId2126" ref="L723"/>
    <hyperlink r:id="rId2127" ref="N723"/>
    <hyperlink r:id="rId2128" ref="G724"/>
    <hyperlink r:id="rId2129" ref="K724"/>
    <hyperlink r:id="rId2130" ref="L724"/>
    <hyperlink r:id="rId2131" ref="N724"/>
    <hyperlink r:id="rId2132" ref="G725"/>
    <hyperlink r:id="rId2133" ref="K725"/>
    <hyperlink r:id="rId2134" ref="L725"/>
    <hyperlink r:id="rId2135" ref="G726"/>
    <hyperlink r:id="rId2136" ref="K726"/>
    <hyperlink r:id="rId2137" ref="L726"/>
    <hyperlink r:id="rId2138" ref="N726"/>
    <hyperlink r:id="rId2139" ref="G727"/>
    <hyperlink r:id="rId2140" ref="K727"/>
    <hyperlink r:id="rId2141" ref="L727"/>
    <hyperlink r:id="rId2142" ref="N727"/>
    <hyperlink r:id="rId2143" ref="G728"/>
    <hyperlink r:id="rId2144" ref="K728"/>
    <hyperlink r:id="rId2145" ref="L728"/>
    <hyperlink r:id="rId2146" ref="N728"/>
    <hyperlink r:id="rId2147" ref="G729"/>
    <hyperlink r:id="rId2148" ref="K729"/>
    <hyperlink r:id="rId2149" ref="L729"/>
    <hyperlink r:id="rId2150" ref="N729"/>
    <hyperlink r:id="rId2151" ref="G730"/>
    <hyperlink r:id="rId2152" ref="K730"/>
    <hyperlink r:id="rId2153" ref="L730"/>
    <hyperlink r:id="rId2154" ref="N730"/>
    <hyperlink r:id="rId2155" ref="G731"/>
    <hyperlink r:id="rId2156" ref="K731"/>
    <hyperlink r:id="rId2157" ref="L731"/>
    <hyperlink r:id="rId2158" ref="N731"/>
    <hyperlink r:id="rId2159" ref="G732"/>
    <hyperlink r:id="rId2160" ref="K732"/>
    <hyperlink r:id="rId2161" ref="L732"/>
    <hyperlink r:id="rId2162" ref="N732"/>
    <hyperlink r:id="rId2163" ref="G733"/>
    <hyperlink r:id="rId2164" ref="K733"/>
    <hyperlink r:id="rId2165" ref="L733"/>
    <hyperlink r:id="rId2166" ref="N733"/>
    <hyperlink r:id="rId2167" ref="G734"/>
    <hyperlink r:id="rId2168" ref="K734"/>
    <hyperlink r:id="rId2169" ref="L734"/>
    <hyperlink r:id="rId2170" ref="N734"/>
    <hyperlink r:id="rId2171" ref="G735"/>
    <hyperlink r:id="rId2172" ref="K735"/>
    <hyperlink r:id="rId2173" ref="L735"/>
    <hyperlink r:id="rId2174" ref="N735"/>
    <hyperlink r:id="rId2175" ref="G736"/>
    <hyperlink r:id="rId2176" ref="K736"/>
    <hyperlink r:id="rId2177" ref="L736"/>
    <hyperlink r:id="rId2178" ref="N736"/>
    <hyperlink r:id="rId2179" ref="G737"/>
    <hyperlink r:id="rId2180" ref="K737"/>
    <hyperlink r:id="rId2181" ref="L737"/>
    <hyperlink r:id="rId2182" ref="N737"/>
    <hyperlink r:id="rId2183" ref="G738"/>
    <hyperlink r:id="rId2184" ref="K738"/>
    <hyperlink r:id="rId2185" ref="L738"/>
    <hyperlink r:id="rId2186" ref="N738"/>
    <hyperlink r:id="rId2187" ref="G739"/>
    <hyperlink r:id="rId2188" ref="K739"/>
    <hyperlink r:id="rId2189" ref="L739"/>
    <hyperlink r:id="rId2190" ref="N739"/>
    <hyperlink r:id="rId2191" ref="G740"/>
    <hyperlink r:id="rId2192" ref="K740"/>
    <hyperlink r:id="rId2193" ref="L740"/>
    <hyperlink r:id="rId2194" ref="N740"/>
    <hyperlink r:id="rId2195" ref="G741"/>
    <hyperlink r:id="rId2196" ref="K741"/>
    <hyperlink r:id="rId2197" ref="L741"/>
    <hyperlink r:id="rId2198" ref="N741"/>
    <hyperlink r:id="rId2199" ref="G742"/>
    <hyperlink r:id="rId2200" ref="K742"/>
    <hyperlink r:id="rId2201" ref="L742"/>
    <hyperlink r:id="rId2202" ref="N742"/>
    <hyperlink r:id="rId2203" ref="G743"/>
    <hyperlink r:id="rId2204" ref="K743"/>
    <hyperlink r:id="rId2205" ref="L743"/>
    <hyperlink r:id="rId2206" ref="N743"/>
    <hyperlink r:id="rId2207" ref="G744"/>
    <hyperlink r:id="rId2208" ref="K744"/>
    <hyperlink r:id="rId2209" ref="L744"/>
    <hyperlink r:id="rId2210" ref="N744"/>
    <hyperlink r:id="rId2211" ref="G745"/>
    <hyperlink r:id="rId2212" ref="K745"/>
    <hyperlink r:id="rId2213" ref="L745"/>
    <hyperlink r:id="rId2214" ref="N745"/>
    <hyperlink r:id="rId2215" ref="G746"/>
    <hyperlink r:id="rId2216" ref="K746"/>
    <hyperlink r:id="rId2217" ref="L746"/>
    <hyperlink r:id="rId2218" ref="N746"/>
    <hyperlink r:id="rId2219" ref="G747"/>
    <hyperlink r:id="rId2220" ref="K747"/>
    <hyperlink r:id="rId2221" ref="L747"/>
    <hyperlink r:id="rId2222" ref="N747"/>
    <hyperlink r:id="rId2223" ref="G748"/>
    <hyperlink r:id="rId2224" ref="K748"/>
    <hyperlink r:id="rId2225" ref="L748"/>
    <hyperlink r:id="rId2226" ref="N748"/>
    <hyperlink r:id="rId2227" ref="G749"/>
    <hyperlink r:id="rId2228" ref="K749"/>
    <hyperlink r:id="rId2229" ref="L749"/>
    <hyperlink r:id="rId2230" ref="N749"/>
    <hyperlink r:id="rId2231" ref="G750"/>
    <hyperlink r:id="rId2232" ref="K750"/>
    <hyperlink r:id="rId2233" ref="L750"/>
    <hyperlink r:id="rId2234" ref="N750"/>
    <hyperlink r:id="rId2235" ref="G751"/>
    <hyperlink r:id="rId2236" ref="K751"/>
    <hyperlink r:id="rId2237" ref="L751"/>
    <hyperlink r:id="rId2238" ref="N751"/>
    <hyperlink r:id="rId2239" ref="G752"/>
    <hyperlink r:id="rId2240" ref="K752"/>
    <hyperlink r:id="rId2241" ref="L752"/>
    <hyperlink r:id="rId2242" ref="N752"/>
    <hyperlink r:id="rId2243" ref="G753"/>
    <hyperlink r:id="rId2244" ref="K753"/>
    <hyperlink r:id="rId2245" ref="L753"/>
    <hyperlink r:id="rId2246" ref="N753"/>
    <hyperlink r:id="rId2247" ref="G754"/>
    <hyperlink r:id="rId2248" ref="K754"/>
    <hyperlink r:id="rId2249" ref="L754"/>
    <hyperlink r:id="rId2250" ref="N754"/>
    <hyperlink r:id="rId2251" ref="G755"/>
    <hyperlink r:id="rId2252" ref="K755"/>
    <hyperlink r:id="rId2253" ref="L755"/>
    <hyperlink r:id="rId2254" ref="N755"/>
    <hyperlink r:id="rId2255" ref="G756"/>
    <hyperlink r:id="rId2256" ref="K756"/>
    <hyperlink r:id="rId2257" ref="L756"/>
    <hyperlink r:id="rId2258" ref="N756"/>
    <hyperlink r:id="rId2259" ref="G757"/>
    <hyperlink r:id="rId2260" ref="K757"/>
    <hyperlink r:id="rId2261" ref="L757"/>
    <hyperlink r:id="rId2262" ref="N757"/>
    <hyperlink r:id="rId2263" ref="G758"/>
    <hyperlink r:id="rId2264" ref="K758"/>
    <hyperlink r:id="rId2265" ref="L758"/>
    <hyperlink r:id="rId2266" ref="N758"/>
    <hyperlink r:id="rId2267" ref="G759"/>
    <hyperlink r:id="rId2268" ref="K759"/>
    <hyperlink r:id="rId2269" ref="L759"/>
    <hyperlink r:id="rId2270" ref="N759"/>
    <hyperlink r:id="rId2271" ref="G760"/>
    <hyperlink r:id="rId2272" ref="K760"/>
    <hyperlink r:id="rId2273" ref="L760"/>
    <hyperlink r:id="rId2274" ref="N760"/>
    <hyperlink r:id="rId2275" ref="G761"/>
    <hyperlink r:id="rId2276" ref="K761"/>
    <hyperlink r:id="rId2277" ref="L761"/>
    <hyperlink r:id="rId2278" ref="N761"/>
    <hyperlink r:id="rId2279" ref="G762"/>
    <hyperlink r:id="rId2280" ref="K762"/>
    <hyperlink r:id="rId2281" ref="L762"/>
    <hyperlink r:id="rId2282" ref="N762"/>
    <hyperlink r:id="rId2283" ref="G763"/>
    <hyperlink r:id="rId2284" ref="K763"/>
    <hyperlink r:id="rId2285" ref="L763"/>
    <hyperlink r:id="rId2286" ref="N763"/>
    <hyperlink r:id="rId2287" ref="G764"/>
    <hyperlink r:id="rId2288" ref="K764"/>
    <hyperlink r:id="rId2289" ref="L764"/>
    <hyperlink r:id="rId2290" ref="N764"/>
    <hyperlink r:id="rId2291" ref="G765"/>
    <hyperlink r:id="rId2292" ref="K765"/>
    <hyperlink r:id="rId2293" ref="L765"/>
    <hyperlink r:id="rId2294" ref="N765"/>
    <hyperlink r:id="rId2295" ref="G766"/>
    <hyperlink r:id="rId2296" ref="K766"/>
    <hyperlink r:id="rId2297" ref="L766"/>
    <hyperlink r:id="rId2298" ref="N766"/>
    <hyperlink r:id="rId2299" ref="G767"/>
    <hyperlink r:id="rId2300" ref="K767"/>
    <hyperlink r:id="rId2301" ref="L767"/>
    <hyperlink r:id="rId2302" ref="N767"/>
    <hyperlink r:id="rId2303" ref="G768"/>
    <hyperlink r:id="rId2304" ref="K768"/>
    <hyperlink r:id="rId2305" ref="L768"/>
    <hyperlink r:id="rId2306" ref="N768"/>
    <hyperlink r:id="rId2307" ref="G769"/>
    <hyperlink r:id="rId2308" ref="K769"/>
    <hyperlink r:id="rId2309" ref="L769"/>
    <hyperlink r:id="rId2310" ref="N769"/>
    <hyperlink r:id="rId2311" ref="G770"/>
    <hyperlink r:id="rId2312" ref="K770"/>
    <hyperlink r:id="rId2313" ref="L770"/>
    <hyperlink r:id="rId2314" ref="N770"/>
    <hyperlink r:id="rId2315" ref="G771"/>
    <hyperlink r:id="rId2316" ref="K771"/>
    <hyperlink r:id="rId2317" ref="L771"/>
    <hyperlink r:id="rId2318" ref="N771"/>
    <hyperlink r:id="rId2319" ref="G772"/>
    <hyperlink r:id="rId2320" ref="K772"/>
    <hyperlink r:id="rId2321" ref="L772"/>
    <hyperlink r:id="rId2322" ref="N772"/>
    <hyperlink r:id="rId2323" ref="G773"/>
    <hyperlink r:id="rId2324" ref="K773"/>
    <hyperlink r:id="rId2325" ref="L773"/>
    <hyperlink r:id="rId2326" ref="N773"/>
    <hyperlink r:id="rId2327" ref="G774"/>
    <hyperlink r:id="rId2328" ref="K774"/>
    <hyperlink r:id="rId2329" ref="L774"/>
    <hyperlink r:id="rId2330" ref="N774"/>
    <hyperlink r:id="rId2331" ref="G775"/>
    <hyperlink r:id="rId2332" ref="K775"/>
    <hyperlink r:id="rId2333" ref="L775"/>
    <hyperlink r:id="rId2334" ref="N775"/>
    <hyperlink r:id="rId2335" ref="G776"/>
    <hyperlink r:id="rId2336" ref="K776"/>
    <hyperlink r:id="rId2337" ref="L776"/>
    <hyperlink r:id="rId2338" ref="N776"/>
    <hyperlink r:id="rId2339" ref="G777"/>
    <hyperlink r:id="rId2340" ref="K777"/>
    <hyperlink r:id="rId2341" ref="L777"/>
    <hyperlink r:id="rId2342" ref="N777"/>
    <hyperlink r:id="rId2343" ref="G778"/>
    <hyperlink r:id="rId2344" ref="K778"/>
    <hyperlink r:id="rId2345" ref="L778"/>
    <hyperlink r:id="rId2346" ref="N778"/>
    <hyperlink r:id="rId2347" ref="G779"/>
    <hyperlink r:id="rId2348" ref="K779"/>
    <hyperlink r:id="rId2349" ref="L779"/>
    <hyperlink r:id="rId2350" ref="N779"/>
    <hyperlink r:id="rId2351" ref="G780"/>
    <hyperlink r:id="rId2352" ref="K780"/>
    <hyperlink r:id="rId2353" ref="L780"/>
    <hyperlink r:id="rId2354" ref="N780"/>
    <hyperlink r:id="rId2355" ref="G781"/>
    <hyperlink r:id="rId2356" ref="K781"/>
    <hyperlink r:id="rId2357" ref="L781"/>
    <hyperlink r:id="rId2358" ref="N781"/>
    <hyperlink r:id="rId2359" ref="G782"/>
    <hyperlink r:id="rId2360" ref="K782"/>
    <hyperlink r:id="rId2361" ref="L782"/>
    <hyperlink r:id="rId2362" ref="N782"/>
    <hyperlink r:id="rId2363" ref="G783"/>
    <hyperlink r:id="rId2364" ref="K783"/>
    <hyperlink r:id="rId2365" ref="L783"/>
    <hyperlink r:id="rId2366" ref="N783"/>
    <hyperlink r:id="rId2367" ref="G784"/>
    <hyperlink r:id="rId2368" ref="K784"/>
    <hyperlink r:id="rId2369" ref="L784"/>
    <hyperlink r:id="rId2370" ref="N784"/>
    <hyperlink r:id="rId2371" ref="G785"/>
    <hyperlink r:id="rId2372" ref="K785"/>
    <hyperlink r:id="rId2373" ref="L785"/>
    <hyperlink r:id="rId2374" ref="N785"/>
    <hyperlink r:id="rId2375" ref="G786"/>
    <hyperlink r:id="rId2376" ref="K786"/>
    <hyperlink r:id="rId2377" ref="L786"/>
    <hyperlink r:id="rId2378" ref="N786"/>
    <hyperlink r:id="rId2379" ref="G787"/>
    <hyperlink r:id="rId2380" ref="K787"/>
    <hyperlink r:id="rId2381" ref="L787"/>
    <hyperlink r:id="rId2382" ref="N787"/>
    <hyperlink r:id="rId2383" ref="G788"/>
    <hyperlink r:id="rId2384" ref="K788"/>
    <hyperlink r:id="rId2385" ref="L788"/>
    <hyperlink r:id="rId2386" ref="G789"/>
    <hyperlink r:id="rId2387" ref="K789"/>
    <hyperlink r:id="rId2388" ref="L789"/>
    <hyperlink r:id="rId2389" ref="G790"/>
    <hyperlink r:id="rId2390" ref="K790"/>
    <hyperlink r:id="rId2391" ref="L790"/>
    <hyperlink r:id="rId2392" ref="G791"/>
    <hyperlink r:id="rId2393" ref="K791"/>
    <hyperlink r:id="rId2394" ref="L791"/>
    <hyperlink r:id="rId2395" ref="G792"/>
    <hyperlink r:id="rId2396" ref="K792"/>
    <hyperlink r:id="rId2397" ref="L792"/>
    <hyperlink r:id="rId2398" ref="G793"/>
    <hyperlink r:id="rId2399" ref="K793"/>
    <hyperlink r:id="rId2400" ref="L793"/>
    <hyperlink r:id="rId2401" ref="G794"/>
    <hyperlink r:id="rId2402" ref="K794"/>
    <hyperlink r:id="rId2403" ref="L794"/>
    <hyperlink r:id="rId2404" ref="G795"/>
    <hyperlink r:id="rId2405" ref="K795"/>
    <hyperlink r:id="rId2406" ref="L795"/>
    <hyperlink r:id="rId2407" ref="G796"/>
    <hyperlink r:id="rId2408" ref="K796"/>
    <hyperlink r:id="rId2409" ref="L796"/>
    <hyperlink r:id="rId2410" ref="G797"/>
    <hyperlink r:id="rId2411" ref="K797"/>
    <hyperlink r:id="rId2412" ref="L797"/>
    <hyperlink r:id="rId2413" ref="G798"/>
    <hyperlink r:id="rId2414" ref="K798"/>
    <hyperlink r:id="rId2415" ref="L798"/>
    <hyperlink r:id="rId2416" ref="G799"/>
    <hyperlink r:id="rId2417" ref="K799"/>
    <hyperlink r:id="rId2418" ref="L799"/>
    <hyperlink r:id="rId2419" ref="G800"/>
    <hyperlink r:id="rId2420" ref="K800"/>
    <hyperlink r:id="rId2421" ref="L800"/>
    <hyperlink r:id="rId2422" ref="G801"/>
    <hyperlink r:id="rId2423" ref="K801"/>
    <hyperlink r:id="rId2424" ref="L801"/>
    <hyperlink r:id="rId2425" ref="G802"/>
    <hyperlink r:id="rId2426" ref="K802"/>
    <hyperlink r:id="rId2427" ref="L802"/>
    <hyperlink r:id="rId2428" ref="G803"/>
    <hyperlink r:id="rId2429" ref="K803"/>
    <hyperlink r:id="rId2430" ref="L803"/>
    <hyperlink r:id="rId2431" ref="G804"/>
    <hyperlink r:id="rId2432" ref="K804"/>
    <hyperlink r:id="rId2433" ref="L804"/>
    <hyperlink r:id="rId2434" ref="G805"/>
    <hyperlink r:id="rId2435" ref="K805"/>
    <hyperlink r:id="rId2436" ref="L805"/>
    <hyperlink r:id="rId2437" ref="G806"/>
    <hyperlink r:id="rId2438" ref="K806"/>
    <hyperlink r:id="rId2439" ref="L806"/>
    <hyperlink r:id="rId2440" ref="G807"/>
    <hyperlink r:id="rId2441" ref="K807"/>
    <hyperlink r:id="rId2442" ref="L807"/>
    <hyperlink r:id="rId2443" ref="G808"/>
    <hyperlink r:id="rId2444" ref="K808"/>
    <hyperlink r:id="rId2445" ref="L808"/>
    <hyperlink r:id="rId2446" ref="G809"/>
    <hyperlink r:id="rId2447" ref="K809"/>
    <hyperlink r:id="rId2448" ref="L809"/>
    <hyperlink r:id="rId2449" ref="G810"/>
    <hyperlink r:id="rId2450" ref="K810"/>
    <hyperlink r:id="rId2451" ref="L810"/>
    <hyperlink r:id="rId2452" ref="G811"/>
    <hyperlink r:id="rId2453" ref="K811"/>
    <hyperlink r:id="rId2454" ref="L811"/>
    <hyperlink r:id="rId2455" ref="G812"/>
    <hyperlink r:id="rId2456" ref="K812"/>
    <hyperlink r:id="rId2457" ref="L812"/>
    <hyperlink r:id="rId2458" ref="G813"/>
    <hyperlink r:id="rId2459" ref="K813"/>
    <hyperlink r:id="rId2460" ref="L813"/>
    <hyperlink r:id="rId2461" ref="G814"/>
    <hyperlink r:id="rId2462" ref="K814"/>
    <hyperlink r:id="rId2463" ref="L814"/>
    <hyperlink r:id="rId2464" ref="G815"/>
    <hyperlink r:id="rId2465" ref="K815"/>
    <hyperlink r:id="rId2466" ref="G816"/>
    <hyperlink r:id="rId2467" ref="K816"/>
    <hyperlink r:id="rId2468" ref="G817"/>
    <hyperlink r:id="rId2469" ref="K817"/>
    <hyperlink r:id="rId2470" ref="G818"/>
    <hyperlink r:id="rId2471" ref="K818"/>
    <hyperlink r:id="rId2472" ref="G819"/>
    <hyperlink r:id="rId2473" ref="K819"/>
    <hyperlink r:id="rId2474" ref="G820"/>
    <hyperlink r:id="rId2475" ref="K820"/>
    <hyperlink r:id="rId2476" ref="G821"/>
    <hyperlink r:id="rId2477" ref="K821"/>
    <hyperlink r:id="rId2478" ref="G822"/>
    <hyperlink r:id="rId2479" ref="K822"/>
    <hyperlink r:id="rId2480" ref="G823"/>
    <hyperlink r:id="rId2481" ref="K823"/>
    <hyperlink r:id="rId2482" ref="G824"/>
    <hyperlink r:id="rId2483" ref="K824"/>
    <hyperlink r:id="rId2484" ref="G825"/>
    <hyperlink r:id="rId2485" ref="K825"/>
    <hyperlink r:id="rId2486" ref="G826"/>
    <hyperlink r:id="rId2487" ref="K826"/>
    <hyperlink r:id="rId2488" ref="G828"/>
    <hyperlink r:id="rId2489" ref="K828"/>
    <hyperlink r:id="rId2490" ref="L828"/>
    <hyperlink r:id="rId2491" ref="G829"/>
    <hyperlink r:id="rId2492" ref="K829"/>
    <hyperlink r:id="rId2493" ref="L829"/>
    <hyperlink r:id="rId2494" ref="G830"/>
    <hyperlink r:id="rId2495" ref="K830"/>
    <hyperlink r:id="rId2496" ref="L830"/>
    <hyperlink r:id="rId2497" ref="G831"/>
    <hyperlink r:id="rId2498" ref="K831"/>
    <hyperlink r:id="rId2499" ref="L831"/>
    <hyperlink r:id="rId2500" ref="G832"/>
    <hyperlink r:id="rId2501" ref="K832"/>
    <hyperlink r:id="rId2502" ref="L832"/>
    <hyperlink r:id="rId2503" ref="G833"/>
    <hyperlink r:id="rId2504" ref="K833"/>
    <hyperlink r:id="rId2505" ref="L833"/>
    <hyperlink r:id="rId2506" ref="G834"/>
    <hyperlink r:id="rId2507" ref="K834"/>
    <hyperlink r:id="rId2508" ref="L834"/>
    <hyperlink r:id="rId2509" ref="G835"/>
    <hyperlink r:id="rId2510" ref="K835"/>
    <hyperlink r:id="rId2511" ref="L835"/>
    <hyperlink r:id="rId2512" ref="G836"/>
    <hyperlink r:id="rId2513" ref="K836"/>
    <hyperlink r:id="rId2514" ref="L836"/>
    <hyperlink r:id="rId2515" ref="G837"/>
    <hyperlink r:id="rId2516" ref="K837"/>
    <hyperlink r:id="rId2517" ref="L837"/>
    <hyperlink r:id="rId2518" ref="G838"/>
    <hyperlink r:id="rId2519" ref="K838"/>
    <hyperlink r:id="rId2520" ref="L838"/>
    <hyperlink r:id="rId2521" ref="G839"/>
    <hyperlink r:id="rId2522" ref="K839"/>
    <hyperlink r:id="rId2523" ref="L839"/>
    <hyperlink r:id="rId2524" ref="G840"/>
    <hyperlink r:id="rId2525" ref="K840"/>
    <hyperlink r:id="rId2526" ref="L840"/>
    <hyperlink r:id="rId2527" ref="G841"/>
    <hyperlink r:id="rId2528" ref="K841"/>
    <hyperlink r:id="rId2529" ref="L841"/>
    <hyperlink r:id="rId2530" ref="G842"/>
    <hyperlink r:id="rId2531" ref="K842"/>
    <hyperlink r:id="rId2532" ref="L842"/>
    <hyperlink r:id="rId2533" ref="G843"/>
    <hyperlink r:id="rId2534" ref="K843"/>
    <hyperlink r:id="rId2535" ref="L843"/>
    <hyperlink r:id="rId2536" ref="G844"/>
    <hyperlink r:id="rId2537" ref="K844"/>
    <hyperlink r:id="rId2538" ref="L844"/>
    <hyperlink r:id="rId2539" ref="G845"/>
    <hyperlink r:id="rId2540" ref="K845"/>
    <hyperlink r:id="rId2541" ref="L845"/>
    <hyperlink r:id="rId2542" ref="G846"/>
    <hyperlink r:id="rId2543" ref="K846"/>
    <hyperlink r:id="rId2544" ref="L846"/>
    <hyperlink r:id="rId2545" ref="G847"/>
    <hyperlink r:id="rId2546" ref="K847"/>
    <hyperlink r:id="rId2547" ref="L847"/>
    <hyperlink r:id="rId2548" ref="G848"/>
    <hyperlink r:id="rId2549" ref="K848"/>
    <hyperlink r:id="rId2550" ref="L848"/>
    <hyperlink r:id="rId2551" ref="G849"/>
    <hyperlink r:id="rId2552" ref="K849"/>
    <hyperlink r:id="rId2553" ref="L849"/>
    <hyperlink r:id="rId2554" ref="G850"/>
    <hyperlink r:id="rId2555" ref="K850"/>
    <hyperlink r:id="rId2556" ref="L850"/>
    <hyperlink r:id="rId2557" ref="G851"/>
    <hyperlink r:id="rId2558" ref="K851"/>
    <hyperlink r:id="rId2559" ref="L851"/>
    <hyperlink r:id="rId2560" ref="G852"/>
    <hyperlink r:id="rId2561" ref="K852"/>
    <hyperlink r:id="rId2562" ref="L852"/>
    <hyperlink r:id="rId2563" ref="G853"/>
    <hyperlink r:id="rId2564" ref="K853"/>
    <hyperlink r:id="rId2565" ref="L853"/>
    <hyperlink r:id="rId2566" ref="G854"/>
    <hyperlink r:id="rId2567" ref="K854"/>
    <hyperlink r:id="rId2568" ref="L854"/>
    <hyperlink r:id="rId2569" ref="G855"/>
    <hyperlink r:id="rId2570" ref="K855"/>
    <hyperlink r:id="rId2571" ref="L855"/>
    <hyperlink r:id="rId2572" ref="G856"/>
    <hyperlink r:id="rId2573" ref="K856"/>
    <hyperlink r:id="rId2574" ref="L856"/>
    <hyperlink r:id="rId2575" ref="G857"/>
    <hyperlink r:id="rId2576" ref="K857"/>
    <hyperlink r:id="rId2577" ref="L857"/>
    <hyperlink r:id="rId2578" ref="G858"/>
    <hyperlink r:id="rId2579" ref="K858"/>
    <hyperlink r:id="rId2580" ref="L858"/>
    <hyperlink r:id="rId2581" ref="G859"/>
    <hyperlink r:id="rId2582" ref="K859"/>
    <hyperlink r:id="rId2583" ref="L859"/>
    <hyperlink r:id="rId2584" ref="G860"/>
    <hyperlink r:id="rId2585" ref="K860"/>
    <hyperlink r:id="rId2586" ref="L860"/>
    <hyperlink r:id="rId2587" ref="G861"/>
    <hyperlink r:id="rId2588" ref="K861"/>
    <hyperlink r:id="rId2589" ref="L861"/>
    <hyperlink r:id="rId2590" ref="G862"/>
    <hyperlink r:id="rId2591" ref="K862"/>
    <hyperlink r:id="rId2592" ref="L862"/>
    <hyperlink r:id="rId2593" ref="G863"/>
    <hyperlink r:id="rId2594" ref="K863"/>
    <hyperlink r:id="rId2595" ref="L863"/>
    <hyperlink r:id="rId2596" ref="G864"/>
    <hyperlink r:id="rId2597" ref="K864"/>
    <hyperlink r:id="rId2598" ref="L864"/>
    <hyperlink r:id="rId2599" ref="G865"/>
    <hyperlink r:id="rId2600" ref="K865"/>
    <hyperlink r:id="rId2601" ref="L865"/>
    <hyperlink r:id="rId2602" ref="G866"/>
    <hyperlink r:id="rId2603" ref="K866"/>
    <hyperlink r:id="rId2604" ref="L866"/>
    <hyperlink r:id="rId2605" ref="G867"/>
    <hyperlink r:id="rId2606" ref="K867"/>
    <hyperlink r:id="rId2607" ref="L867"/>
    <hyperlink r:id="rId2608" ref="G868"/>
    <hyperlink r:id="rId2609" ref="K868"/>
    <hyperlink r:id="rId2610" ref="L868"/>
    <hyperlink r:id="rId2611" ref="G869"/>
    <hyperlink r:id="rId2612" ref="K869"/>
    <hyperlink r:id="rId2613" ref="L869"/>
    <hyperlink r:id="rId2614" ref="G870"/>
    <hyperlink r:id="rId2615" ref="K870"/>
    <hyperlink r:id="rId2616" ref="L870"/>
    <hyperlink r:id="rId2617" ref="G871"/>
    <hyperlink r:id="rId2618" ref="K871"/>
    <hyperlink r:id="rId2619" ref="L871"/>
    <hyperlink r:id="rId2620" ref="G872"/>
    <hyperlink r:id="rId2621" ref="K872"/>
    <hyperlink r:id="rId2622" ref="L872"/>
    <hyperlink r:id="rId2623" ref="G873"/>
    <hyperlink r:id="rId2624" ref="K873"/>
    <hyperlink r:id="rId2625" ref="L873"/>
    <hyperlink r:id="rId2626" ref="G874"/>
    <hyperlink r:id="rId2627" ref="K874"/>
    <hyperlink r:id="rId2628" ref="L874"/>
    <hyperlink r:id="rId2629" ref="G875"/>
    <hyperlink r:id="rId2630" ref="K875"/>
    <hyperlink r:id="rId2631" ref="L875"/>
    <hyperlink r:id="rId2632" ref="G876"/>
    <hyperlink r:id="rId2633" ref="K876"/>
    <hyperlink r:id="rId2634" ref="L876"/>
    <hyperlink r:id="rId2635" ref="G877"/>
    <hyperlink r:id="rId2636" ref="K877"/>
    <hyperlink r:id="rId2637" ref="L877"/>
    <hyperlink r:id="rId2638" ref="G878"/>
    <hyperlink r:id="rId2639" ref="K878"/>
    <hyperlink r:id="rId2640" ref="L878"/>
    <hyperlink r:id="rId2641" ref="G879"/>
    <hyperlink r:id="rId2642" ref="K879"/>
    <hyperlink r:id="rId2643" ref="L879"/>
    <hyperlink r:id="rId2644" ref="G880"/>
    <hyperlink r:id="rId2645" ref="K880"/>
    <hyperlink r:id="rId2646" ref="L880"/>
    <hyperlink r:id="rId2647" ref="G881"/>
    <hyperlink r:id="rId2648" ref="K881"/>
    <hyperlink r:id="rId2649" ref="L881"/>
    <hyperlink r:id="rId2650" ref="G882"/>
    <hyperlink r:id="rId2651" ref="K882"/>
    <hyperlink r:id="rId2652" ref="L882"/>
    <hyperlink r:id="rId2653" ref="G883"/>
    <hyperlink r:id="rId2654" ref="K883"/>
    <hyperlink r:id="rId2655" ref="L883"/>
    <hyperlink r:id="rId2656" ref="F884"/>
    <hyperlink r:id="rId2657" ref="G884"/>
    <hyperlink r:id="rId2658" ref="K884"/>
    <hyperlink r:id="rId2659" ref="L884"/>
    <hyperlink r:id="rId2660" ref="G885"/>
    <hyperlink r:id="rId2661" ref="K885"/>
    <hyperlink r:id="rId2662" ref="L885"/>
    <hyperlink r:id="rId2663" ref="G886"/>
    <hyperlink r:id="rId2664" ref="K886"/>
    <hyperlink r:id="rId2665" ref="L886"/>
    <hyperlink r:id="rId2666" ref="G887"/>
    <hyperlink r:id="rId2667" ref="K887"/>
    <hyperlink r:id="rId2668" ref="L887"/>
    <hyperlink r:id="rId2669" ref="G888"/>
    <hyperlink r:id="rId2670" ref="K888"/>
    <hyperlink r:id="rId2671" ref="L888"/>
    <hyperlink r:id="rId2672" ref="G889"/>
    <hyperlink r:id="rId2673" ref="K889"/>
    <hyperlink r:id="rId2674" ref="L889"/>
    <hyperlink r:id="rId2675" ref="G890"/>
    <hyperlink r:id="rId2676" ref="K890"/>
    <hyperlink r:id="rId2677" ref="L890"/>
    <hyperlink r:id="rId2678" ref="G891"/>
    <hyperlink r:id="rId2679" ref="K891"/>
    <hyperlink r:id="rId2680" ref="L891"/>
    <hyperlink r:id="rId2681" ref="G892"/>
    <hyperlink r:id="rId2682" ref="K892"/>
    <hyperlink r:id="rId2683" ref="L892"/>
    <hyperlink r:id="rId2684" ref="G893"/>
    <hyperlink r:id="rId2685" ref="K893"/>
    <hyperlink r:id="rId2686" ref="L893"/>
    <hyperlink r:id="rId2687" ref="G894"/>
    <hyperlink r:id="rId2688" ref="K894"/>
    <hyperlink r:id="rId2689" ref="L894"/>
    <hyperlink r:id="rId2690" ref="G895"/>
    <hyperlink r:id="rId2691" ref="K895"/>
    <hyperlink r:id="rId2692" ref="L895"/>
    <hyperlink r:id="rId2693" ref="G896"/>
    <hyperlink r:id="rId2694" ref="K896"/>
    <hyperlink r:id="rId2695" ref="L896"/>
    <hyperlink r:id="rId2696" ref="G897"/>
    <hyperlink r:id="rId2697" ref="K897"/>
    <hyperlink r:id="rId2698" ref="L897"/>
    <hyperlink r:id="rId2699" ref="G898"/>
    <hyperlink r:id="rId2700" ref="K898"/>
    <hyperlink r:id="rId2701" ref="L898"/>
    <hyperlink r:id="rId2702" ref="G899"/>
    <hyperlink r:id="rId2703" ref="K899"/>
    <hyperlink r:id="rId2704" ref="L899"/>
    <hyperlink r:id="rId2705" ref="G900"/>
    <hyperlink r:id="rId2706" ref="K900"/>
    <hyperlink r:id="rId2707" ref="L900"/>
    <hyperlink r:id="rId2708" ref="G901"/>
    <hyperlink r:id="rId2709" ref="K901"/>
    <hyperlink r:id="rId2710" ref="L901"/>
    <hyperlink r:id="rId2711" ref="G902"/>
    <hyperlink r:id="rId2712" ref="K902"/>
    <hyperlink r:id="rId2713" ref="L902"/>
    <hyperlink r:id="rId2714" ref="G903"/>
    <hyperlink r:id="rId2715" ref="K903"/>
    <hyperlink r:id="rId2716" ref="L903"/>
    <hyperlink r:id="rId2717" ref="G904"/>
    <hyperlink r:id="rId2718" ref="K904"/>
    <hyperlink r:id="rId2719" ref="L904"/>
    <hyperlink r:id="rId2720" ref="G905"/>
    <hyperlink r:id="rId2721" ref="K905"/>
    <hyperlink r:id="rId2722" ref="L905"/>
    <hyperlink r:id="rId2723" ref="G906"/>
    <hyperlink r:id="rId2724" ref="K906"/>
    <hyperlink r:id="rId2725" ref="L906"/>
    <hyperlink r:id="rId2726" ref="G907"/>
    <hyperlink r:id="rId2727" ref="K907"/>
    <hyperlink r:id="rId2728" ref="L907"/>
    <hyperlink r:id="rId2729" ref="G908"/>
    <hyperlink r:id="rId2730" ref="K908"/>
    <hyperlink r:id="rId2731" ref="L908"/>
    <hyperlink r:id="rId2732" ref="G909"/>
    <hyperlink r:id="rId2733" ref="K909"/>
    <hyperlink r:id="rId2734" ref="L909"/>
    <hyperlink r:id="rId2735" ref="G910"/>
    <hyperlink r:id="rId2736" ref="K910"/>
    <hyperlink r:id="rId2737" ref="L910"/>
    <hyperlink r:id="rId2738" ref="G911"/>
    <hyperlink r:id="rId2739" ref="K911"/>
    <hyperlink r:id="rId2740" ref="G912"/>
    <hyperlink r:id="rId2741" ref="K912"/>
    <hyperlink r:id="rId2742" ref="G913"/>
    <hyperlink r:id="rId2743" ref="K913"/>
    <hyperlink r:id="rId2744" ref="G914"/>
    <hyperlink r:id="rId2745" ref="K914"/>
    <hyperlink r:id="rId2746" ref="K915"/>
    <hyperlink r:id="rId2747" ref="G916"/>
    <hyperlink r:id="rId2748" ref="K916"/>
    <hyperlink r:id="rId2749" ref="G917"/>
    <hyperlink r:id="rId2750" ref="K917"/>
    <hyperlink r:id="rId2751" ref="G918"/>
    <hyperlink r:id="rId2752" ref="K918"/>
    <hyperlink r:id="rId2753" ref="G919"/>
    <hyperlink r:id="rId2754" ref="K919"/>
    <hyperlink r:id="rId2755" ref="G920"/>
    <hyperlink r:id="rId2756" ref="K920"/>
    <hyperlink r:id="rId2757" ref="G921"/>
    <hyperlink r:id="rId2758" ref="K921"/>
    <hyperlink r:id="rId2759" ref="G922"/>
    <hyperlink r:id="rId2760" ref="K922"/>
    <hyperlink r:id="rId2761" ref="L922"/>
    <hyperlink r:id="rId2762" ref="G923"/>
    <hyperlink r:id="rId2763" ref="K923"/>
    <hyperlink r:id="rId2764" ref="L923"/>
    <hyperlink r:id="rId2765" ref="G925"/>
    <hyperlink r:id="rId2766" ref="K925"/>
    <hyperlink r:id="rId2767" ref="L925"/>
    <hyperlink r:id="rId2768" ref="G926"/>
    <hyperlink r:id="rId2769" ref="K926"/>
    <hyperlink r:id="rId2770" ref="L926"/>
    <hyperlink r:id="rId2771" ref="G928"/>
    <hyperlink r:id="rId2772" ref="K928"/>
    <hyperlink r:id="rId2773" ref="L928"/>
    <hyperlink r:id="rId2774" ref="G929"/>
    <hyperlink r:id="rId2775" ref="K929"/>
    <hyperlink r:id="rId2776" ref="L929"/>
    <hyperlink r:id="rId2777" ref="G930"/>
    <hyperlink r:id="rId2778" ref="K930"/>
    <hyperlink r:id="rId2779" ref="L930"/>
    <hyperlink r:id="rId2780" ref="G931"/>
    <hyperlink r:id="rId2781" ref="K931"/>
    <hyperlink r:id="rId2782" ref="L931"/>
    <hyperlink r:id="rId2783" ref="G932"/>
    <hyperlink r:id="rId2784" ref="K932"/>
    <hyperlink r:id="rId2785" ref="L932"/>
    <hyperlink r:id="rId2786" ref="G933"/>
    <hyperlink r:id="rId2787" ref="K933"/>
    <hyperlink r:id="rId2788" ref="L933"/>
    <hyperlink r:id="rId2789" ref="G935"/>
    <hyperlink r:id="rId2790" ref="K935"/>
    <hyperlink r:id="rId2791" ref="L935"/>
    <hyperlink r:id="rId2792" ref="G936"/>
    <hyperlink r:id="rId2793" ref="K936"/>
    <hyperlink r:id="rId2794" ref="L936"/>
    <hyperlink r:id="rId2795" ref="G937"/>
    <hyperlink r:id="rId2796" ref="K937"/>
    <hyperlink r:id="rId2797" ref="L937"/>
    <hyperlink r:id="rId2798" ref="G938"/>
    <hyperlink r:id="rId2799" ref="K938"/>
    <hyperlink r:id="rId2800" ref="L938"/>
    <hyperlink r:id="rId2801" ref="G939"/>
    <hyperlink r:id="rId2802" ref="K939"/>
    <hyperlink r:id="rId2803" ref="L939"/>
    <hyperlink r:id="rId2804" ref="G941"/>
    <hyperlink r:id="rId2805" ref="K941"/>
    <hyperlink r:id="rId2806" ref="L941"/>
    <hyperlink r:id="rId2807" ref="G942"/>
    <hyperlink r:id="rId2808" ref="K942"/>
    <hyperlink r:id="rId2809" ref="L942"/>
    <hyperlink r:id="rId2810" ref="G943"/>
    <hyperlink r:id="rId2811" ref="K943"/>
    <hyperlink r:id="rId2812" ref="L943"/>
    <hyperlink r:id="rId2813" ref="G944"/>
    <hyperlink r:id="rId2814" ref="K944"/>
    <hyperlink r:id="rId2815" ref="L944"/>
    <hyperlink r:id="rId2816" ref="G945"/>
    <hyperlink r:id="rId2817" ref="K945"/>
    <hyperlink r:id="rId2818" ref="L945"/>
    <hyperlink r:id="rId2819" ref="G947"/>
    <hyperlink r:id="rId2820" ref="K947"/>
    <hyperlink r:id="rId2821" ref="L947"/>
    <hyperlink r:id="rId2822" ref="G948"/>
    <hyperlink r:id="rId2823" ref="K948"/>
    <hyperlink r:id="rId2824" ref="L948"/>
    <hyperlink r:id="rId2825" ref="G949"/>
    <hyperlink r:id="rId2826" ref="K949"/>
    <hyperlink r:id="rId2827" ref="L949"/>
    <hyperlink r:id="rId2828" ref="G950"/>
    <hyperlink r:id="rId2829" ref="K950"/>
    <hyperlink r:id="rId2830" ref="L950"/>
    <hyperlink r:id="rId2831" ref="G951"/>
    <hyperlink r:id="rId2832" ref="K951"/>
    <hyperlink r:id="rId2833" ref="L951"/>
    <hyperlink r:id="rId2834" ref="G952"/>
    <hyperlink r:id="rId2835" ref="K952"/>
    <hyperlink r:id="rId2836" ref="L952"/>
  </hyperlinks>
  <printOptions gridLines="1" horizontalCentered="1"/>
  <pageMargins bottom="0.75" footer="0.0" header="0.0" left="0.7" right="0.7" top="0.75"/>
  <pageSetup fitToHeight="0" paperSize="9" cellComments="atEnd" orientation="landscape" pageOrder="overThenDown"/>
  <drawing r:id="rId2837"/>
  <tableParts count="20">
    <tablePart r:id="rId2858"/>
    <tablePart r:id="rId2859"/>
    <tablePart r:id="rId2860"/>
    <tablePart r:id="rId2861"/>
    <tablePart r:id="rId2862"/>
    <tablePart r:id="rId2863"/>
    <tablePart r:id="rId2864"/>
    <tablePart r:id="rId2865"/>
    <tablePart r:id="rId2866"/>
    <tablePart r:id="rId2867"/>
    <tablePart r:id="rId2868"/>
    <tablePart r:id="rId2869"/>
    <tablePart r:id="rId2870"/>
    <tablePart r:id="rId2871"/>
    <tablePart r:id="rId2872"/>
    <tablePart r:id="rId2873"/>
    <tablePart r:id="rId2874"/>
    <tablePart r:id="rId2875"/>
    <tablePart r:id="rId2876"/>
    <tablePart r:id="rId287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8.0" topLeftCell="A9" activePane="bottomLeft" state="frozen"/>
      <selection activeCell="B10" sqref="B10" pane="bottomLeft"/>
    </sheetView>
  </sheetViews>
  <sheetFormatPr customHeight="1" defaultColWidth="14.43" defaultRowHeight="15.75" outlineLevelCol="1"/>
  <cols>
    <col customWidth="1" min="1" max="1" width="2.29"/>
    <col customWidth="1" min="2" max="2" width="29.86"/>
    <col customWidth="1" min="3" max="3" width="80.29"/>
    <col customWidth="1" min="4" max="4" width="22.43"/>
    <col customWidth="1" min="5" max="5" width="40.29" outlineLevel="1"/>
    <col customWidth="1" min="6" max="6" width="25.57" outlineLevel="1"/>
    <col customWidth="1" min="7" max="7" width="54.86" outlineLevel="1"/>
    <col customWidth="1" min="8" max="8" width="29.0" outlineLevel="1"/>
    <col customWidth="1" min="9" max="9" width="36.57" outlineLevel="1"/>
    <col customWidth="1" min="10" max="10" width="33.14" outlineLevel="1"/>
    <col customWidth="1" min="11" max="11" width="34.29" outlineLevel="1"/>
    <col customWidth="1" min="12" max="12" width="26.14"/>
    <col customWidth="1" min="13" max="15" width="34.29"/>
  </cols>
  <sheetData>
    <row r="1">
      <c r="A1" s="8" t="s">
        <v>15</v>
      </c>
      <c r="B1" s="9" t="s">
        <v>21</v>
      </c>
      <c r="C1" s="10"/>
      <c r="D1" s="10"/>
      <c r="E1" s="10"/>
      <c r="F1" s="11"/>
      <c r="G1" s="13"/>
      <c r="H1" s="15"/>
      <c r="I1" s="15"/>
      <c r="J1" s="18"/>
      <c r="K1" s="18"/>
      <c r="L1" s="19"/>
      <c r="M1" s="19"/>
      <c r="N1" s="19"/>
      <c r="O1" s="19"/>
    </row>
    <row r="2">
      <c r="A2" s="21"/>
      <c r="B2" s="22"/>
      <c r="F2" s="24"/>
      <c r="G2" s="13"/>
      <c r="H2" s="15"/>
      <c r="I2" s="15"/>
      <c r="J2" s="18"/>
      <c r="K2" s="18"/>
      <c r="L2" s="19"/>
      <c r="M2" s="19"/>
      <c r="N2" s="19"/>
      <c r="O2" s="19"/>
    </row>
    <row r="3" ht="11.25" customHeight="1">
      <c r="A3" s="21"/>
      <c r="B3" s="22"/>
      <c r="F3" s="24"/>
      <c r="G3" s="13"/>
      <c r="H3" s="15"/>
      <c r="I3" s="15"/>
      <c r="J3" s="18"/>
      <c r="K3" s="18"/>
      <c r="L3" s="19"/>
      <c r="M3" s="19"/>
      <c r="N3" s="19"/>
      <c r="O3" s="19"/>
    </row>
    <row r="4" ht="15.0" customHeight="1">
      <c r="A4" s="21"/>
      <c r="B4" s="26"/>
      <c r="C4" s="27"/>
      <c r="D4" s="27"/>
      <c r="E4" s="27"/>
      <c r="F4" s="28"/>
      <c r="G4" s="29"/>
      <c r="H4" s="18"/>
      <c r="I4" s="18"/>
      <c r="J4" s="18"/>
      <c r="K4" s="18"/>
      <c r="L4" s="19"/>
      <c r="M4" s="19"/>
      <c r="N4" s="19"/>
      <c r="O4" s="19"/>
    </row>
    <row r="5" ht="16.5" customHeight="1">
      <c r="A5" s="21"/>
      <c r="B5" s="49" t="s">
        <v>39</v>
      </c>
      <c r="C5" s="33"/>
      <c r="D5" s="50"/>
      <c r="E5" s="50"/>
      <c r="F5" s="50"/>
      <c r="G5" s="29"/>
      <c r="H5" s="18"/>
      <c r="I5" s="18"/>
      <c r="J5" s="18"/>
      <c r="K5" s="18"/>
      <c r="L5" s="19"/>
      <c r="M5" s="19"/>
      <c r="N5" s="19"/>
      <c r="O5" s="19"/>
    </row>
    <row r="6" ht="12.0" customHeight="1">
      <c r="A6" s="51"/>
      <c r="B6" s="52"/>
      <c r="C6" s="52"/>
      <c r="D6" s="53"/>
      <c r="E6" s="50"/>
      <c r="F6" s="50"/>
      <c r="G6" s="29"/>
      <c r="H6" s="18"/>
      <c r="I6" s="18"/>
      <c r="J6" s="18"/>
      <c r="K6" s="54"/>
      <c r="L6" s="19"/>
      <c r="M6" s="19"/>
      <c r="N6" s="19"/>
      <c r="O6" s="19"/>
    </row>
    <row r="7">
      <c r="A7" s="56"/>
      <c r="B7" s="57"/>
      <c r="C7" s="58"/>
      <c r="D7" s="60"/>
      <c r="E7" s="60"/>
      <c r="F7" s="60"/>
      <c r="G7" s="61"/>
      <c r="H7" s="61"/>
      <c r="I7" s="61"/>
      <c r="J7" s="61"/>
      <c r="K7" s="61"/>
      <c r="L7" s="63"/>
      <c r="M7" s="63"/>
      <c r="N7" s="63"/>
      <c r="O7" s="63"/>
    </row>
    <row r="8">
      <c r="A8" s="67"/>
      <c r="B8" s="68" t="s">
        <v>0</v>
      </c>
      <c r="C8" s="68" t="s">
        <v>150</v>
      </c>
      <c r="D8" s="70" t="s">
        <v>152</v>
      </c>
      <c r="E8" s="70" t="s">
        <v>153</v>
      </c>
      <c r="F8" s="70" t="s">
        <v>154</v>
      </c>
      <c r="G8" s="72" t="s">
        <v>156</v>
      </c>
      <c r="H8" s="72" t="s">
        <v>158</v>
      </c>
      <c r="I8" s="72" t="s">
        <v>159</v>
      </c>
      <c r="J8" s="72" t="s">
        <v>160</v>
      </c>
      <c r="K8" s="72" t="s">
        <v>162</v>
      </c>
      <c r="L8" s="75" t="s">
        <v>163</v>
      </c>
      <c r="M8" s="75" t="s">
        <v>164</v>
      </c>
      <c r="N8" s="75" t="s">
        <v>165</v>
      </c>
      <c r="O8" s="75" t="s">
        <v>166</v>
      </c>
    </row>
    <row r="9">
      <c r="A9" s="67"/>
      <c r="B9" s="88" t="s">
        <v>176</v>
      </c>
      <c r="C9" s="5" t="s">
        <v>1</v>
      </c>
      <c r="D9" s="38" t="s">
        <v>179</v>
      </c>
      <c r="E9" s="3" t="s">
        <v>181</v>
      </c>
      <c r="F9" s="93" t="s">
        <v>183</v>
      </c>
      <c r="G9" s="95" t="s">
        <v>185</v>
      </c>
      <c r="H9" s="96" t="s">
        <v>192</v>
      </c>
      <c r="I9" s="96" t="s">
        <v>195</v>
      </c>
      <c r="J9" s="98" t="s">
        <v>196</v>
      </c>
      <c r="K9" s="99" t="s">
        <v>196</v>
      </c>
      <c r="L9" s="100">
        <v>4.21</v>
      </c>
      <c r="M9" s="101">
        <v>44872.0</v>
      </c>
      <c r="N9" s="102" t="s">
        <v>208</v>
      </c>
      <c r="O9" s="102" t="s">
        <v>209</v>
      </c>
    </row>
    <row r="10">
      <c r="A10" s="67"/>
      <c r="B10" s="88" t="s">
        <v>176</v>
      </c>
      <c r="C10" s="5" t="s">
        <v>3</v>
      </c>
      <c r="D10" s="5" t="s">
        <v>212</v>
      </c>
      <c r="E10" s="3" t="s">
        <v>213</v>
      </c>
      <c r="F10" s="3" t="s">
        <v>215</v>
      </c>
      <c r="G10" s="95" t="s">
        <v>216</v>
      </c>
      <c r="H10" s="96" t="s">
        <v>224</v>
      </c>
      <c r="I10" s="96" t="s">
        <v>226</v>
      </c>
      <c r="J10" s="98" t="s">
        <v>227</v>
      </c>
      <c r="K10" s="99" t="s">
        <v>227</v>
      </c>
      <c r="L10" s="100">
        <v>4.71</v>
      </c>
      <c r="M10" s="113">
        <v>44879.0</v>
      </c>
      <c r="N10" s="102" t="s">
        <v>238</v>
      </c>
      <c r="O10" s="102" t="s">
        <v>239</v>
      </c>
    </row>
    <row r="11">
      <c r="A11" s="67"/>
      <c r="B11" s="88" t="s">
        <v>176</v>
      </c>
      <c r="C11" s="5" t="s">
        <v>4</v>
      </c>
      <c r="D11" s="5" t="s">
        <v>241</v>
      </c>
      <c r="E11" s="3" t="s">
        <v>243</v>
      </c>
      <c r="F11" s="3" t="s">
        <v>244</v>
      </c>
      <c r="G11" s="95" t="s">
        <v>245</v>
      </c>
      <c r="H11" s="96" t="s">
        <v>192</v>
      </c>
      <c r="I11" s="96" t="s">
        <v>195</v>
      </c>
      <c r="J11" s="98" t="s">
        <v>252</v>
      </c>
      <c r="K11" s="99" t="s">
        <v>252</v>
      </c>
      <c r="L11" s="100">
        <v>3.5</v>
      </c>
      <c r="M11" s="113">
        <v>44886.0</v>
      </c>
      <c r="N11" s="102" t="s">
        <v>208</v>
      </c>
      <c r="O11" s="102" t="s">
        <v>265</v>
      </c>
    </row>
    <row r="12">
      <c r="A12" s="67"/>
      <c r="B12" s="88" t="s">
        <v>176</v>
      </c>
      <c r="C12" s="5" t="s">
        <v>5</v>
      </c>
      <c r="D12" s="5" t="s">
        <v>267</v>
      </c>
      <c r="E12" s="3" t="s">
        <v>268</v>
      </c>
      <c r="F12" s="3" t="s">
        <v>270</v>
      </c>
      <c r="G12" s="95" t="s">
        <v>271</v>
      </c>
      <c r="H12" s="96" t="s">
        <v>192</v>
      </c>
      <c r="I12" s="96" t="s">
        <v>276</v>
      </c>
      <c r="J12" s="98" t="s">
        <v>277</v>
      </c>
      <c r="K12" s="99" t="s">
        <v>277</v>
      </c>
      <c r="L12" s="100">
        <v>4.86</v>
      </c>
      <c r="M12" s="113">
        <v>44893.0</v>
      </c>
      <c r="N12" s="102" t="s">
        <v>284</v>
      </c>
      <c r="O12" s="102" t="s">
        <v>285</v>
      </c>
    </row>
    <row r="13">
      <c r="A13" s="67"/>
      <c r="B13" s="88" t="s">
        <v>176</v>
      </c>
      <c r="C13" s="5" t="s">
        <v>6</v>
      </c>
      <c r="D13" s="5" t="s">
        <v>290</v>
      </c>
      <c r="E13" s="3" t="s">
        <v>293</v>
      </c>
      <c r="F13" s="3" t="s">
        <v>295</v>
      </c>
      <c r="G13" s="95" t="s">
        <v>296</v>
      </c>
      <c r="H13" s="96" t="s">
        <v>192</v>
      </c>
      <c r="I13" s="96" t="s">
        <v>195</v>
      </c>
      <c r="J13" s="98" t="s">
        <v>301</v>
      </c>
      <c r="K13" s="99" t="s">
        <v>301</v>
      </c>
      <c r="L13" s="100">
        <v>3.57</v>
      </c>
      <c r="M13" s="101">
        <v>44900.0</v>
      </c>
      <c r="N13" s="102" t="s">
        <v>208</v>
      </c>
      <c r="O13" s="102" t="s">
        <v>312</v>
      </c>
    </row>
    <row r="14">
      <c r="A14" s="67"/>
      <c r="B14" s="88" t="s">
        <v>176</v>
      </c>
      <c r="C14" s="5" t="s">
        <v>7</v>
      </c>
      <c r="D14" s="5" t="s">
        <v>314</v>
      </c>
      <c r="E14" s="3" t="s">
        <v>317</v>
      </c>
      <c r="F14" s="3" t="s">
        <v>319</v>
      </c>
      <c r="G14" s="95" t="s">
        <v>320</v>
      </c>
      <c r="H14" s="96" t="s">
        <v>224</v>
      </c>
      <c r="I14" s="96" t="s">
        <v>324</v>
      </c>
      <c r="J14" s="98" t="s">
        <v>326</v>
      </c>
      <c r="K14" s="99" t="s">
        <v>326</v>
      </c>
      <c r="L14" s="142">
        <v>3.71</v>
      </c>
      <c r="M14" s="143">
        <v>44907.0</v>
      </c>
      <c r="N14" s="144" t="s">
        <v>332</v>
      </c>
      <c r="O14" s="144" t="s">
        <v>333</v>
      </c>
    </row>
    <row r="15">
      <c r="A15" s="67"/>
      <c r="B15" s="88" t="s">
        <v>176</v>
      </c>
      <c r="C15" s="5" t="s">
        <v>8</v>
      </c>
      <c r="D15" s="5" t="s">
        <v>338</v>
      </c>
      <c r="E15" s="3" t="s">
        <v>340</v>
      </c>
      <c r="F15" s="3" t="s">
        <v>270</v>
      </c>
      <c r="G15" s="95" t="s">
        <v>342</v>
      </c>
      <c r="H15" s="96" t="s">
        <v>192</v>
      </c>
      <c r="I15" s="96" t="s">
        <v>195</v>
      </c>
      <c r="J15" s="98" t="s">
        <v>347</v>
      </c>
      <c r="K15" s="99" t="s">
        <v>347</v>
      </c>
      <c r="L15" s="142">
        <v>3.0</v>
      </c>
      <c r="M15" s="143">
        <v>44914.0</v>
      </c>
      <c r="N15" s="144" t="s">
        <v>362</v>
      </c>
      <c r="O15" s="144" t="s">
        <v>363</v>
      </c>
    </row>
    <row r="16">
      <c r="A16" s="67"/>
      <c r="B16" s="88" t="s">
        <v>176</v>
      </c>
      <c r="C16" s="5" t="s">
        <v>9</v>
      </c>
      <c r="D16" s="38" t="s">
        <v>365</v>
      </c>
      <c r="E16" s="3" t="s">
        <v>317</v>
      </c>
      <c r="F16" s="3" t="s">
        <v>367</v>
      </c>
      <c r="G16" s="95" t="s">
        <v>368</v>
      </c>
      <c r="H16" s="96" t="s">
        <v>192</v>
      </c>
      <c r="I16" s="96" t="s">
        <v>195</v>
      </c>
      <c r="J16" s="98" t="s">
        <v>373</v>
      </c>
      <c r="K16" s="99" t="s">
        <v>373</v>
      </c>
      <c r="L16" s="100">
        <v>3.0</v>
      </c>
      <c r="M16" s="113">
        <v>44921.0</v>
      </c>
      <c r="N16" s="102" t="s">
        <v>257</v>
      </c>
      <c r="O16" s="102" t="s">
        <v>383</v>
      </c>
    </row>
    <row r="17">
      <c r="A17" s="67"/>
      <c r="B17" s="88" t="s">
        <v>176</v>
      </c>
      <c r="C17" s="5" t="s">
        <v>10</v>
      </c>
      <c r="D17" s="5" t="s">
        <v>388</v>
      </c>
      <c r="E17" s="3" t="s">
        <v>181</v>
      </c>
      <c r="F17" s="3" t="s">
        <v>390</v>
      </c>
      <c r="G17" s="95" t="s">
        <v>391</v>
      </c>
      <c r="H17" s="96" t="s">
        <v>192</v>
      </c>
      <c r="I17" s="96" t="s">
        <v>276</v>
      </c>
      <c r="J17" s="98" t="s">
        <v>399</v>
      </c>
      <c r="K17" s="99" t="s">
        <v>399</v>
      </c>
      <c r="L17" s="100">
        <v>4.29</v>
      </c>
      <c r="M17" s="101">
        <v>44928.0</v>
      </c>
      <c r="N17" s="102" t="s">
        <v>284</v>
      </c>
      <c r="O17" s="102" t="s">
        <v>406</v>
      </c>
    </row>
    <row r="18">
      <c r="A18" s="67"/>
      <c r="B18" s="88" t="s">
        <v>176</v>
      </c>
      <c r="C18" s="5" t="s">
        <v>11</v>
      </c>
      <c r="D18" s="5" t="s">
        <v>409</v>
      </c>
      <c r="E18" s="3" t="s">
        <v>410</v>
      </c>
      <c r="F18" s="149" t="s">
        <v>411</v>
      </c>
      <c r="G18" s="95" t="s">
        <v>419</v>
      </c>
      <c r="H18" s="96" t="s">
        <v>192</v>
      </c>
      <c r="I18" s="96" t="s">
        <v>276</v>
      </c>
      <c r="J18" s="98" t="s">
        <v>424</v>
      </c>
      <c r="K18" s="99" t="s">
        <v>424</v>
      </c>
      <c r="L18" s="100">
        <v>3.57</v>
      </c>
      <c r="M18" s="101">
        <v>44935.0</v>
      </c>
      <c r="N18" s="102" t="s">
        <v>284</v>
      </c>
      <c r="O18" s="102" t="s">
        <v>432</v>
      </c>
    </row>
    <row r="19">
      <c r="A19" s="67"/>
      <c r="B19" s="88" t="s">
        <v>176</v>
      </c>
      <c r="C19" s="5" t="s">
        <v>12</v>
      </c>
      <c r="D19" s="5" t="s">
        <v>434</v>
      </c>
      <c r="E19" s="3" t="s">
        <v>436</v>
      </c>
      <c r="F19" s="3" t="s">
        <v>437</v>
      </c>
      <c r="G19" s="95" t="s">
        <v>439</v>
      </c>
      <c r="H19" s="96" t="s">
        <v>224</v>
      </c>
      <c r="I19" s="96" t="s">
        <v>440</v>
      </c>
      <c r="J19" s="152" t="s">
        <v>441</v>
      </c>
      <c r="K19" s="99" t="s">
        <v>441</v>
      </c>
      <c r="L19" s="100">
        <v>4.36</v>
      </c>
      <c r="M19" s="101">
        <v>44942.0</v>
      </c>
      <c r="N19" s="102" t="s">
        <v>442</v>
      </c>
      <c r="O19" s="102" t="s">
        <v>443</v>
      </c>
    </row>
    <row r="20">
      <c r="A20" s="67"/>
      <c r="B20" s="7" t="s">
        <v>176</v>
      </c>
      <c r="C20" s="7" t="s">
        <v>13</v>
      </c>
      <c r="D20" s="38" t="s">
        <v>444</v>
      </c>
      <c r="E20" s="6" t="s">
        <v>445</v>
      </c>
      <c r="F20" s="6" t="s">
        <v>446</v>
      </c>
      <c r="G20" s="96" t="s">
        <v>447</v>
      </c>
      <c r="H20" s="96" t="s">
        <v>192</v>
      </c>
      <c r="I20" s="96" t="s">
        <v>276</v>
      </c>
      <c r="J20" s="152" t="s">
        <v>450</v>
      </c>
      <c r="K20" s="99" t="s">
        <v>450</v>
      </c>
      <c r="L20" s="100">
        <v>4.0</v>
      </c>
      <c r="M20" s="101">
        <v>44949.0</v>
      </c>
      <c r="N20" s="102" t="s">
        <v>284</v>
      </c>
      <c r="O20" s="102" t="s">
        <v>456</v>
      </c>
    </row>
    <row r="21">
      <c r="A21" s="67"/>
      <c r="B21" s="7" t="s">
        <v>176</v>
      </c>
      <c r="C21" s="7" t="s">
        <v>14</v>
      </c>
      <c r="D21" s="5" t="s">
        <v>457</v>
      </c>
      <c r="E21" s="3" t="s">
        <v>458</v>
      </c>
      <c r="F21" s="149" t="s">
        <v>459</v>
      </c>
      <c r="G21" s="96" t="s">
        <v>447</v>
      </c>
      <c r="H21" s="96" t="s">
        <v>192</v>
      </c>
      <c r="I21" s="96" t="s">
        <v>276</v>
      </c>
      <c r="J21" s="152" t="s">
        <v>460</v>
      </c>
      <c r="K21" s="99" t="s">
        <v>460</v>
      </c>
      <c r="L21" s="100">
        <v>4.0</v>
      </c>
      <c r="M21" s="101">
        <v>44956.0</v>
      </c>
      <c r="N21" s="102" t="s">
        <v>469</v>
      </c>
      <c r="O21" s="102" t="s">
        <v>470</v>
      </c>
    </row>
    <row r="22">
      <c r="A22" s="67"/>
      <c r="B22" s="88" t="s">
        <v>176</v>
      </c>
      <c r="C22" s="5" t="s">
        <v>16</v>
      </c>
      <c r="D22" s="38" t="s">
        <v>471</v>
      </c>
      <c r="E22" s="3" t="s">
        <v>317</v>
      </c>
      <c r="F22" s="3" t="s">
        <v>472</v>
      </c>
      <c r="G22" s="95" t="s">
        <v>473</v>
      </c>
      <c r="H22" s="96" t="s">
        <v>192</v>
      </c>
      <c r="I22" s="96" t="s">
        <v>276</v>
      </c>
      <c r="J22" s="152" t="s">
        <v>475</v>
      </c>
      <c r="K22" s="99" t="s">
        <v>475</v>
      </c>
      <c r="L22" s="100">
        <v>4.57</v>
      </c>
      <c r="M22" s="101">
        <v>44963.0</v>
      </c>
      <c r="N22" s="102" t="s">
        <v>284</v>
      </c>
      <c r="O22" s="102" t="s">
        <v>477</v>
      </c>
    </row>
    <row r="23">
      <c r="A23" s="67"/>
      <c r="B23" s="88" t="s">
        <v>176</v>
      </c>
      <c r="C23" s="5" t="s">
        <v>17</v>
      </c>
      <c r="D23" s="5" t="s">
        <v>478</v>
      </c>
      <c r="E23" s="3" t="s">
        <v>479</v>
      </c>
      <c r="F23" s="3" t="s">
        <v>480</v>
      </c>
      <c r="G23" s="95" t="s">
        <v>481</v>
      </c>
      <c r="H23" s="96" t="s">
        <v>485</v>
      </c>
      <c r="I23" s="96" t="s">
        <v>486</v>
      </c>
      <c r="J23" s="152" t="s">
        <v>487</v>
      </c>
      <c r="K23" s="99" t="s">
        <v>487</v>
      </c>
      <c r="L23" s="100">
        <v>3.71</v>
      </c>
      <c r="M23" s="101">
        <v>44970.0</v>
      </c>
      <c r="N23" s="102" t="s">
        <v>493</v>
      </c>
      <c r="O23" s="102" t="s">
        <v>495</v>
      </c>
    </row>
    <row r="24">
      <c r="A24" s="67"/>
      <c r="B24" s="88" t="s">
        <v>176</v>
      </c>
      <c r="C24" s="5" t="s">
        <v>18</v>
      </c>
      <c r="D24" s="5" t="s">
        <v>499</v>
      </c>
      <c r="E24" s="3" t="s">
        <v>376</v>
      </c>
      <c r="F24" s="3" t="s">
        <v>500</v>
      </c>
      <c r="G24" s="95" t="s">
        <v>501</v>
      </c>
      <c r="H24" s="96" t="s">
        <v>192</v>
      </c>
      <c r="I24" s="96" t="s">
        <v>195</v>
      </c>
      <c r="J24" s="152" t="s">
        <v>502</v>
      </c>
      <c r="K24" s="99" t="s">
        <v>502</v>
      </c>
      <c r="L24" s="100">
        <v>3.0</v>
      </c>
      <c r="M24" s="101">
        <v>44977.0</v>
      </c>
      <c r="N24" s="102" t="s">
        <v>362</v>
      </c>
      <c r="O24" s="102" t="s">
        <v>508</v>
      </c>
    </row>
    <row r="25">
      <c r="A25" s="67"/>
      <c r="B25" s="88" t="s">
        <v>176</v>
      </c>
      <c r="C25" s="5" t="s">
        <v>19</v>
      </c>
      <c r="D25" s="5" t="s">
        <v>509</v>
      </c>
      <c r="E25" s="3" t="s">
        <v>510</v>
      </c>
      <c r="F25" s="3" t="s">
        <v>511</v>
      </c>
      <c r="G25" s="95" t="s">
        <v>512</v>
      </c>
      <c r="H25" s="96" t="s">
        <v>224</v>
      </c>
      <c r="I25" s="96" t="s">
        <v>324</v>
      </c>
      <c r="J25" s="152" t="s">
        <v>513</v>
      </c>
      <c r="K25" s="99" t="s">
        <v>513</v>
      </c>
      <c r="L25" s="100">
        <v>3.5</v>
      </c>
      <c r="M25" s="101">
        <v>44984.0</v>
      </c>
      <c r="N25" s="102" t="s">
        <v>332</v>
      </c>
      <c r="O25" s="102" t="s">
        <v>519</v>
      </c>
    </row>
    <row r="26">
      <c r="A26" s="67"/>
      <c r="B26" s="88" t="s">
        <v>176</v>
      </c>
      <c r="C26" s="5" t="s">
        <v>20</v>
      </c>
      <c r="D26" s="5" t="s">
        <v>520</v>
      </c>
      <c r="E26" s="3" t="s">
        <v>410</v>
      </c>
      <c r="F26" s="3" t="s">
        <v>521</v>
      </c>
      <c r="G26" s="95" t="s">
        <v>522</v>
      </c>
      <c r="H26" s="96" t="s">
        <v>192</v>
      </c>
      <c r="I26" s="96" t="s">
        <v>276</v>
      </c>
      <c r="J26" s="152" t="s">
        <v>528</v>
      </c>
      <c r="K26" s="99" t="s">
        <v>528</v>
      </c>
      <c r="L26" s="100">
        <v>3.86</v>
      </c>
      <c r="M26" s="101">
        <v>44991.0</v>
      </c>
      <c r="N26" s="102" t="s">
        <v>533</v>
      </c>
      <c r="O26" s="102" t="s">
        <v>534</v>
      </c>
    </row>
    <row r="27">
      <c r="A27" s="67"/>
      <c r="B27" s="88" t="s">
        <v>176</v>
      </c>
      <c r="C27" s="5" t="s">
        <v>22</v>
      </c>
      <c r="D27" s="5" t="s">
        <v>538</v>
      </c>
      <c r="E27" s="3" t="s">
        <v>540</v>
      </c>
      <c r="F27" s="3" t="s">
        <v>467</v>
      </c>
      <c r="G27" s="95" t="s">
        <v>541</v>
      </c>
      <c r="H27" s="96" t="s">
        <v>461</v>
      </c>
      <c r="I27" s="96" t="s">
        <v>530</v>
      </c>
      <c r="J27" s="152" t="s">
        <v>542</v>
      </c>
      <c r="K27" s="160" t="s">
        <v>546</v>
      </c>
      <c r="L27" s="100">
        <v>4.0</v>
      </c>
      <c r="M27" s="101">
        <v>44998.0</v>
      </c>
      <c r="N27" s="102" t="s">
        <v>547</v>
      </c>
      <c r="O27" s="102" t="s">
        <v>548</v>
      </c>
    </row>
    <row r="28">
      <c r="A28" s="67"/>
      <c r="B28" s="88" t="s">
        <v>176</v>
      </c>
      <c r="C28" s="5" t="s">
        <v>23</v>
      </c>
      <c r="D28" s="38" t="s">
        <v>551</v>
      </c>
      <c r="E28" s="3" t="s">
        <v>213</v>
      </c>
      <c r="F28" s="3" t="s">
        <v>552</v>
      </c>
      <c r="G28" s="95" t="s">
        <v>553</v>
      </c>
      <c r="H28" s="96" t="s">
        <v>192</v>
      </c>
      <c r="I28" s="96" t="s">
        <v>195</v>
      </c>
      <c r="J28" s="152" t="s">
        <v>554</v>
      </c>
      <c r="K28" s="99" t="s">
        <v>554</v>
      </c>
      <c r="L28" s="100">
        <v>3.5</v>
      </c>
      <c r="M28" s="101">
        <v>45005.0</v>
      </c>
      <c r="N28" s="102" t="s">
        <v>208</v>
      </c>
      <c r="O28" s="102" t="s">
        <v>557</v>
      </c>
    </row>
    <row r="29">
      <c r="A29" s="67"/>
      <c r="B29" s="88" t="s">
        <v>176</v>
      </c>
      <c r="C29" s="5" t="s">
        <v>24</v>
      </c>
      <c r="D29" s="38" t="s">
        <v>558</v>
      </c>
      <c r="E29" s="3" t="s">
        <v>559</v>
      </c>
      <c r="F29" s="3" t="s">
        <v>560</v>
      </c>
      <c r="G29" s="95" t="s">
        <v>561</v>
      </c>
      <c r="H29" s="96" t="s">
        <v>192</v>
      </c>
      <c r="I29" s="96" t="s">
        <v>276</v>
      </c>
      <c r="J29" s="152" t="s">
        <v>563</v>
      </c>
      <c r="K29" s="99" t="s">
        <v>563</v>
      </c>
      <c r="L29" s="100">
        <v>3.0</v>
      </c>
      <c r="M29" s="101">
        <v>45012.0</v>
      </c>
      <c r="N29" s="102" t="s">
        <v>533</v>
      </c>
      <c r="O29" s="102" t="s">
        <v>565</v>
      </c>
    </row>
    <row r="30">
      <c r="A30" s="67"/>
      <c r="B30" s="88" t="s">
        <v>176</v>
      </c>
      <c r="C30" s="5" t="s">
        <v>25</v>
      </c>
      <c r="D30" s="38" t="s">
        <v>566</v>
      </c>
      <c r="E30" s="14" t="s">
        <v>567</v>
      </c>
      <c r="F30" s="14" t="s">
        <v>568</v>
      </c>
      <c r="G30" s="95" t="s">
        <v>570</v>
      </c>
      <c r="H30" s="96" t="s">
        <v>192</v>
      </c>
      <c r="I30" s="96" t="s">
        <v>195</v>
      </c>
      <c r="J30" s="152" t="s">
        <v>573</v>
      </c>
      <c r="K30" s="99" t="s">
        <v>573</v>
      </c>
      <c r="L30" s="100">
        <v>4.0</v>
      </c>
      <c r="M30" s="101">
        <v>45019.0</v>
      </c>
      <c r="N30" s="102" t="s">
        <v>208</v>
      </c>
      <c r="O30" s="102" t="s">
        <v>575</v>
      </c>
    </row>
    <row r="31">
      <c r="A31" s="67"/>
      <c r="B31" s="88" t="s">
        <v>176</v>
      </c>
      <c r="C31" s="5" t="s">
        <v>26</v>
      </c>
      <c r="D31" s="5" t="s">
        <v>576</v>
      </c>
      <c r="E31" s="14" t="s">
        <v>577</v>
      </c>
      <c r="F31" s="14" t="s">
        <v>578</v>
      </c>
      <c r="G31" s="95" t="s">
        <v>579</v>
      </c>
      <c r="H31" s="96" t="s">
        <v>224</v>
      </c>
      <c r="I31" s="96" t="s">
        <v>226</v>
      </c>
      <c r="J31" s="152" t="s">
        <v>585</v>
      </c>
      <c r="K31" s="99" t="s">
        <v>585</v>
      </c>
      <c r="L31" s="100">
        <v>4.14</v>
      </c>
      <c r="M31" s="101">
        <v>45026.0</v>
      </c>
      <c r="N31" s="102" t="s">
        <v>238</v>
      </c>
      <c r="O31" s="102" t="s">
        <v>586</v>
      </c>
    </row>
    <row r="32">
      <c r="A32" s="67"/>
      <c r="B32" s="88" t="s">
        <v>176</v>
      </c>
      <c r="C32" s="5" t="s">
        <v>27</v>
      </c>
      <c r="D32" s="5" t="s">
        <v>587</v>
      </c>
      <c r="E32" s="14" t="s">
        <v>588</v>
      </c>
      <c r="F32" s="14" t="s">
        <v>318</v>
      </c>
      <c r="G32" s="95" t="s">
        <v>589</v>
      </c>
      <c r="H32" s="96" t="s">
        <v>224</v>
      </c>
      <c r="I32" s="96" t="s">
        <v>226</v>
      </c>
      <c r="J32" s="152" t="s">
        <v>594</v>
      </c>
      <c r="K32" s="99" t="s">
        <v>594</v>
      </c>
      <c r="L32" s="100">
        <v>4.14</v>
      </c>
      <c r="M32" s="101">
        <v>45033.0</v>
      </c>
      <c r="N32" s="102" t="s">
        <v>238</v>
      </c>
      <c r="O32" s="102" t="s">
        <v>596</v>
      </c>
    </row>
    <row r="33">
      <c r="A33" s="67"/>
      <c r="B33" s="88" t="s">
        <v>176</v>
      </c>
      <c r="C33" s="5" t="s">
        <v>28</v>
      </c>
      <c r="D33" s="38" t="s">
        <v>598</v>
      </c>
      <c r="E33" s="14" t="s">
        <v>599</v>
      </c>
      <c r="F33" s="14" t="s">
        <v>490</v>
      </c>
      <c r="G33" s="95" t="s">
        <v>601</v>
      </c>
      <c r="H33" s="96" t="s">
        <v>224</v>
      </c>
      <c r="I33" s="96" t="s">
        <v>440</v>
      </c>
      <c r="J33" s="152" t="s">
        <v>610</v>
      </c>
      <c r="K33" s="99" t="s">
        <v>610</v>
      </c>
      <c r="L33" s="100">
        <v>3.57</v>
      </c>
      <c r="M33" s="101">
        <v>45040.0</v>
      </c>
      <c r="N33" s="102" t="s">
        <v>616</v>
      </c>
      <c r="O33" s="102" t="s">
        <v>618</v>
      </c>
    </row>
    <row r="34">
      <c r="A34" s="67"/>
      <c r="B34" s="88" t="s">
        <v>176</v>
      </c>
      <c r="C34" s="5" t="s">
        <v>29</v>
      </c>
      <c r="D34" s="38" t="s">
        <v>620</v>
      </c>
      <c r="E34" s="14" t="s">
        <v>621</v>
      </c>
      <c r="F34" s="14" t="s">
        <v>622</v>
      </c>
      <c r="G34" s="95" t="s">
        <v>624</v>
      </c>
      <c r="H34" s="96" t="s">
        <v>192</v>
      </c>
      <c r="I34" s="96" t="s">
        <v>276</v>
      </c>
      <c r="J34" s="152" t="s">
        <v>632</v>
      </c>
      <c r="K34" s="99" t="s">
        <v>632</v>
      </c>
      <c r="L34" s="100">
        <v>3.0</v>
      </c>
      <c r="M34" s="101">
        <v>45047.0</v>
      </c>
      <c r="N34" s="102" t="s">
        <v>284</v>
      </c>
      <c r="O34" s="102" t="s">
        <v>639</v>
      </c>
    </row>
    <row r="35">
      <c r="A35" s="67"/>
      <c r="B35" s="88" t="s">
        <v>176</v>
      </c>
      <c r="C35" s="5" t="s">
        <v>30</v>
      </c>
      <c r="D35" s="38" t="s">
        <v>642</v>
      </c>
      <c r="E35" s="14" t="s">
        <v>644</v>
      </c>
      <c r="F35" s="14" t="s">
        <v>490</v>
      </c>
      <c r="G35" s="95" t="s">
        <v>645</v>
      </c>
      <c r="H35" s="96" t="s">
        <v>224</v>
      </c>
      <c r="I35" s="96" t="s">
        <v>324</v>
      </c>
      <c r="J35" s="152" t="s">
        <v>653</v>
      </c>
      <c r="K35" s="99" t="s">
        <v>653</v>
      </c>
      <c r="L35" s="100">
        <v>3.36</v>
      </c>
      <c r="M35" s="101">
        <v>45054.0</v>
      </c>
      <c r="N35" s="102" t="s">
        <v>660</v>
      </c>
      <c r="O35" s="102" t="s">
        <v>661</v>
      </c>
    </row>
    <row r="36">
      <c r="A36" s="67"/>
      <c r="B36" s="88" t="s">
        <v>176</v>
      </c>
      <c r="C36" s="5" t="s">
        <v>31</v>
      </c>
      <c r="D36" s="5" t="s">
        <v>664</v>
      </c>
      <c r="E36" s="14" t="s">
        <v>588</v>
      </c>
      <c r="F36" s="5" t="s">
        <v>270</v>
      </c>
      <c r="G36" s="95" t="s">
        <v>665</v>
      </c>
      <c r="H36" s="96" t="s">
        <v>224</v>
      </c>
      <c r="I36" s="96" t="s">
        <v>324</v>
      </c>
      <c r="J36" s="152" t="s">
        <v>671</v>
      </c>
      <c r="K36" s="99" t="s">
        <v>671</v>
      </c>
      <c r="L36" s="100">
        <v>1.0</v>
      </c>
      <c r="M36" s="101">
        <v>45061.0</v>
      </c>
      <c r="N36" s="102" t="s">
        <v>332</v>
      </c>
      <c r="O36" s="102" t="s">
        <v>687</v>
      </c>
    </row>
    <row r="37">
      <c r="A37" s="67"/>
      <c r="B37" s="88" t="s">
        <v>176</v>
      </c>
      <c r="C37" s="5" t="s">
        <v>32</v>
      </c>
      <c r="D37" s="5" t="s">
        <v>689</v>
      </c>
      <c r="E37" s="14" t="s">
        <v>690</v>
      </c>
      <c r="F37" s="14" t="s">
        <v>692</v>
      </c>
      <c r="G37" s="96" t="s">
        <v>447</v>
      </c>
      <c r="H37" s="96" t="s">
        <v>192</v>
      </c>
      <c r="I37" s="96" t="s">
        <v>195</v>
      </c>
      <c r="J37" s="152" t="s">
        <v>693</v>
      </c>
      <c r="K37" s="99" t="s">
        <v>693</v>
      </c>
      <c r="L37" s="100">
        <v>3.0</v>
      </c>
      <c r="M37" s="101">
        <v>45068.0</v>
      </c>
      <c r="N37" s="102" t="s">
        <v>257</v>
      </c>
      <c r="O37" s="102" t="s">
        <v>700</v>
      </c>
    </row>
    <row r="38">
      <c r="A38" s="67"/>
      <c r="B38" s="88" t="s">
        <v>176</v>
      </c>
      <c r="C38" s="5" t="s">
        <v>33</v>
      </c>
      <c r="D38" s="5" t="s">
        <v>701</v>
      </c>
      <c r="E38" s="14" t="s">
        <v>702</v>
      </c>
      <c r="F38" s="14" t="s">
        <v>704</v>
      </c>
      <c r="G38" s="95" t="s">
        <v>705</v>
      </c>
      <c r="H38" s="96" t="s">
        <v>461</v>
      </c>
      <c r="I38" s="96" t="s">
        <v>530</v>
      </c>
      <c r="J38" s="152" t="s">
        <v>711</v>
      </c>
      <c r="K38" s="99" t="s">
        <v>711</v>
      </c>
      <c r="L38" s="100">
        <v>3.0</v>
      </c>
      <c r="M38" s="101">
        <v>45075.0</v>
      </c>
      <c r="N38" s="102" t="s">
        <v>33</v>
      </c>
      <c r="O38" s="102" t="s">
        <v>721</v>
      </c>
    </row>
    <row r="39">
      <c r="A39" s="67"/>
      <c r="B39" s="88" t="s">
        <v>176</v>
      </c>
      <c r="C39" s="5" t="s">
        <v>34</v>
      </c>
      <c r="D39" s="5" t="s">
        <v>724</v>
      </c>
      <c r="E39" s="5" t="s">
        <v>725</v>
      </c>
      <c r="F39" s="14" t="s">
        <v>727</v>
      </c>
      <c r="G39" s="96" t="s">
        <v>447</v>
      </c>
      <c r="H39" s="96" t="s">
        <v>485</v>
      </c>
      <c r="I39" s="96" t="s">
        <v>386</v>
      </c>
      <c r="J39" s="152" t="s">
        <v>728</v>
      </c>
      <c r="K39" s="99" t="s">
        <v>728</v>
      </c>
      <c r="L39" s="100">
        <v>3.0</v>
      </c>
      <c r="M39" s="101">
        <v>45082.0</v>
      </c>
      <c r="N39" s="102" t="s">
        <v>549</v>
      </c>
      <c r="O39" s="102" t="s">
        <v>742</v>
      </c>
    </row>
    <row r="40">
      <c r="A40" s="67"/>
      <c r="B40" s="88" t="s">
        <v>176</v>
      </c>
      <c r="C40" s="5" t="s">
        <v>35</v>
      </c>
      <c r="D40" s="5" t="s">
        <v>744</v>
      </c>
      <c r="E40" s="14" t="s">
        <v>745</v>
      </c>
      <c r="F40" s="14" t="s">
        <v>746</v>
      </c>
      <c r="G40" s="95" t="s">
        <v>748</v>
      </c>
      <c r="H40" s="96" t="s">
        <v>224</v>
      </c>
      <c r="I40" s="96" t="s">
        <v>324</v>
      </c>
      <c r="J40" s="152" t="s">
        <v>758</v>
      </c>
      <c r="K40" s="99" t="s">
        <v>758</v>
      </c>
      <c r="L40" s="100">
        <v>3.0</v>
      </c>
      <c r="M40" s="101">
        <v>45089.0</v>
      </c>
      <c r="N40" s="102" t="s">
        <v>332</v>
      </c>
      <c r="O40" s="102" t="s">
        <v>766</v>
      </c>
    </row>
    <row r="41">
      <c r="A41" s="67"/>
      <c r="B41" s="88" t="s">
        <v>176</v>
      </c>
      <c r="C41" s="5" t="s">
        <v>36</v>
      </c>
      <c r="D41" s="5" t="s">
        <v>798</v>
      </c>
      <c r="E41" s="5" t="s">
        <v>800</v>
      </c>
      <c r="F41" s="14" t="s">
        <v>801</v>
      </c>
      <c r="G41" s="95" t="s">
        <v>803</v>
      </c>
      <c r="H41" s="96" t="s">
        <v>224</v>
      </c>
      <c r="I41" s="96" t="s">
        <v>226</v>
      </c>
      <c r="J41" s="152" t="s">
        <v>813</v>
      </c>
      <c r="K41" s="99" t="s">
        <v>813</v>
      </c>
      <c r="L41" s="100">
        <v>3.0</v>
      </c>
      <c r="M41" s="101">
        <v>45096.0</v>
      </c>
      <c r="N41" s="102" t="s">
        <v>238</v>
      </c>
      <c r="O41" s="102" t="s">
        <v>832</v>
      </c>
    </row>
    <row r="42">
      <c r="A42" s="67"/>
      <c r="B42" s="88" t="s">
        <v>176</v>
      </c>
      <c r="C42" s="5" t="s">
        <v>37</v>
      </c>
      <c r="D42" s="5" t="s">
        <v>834</v>
      </c>
      <c r="E42" s="5" t="s">
        <v>836</v>
      </c>
      <c r="F42" s="14" t="s">
        <v>837</v>
      </c>
      <c r="G42" s="96" t="s">
        <v>447</v>
      </c>
      <c r="H42" s="96" t="s">
        <v>461</v>
      </c>
      <c r="I42" s="96" t="s">
        <v>530</v>
      </c>
      <c r="J42" s="152" t="s">
        <v>839</v>
      </c>
      <c r="K42" s="99" t="s">
        <v>839</v>
      </c>
      <c r="L42" s="100">
        <v>1.0</v>
      </c>
      <c r="M42" s="101">
        <v>45103.0</v>
      </c>
      <c r="N42" s="102" t="s">
        <v>531</v>
      </c>
      <c r="O42" s="102" t="s">
        <v>852</v>
      </c>
    </row>
    <row r="43">
      <c r="A43" s="67"/>
      <c r="B43" s="88" t="s">
        <v>176</v>
      </c>
      <c r="C43" s="5" t="s">
        <v>38</v>
      </c>
      <c r="D43" s="5" t="s">
        <v>855</v>
      </c>
      <c r="E43" s="5" t="s">
        <v>856</v>
      </c>
      <c r="F43" s="14" t="s">
        <v>857</v>
      </c>
      <c r="G43" s="96" t="s">
        <v>447</v>
      </c>
      <c r="H43" s="96" t="s">
        <v>192</v>
      </c>
      <c r="I43" s="96" t="s">
        <v>350</v>
      </c>
      <c r="J43" s="152" t="s">
        <v>859</v>
      </c>
      <c r="K43" s="99" t="s">
        <v>859</v>
      </c>
      <c r="L43" s="100">
        <v>3.79</v>
      </c>
      <c r="M43" s="101">
        <v>45110.0</v>
      </c>
      <c r="N43" s="102" t="s">
        <v>352</v>
      </c>
      <c r="O43" s="102" t="s">
        <v>866</v>
      </c>
    </row>
    <row r="44">
      <c r="A44" s="67"/>
      <c r="B44" s="88" t="s">
        <v>176</v>
      </c>
      <c r="C44" s="5" t="s">
        <v>40</v>
      </c>
      <c r="D44" s="38" t="s">
        <v>868</v>
      </c>
      <c r="E44" s="14" t="s">
        <v>745</v>
      </c>
      <c r="F44" s="14" t="s">
        <v>870</v>
      </c>
      <c r="G44" s="95" t="s">
        <v>873</v>
      </c>
      <c r="H44" s="96" t="s">
        <v>461</v>
      </c>
      <c r="I44" s="96" t="s">
        <v>462</v>
      </c>
      <c r="J44" s="152" t="s">
        <v>875</v>
      </c>
      <c r="K44" s="99" t="s">
        <v>875</v>
      </c>
      <c r="L44" s="100">
        <v>4.0</v>
      </c>
      <c r="M44" s="101">
        <v>45117.0</v>
      </c>
      <c r="N44" s="102" t="s">
        <v>886</v>
      </c>
      <c r="O44" s="102" t="s">
        <v>887</v>
      </c>
    </row>
    <row r="45">
      <c r="A45" s="67"/>
      <c r="B45" s="88" t="s">
        <v>176</v>
      </c>
      <c r="C45" s="5" t="s">
        <v>41</v>
      </c>
      <c r="D45" s="5" t="s">
        <v>888</v>
      </c>
      <c r="E45" s="14" t="s">
        <v>889</v>
      </c>
      <c r="F45" s="14" t="s">
        <v>490</v>
      </c>
      <c r="G45" s="95" t="s">
        <v>890</v>
      </c>
      <c r="H45" s="96" t="s">
        <v>461</v>
      </c>
      <c r="I45" s="96" t="s">
        <v>462</v>
      </c>
      <c r="J45" s="152" t="s">
        <v>896</v>
      </c>
      <c r="K45" s="99" t="s">
        <v>896</v>
      </c>
      <c r="L45" s="100">
        <v>4.5</v>
      </c>
      <c r="M45" s="101">
        <v>45124.0</v>
      </c>
      <c r="N45" s="102" t="s">
        <v>791</v>
      </c>
      <c r="O45" s="102" t="s">
        <v>902</v>
      </c>
    </row>
    <row r="46">
      <c r="A46" s="67"/>
      <c r="B46" s="88" t="s">
        <v>176</v>
      </c>
      <c r="C46" s="5" t="s">
        <v>42</v>
      </c>
      <c r="D46" s="5" t="s">
        <v>905</v>
      </c>
      <c r="E46" s="14" t="s">
        <v>908</v>
      </c>
      <c r="F46" s="14" t="s">
        <v>578</v>
      </c>
      <c r="G46" s="95" t="s">
        <v>911</v>
      </c>
      <c r="H46" s="96" t="s">
        <v>192</v>
      </c>
      <c r="I46" s="96" t="s">
        <v>276</v>
      </c>
      <c r="J46" s="152" t="s">
        <v>913</v>
      </c>
      <c r="K46" s="99" t="s">
        <v>913</v>
      </c>
      <c r="L46" s="100">
        <v>4.64</v>
      </c>
      <c r="M46" s="101">
        <v>45131.0</v>
      </c>
      <c r="N46" s="102" t="s">
        <v>284</v>
      </c>
      <c r="O46" s="102" t="s">
        <v>920</v>
      </c>
    </row>
    <row r="47">
      <c r="A47" s="67"/>
      <c r="B47" s="88" t="s">
        <v>176</v>
      </c>
      <c r="C47" s="5" t="s">
        <v>44</v>
      </c>
      <c r="D47" s="5" t="s">
        <v>921</v>
      </c>
      <c r="E47" s="14" t="s">
        <v>908</v>
      </c>
      <c r="F47" s="14" t="s">
        <v>922</v>
      </c>
      <c r="G47" s="95" t="s">
        <v>923</v>
      </c>
      <c r="H47" s="96" t="s">
        <v>224</v>
      </c>
      <c r="I47" s="96" t="s">
        <v>324</v>
      </c>
      <c r="J47" s="152" t="s">
        <v>929</v>
      </c>
      <c r="K47" s="99" t="s">
        <v>929</v>
      </c>
      <c r="L47" s="100">
        <v>3.64</v>
      </c>
      <c r="M47" s="101">
        <v>45138.0</v>
      </c>
      <c r="N47" s="102" t="s">
        <v>933</v>
      </c>
      <c r="O47" s="102" t="s">
        <v>934</v>
      </c>
    </row>
    <row r="48">
      <c r="A48" s="67"/>
      <c r="B48" s="88" t="s">
        <v>176</v>
      </c>
      <c r="C48" s="5" t="s">
        <v>45</v>
      </c>
      <c r="D48" s="5" t="s">
        <v>935</v>
      </c>
      <c r="E48" s="40" t="s">
        <v>936</v>
      </c>
      <c r="F48" s="5" t="s">
        <v>937</v>
      </c>
      <c r="G48" s="95" t="s">
        <v>938</v>
      </c>
      <c r="H48" s="96" t="s">
        <v>461</v>
      </c>
      <c r="I48" s="96" t="s">
        <v>462</v>
      </c>
      <c r="J48" s="152" t="s">
        <v>944</v>
      </c>
      <c r="K48" s="99" t="s">
        <v>944</v>
      </c>
      <c r="L48" s="100">
        <v>4.36</v>
      </c>
      <c r="M48" s="101">
        <v>45145.0</v>
      </c>
      <c r="N48" s="102" t="s">
        <v>791</v>
      </c>
      <c r="O48" s="102" t="s">
        <v>950</v>
      </c>
    </row>
    <row r="49">
      <c r="A49" s="67"/>
      <c r="B49" s="88" t="s">
        <v>176</v>
      </c>
      <c r="C49" s="35" t="s">
        <v>46</v>
      </c>
      <c r="D49" s="35" t="s">
        <v>952</v>
      </c>
      <c r="E49" s="32" t="s">
        <v>956</v>
      </c>
      <c r="F49" s="32" t="s">
        <v>957</v>
      </c>
      <c r="G49" s="200" t="s">
        <v>958</v>
      </c>
      <c r="H49" s="201" t="s">
        <v>461</v>
      </c>
      <c r="I49" s="201" t="s">
        <v>462</v>
      </c>
      <c r="J49" s="152" t="s">
        <v>963</v>
      </c>
      <c r="K49" s="99" t="s">
        <v>963</v>
      </c>
      <c r="L49" s="100">
        <v>1.0</v>
      </c>
      <c r="M49" s="101">
        <v>45152.0</v>
      </c>
      <c r="N49" s="102" t="s">
        <v>886</v>
      </c>
      <c r="O49" s="102" t="s">
        <v>972</v>
      </c>
    </row>
    <row r="50">
      <c r="A50" s="67"/>
      <c r="B50" s="202" t="s">
        <v>176</v>
      </c>
      <c r="C50" s="35" t="s">
        <v>47</v>
      </c>
      <c r="D50" s="35" t="s">
        <v>974</v>
      </c>
      <c r="E50" s="35" t="s">
        <v>975</v>
      </c>
      <c r="F50" s="35" t="s">
        <v>978</v>
      </c>
      <c r="G50" s="200" t="s">
        <v>981</v>
      </c>
      <c r="H50" s="201" t="s">
        <v>485</v>
      </c>
      <c r="I50" s="201" t="s">
        <v>486</v>
      </c>
      <c r="J50" s="152" t="s">
        <v>983</v>
      </c>
      <c r="K50" s="99" t="s">
        <v>983</v>
      </c>
      <c r="L50" s="100">
        <v>3.57</v>
      </c>
      <c r="M50" s="101">
        <v>45159.0</v>
      </c>
      <c r="N50" s="102" t="s">
        <v>482</v>
      </c>
      <c r="O50" s="102" t="s">
        <v>991</v>
      </c>
    </row>
    <row r="51">
      <c r="A51" s="67"/>
      <c r="B51" s="202" t="s">
        <v>176</v>
      </c>
      <c r="C51" s="35" t="s">
        <v>48</v>
      </c>
      <c r="D51" s="35" t="s">
        <v>992</v>
      </c>
      <c r="E51" s="35" t="s">
        <v>993</v>
      </c>
      <c r="F51" s="35" t="s">
        <v>994</v>
      </c>
      <c r="G51" s="200" t="s">
        <v>995</v>
      </c>
      <c r="H51" s="201" t="s">
        <v>224</v>
      </c>
      <c r="I51" s="201" t="s">
        <v>226</v>
      </c>
      <c r="J51" s="152" t="s">
        <v>1002</v>
      </c>
      <c r="K51" s="99" t="s">
        <v>1002</v>
      </c>
      <c r="L51" s="100">
        <v>4.36</v>
      </c>
      <c r="M51" s="101">
        <v>45166.0</v>
      </c>
      <c r="N51" s="102" t="s">
        <v>238</v>
      </c>
      <c r="O51" s="102" t="s">
        <v>1008</v>
      </c>
    </row>
    <row r="52">
      <c r="A52" s="67"/>
      <c r="B52" s="205" t="s">
        <v>176</v>
      </c>
      <c r="C52" s="38" t="s">
        <v>49</v>
      </c>
      <c r="D52" s="38" t="s">
        <v>1013</v>
      </c>
      <c r="E52" s="38" t="s">
        <v>1014</v>
      </c>
      <c r="F52" s="38" t="s">
        <v>1015</v>
      </c>
      <c r="G52" s="200" t="s">
        <v>1016</v>
      </c>
      <c r="H52" s="201" t="s">
        <v>461</v>
      </c>
      <c r="I52" s="201" t="s">
        <v>530</v>
      </c>
      <c r="J52" s="152" t="s">
        <v>1017</v>
      </c>
      <c r="K52" s="99" t="s">
        <v>1017</v>
      </c>
      <c r="L52" s="100">
        <v>4.64</v>
      </c>
      <c r="M52" s="101">
        <v>45173.0</v>
      </c>
      <c r="N52" s="102" t="s">
        <v>531</v>
      </c>
      <c r="O52" s="102" t="s">
        <v>1023</v>
      </c>
    </row>
    <row r="53">
      <c r="A53" s="67"/>
      <c r="B53" s="205" t="s">
        <v>176</v>
      </c>
      <c r="C53" s="38" t="s">
        <v>50</v>
      </c>
      <c r="D53" s="38" t="s">
        <v>1024</v>
      </c>
      <c r="E53" s="38" t="s">
        <v>768</v>
      </c>
      <c r="F53" s="38" t="s">
        <v>1025</v>
      </c>
      <c r="G53" s="200" t="s">
        <v>1026</v>
      </c>
      <c r="H53" s="201" t="s">
        <v>461</v>
      </c>
      <c r="I53" s="201" t="s">
        <v>462</v>
      </c>
      <c r="J53" s="152" t="s">
        <v>1033</v>
      </c>
      <c r="K53" s="99" t="s">
        <v>1033</v>
      </c>
      <c r="L53" s="100">
        <v>4.36</v>
      </c>
      <c r="M53" s="101">
        <v>45180.0</v>
      </c>
      <c r="N53" s="102" t="s">
        <v>778</v>
      </c>
      <c r="O53" s="102" t="s">
        <v>1037</v>
      </c>
    </row>
    <row r="54">
      <c r="A54" s="67"/>
      <c r="B54" s="205" t="s">
        <v>176</v>
      </c>
      <c r="C54" s="38" t="s">
        <v>51</v>
      </c>
      <c r="D54" s="38" t="s">
        <v>1038</v>
      </c>
      <c r="E54" s="38" t="s">
        <v>1039</v>
      </c>
      <c r="F54" s="38" t="s">
        <v>1040</v>
      </c>
      <c r="G54" s="200" t="s">
        <v>1041</v>
      </c>
      <c r="H54" s="201" t="s">
        <v>485</v>
      </c>
      <c r="I54" s="201" t="s">
        <v>1043</v>
      </c>
      <c r="J54" s="152" t="s">
        <v>1044</v>
      </c>
      <c r="K54" s="99" t="s">
        <v>1044</v>
      </c>
      <c r="L54" s="100">
        <v>1.0</v>
      </c>
      <c r="M54" s="101">
        <v>45187.0</v>
      </c>
      <c r="N54" s="102" t="s">
        <v>1050</v>
      </c>
      <c r="O54" s="102" t="s">
        <v>1051</v>
      </c>
    </row>
    <row r="55">
      <c r="A55" s="67"/>
      <c r="B55" s="213" t="s">
        <v>176</v>
      </c>
      <c r="C55" s="39" t="s">
        <v>52</v>
      </c>
      <c r="D55" s="39" t="s">
        <v>1052</v>
      </c>
      <c r="E55" s="39" t="s">
        <v>1053</v>
      </c>
      <c r="F55" s="39" t="s">
        <v>1054</v>
      </c>
      <c r="G55" s="214" t="s">
        <v>1055</v>
      </c>
      <c r="H55" s="215" t="s">
        <v>224</v>
      </c>
      <c r="I55" s="215" t="s">
        <v>1057</v>
      </c>
      <c r="J55" s="152" t="s">
        <v>1058</v>
      </c>
      <c r="K55" s="99" t="s">
        <v>1058</v>
      </c>
      <c r="L55" s="100">
        <v>4.0</v>
      </c>
      <c r="M55" s="101">
        <v>45194.0</v>
      </c>
      <c r="N55" s="102" t="s">
        <v>442</v>
      </c>
      <c r="O55" s="102" t="s">
        <v>1064</v>
      </c>
    </row>
    <row r="56">
      <c r="A56" s="67"/>
      <c r="B56" s="213" t="s">
        <v>176</v>
      </c>
      <c r="C56" s="39" t="s">
        <v>53</v>
      </c>
      <c r="D56" s="39" t="s">
        <v>1065</v>
      </c>
      <c r="E56" s="39" t="s">
        <v>410</v>
      </c>
      <c r="F56" s="39" t="s">
        <v>1066</v>
      </c>
      <c r="G56" s="200" t="s">
        <v>1067</v>
      </c>
      <c r="H56" s="201" t="s">
        <v>192</v>
      </c>
      <c r="I56" s="201" t="s">
        <v>195</v>
      </c>
      <c r="J56" s="152" t="s">
        <v>1072</v>
      </c>
      <c r="K56" s="99" t="s">
        <v>1072</v>
      </c>
      <c r="L56" s="100">
        <v>1.0</v>
      </c>
      <c r="M56" s="101">
        <v>45201.0</v>
      </c>
      <c r="N56" s="102" t="s">
        <v>257</v>
      </c>
      <c r="O56" s="102" t="s">
        <v>1075</v>
      </c>
    </row>
    <row r="57">
      <c r="A57" s="67"/>
      <c r="B57" s="213" t="s">
        <v>176</v>
      </c>
      <c r="C57" s="39" t="s">
        <v>54</v>
      </c>
      <c r="D57" s="39" t="s">
        <v>1076</v>
      </c>
      <c r="E57" s="39" t="s">
        <v>1077</v>
      </c>
      <c r="F57" s="39" t="s">
        <v>1078</v>
      </c>
      <c r="G57" s="214" t="s">
        <v>1079</v>
      </c>
      <c r="H57" s="215" t="s">
        <v>461</v>
      </c>
      <c r="I57" s="215" t="s">
        <v>462</v>
      </c>
      <c r="J57" s="152" t="s">
        <v>1080</v>
      </c>
      <c r="K57" s="99" t="s">
        <v>1080</v>
      </c>
      <c r="L57" s="100">
        <v>3.64</v>
      </c>
      <c r="M57" s="101">
        <v>45208.0</v>
      </c>
      <c r="N57" s="102" t="s">
        <v>886</v>
      </c>
      <c r="O57" s="102" t="s">
        <v>1084</v>
      </c>
    </row>
    <row r="58">
      <c r="A58" s="67"/>
      <c r="B58" s="213" t="s">
        <v>176</v>
      </c>
      <c r="C58" s="39" t="s">
        <v>55</v>
      </c>
      <c r="D58" s="39" t="s">
        <v>1085</v>
      </c>
      <c r="E58" s="39" t="s">
        <v>1086</v>
      </c>
      <c r="F58" s="39" t="s">
        <v>1087</v>
      </c>
      <c r="G58" s="214" t="s">
        <v>1088</v>
      </c>
      <c r="H58" s="215" t="s">
        <v>224</v>
      </c>
      <c r="I58" s="215" t="s">
        <v>226</v>
      </c>
      <c r="J58" s="152" t="s">
        <v>1089</v>
      </c>
      <c r="K58" s="160" t="s">
        <v>1089</v>
      </c>
      <c r="L58" s="100">
        <v>4.0</v>
      </c>
      <c r="M58" s="113">
        <v>45215.0</v>
      </c>
      <c r="N58" s="102" t="s">
        <v>238</v>
      </c>
      <c r="O58" s="102" t="s">
        <v>1095</v>
      </c>
    </row>
    <row r="59">
      <c r="A59" s="67"/>
      <c r="B59" s="213" t="s">
        <v>176</v>
      </c>
      <c r="C59" s="39" t="s">
        <v>56</v>
      </c>
      <c r="D59" s="39" t="s">
        <v>1098</v>
      </c>
      <c r="E59" s="39" t="s">
        <v>1099</v>
      </c>
      <c r="F59" s="39" t="s">
        <v>1100</v>
      </c>
      <c r="G59" s="214" t="s">
        <v>1101</v>
      </c>
      <c r="H59" s="215" t="s">
        <v>192</v>
      </c>
      <c r="I59" s="215" t="s">
        <v>195</v>
      </c>
      <c r="J59" s="152" t="s">
        <v>1106</v>
      </c>
      <c r="K59" s="99" t="s">
        <v>1106</v>
      </c>
      <c r="L59" s="100">
        <v>4.21</v>
      </c>
      <c r="M59" s="113">
        <v>45222.0</v>
      </c>
      <c r="N59" s="102" t="s">
        <v>362</v>
      </c>
      <c r="O59" s="102" t="s">
        <v>1108</v>
      </c>
    </row>
    <row r="60">
      <c r="A60" s="67"/>
      <c r="B60" s="213" t="s">
        <v>176</v>
      </c>
      <c r="C60" s="39" t="s">
        <v>57</v>
      </c>
      <c r="D60" s="39" t="s">
        <v>1109</v>
      </c>
      <c r="E60" s="39" t="s">
        <v>1110</v>
      </c>
      <c r="F60" s="39" t="s">
        <v>1048</v>
      </c>
      <c r="G60" s="214" t="s">
        <v>1111</v>
      </c>
      <c r="H60" s="215" t="s">
        <v>192</v>
      </c>
      <c r="I60" s="215" t="s">
        <v>276</v>
      </c>
      <c r="J60" s="152" t="s">
        <v>1116</v>
      </c>
      <c r="K60" s="99" t="s">
        <v>1116</v>
      </c>
      <c r="L60" s="100">
        <v>4.0</v>
      </c>
      <c r="M60" s="113">
        <v>45229.0</v>
      </c>
      <c r="N60" s="102" t="s">
        <v>284</v>
      </c>
      <c r="O60" s="102" t="s">
        <v>1120</v>
      </c>
    </row>
    <row r="61">
      <c r="A61" s="67"/>
      <c r="B61" s="213" t="s">
        <v>176</v>
      </c>
      <c r="C61" s="39" t="s">
        <v>58</v>
      </c>
      <c r="D61" s="39" t="s">
        <v>1121</v>
      </c>
      <c r="E61" s="39" t="s">
        <v>1122</v>
      </c>
      <c r="F61" s="39" t="s">
        <v>215</v>
      </c>
      <c r="G61" s="214" t="s">
        <v>1123</v>
      </c>
      <c r="H61" s="215" t="s">
        <v>461</v>
      </c>
      <c r="I61" s="215" t="s">
        <v>530</v>
      </c>
      <c r="J61" s="152" t="s">
        <v>1124</v>
      </c>
      <c r="K61" s="99" t="s">
        <v>1124</v>
      </c>
      <c r="L61" s="100">
        <v>1.0</v>
      </c>
      <c r="M61" s="101">
        <v>45236.0</v>
      </c>
      <c r="N61" s="102" t="s">
        <v>1131</v>
      </c>
      <c r="O61" s="102" t="s">
        <v>1132</v>
      </c>
    </row>
    <row r="62">
      <c r="A62" s="67"/>
      <c r="B62" s="213" t="s">
        <v>176</v>
      </c>
      <c r="C62" s="40" t="s">
        <v>59</v>
      </c>
      <c r="D62" s="40" t="s">
        <v>1135</v>
      </c>
      <c r="E62" s="40" t="s">
        <v>1136</v>
      </c>
      <c r="F62" s="40" t="s">
        <v>183</v>
      </c>
      <c r="G62" s="220" t="s">
        <v>1137</v>
      </c>
      <c r="H62" s="221" t="s">
        <v>461</v>
      </c>
      <c r="I62" s="221" t="s">
        <v>462</v>
      </c>
      <c r="J62" s="152" t="s">
        <v>1141</v>
      </c>
      <c r="K62" s="99" t="s">
        <v>1141</v>
      </c>
      <c r="L62" s="142">
        <v>4.64</v>
      </c>
      <c r="M62" s="143">
        <v>45243.0</v>
      </c>
      <c r="N62" s="144" t="s">
        <v>778</v>
      </c>
      <c r="O62" s="144" t="s">
        <v>1144</v>
      </c>
    </row>
    <row r="63">
      <c r="A63" s="67"/>
      <c r="B63" s="222" t="s">
        <v>176</v>
      </c>
      <c r="C63" s="41" t="s">
        <v>60</v>
      </c>
      <c r="D63" s="41" t="s">
        <v>1149</v>
      </c>
      <c r="E63" s="41" t="s">
        <v>213</v>
      </c>
      <c r="F63" s="41" t="s">
        <v>1150</v>
      </c>
      <c r="G63" s="223" t="s">
        <v>1151</v>
      </c>
      <c r="H63" s="224" t="s">
        <v>485</v>
      </c>
      <c r="I63" s="224" t="s">
        <v>386</v>
      </c>
      <c r="J63" s="152" t="s">
        <v>1153</v>
      </c>
      <c r="K63" s="99" t="s">
        <v>1153</v>
      </c>
      <c r="L63" s="142">
        <v>4.86</v>
      </c>
      <c r="M63" s="143">
        <v>45250.0</v>
      </c>
      <c r="N63" s="144" t="s">
        <v>1159</v>
      </c>
      <c r="O63" s="144" t="s">
        <v>1160</v>
      </c>
    </row>
    <row r="64">
      <c r="A64" s="67"/>
      <c r="B64" s="213" t="s">
        <v>176</v>
      </c>
      <c r="C64" s="40" t="s">
        <v>61</v>
      </c>
      <c r="D64" s="40" t="s">
        <v>1161</v>
      </c>
      <c r="E64" s="40" t="s">
        <v>908</v>
      </c>
      <c r="F64" s="40" t="s">
        <v>1162</v>
      </c>
      <c r="G64" s="220" t="s">
        <v>1163</v>
      </c>
      <c r="H64" s="221" t="s">
        <v>192</v>
      </c>
      <c r="I64" s="221" t="s">
        <v>276</v>
      </c>
      <c r="J64" s="152" t="s">
        <v>1168</v>
      </c>
      <c r="K64" s="99" t="s">
        <v>1168</v>
      </c>
      <c r="L64" s="142">
        <v>3.79</v>
      </c>
      <c r="M64" s="143">
        <v>45257.0</v>
      </c>
      <c r="N64" s="144" t="s">
        <v>284</v>
      </c>
      <c r="O64" s="144" t="s">
        <v>1173</v>
      </c>
    </row>
    <row r="65">
      <c r="A65" s="67"/>
      <c r="B65" s="222" t="s">
        <v>176</v>
      </c>
      <c r="C65" s="41" t="s">
        <v>62</v>
      </c>
      <c r="D65" s="41" t="s">
        <v>1174</v>
      </c>
      <c r="E65" s="41" t="s">
        <v>1175</v>
      </c>
      <c r="F65" s="41" t="s">
        <v>1176</v>
      </c>
      <c r="G65" s="223" t="s">
        <v>1177</v>
      </c>
      <c r="H65" s="224" t="s">
        <v>224</v>
      </c>
      <c r="I65" s="224" t="s">
        <v>440</v>
      </c>
      <c r="J65" s="152" t="s">
        <v>1178</v>
      </c>
      <c r="K65" s="99" t="s">
        <v>1178</v>
      </c>
      <c r="L65" s="142">
        <v>3.86</v>
      </c>
      <c r="M65" s="225">
        <v>45264.0</v>
      </c>
      <c r="N65" s="144" t="s">
        <v>616</v>
      </c>
      <c r="O65" s="144" t="s">
        <v>1181</v>
      </c>
    </row>
    <row r="66">
      <c r="A66" s="67"/>
      <c r="B66" s="213" t="s">
        <v>176</v>
      </c>
      <c r="C66" s="40" t="s">
        <v>63</v>
      </c>
      <c r="D66" s="40" t="s">
        <v>1184</v>
      </c>
      <c r="E66" s="40" t="s">
        <v>1039</v>
      </c>
      <c r="F66" s="40" t="s">
        <v>1185</v>
      </c>
      <c r="G66" s="220" t="s">
        <v>1186</v>
      </c>
      <c r="H66" s="221" t="s">
        <v>485</v>
      </c>
      <c r="I66" s="221" t="s">
        <v>386</v>
      </c>
      <c r="J66" s="152" t="s">
        <v>1191</v>
      </c>
      <c r="K66" s="99" t="s">
        <v>1191</v>
      </c>
      <c r="L66" s="142">
        <v>4.64</v>
      </c>
      <c r="M66" s="143">
        <v>45271.0</v>
      </c>
      <c r="N66" s="144" t="s">
        <v>1182</v>
      </c>
      <c r="O66" s="144" t="s">
        <v>1198</v>
      </c>
    </row>
    <row r="67">
      <c r="A67" s="67"/>
      <c r="B67" s="222" t="s">
        <v>176</v>
      </c>
      <c r="C67" s="41" t="s">
        <v>64</v>
      </c>
      <c r="D67" s="41" t="s">
        <v>1199</v>
      </c>
      <c r="E67" s="47" t="s">
        <v>1200</v>
      </c>
      <c r="F67" s="41" t="s">
        <v>1201</v>
      </c>
      <c r="G67" s="223" t="s">
        <v>1202</v>
      </c>
      <c r="H67" s="224" t="s">
        <v>192</v>
      </c>
      <c r="I67" s="224" t="s">
        <v>276</v>
      </c>
      <c r="J67" s="152" t="s">
        <v>1204</v>
      </c>
      <c r="K67" s="160" t="s">
        <v>1204</v>
      </c>
      <c r="L67" s="142">
        <v>3.64</v>
      </c>
      <c r="M67" s="143">
        <v>45278.0</v>
      </c>
      <c r="N67" s="144" t="s">
        <v>533</v>
      </c>
      <c r="O67" s="144" t="s">
        <v>1209</v>
      </c>
    </row>
    <row r="68">
      <c r="A68" s="67"/>
      <c r="B68" s="213" t="s">
        <v>176</v>
      </c>
      <c r="C68" s="40" t="s">
        <v>65</v>
      </c>
      <c r="D68" s="40" t="s">
        <v>1210</v>
      </c>
      <c r="E68" s="40" t="s">
        <v>436</v>
      </c>
      <c r="F68" s="40" t="s">
        <v>1211</v>
      </c>
      <c r="G68" s="220" t="s">
        <v>1212</v>
      </c>
      <c r="H68" s="221" t="s">
        <v>224</v>
      </c>
      <c r="I68" s="221" t="s">
        <v>324</v>
      </c>
      <c r="J68" s="152" t="s">
        <v>1216</v>
      </c>
      <c r="K68" s="99" t="s">
        <v>1216</v>
      </c>
      <c r="L68" s="142">
        <v>4.71</v>
      </c>
      <c r="M68" s="143">
        <v>45285.0</v>
      </c>
      <c r="N68" s="144" t="s">
        <v>660</v>
      </c>
      <c r="O68" s="144" t="s">
        <v>1218</v>
      </c>
    </row>
    <row r="69" ht="15.0" customHeight="1">
      <c r="A69" s="67"/>
      <c r="B69" s="222" t="s">
        <v>176</v>
      </c>
      <c r="C69" s="41" t="s">
        <v>66</v>
      </c>
      <c r="D69" s="41" t="s">
        <v>1223</v>
      </c>
      <c r="E69" s="41" t="s">
        <v>1224</v>
      </c>
      <c r="F69" s="41" t="s">
        <v>1225</v>
      </c>
      <c r="G69" s="223" t="s">
        <v>1226</v>
      </c>
      <c r="H69" s="224" t="s">
        <v>192</v>
      </c>
      <c r="I69" s="224" t="s">
        <v>276</v>
      </c>
      <c r="J69" s="152" t="s">
        <v>1227</v>
      </c>
      <c r="K69" s="99" t="s">
        <v>1227</v>
      </c>
      <c r="L69" s="142">
        <v>4.43</v>
      </c>
      <c r="M69" s="225">
        <v>45292.0</v>
      </c>
      <c r="N69" s="144" t="s">
        <v>284</v>
      </c>
      <c r="O69" s="144" t="s">
        <v>1232</v>
      </c>
    </row>
    <row r="70">
      <c r="A70" s="67"/>
      <c r="B70" s="213" t="s">
        <v>176</v>
      </c>
      <c r="C70" s="40" t="s">
        <v>67</v>
      </c>
      <c r="D70" s="40" t="s">
        <v>1233</v>
      </c>
      <c r="E70" s="40" t="s">
        <v>1234</v>
      </c>
      <c r="F70" s="40" t="s">
        <v>1235</v>
      </c>
      <c r="G70" s="220" t="s">
        <v>1236</v>
      </c>
      <c r="H70" s="221" t="s">
        <v>192</v>
      </c>
      <c r="I70" s="221" t="s">
        <v>276</v>
      </c>
      <c r="J70" s="152" t="s">
        <v>1242</v>
      </c>
      <c r="K70" s="99" t="s">
        <v>1242</v>
      </c>
      <c r="L70" s="142">
        <v>4.0</v>
      </c>
      <c r="M70" s="225">
        <v>45299.0</v>
      </c>
      <c r="N70" s="144" t="s">
        <v>284</v>
      </c>
      <c r="O70" s="144" t="s">
        <v>1246</v>
      </c>
    </row>
    <row r="71">
      <c r="A71" s="67"/>
      <c r="B71" s="222" t="s">
        <v>176</v>
      </c>
      <c r="C71" s="41" t="s">
        <v>68</v>
      </c>
      <c r="D71" s="41" t="s">
        <v>1247</v>
      </c>
      <c r="E71" s="41" t="s">
        <v>436</v>
      </c>
      <c r="F71" s="41" t="s">
        <v>1248</v>
      </c>
      <c r="G71" s="223" t="s">
        <v>1249</v>
      </c>
      <c r="H71" s="224" t="s">
        <v>224</v>
      </c>
      <c r="I71" s="224" t="s">
        <v>1057</v>
      </c>
      <c r="J71" s="152" t="s">
        <v>1250</v>
      </c>
      <c r="K71" s="99" t="s">
        <v>1250</v>
      </c>
      <c r="L71" s="142">
        <v>3.71</v>
      </c>
      <c r="M71" s="225">
        <v>45306.0</v>
      </c>
      <c r="N71" s="144" t="s">
        <v>616</v>
      </c>
      <c r="O71" s="144" t="s">
        <v>1256</v>
      </c>
    </row>
    <row r="72">
      <c r="A72" s="67"/>
      <c r="B72" s="213" t="s">
        <v>176</v>
      </c>
      <c r="C72" s="40" t="s">
        <v>69</v>
      </c>
      <c r="D72" s="40" t="s">
        <v>1257</v>
      </c>
      <c r="E72" s="40" t="s">
        <v>436</v>
      </c>
      <c r="F72" s="40" t="s">
        <v>215</v>
      </c>
      <c r="G72" s="220" t="s">
        <v>1258</v>
      </c>
      <c r="H72" s="221" t="s">
        <v>192</v>
      </c>
      <c r="I72" s="221" t="s">
        <v>276</v>
      </c>
      <c r="J72" s="152" t="s">
        <v>1264</v>
      </c>
      <c r="K72" s="99" t="s">
        <v>1264</v>
      </c>
      <c r="L72" s="142">
        <v>4.86</v>
      </c>
      <c r="M72" s="225">
        <v>45313.0</v>
      </c>
      <c r="N72" s="144" t="s">
        <v>284</v>
      </c>
      <c r="O72" s="144" t="s">
        <v>1269</v>
      </c>
    </row>
    <row r="73">
      <c r="A73" s="67"/>
      <c r="B73" s="222" t="s">
        <v>176</v>
      </c>
      <c r="C73" s="41" t="s">
        <v>70</v>
      </c>
      <c r="D73" s="41" t="s">
        <v>1270</v>
      </c>
      <c r="E73" s="41" t="s">
        <v>317</v>
      </c>
      <c r="F73" s="41" t="s">
        <v>1271</v>
      </c>
      <c r="G73" s="223" t="s">
        <v>1272</v>
      </c>
      <c r="H73" s="224" t="s">
        <v>224</v>
      </c>
      <c r="I73" s="224" t="s">
        <v>324</v>
      </c>
      <c r="J73" s="152" t="s">
        <v>1275</v>
      </c>
      <c r="K73" s="99" t="s">
        <v>1275</v>
      </c>
      <c r="L73" s="142">
        <v>3.86</v>
      </c>
      <c r="M73" s="225">
        <v>45320.0</v>
      </c>
      <c r="N73" s="144" t="s">
        <v>332</v>
      </c>
      <c r="O73" s="144" t="s">
        <v>1279</v>
      </c>
    </row>
    <row r="74">
      <c r="A74" s="67"/>
      <c r="B74" s="213" t="s">
        <v>176</v>
      </c>
      <c r="C74" s="40" t="s">
        <v>71</v>
      </c>
      <c r="D74" s="40" t="s">
        <v>212</v>
      </c>
      <c r="E74" s="40" t="s">
        <v>213</v>
      </c>
      <c r="F74" s="40" t="s">
        <v>215</v>
      </c>
      <c r="G74" s="220" t="s">
        <v>216</v>
      </c>
      <c r="H74" s="221" t="s">
        <v>224</v>
      </c>
      <c r="I74" s="221" t="s">
        <v>226</v>
      </c>
      <c r="J74" s="152" t="s">
        <v>847</v>
      </c>
      <c r="K74" s="99" t="s">
        <v>847</v>
      </c>
      <c r="L74" s="142">
        <v>5.0</v>
      </c>
      <c r="M74" s="225">
        <v>45327.0</v>
      </c>
      <c r="N74" s="144" t="s">
        <v>238</v>
      </c>
      <c r="O74" s="144" t="s">
        <v>1281</v>
      </c>
    </row>
    <row r="75">
      <c r="A75" s="67"/>
      <c r="B75" s="222" t="s">
        <v>176</v>
      </c>
      <c r="C75" s="41" t="s">
        <v>72</v>
      </c>
      <c r="D75" s="41" t="s">
        <v>1282</v>
      </c>
      <c r="E75" s="41" t="s">
        <v>1283</v>
      </c>
      <c r="F75" s="41" t="s">
        <v>828</v>
      </c>
      <c r="G75" s="223" t="s">
        <v>1284</v>
      </c>
      <c r="H75" s="224" t="s">
        <v>461</v>
      </c>
      <c r="I75" s="224" t="s">
        <v>462</v>
      </c>
      <c r="J75" s="152" t="s">
        <v>1286</v>
      </c>
      <c r="K75" s="99" t="s">
        <v>1286</v>
      </c>
      <c r="L75" s="142">
        <v>3.86</v>
      </c>
      <c r="M75" s="225">
        <v>45334.0</v>
      </c>
      <c r="N75" s="144" t="s">
        <v>886</v>
      </c>
      <c r="O75" s="144" t="s">
        <v>1294</v>
      </c>
    </row>
    <row r="76">
      <c r="A76" s="67"/>
      <c r="B76" s="213" t="s">
        <v>176</v>
      </c>
      <c r="C76" s="42" t="s">
        <v>73</v>
      </c>
      <c r="D76" s="40" t="s">
        <v>1296</v>
      </c>
      <c r="E76" s="40" t="s">
        <v>1297</v>
      </c>
      <c r="F76" s="40" t="s">
        <v>1298</v>
      </c>
      <c r="G76" s="220" t="s">
        <v>1299</v>
      </c>
      <c r="H76" s="221" t="s">
        <v>192</v>
      </c>
      <c r="I76" s="221" t="s">
        <v>350</v>
      </c>
      <c r="J76" s="242" t="s">
        <v>1307</v>
      </c>
      <c r="K76" s="99" t="s">
        <v>1307</v>
      </c>
      <c r="L76" s="142">
        <v>3.64</v>
      </c>
      <c r="M76" s="225">
        <v>45341.0</v>
      </c>
      <c r="N76" s="144" t="s">
        <v>350</v>
      </c>
      <c r="O76" s="144" t="s">
        <v>1310</v>
      </c>
    </row>
    <row r="77">
      <c r="A77" s="67"/>
      <c r="B77" s="222" t="s">
        <v>176</v>
      </c>
      <c r="C77" s="41" t="s">
        <v>74</v>
      </c>
      <c r="D77" s="41" t="s">
        <v>1313</v>
      </c>
      <c r="E77" s="41" t="s">
        <v>1315</v>
      </c>
      <c r="F77" s="41" t="s">
        <v>578</v>
      </c>
      <c r="G77" s="223" t="s">
        <v>1317</v>
      </c>
      <c r="H77" s="224" t="s">
        <v>224</v>
      </c>
      <c r="I77" s="224" t="s">
        <v>324</v>
      </c>
      <c r="J77" s="152" t="s">
        <v>1319</v>
      </c>
      <c r="K77" s="99" t="s">
        <v>1319</v>
      </c>
      <c r="L77" s="142">
        <v>4.0</v>
      </c>
      <c r="M77" s="225">
        <v>45348.0</v>
      </c>
      <c r="N77" s="144" t="s">
        <v>332</v>
      </c>
      <c r="O77" s="144" t="s">
        <v>1321</v>
      </c>
    </row>
    <row r="78">
      <c r="A78" s="67"/>
      <c r="B78" s="213" t="s">
        <v>176</v>
      </c>
      <c r="C78" s="40" t="s">
        <v>75</v>
      </c>
      <c r="D78" s="40" t="s">
        <v>1323</v>
      </c>
      <c r="E78" s="40" t="s">
        <v>1325</v>
      </c>
      <c r="F78" s="40" t="s">
        <v>1326</v>
      </c>
      <c r="G78" s="220" t="s">
        <v>1327</v>
      </c>
      <c r="H78" s="221" t="s">
        <v>192</v>
      </c>
      <c r="I78" s="221" t="s">
        <v>195</v>
      </c>
      <c r="J78" s="152" t="s">
        <v>1337</v>
      </c>
      <c r="K78" s="99" t="s">
        <v>1337</v>
      </c>
      <c r="L78" s="142">
        <v>3.14</v>
      </c>
      <c r="M78" s="225">
        <v>45355.0</v>
      </c>
      <c r="N78" s="144" t="s">
        <v>208</v>
      </c>
      <c r="O78" s="144" t="s">
        <v>1344</v>
      </c>
    </row>
    <row r="79">
      <c r="A79" s="67"/>
      <c r="B79" s="222" t="s">
        <v>176</v>
      </c>
      <c r="C79" s="41" t="s">
        <v>76</v>
      </c>
      <c r="D79" s="41" t="s">
        <v>1345</v>
      </c>
      <c r="E79" s="41" t="s">
        <v>1346</v>
      </c>
      <c r="F79" s="41" t="s">
        <v>979</v>
      </c>
      <c r="G79" s="223" t="s">
        <v>1347</v>
      </c>
      <c r="H79" s="224" t="s">
        <v>224</v>
      </c>
      <c r="I79" s="224" t="s">
        <v>226</v>
      </c>
      <c r="J79" s="152" t="s">
        <v>1348</v>
      </c>
      <c r="K79" s="99" t="s">
        <v>1348</v>
      </c>
      <c r="L79" s="142">
        <v>4.21</v>
      </c>
      <c r="M79" s="225">
        <v>45362.0</v>
      </c>
      <c r="N79" s="144" t="s">
        <v>238</v>
      </c>
      <c r="O79" s="144" t="s">
        <v>1357</v>
      </c>
    </row>
    <row r="80">
      <c r="A80" s="67"/>
      <c r="B80" s="213" t="s">
        <v>176</v>
      </c>
      <c r="C80" s="40" t="s">
        <v>77</v>
      </c>
      <c r="D80" s="40" t="s">
        <v>1358</v>
      </c>
      <c r="E80" s="40" t="s">
        <v>1359</v>
      </c>
      <c r="F80" s="40" t="s">
        <v>1360</v>
      </c>
      <c r="G80" s="220" t="s">
        <v>1361</v>
      </c>
      <c r="H80" s="221" t="s">
        <v>485</v>
      </c>
      <c r="I80" s="221" t="s">
        <v>486</v>
      </c>
      <c r="J80" s="152" t="s">
        <v>1364</v>
      </c>
      <c r="K80" s="99" t="s">
        <v>1364</v>
      </c>
      <c r="L80" s="142">
        <v>3.86</v>
      </c>
      <c r="M80" s="225">
        <v>45369.0</v>
      </c>
      <c r="N80" s="144" t="s">
        <v>1372</v>
      </c>
      <c r="O80" s="144" t="s">
        <v>1373</v>
      </c>
    </row>
    <row r="81">
      <c r="A81" s="67"/>
      <c r="B81" s="222" t="s">
        <v>176</v>
      </c>
      <c r="C81" s="41" t="s">
        <v>78</v>
      </c>
      <c r="D81" s="41" t="s">
        <v>1375</v>
      </c>
      <c r="E81" s="41" t="s">
        <v>1376</v>
      </c>
      <c r="F81" s="224" t="s">
        <v>1379</v>
      </c>
      <c r="G81" s="223" t="s">
        <v>1380</v>
      </c>
      <c r="H81" s="224" t="s">
        <v>192</v>
      </c>
      <c r="I81" s="224" t="s">
        <v>276</v>
      </c>
      <c r="J81" s="152" t="s">
        <v>1383</v>
      </c>
      <c r="K81" s="99" t="s">
        <v>1383</v>
      </c>
      <c r="L81" s="142">
        <v>2.79</v>
      </c>
      <c r="M81" s="225">
        <v>45376.0</v>
      </c>
      <c r="N81" s="144" t="s">
        <v>284</v>
      </c>
      <c r="O81" s="144" t="s">
        <v>1389</v>
      </c>
    </row>
    <row r="82">
      <c r="A82" s="67"/>
      <c r="B82" s="213" t="s">
        <v>176</v>
      </c>
      <c r="C82" s="40" t="s">
        <v>79</v>
      </c>
      <c r="D82" s="40" t="s">
        <v>1391</v>
      </c>
      <c r="E82" s="40" t="s">
        <v>1392</v>
      </c>
      <c r="F82" s="40" t="s">
        <v>1394</v>
      </c>
      <c r="G82" s="220" t="s">
        <v>1395</v>
      </c>
      <c r="H82" s="221" t="s">
        <v>224</v>
      </c>
      <c r="I82" s="221" t="s">
        <v>440</v>
      </c>
      <c r="J82" s="152" t="s">
        <v>1396</v>
      </c>
      <c r="K82" s="99" t="s">
        <v>1396</v>
      </c>
      <c r="L82" s="142">
        <v>3.86</v>
      </c>
      <c r="M82" s="225">
        <v>45383.0</v>
      </c>
      <c r="N82" s="144" t="s">
        <v>616</v>
      </c>
      <c r="O82" s="144" t="s">
        <v>1401</v>
      </c>
    </row>
    <row r="83">
      <c r="A83" s="67"/>
      <c r="B83" s="222" t="s">
        <v>176</v>
      </c>
      <c r="C83" s="41" t="s">
        <v>80</v>
      </c>
      <c r="D83" s="41" t="s">
        <v>1402</v>
      </c>
      <c r="E83" s="41" t="s">
        <v>1403</v>
      </c>
      <c r="F83" s="41" t="s">
        <v>1404</v>
      </c>
      <c r="G83" s="223" t="s">
        <v>1405</v>
      </c>
      <c r="H83" s="224" t="s">
        <v>192</v>
      </c>
      <c r="I83" s="224" t="s">
        <v>276</v>
      </c>
      <c r="J83" s="152" t="s">
        <v>1409</v>
      </c>
      <c r="K83" s="99" t="s">
        <v>1409</v>
      </c>
      <c r="L83" s="142">
        <v>4.36</v>
      </c>
      <c r="M83" s="225">
        <v>45390.0</v>
      </c>
      <c r="N83" s="144" t="s">
        <v>284</v>
      </c>
      <c r="O83" s="144" t="s">
        <v>1415</v>
      </c>
    </row>
    <row r="84">
      <c r="A84" s="67"/>
      <c r="B84" s="213" t="s">
        <v>176</v>
      </c>
      <c r="C84" s="40" t="s">
        <v>81</v>
      </c>
      <c r="D84" s="40" t="s">
        <v>1416</v>
      </c>
      <c r="E84" s="40" t="s">
        <v>1418</v>
      </c>
      <c r="F84" s="40" t="s">
        <v>578</v>
      </c>
      <c r="G84" s="220" t="s">
        <v>1420</v>
      </c>
      <c r="H84" s="221" t="s">
        <v>461</v>
      </c>
      <c r="I84" s="221" t="s">
        <v>462</v>
      </c>
      <c r="J84" s="152" t="s">
        <v>1426</v>
      </c>
      <c r="K84" s="99" t="s">
        <v>1426</v>
      </c>
      <c r="L84" s="142">
        <v>3.14</v>
      </c>
      <c r="M84" s="225">
        <v>45397.0</v>
      </c>
      <c r="N84" s="144" t="s">
        <v>886</v>
      </c>
      <c r="O84" s="144" t="s">
        <v>1435</v>
      </c>
    </row>
    <row r="85">
      <c r="A85" s="67"/>
      <c r="B85" s="222" t="s">
        <v>176</v>
      </c>
      <c r="C85" s="41" t="s">
        <v>82</v>
      </c>
      <c r="D85" s="41" t="s">
        <v>1436</v>
      </c>
      <c r="E85" s="41" t="s">
        <v>436</v>
      </c>
      <c r="F85" s="41" t="s">
        <v>1437</v>
      </c>
      <c r="G85" s="223" t="s">
        <v>1438</v>
      </c>
      <c r="H85" s="224" t="s">
        <v>192</v>
      </c>
      <c r="I85" s="224" t="s">
        <v>276</v>
      </c>
      <c r="J85" s="152" t="s">
        <v>1447</v>
      </c>
      <c r="K85" s="99" t="s">
        <v>1447</v>
      </c>
      <c r="L85" s="142">
        <v>1.0</v>
      </c>
      <c r="M85" s="225">
        <v>45404.0</v>
      </c>
      <c r="N85" s="144" t="s">
        <v>284</v>
      </c>
      <c r="O85" s="144" t="s">
        <v>1462</v>
      </c>
    </row>
    <row r="86">
      <c r="A86" s="67"/>
      <c r="B86" s="213" t="s">
        <v>176</v>
      </c>
      <c r="C86" s="40" t="s">
        <v>83</v>
      </c>
      <c r="D86" s="40" t="s">
        <v>1465</v>
      </c>
      <c r="E86" s="40" t="s">
        <v>1466</v>
      </c>
      <c r="F86" s="40" t="s">
        <v>1470</v>
      </c>
      <c r="G86" s="220" t="s">
        <v>1472</v>
      </c>
      <c r="H86" s="221" t="s">
        <v>485</v>
      </c>
      <c r="I86" s="221" t="s">
        <v>386</v>
      </c>
      <c r="J86" s="152" t="s">
        <v>1480</v>
      </c>
      <c r="K86" s="99" t="s">
        <v>1480</v>
      </c>
      <c r="L86" s="142">
        <v>3.5</v>
      </c>
      <c r="M86" s="225">
        <v>45411.0</v>
      </c>
      <c r="N86" s="144" t="s">
        <v>730</v>
      </c>
      <c r="O86" s="144" t="s">
        <v>1493</v>
      </c>
    </row>
    <row r="87">
      <c r="A87" s="67"/>
      <c r="B87" s="222" t="s">
        <v>176</v>
      </c>
      <c r="C87" s="41" t="s">
        <v>84</v>
      </c>
      <c r="D87" s="41" t="s">
        <v>1494</v>
      </c>
      <c r="E87" s="41" t="s">
        <v>1495</v>
      </c>
      <c r="F87" s="41" t="s">
        <v>183</v>
      </c>
      <c r="G87" s="223" t="s">
        <v>1498</v>
      </c>
      <c r="H87" s="224" t="s">
        <v>485</v>
      </c>
      <c r="I87" s="224" t="s">
        <v>486</v>
      </c>
      <c r="J87" s="152" t="s">
        <v>1504</v>
      </c>
      <c r="K87" s="99" t="s">
        <v>1504</v>
      </c>
      <c r="L87" s="142">
        <v>4.64</v>
      </c>
      <c r="M87" s="225">
        <v>45418.0</v>
      </c>
      <c r="N87" s="144" t="s">
        <v>493</v>
      </c>
      <c r="O87" s="144" t="s">
        <v>1513</v>
      </c>
    </row>
    <row r="88">
      <c r="A88" s="67"/>
      <c r="B88" s="213" t="s">
        <v>176</v>
      </c>
      <c r="C88" s="40" t="s">
        <v>85</v>
      </c>
      <c r="D88" s="40" t="s">
        <v>1515</v>
      </c>
      <c r="E88" s="40" t="s">
        <v>1517</v>
      </c>
      <c r="F88" s="40" t="s">
        <v>1520</v>
      </c>
      <c r="G88" s="220" t="s">
        <v>1522</v>
      </c>
      <c r="H88" s="221" t="s">
        <v>192</v>
      </c>
      <c r="I88" s="221" t="s">
        <v>276</v>
      </c>
      <c r="J88" s="152" t="s">
        <v>1523</v>
      </c>
      <c r="K88" s="99" t="s">
        <v>1523</v>
      </c>
      <c r="L88" s="142">
        <v>3.5</v>
      </c>
      <c r="M88" s="225">
        <v>45425.0</v>
      </c>
      <c r="N88" s="144" t="s">
        <v>469</v>
      </c>
      <c r="O88" s="144" t="s">
        <v>1535</v>
      </c>
    </row>
    <row r="89" hidden="1">
      <c r="A89" s="67"/>
      <c r="B89" s="222" t="s">
        <v>176</v>
      </c>
      <c r="C89" s="41" t="s">
        <v>86</v>
      </c>
      <c r="D89" s="41" t="s">
        <v>1538</v>
      </c>
      <c r="E89" s="41" t="s">
        <v>1039</v>
      </c>
      <c r="F89" s="41" t="s">
        <v>1540</v>
      </c>
      <c r="G89" s="223" t="s">
        <v>1542</v>
      </c>
      <c r="H89" s="224" t="s">
        <v>192</v>
      </c>
      <c r="I89" s="224" t="s">
        <v>276</v>
      </c>
      <c r="J89" s="152" t="s">
        <v>1545</v>
      </c>
      <c r="K89" s="99" t="s">
        <v>1545</v>
      </c>
      <c r="L89" s="142">
        <v>1.0</v>
      </c>
      <c r="M89" s="225">
        <v>45432.0</v>
      </c>
      <c r="N89" s="144" t="s">
        <v>284</v>
      </c>
      <c r="O89" s="144" t="s">
        <v>1553</v>
      </c>
    </row>
    <row r="90">
      <c r="A90" s="67"/>
      <c r="B90" s="213" t="s">
        <v>176</v>
      </c>
      <c r="C90" s="40" t="s">
        <v>87</v>
      </c>
      <c r="D90" s="40" t="s">
        <v>1558</v>
      </c>
      <c r="E90" s="40" t="s">
        <v>436</v>
      </c>
      <c r="F90" s="40" t="s">
        <v>568</v>
      </c>
      <c r="G90" s="220" t="s">
        <v>1559</v>
      </c>
      <c r="H90" s="221" t="s">
        <v>192</v>
      </c>
      <c r="I90" s="221" t="s">
        <v>195</v>
      </c>
      <c r="J90" s="152" t="s">
        <v>1570</v>
      </c>
      <c r="K90" s="99" t="s">
        <v>1570</v>
      </c>
      <c r="L90" s="142">
        <v>4.21</v>
      </c>
      <c r="M90" s="225">
        <v>45439.0</v>
      </c>
      <c r="N90" s="144" t="s">
        <v>208</v>
      </c>
      <c r="O90" s="144" t="s">
        <v>1585</v>
      </c>
    </row>
    <row r="91">
      <c r="A91" s="67"/>
      <c r="B91" s="222" t="s">
        <v>176</v>
      </c>
      <c r="C91" s="41" t="s">
        <v>88</v>
      </c>
      <c r="D91" s="41" t="s">
        <v>1588</v>
      </c>
      <c r="E91" s="41" t="s">
        <v>436</v>
      </c>
      <c r="F91" s="41" t="s">
        <v>1591</v>
      </c>
      <c r="G91" s="223" t="s">
        <v>1592</v>
      </c>
      <c r="H91" s="224" t="s">
        <v>485</v>
      </c>
      <c r="I91" s="224" t="s">
        <v>486</v>
      </c>
      <c r="J91" s="152" t="s">
        <v>1598</v>
      </c>
      <c r="K91" s="99" t="s">
        <v>1598</v>
      </c>
      <c r="L91" s="142">
        <v>1.0</v>
      </c>
      <c r="M91" s="225">
        <v>45446.0</v>
      </c>
      <c r="N91" s="144" t="s">
        <v>1372</v>
      </c>
      <c r="O91" s="144" t="s">
        <v>1606</v>
      </c>
    </row>
    <row r="92">
      <c r="A92" s="67"/>
      <c r="B92" s="213" t="s">
        <v>176</v>
      </c>
      <c r="C92" s="40" t="s">
        <v>89</v>
      </c>
      <c r="D92" s="40" t="s">
        <v>1611</v>
      </c>
      <c r="E92" s="40" t="s">
        <v>447</v>
      </c>
      <c r="F92" s="40" t="s">
        <v>447</v>
      </c>
      <c r="G92" s="220" t="s">
        <v>1614</v>
      </c>
      <c r="H92" s="221" t="s">
        <v>192</v>
      </c>
      <c r="I92" s="221" t="s">
        <v>276</v>
      </c>
      <c r="J92" s="152" t="s">
        <v>1619</v>
      </c>
      <c r="K92" s="99" t="s">
        <v>1619</v>
      </c>
      <c r="L92" s="142">
        <v>4.86</v>
      </c>
      <c r="M92" s="225">
        <v>45453.0</v>
      </c>
      <c r="N92" s="144" t="s">
        <v>284</v>
      </c>
      <c r="O92" s="144" t="s">
        <v>1631</v>
      </c>
    </row>
    <row r="93">
      <c r="A93" s="67"/>
      <c r="B93" s="222" t="s">
        <v>176</v>
      </c>
      <c r="C93" s="41" t="s">
        <v>90</v>
      </c>
      <c r="D93" s="41" t="s">
        <v>1632</v>
      </c>
      <c r="E93" s="41" t="s">
        <v>1633</v>
      </c>
      <c r="F93" s="41" t="s">
        <v>828</v>
      </c>
      <c r="G93" s="223" t="s">
        <v>1636</v>
      </c>
      <c r="H93" s="224" t="s">
        <v>192</v>
      </c>
      <c r="I93" s="224" t="s">
        <v>276</v>
      </c>
      <c r="J93" s="152" t="s">
        <v>1643</v>
      </c>
      <c r="K93" s="99" t="s">
        <v>1643</v>
      </c>
      <c r="L93" s="142">
        <v>3.86</v>
      </c>
      <c r="M93" s="225">
        <v>45460.0</v>
      </c>
      <c r="N93" s="144" t="s">
        <v>533</v>
      </c>
      <c r="O93" s="144" t="s">
        <v>1652</v>
      </c>
    </row>
    <row r="94">
      <c r="A94" s="67"/>
      <c r="B94" s="213" t="s">
        <v>176</v>
      </c>
      <c r="C94" s="40" t="s">
        <v>91</v>
      </c>
      <c r="D94" s="40" t="s">
        <v>1654</v>
      </c>
      <c r="E94" s="40" t="s">
        <v>1655</v>
      </c>
      <c r="F94" s="40" t="s">
        <v>684</v>
      </c>
      <c r="G94" s="220" t="s">
        <v>1656</v>
      </c>
      <c r="H94" s="221" t="s">
        <v>192</v>
      </c>
      <c r="I94" s="221" t="s">
        <v>276</v>
      </c>
      <c r="J94" s="152" t="s">
        <v>1664</v>
      </c>
      <c r="K94" s="99" t="s">
        <v>1664</v>
      </c>
      <c r="L94" s="142">
        <v>3.36</v>
      </c>
      <c r="M94" s="225">
        <v>45467.0</v>
      </c>
      <c r="N94" s="144" t="s">
        <v>284</v>
      </c>
      <c r="O94" s="144" t="s">
        <v>1673</v>
      </c>
    </row>
    <row r="95">
      <c r="A95" s="67"/>
      <c r="B95" s="222" t="s">
        <v>176</v>
      </c>
      <c r="C95" s="41" t="s">
        <v>92</v>
      </c>
      <c r="D95" s="41" t="s">
        <v>1678</v>
      </c>
      <c r="E95" s="41" t="s">
        <v>1680</v>
      </c>
      <c r="F95" s="41" t="s">
        <v>1681</v>
      </c>
      <c r="G95" s="223" t="s">
        <v>1682</v>
      </c>
      <c r="H95" s="224" t="s">
        <v>485</v>
      </c>
      <c r="I95" s="224" t="s">
        <v>486</v>
      </c>
      <c r="J95" s="152" t="s">
        <v>1683</v>
      </c>
      <c r="K95" s="99" t="s">
        <v>1683</v>
      </c>
      <c r="L95" s="142">
        <v>4.5</v>
      </c>
      <c r="M95" s="225">
        <v>45474.0</v>
      </c>
      <c r="N95" s="144" t="s">
        <v>1372</v>
      </c>
      <c r="O95" s="144" t="s">
        <v>1694</v>
      </c>
    </row>
    <row r="96">
      <c r="A96" s="67"/>
      <c r="B96" s="213" t="s">
        <v>176</v>
      </c>
      <c r="C96" s="40" t="s">
        <v>93</v>
      </c>
      <c r="D96" s="40" t="s">
        <v>1695</v>
      </c>
      <c r="E96" s="40" t="s">
        <v>410</v>
      </c>
      <c r="F96" s="40" t="s">
        <v>1697</v>
      </c>
      <c r="G96" s="220" t="s">
        <v>1698</v>
      </c>
      <c r="H96" s="221" t="s">
        <v>192</v>
      </c>
      <c r="I96" s="221" t="s">
        <v>276</v>
      </c>
      <c r="J96" s="152" t="s">
        <v>1706</v>
      </c>
      <c r="K96" s="99" t="s">
        <v>1706</v>
      </c>
      <c r="L96" s="142">
        <v>4.0</v>
      </c>
      <c r="M96" s="225">
        <v>45481.0</v>
      </c>
      <c r="N96" s="144" t="s">
        <v>284</v>
      </c>
      <c r="O96" s="144" t="s">
        <v>1716</v>
      </c>
    </row>
    <row r="97">
      <c r="A97" s="67"/>
      <c r="B97" s="222" t="s">
        <v>176</v>
      </c>
      <c r="C97" s="41" t="s">
        <v>94</v>
      </c>
      <c r="D97" s="41" t="s">
        <v>1720</v>
      </c>
      <c r="E97" s="41" t="s">
        <v>317</v>
      </c>
      <c r="F97" s="41" t="s">
        <v>1722</v>
      </c>
      <c r="G97" s="223" t="s">
        <v>1723</v>
      </c>
      <c r="H97" s="224" t="s">
        <v>192</v>
      </c>
      <c r="I97" s="224" t="s">
        <v>195</v>
      </c>
      <c r="J97" s="152" t="s">
        <v>1725</v>
      </c>
      <c r="K97" s="99" t="s">
        <v>1725</v>
      </c>
      <c r="L97" s="142">
        <v>4.0</v>
      </c>
      <c r="M97" s="225">
        <v>45488.0</v>
      </c>
      <c r="N97" s="144" t="s">
        <v>208</v>
      </c>
      <c r="O97" s="144" t="s">
        <v>1732</v>
      </c>
    </row>
    <row r="98">
      <c r="A98" s="67"/>
      <c r="B98" s="213" t="s">
        <v>176</v>
      </c>
      <c r="C98" s="40" t="s">
        <v>95</v>
      </c>
      <c r="D98" s="40" t="s">
        <v>1733</v>
      </c>
      <c r="E98" s="40" t="s">
        <v>592</v>
      </c>
      <c r="F98" s="40" t="s">
        <v>1734</v>
      </c>
      <c r="G98" s="220" t="s">
        <v>1735</v>
      </c>
      <c r="H98" s="221" t="s">
        <v>192</v>
      </c>
      <c r="I98" s="221" t="s">
        <v>195</v>
      </c>
      <c r="J98" s="152" t="s">
        <v>1742</v>
      </c>
      <c r="K98" s="99" t="s">
        <v>1742</v>
      </c>
      <c r="L98" s="142">
        <v>4.36</v>
      </c>
      <c r="M98" s="225">
        <v>45495.0</v>
      </c>
      <c r="N98" s="144" t="s">
        <v>208</v>
      </c>
      <c r="O98" s="144" t="s">
        <v>1746</v>
      </c>
    </row>
    <row r="99">
      <c r="A99" s="67"/>
      <c r="B99" s="222" t="s">
        <v>176</v>
      </c>
      <c r="C99" s="41" t="s">
        <v>96</v>
      </c>
      <c r="D99" s="41" t="s">
        <v>1748</v>
      </c>
      <c r="E99" s="41" t="s">
        <v>1039</v>
      </c>
      <c r="F99" s="41" t="s">
        <v>1752</v>
      </c>
      <c r="G99" s="223" t="s">
        <v>1753</v>
      </c>
      <c r="H99" s="224" t="s">
        <v>192</v>
      </c>
      <c r="I99" s="224" t="s">
        <v>276</v>
      </c>
      <c r="J99" s="152" t="s">
        <v>1756</v>
      </c>
      <c r="K99" s="99" t="s">
        <v>1756</v>
      </c>
      <c r="L99" s="142">
        <v>4.43</v>
      </c>
      <c r="M99" s="225">
        <v>45502.0</v>
      </c>
      <c r="N99" s="144" t="s">
        <v>284</v>
      </c>
      <c r="O99" s="144" t="s">
        <v>1765</v>
      </c>
    </row>
    <row r="100">
      <c r="A100" s="67"/>
      <c r="B100" s="213" t="s">
        <v>176</v>
      </c>
      <c r="C100" s="40" t="s">
        <v>97</v>
      </c>
      <c r="D100" s="40" t="s">
        <v>1767</v>
      </c>
      <c r="E100" s="40" t="s">
        <v>213</v>
      </c>
      <c r="F100" s="40" t="s">
        <v>1768</v>
      </c>
      <c r="G100" s="220" t="s">
        <v>1769</v>
      </c>
      <c r="H100" s="221" t="s">
        <v>192</v>
      </c>
      <c r="I100" s="221" t="s">
        <v>276</v>
      </c>
      <c r="J100" s="152" t="s">
        <v>1774</v>
      </c>
      <c r="K100" s="99" t="s">
        <v>1774</v>
      </c>
      <c r="L100" s="142">
        <v>3.86</v>
      </c>
      <c r="M100" s="225">
        <v>45509.0</v>
      </c>
      <c r="N100" s="144" t="s">
        <v>469</v>
      </c>
      <c r="O100" s="144" t="s">
        <v>1782</v>
      </c>
    </row>
    <row r="101">
      <c r="A101" s="67"/>
      <c r="B101" s="222" t="s">
        <v>176</v>
      </c>
      <c r="C101" s="41" t="s">
        <v>98</v>
      </c>
      <c r="D101" s="41" t="s">
        <v>1783</v>
      </c>
      <c r="E101" s="41" t="s">
        <v>1784</v>
      </c>
      <c r="F101" s="41" t="s">
        <v>1785</v>
      </c>
      <c r="G101" s="258" t="s">
        <v>1786</v>
      </c>
      <c r="H101" s="224" t="s">
        <v>192</v>
      </c>
      <c r="I101" s="224" t="s">
        <v>195</v>
      </c>
      <c r="J101" s="152" t="s">
        <v>1792</v>
      </c>
      <c r="K101" s="99" t="s">
        <v>1792</v>
      </c>
      <c r="L101" s="142">
        <v>4.21</v>
      </c>
      <c r="M101" s="225">
        <v>45516.0</v>
      </c>
      <c r="N101" s="144" t="s">
        <v>362</v>
      </c>
      <c r="O101" s="144" t="s">
        <v>1799</v>
      </c>
    </row>
    <row r="102">
      <c r="A102" s="67"/>
      <c r="B102" s="213" t="s">
        <v>176</v>
      </c>
      <c r="C102" s="40" t="s">
        <v>99</v>
      </c>
      <c r="D102" s="40" t="s">
        <v>1804</v>
      </c>
      <c r="E102" s="40" t="s">
        <v>592</v>
      </c>
      <c r="F102" s="40" t="s">
        <v>446</v>
      </c>
      <c r="G102" s="260" t="s">
        <v>1805</v>
      </c>
      <c r="H102" s="221" t="s">
        <v>461</v>
      </c>
      <c r="I102" s="221" t="s">
        <v>530</v>
      </c>
      <c r="J102" s="152" t="s">
        <v>1807</v>
      </c>
      <c r="K102" s="99" t="s">
        <v>1807</v>
      </c>
      <c r="L102" s="142">
        <v>4.71</v>
      </c>
      <c r="M102" s="225">
        <v>45523.0</v>
      </c>
      <c r="N102" s="144" t="s">
        <v>1131</v>
      </c>
      <c r="O102" s="144" t="s">
        <v>1817</v>
      </c>
    </row>
    <row r="103">
      <c r="A103" s="67"/>
      <c r="B103" s="261" t="s">
        <v>176</v>
      </c>
      <c r="C103" s="7" t="s">
        <v>100</v>
      </c>
      <c r="D103" s="262" t="s">
        <v>1819</v>
      </c>
      <c r="E103" s="262" t="s">
        <v>1820</v>
      </c>
      <c r="F103" s="7" t="s">
        <v>922</v>
      </c>
      <c r="G103" s="263" t="s">
        <v>1822</v>
      </c>
      <c r="H103" s="194" t="s">
        <v>461</v>
      </c>
      <c r="I103" s="194" t="s">
        <v>530</v>
      </c>
      <c r="J103" s="152" t="s">
        <v>1830</v>
      </c>
      <c r="K103" s="99" t="s">
        <v>1830</v>
      </c>
      <c r="L103" s="100">
        <v>4.57</v>
      </c>
      <c r="M103" s="101">
        <v>45530.0</v>
      </c>
      <c r="N103" s="102" t="s">
        <v>791</v>
      </c>
      <c r="O103" s="102" t="s">
        <v>1841</v>
      </c>
    </row>
    <row r="104">
      <c r="A104" s="67"/>
      <c r="B104" s="264" t="s">
        <v>176</v>
      </c>
      <c r="C104" s="7" t="s">
        <v>101</v>
      </c>
      <c r="D104" s="7" t="s">
        <v>1717</v>
      </c>
      <c r="E104" s="7" t="s">
        <v>1718</v>
      </c>
      <c r="F104" s="6"/>
      <c r="G104" s="265" t="s">
        <v>1724</v>
      </c>
      <c r="H104" s="194" t="s">
        <v>224</v>
      </c>
      <c r="I104" s="194" t="s">
        <v>226</v>
      </c>
      <c r="J104" s="152" t="s">
        <v>1719</v>
      </c>
      <c r="K104" s="99" t="s">
        <v>1719</v>
      </c>
      <c r="L104" s="142">
        <v>4.57</v>
      </c>
      <c r="M104" s="225">
        <v>45537.0</v>
      </c>
      <c r="N104" s="144" t="s">
        <v>238</v>
      </c>
      <c r="O104" s="144" t="s">
        <v>1855</v>
      </c>
    </row>
    <row r="105">
      <c r="A105" s="67"/>
      <c r="B105" s="261" t="s">
        <v>176</v>
      </c>
      <c r="C105" s="7" t="s">
        <v>102</v>
      </c>
      <c r="D105" s="7" t="s">
        <v>1857</v>
      </c>
      <c r="E105" s="7" t="s">
        <v>1858</v>
      </c>
      <c r="F105" s="7" t="s">
        <v>1859</v>
      </c>
      <c r="G105" s="265" t="s">
        <v>1860</v>
      </c>
      <c r="H105" s="194" t="s">
        <v>192</v>
      </c>
      <c r="I105" s="194" t="s">
        <v>350</v>
      </c>
      <c r="J105" s="152" t="s">
        <v>1865</v>
      </c>
      <c r="K105" s="99" t="s">
        <v>1865</v>
      </c>
      <c r="L105" s="100">
        <v>4.0</v>
      </c>
      <c r="M105" s="101">
        <v>45544.0</v>
      </c>
      <c r="N105" s="102" t="s">
        <v>352</v>
      </c>
      <c r="O105" s="102" t="s">
        <v>1875</v>
      </c>
    </row>
    <row r="106">
      <c r="A106" s="67"/>
      <c r="B106" s="264" t="s">
        <v>176</v>
      </c>
      <c r="C106" s="7" t="s">
        <v>103</v>
      </c>
      <c r="D106" s="7" t="s">
        <v>1876</v>
      </c>
      <c r="E106" s="7" t="s">
        <v>1877</v>
      </c>
      <c r="F106" s="7" t="s">
        <v>1878</v>
      </c>
      <c r="G106" s="267" t="s">
        <v>1879</v>
      </c>
      <c r="H106" s="194" t="s">
        <v>224</v>
      </c>
      <c r="I106" s="194" t="s">
        <v>440</v>
      </c>
      <c r="J106" s="152" t="s">
        <v>1882</v>
      </c>
      <c r="K106" s="99" t="s">
        <v>1882</v>
      </c>
      <c r="L106" s="100">
        <v>4.0</v>
      </c>
      <c r="M106" s="101">
        <v>45551.0</v>
      </c>
      <c r="N106" s="102" t="s">
        <v>442</v>
      </c>
      <c r="O106" s="102" t="s">
        <v>1890</v>
      </c>
    </row>
    <row r="107">
      <c r="A107" s="67"/>
      <c r="B107" s="222" t="s">
        <v>176</v>
      </c>
      <c r="C107" s="44" t="s">
        <v>104</v>
      </c>
      <c r="D107" s="44" t="s">
        <v>1893</v>
      </c>
      <c r="E107" s="44" t="s">
        <v>317</v>
      </c>
      <c r="F107" s="44" t="s">
        <v>1894</v>
      </c>
      <c r="G107" s="269" t="s">
        <v>1896</v>
      </c>
      <c r="H107" s="271" t="s">
        <v>192</v>
      </c>
      <c r="I107" s="271" t="s">
        <v>195</v>
      </c>
      <c r="J107" s="152" t="s">
        <v>1897</v>
      </c>
      <c r="K107" s="99" t="s">
        <v>1897</v>
      </c>
      <c r="L107" s="100">
        <v>3.71</v>
      </c>
      <c r="M107" s="101">
        <v>45558.0</v>
      </c>
      <c r="N107" s="102" t="s">
        <v>362</v>
      </c>
      <c r="O107" s="102" t="s">
        <v>1910</v>
      </c>
    </row>
    <row r="108">
      <c r="A108" s="67"/>
      <c r="B108" s="213" t="s">
        <v>176</v>
      </c>
      <c r="C108" s="7" t="s">
        <v>105</v>
      </c>
      <c r="D108" s="7" t="s">
        <v>1257</v>
      </c>
      <c r="E108" s="7" t="s">
        <v>1913</v>
      </c>
      <c r="F108" s="7" t="s">
        <v>215</v>
      </c>
      <c r="G108" s="267" t="s">
        <v>1258</v>
      </c>
      <c r="H108" s="194" t="s">
        <v>192</v>
      </c>
      <c r="I108" s="194" t="s">
        <v>276</v>
      </c>
      <c r="J108" s="152" t="s">
        <v>1919</v>
      </c>
      <c r="K108" s="99" t="s">
        <v>1919</v>
      </c>
      <c r="L108" s="100">
        <v>4.86</v>
      </c>
      <c r="M108" s="101">
        <v>45565.0</v>
      </c>
      <c r="N108" s="102" t="s">
        <v>284</v>
      </c>
      <c r="O108" s="102" t="s">
        <v>1933</v>
      </c>
    </row>
    <row r="109">
      <c r="A109" s="67"/>
      <c r="B109" s="222" t="s">
        <v>176</v>
      </c>
      <c r="C109" s="44" t="s">
        <v>106</v>
      </c>
      <c r="D109" s="44" t="s">
        <v>1934</v>
      </c>
      <c r="E109" s="44" t="s">
        <v>1935</v>
      </c>
      <c r="F109" s="44" t="s">
        <v>1936</v>
      </c>
      <c r="G109" s="269" t="s">
        <v>1937</v>
      </c>
      <c r="H109" s="271" t="s">
        <v>192</v>
      </c>
      <c r="I109" s="271" t="s">
        <v>276</v>
      </c>
      <c r="J109" s="152" t="s">
        <v>1939</v>
      </c>
      <c r="K109" s="99" t="s">
        <v>1939</v>
      </c>
      <c r="L109" s="100">
        <v>4.5</v>
      </c>
      <c r="M109" s="101">
        <v>45572.0</v>
      </c>
      <c r="N109" s="102" t="s">
        <v>284</v>
      </c>
      <c r="O109" s="102" t="s">
        <v>1948</v>
      </c>
    </row>
    <row r="110">
      <c r="A110" s="67"/>
      <c r="B110" s="213" t="s">
        <v>176</v>
      </c>
      <c r="C110" s="44" t="s">
        <v>107</v>
      </c>
      <c r="D110" s="44" t="s">
        <v>1949</v>
      </c>
      <c r="E110" s="44" t="s">
        <v>1950</v>
      </c>
      <c r="F110" s="44" t="s">
        <v>1951</v>
      </c>
      <c r="G110" s="269" t="s">
        <v>1952</v>
      </c>
      <c r="H110" s="271" t="s">
        <v>192</v>
      </c>
      <c r="I110" s="271" t="s">
        <v>195</v>
      </c>
      <c r="J110" s="152" t="s">
        <v>1961</v>
      </c>
      <c r="K110" s="160" t="s">
        <v>1961</v>
      </c>
      <c r="L110" s="276">
        <v>3.71</v>
      </c>
      <c r="M110" s="277">
        <v>45579.0</v>
      </c>
      <c r="N110" s="278" t="s">
        <v>362</v>
      </c>
      <c r="O110" s="278" t="s">
        <v>1970</v>
      </c>
    </row>
    <row r="111">
      <c r="A111" s="67"/>
      <c r="B111" s="222" t="s">
        <v>176</v>
      </c>
      <c r="C111" s="44" t="s">
        <v>108</v>
      </c>
      <c r="D111" s="44" t="s">
        <v>1971</v>
      </c>
      <c r="E111" s="44" t="s">
        <v>410</v>
      </c>
      <c r="F111" s="44" t="s">
        <v>1972</v>
      </c>
      <c r="G111" s="269" t="s">
        <v>1975</v>
      </c>
      <c r="H111" s="271" t="s">
        <v>461</v>
      </c>
      <c r="I111" s="271" t="s">
        <v>530</v>
      </c>
      <c r="J111" s="152" t="s">
        <v>1983</v>
      </c>
      <c r="K111" s="160" t="s">
        <v>1983</v>
      </c>
      <c r="L111" s="276">
        <v>4.0</v>
      </c>
      <c r="M111" s="277">
        <v>45586.0</v>
      </c>
      <c r="N111" s="278" t="s">
        <v>547</v>
      </c>
      <c r="O111" s="278" t="s">
        <v>1988</v>
      </c>
    </row>
    <row r="112">
      <c r="A112" s="67"/>
      <c r="B112" s="213" t="s">
        <v>176</v>
      </c>
      <c r="C112" s="44" t="s">
        <v>109</v>
      </c>
      <c r="D112" s="44" t="s">
        <v>1989</v>
      </c>
      <c r="E112" s="44" t="s">
        <v>1990</v>
      </c>
      <c r="F112" s="44" t="s">
        <v>1991</v>
      </c>
      <c r="G112" s="269" t="s">
        <v>1993</v>
      </c>
      <c r="H112" s="271" t="s">
        <v>461</v>
      </c>
      <c r="I112" s="271" t="s">
        <v>462</v>
      </c>
      <c r="J112" s="152" t="s">
        <v>2002</v>
      </c>
      <c r="K112" s="160" t="s">
        <v>2002</v>
      </c>
      <c r="L112" s="276">
        <v>4.0</v>
      </c>
      <c r="M112" s="277">
        <v>45593.0</v>
      </c>
      <c r="N112" s="278" t="s">
        <v>778</v>
      </c>
      <c r="O112" s="278" t="s">
        <v>2009</v>
      </c>
    </row>
    <row r="113">
      <c r="A113" s="67"/>
      <c r="B113" s="222" t="s">
        <v>176</v>
      </c>
      <c r="C113" s="44" t="s">
        <v>2010</v>
      </c>
      <c r="D113" s="44" t="s">
        <v>2011</v>
      </c>
      <c r="E113" s="44" t="s">
        <v>1325</v>
      </c>
      <c r="F113" s="283" t="s">
        <v>1548</v>
      </c>
      <c r="G113" s="269" t="s">
        <v>2012</v>
      </c>
      <c r="H113" s="271" t="s">
        <v>192</v>
      </c>
      <c r="I113" s="271" t="s">
        <v>276</v>
      </c>
      <c r="J113" s="152" t="s">
        <v>2022</v>
      </c>
      <c r="K113" s="160" t="s">
        <v>2022</v>
      </c>
      <c r="L113" s="276">
        <v>4.36</v>
      </c>
      <c r="M113" s="284">
        <v>45600.0</v>
      </c>
      <c r="N113" s="278" t="s">
        <v>1667</v>
      </c>
      <c r="O113" s="278" t="s">
        <v>2032</v>
      </c>
    </row>
    <row r="114">
      <c r="A114" s="67"/>
      <c r="B114" s="213" t="s">
        <v>176</v>
      </c>
      <c r="C114" s="44" t="s">
        <v>111</v>
      </c>
      <c r="D114" s="44" t="s">
        <v>2033</v>
      </c>
      <c r="E114" s="44" t="s">
        <v>410</v>
      </c>
      <c r="F114" s="7" t="s">
        <v>2034</v>
      </c>
      <c r="G114" s="269" t="s">
        <v>2035</v>
      </c>
      <c r="H114" s="271" t="s">
        <v>192</v>
      </c>
      <c r="I114" s="271" t="s">
        <v>350</v>
      </c>
      <c r="J114" s="152" t="s">
        <v>2040</v>
      </c>
      <c r="K114" s="160" t="s">
        <v>2040</v>
      </c>
      <c r="L114" s="285">
        <v>3.86</v>
      </c>
      <c r="M114" s="286">
        <v>45607.0</v>
      </c>
      <c r="N114" s="287" t="s">
        <v>352</v>
      </c>
      <c r="O114" s="287" t="s">
        <v>2051</v>
      </c>
    </row>
    <row r="115">
      <c r="A115" s="67"/>
      <c r="B115" s="222" t="s">
        <v>176</v>
      </c>
      <c r="C115" s="44" t="s">
        <v>112</v>
      </c>
      <c r="D115" s="44" t="s">
        <v>2052</v>
      </c>
      <c r="E115" s="44" t="s">
        <v>2053</v>
      </c>
      <c r="F115" s="44" t="s">
        <v>2054</v>
      </c>
      <c r="G115" s="269" t="s">
        <v>2055</v>
      </c>
      <c r="H115" s="271" t="s">
        <v>192</v>
      </c>
      <c r="I115" s="271" t="s">
        <v>276</v>
      </c>
      <c r="J115" s="152" t="s">
        <v>2062</v>
      </c>
      <c r="K115" s="160" t="s">
        <v>2062</v>
      </c>
      <c r="L115" s="276">
        <v>4.0</v>
      </c>
      <c r="M115" s="277">
        <v>45614.0</v>
      </c>
      <c r="N115" s="278" t="s">
        <v>284</v>
      </c>
      <c r="O115" s="278" t="s">
        <v>2067</v>
      </c>
    </row>
    <row r="116">
      <c r="A116" s="67"/>
      <c r="B116" s="213" t="s">
        <v>176</v>
      </c>
      <c r="C116" s="44" t="s">
        <v>113</v>
      </c>
      <c r="D116" s="44" t="s">
        <v>2068</v>
      </c>
      <c r="E116" s="44" t="s">
        <v>2069</v>
      </c>
      <c r="F116" s="7" t="s">
        <v>2070</v>
      </c>
      <c r="G116" s="269" t="s">
        <v>2071</v>
      </c>
      <c r="H116" s="271" t="s">
        <v>485</v>
      </c>
      <c r="I116" s="271" t="s">
        <v>486</v>
      </c>
      <c r="J116" s="152" t="s">
        <v>2079</v>
      </c>
      <c r="K116" s="160" t="s">
        <v>2079</v>
      </c>
      <c r="L116" s="276">
        <v>3.64</v>
      </c>
      <c r="M116" s="277">
        <v>45621.0</v>
      </c>
      <c r="N116" s="278" t="s">
        <v>1372</v>
      </c>
      <c r="O116" s="278" t="s">
        <v>2086</v>
      </c>
    </row>
    <row r="117">
      <c r="A117" s="67"/>
      <c r="B117" s="222" t="s">
        <v>176</v>
      </c>
      <c r="C117" s="44" t="s">
        <v>114</v>
      </c>
      <c r="D117" s="44" t="s">
        <v>2087</v>
      </c>
      <c r="E117" s="44" t="s">
        <v>1039</v>
      </c>
      <c r="F117" s="44" t="s">
        <v>2088</v>
      </c>
      <c r="G117" s="269" t="s">
        <v>2089</v>
      </c>
      <c r="H117" s="271" t="s">
        <v>461</v>
      </c>
      <c r="I117" s="271" t="s">
        <v>530</v>
      </c>
      <c r="J117" s="152" t="s">
        <v>2097</v>
      </c>
      <c r="K117" s="160" t="s">
        <v>2097</v>
      </c>
      <c r="L117" s="276">
        <v>4.0</v>
      </c>
      <c r="M117" s="284">
        <v>45628.0</v>
      </c>
      <c r="N117" s="278" t="s">
        <v>867</v>
      </c>
      <c r="O117" s="278" t="s">
        <v>2103</v>
      </c>
    </row>
    <row r="118">
      <c r="A118" s="67"/>
      <c r="B118" s="213" t="s">
        <v>176</v>
      </c>
      <c r="C118" s="44" t="s">
        <v>115</v>
      </c>
      <c r="D118" s="44" t="s">
        <v>2106</v>
      </c>
      <c r="E118" s="44" t="s">
        <v>2107</v>
      </c>
      <c r="F118" s="7" t="s">
        <v>1519</v>
      </c>
      <c r="G118" s="269" t="s">
        <v>2109</v>
      </c>
      <c r="H118" s="271" t="s">
        <v>192</v>
      </c>
      <c r="I118" s="271" t="s">
        <v>350</v>
      </c>
      <c r="J118" s="152" t="s">
        <v>2112</v>
      </c>
      <c r="K118" s="160" t="s">
        <v>2112</v>
      </c>
      <c r="L118" s="276">
        <v>3.64</v>
      </c>
      <c r="M118" s="284">
        <v>45635.0</v>
      </c>
      <c r="N118" s="278" t="s">
        <v>352</v>
      </c>
      <c r="O118" s="278" t="s">
        <v>2116</v>
      </c>
    </row>
    <row r="119">
      <c r="A119" s="67"/>
      <c r="B119" s="222" t="s">
        <v>176</v>
      </c>
      <c r="C119" s="44" t="s">
        <v>116</v>
      </c>
      <c r="D119" s="44" t="s">
        <v>2118</v>
      </c>
      <c r="E119" s="295" t="s">
        <v>317</v>
      </c>
      <c r="F119" s="44" t="s">
        <v>2120</v>
      </c>
      <c r="G119" s="269" t="s">
        <v>2121</v>
      </c>
      <c r="H119" s="271" t="s">
        <v>485</v>
      </c>
      <c r="I119" s="271" t="s">
        <v>486</v>
      </c>
      <c r="J119" s="152" t="s">
        <v>2124</v>
      </c>
      <c r="K119" s="160" t="s">
        <v>2124</v>
      </c>
      <c r="L119" s="276">
        <v>3.64</v>
      </c>
      <c r="M119" s="277">
        <v>45642.0</v>
      </c>
      <c r="N119" s="278" t="s">
        <v>1372</v>
      </c>
      <c r="O119" s="278" t="s">
        <v>2130</v>
      </c>
    </row>
    <row r="120">
      <c r="A120" s="67"/>
      <c r="B120" s="213" t="s">
        <v>176</v>
      </c>
      <c r="C120" s="44" t="s">
        <v>117</v>
      </c>
      <c r="D120" s="44" t="s">
        <v>212</v>
      </c>
      <c r="E120" s="299" t="s">
        <v>213</v>
      </c>
      <c r="F120" s="44" t="s">
        <v>215</v>
      </c>
      <c r="G120" s="269" t="s">
        <v>216</v>
      </c>
      <c r="H120" s="271" t="s">
        <v>224</v>
      </c>
      <c r="I120" s="271" t="s">
        <v>226</v>
      </c>
      <c r="J120" s="152" t="s">
        <v>1895</v>
      </c>
      <c r="K120" s="160" t="s">
        <v>1895</v>
      </c>
      <c r="L120" s="276">
        <v>5.0</v>
      </c>
      <c r="M120" s="277">
        <v>45649.0</v>
      </c>
      <c r="N120" s="278" t="s">
        <v>238</v>
      </c>
      <c r="O120" s="278" t="s">
        <v>2142</v>
      </c>
    </row>
    <row r="121">
      <c r="A121" s="67"/>
      <c r="B121" s="222" t="s">
        <v>176</v>
      </c>
      <c r="C121" s="44" t="s">
        <v>118</v>
      </c>
      <c r="D121" s="44" t="s">
        <v>2144</v>
      </c>
      <c r="E121" s="299" t="s">
        <v>317</v>
      </c>
      <c r="F121" s="44" t="s">
        <v>2145</v>
      </c>
      <c r="G121" s="269" t="s">
        <v>2146</v>
      </c>
      <c r="H121" s="271" t="s">
        <v>192</v>
      </c>
      <c r="I121" s="271" t="s">
        <v>276</v>
      </c>
      <c r="J121" s="152" t="s">
        <v>2149</v>
      </c>
      <c r="K121" s="160" t="s">
        <v>2149</v>
      </c>
      <c r="L121" s="276">
        <v>3.21</v>
      </c>
      <c r="M121" s="277">
        <v>45656.0</v>
      </c>
      <c r="N121" s="278" t="s">
        <v>469</v>
      </c>
      <c r="O121" s="278" t="s">
        <v>2159</v>
      </c>
    </row>
    <row r="122">
      <c r="A122" s="67"/>
      <c r="B122" s="213" t="s">
        <v>176</v>
      </c>
      <c r="C122" s="44" t="s">
        <v>119</v>
      </c>
      <c r="D122" s="44" t="s">
        <v>2163</v>
      </c>
      <c r="E122" s="299" t="s">
        <v>436</v>
      </c>
      <c r="F122" s="44" t="s">
        <v>2165</v>
      </c>
      <c r="G122" s="269" t="s">
        <v>2166</v>
      </c>
      <c r="H122" s="271" t="s">
        <v>485</v>
      </c>
      <c r="I122" s="271" t="s">
        <v>486</v>
      </c>
      <c r="J122" s="152" t="s">
        <v>2171</v>
      </c>
      <c r="K122" s="160" t="s">
        <v>2171</v>
      </c>
      <c r="L122" s="276">
        <v>3.86</v>
      </c>
      <c r="M122" s="284">
        <v>45663.0</v>
      </c>
      <c r="N122" s="278" t="s">
        <v>482</v>
      </c>
      <c r="O122" s="278" t="s">
        <v>2177</v>
      </c>
    </row>
    <row r="123">
      <c r="A123" s="67"/>
      <c r="B123" s="222" t="s">
        <v>176</v>
      </c>
      <c r="C123" s="44" t="s">
        <v>120</v>
      </c>
      <c r="D123" s="44" t="s">
        <v>2179</v>
      </c>
      <c r="E123" s="299" t="s">
        <v>2182</v>
      </c>
      <c r="F123" s="44"/>
      <c r="G123" s="269" t="s">
        <v>2184</v>
      </c>
      <c r="H123" s="271" t="s">
        <v>461</v>
      </c>
      <c r="I123" s="271" t="s">
        <v>530</v>
      </c>
      <c r="J123" s="152" t="s">
        <v>2185</v>
      </c>
      <c r="K123" s="160" t="s">
        <v>2185</v>
      </c>
      <c r="L123" s="285">
        <v>3.79</v>
      </c>
      <c r="M123" s="312">
        <v>45670.0</v>
      </c>
      <c r="N123" s="287" t="s">
        <v>547</v>
      </c>
      <c r="O123" s="287" t="s">
        <v>2194</v>
      </c>
    </row>
    <row r="124">
      <c r="A124" s="67"/>
      <c r="B124" s="213" t="s">
        <v>176</v>
      </c>
      <c r="C124" s="44" t="s">
        <v>121</v>
      </c>
      <c r="D124" s="44" t="s">
        <v>2197</v>
      </c>
      <c r="E124" s="299" t="s">
        <v>2198</v>
      </c>
      <c r="F124" s="44" t="s">
        <v>2199</v>
      </c>
      <c r="G124" s="269" t="s">
        <v>2200</v>
      </c>
      <c r="H124" s="271" t="s">
        <v>192</v>
      </c>
      <c r="I124" s="271" t="s">
        <v>276</v>
      </c>
      <c r="J124" s="152" t="s">
        <v>2202</v>
      </c>
      <c r="K124" s="160" t="s">
        <v>2202</v>
      </c>
      <c r="L124" s="276">
        <v>4.0</v>
      </c>
      <c r="M124" s="284">
        <v>45677.0</v>
      </c>
      <c r="N124" s="278" t="s">
        <v>284</v>
      </c>
      <c r="O124" s="278" t="s">
        <v>2214</v>
      </c>
    </row>
    <row r="125">
      <c r="A125" s="67"/>
      <c r="B125" s="222" t="s">
        <v>176</v>
      </c>
      <c r="C125" s="44" t="s">
        <v>122</v>
      </c>
      <c r="D125" s="44" t="s">
        <v>2215</v>
      </c>
      <c r="E125" s="299" t="s">
        <v>2216</v>
      </c>
      <c r="F125" s="44" t="s">
        <v>2217</v>
      </c>
      <c r="G125" s="269" t="s">
        <v>2218</v>
      </c>
      <c r="H125" s="271" t="s">
        <v>192</v>
      </c>
      <c r="I125" s="271" t="s">
        <v>276</v>
      </c>
      <c r="J125" s="152" t="s">
        <v>2222</v>
      </c>
      <c r="K125" s="160" t="s">
        <v>2222</v>
      </c>
      <c r="L125" s="276">
        <v>4.36</v>
      </c>
      <c r="M125" s="284">
        <v>45684.0</v>
      </c>
      <c r="N125" s="278" t="s">
        <v>284</v>
      </c>
      <c r="O125" s="278" t="s">
        <v>2232</v>
      </c>
    </row>
    <row r="126">
      <c r="A126" s="67"/>
      <c r="B126" s="213" t="s">
        <v>176</v>
      </c>
      <c r="C126" s="44" t="s">
        <v>123</v>
      </c>
      <c r="D126" s="44" t="s">
        <v>2233</v>
      </c>
      <c r="E126" s="299" t="s">
        <v>754</v>
      </c>
      <c r="F126" s="44" t="s">
        <v>2234</v>
      </c>
      <c r="G126" s="269" t="s">
        <v>2235</v>
      </c>
      <c r="H126" s="271" t="s">
        <v>192</v>
      </c>
      <c r="I126" s="271" t="s">
        <v>276</v>
      </c>
      <c r="J126" s="152" t="s">
        <v>2243</v>
      </c>
      <c r="K126" s="160" t="s">
        <v>2243</v>
      </c>
      <c r="L126" s="276">
        <v>3.64</v>
      </c>
      <c r="M126" s="284">
        <v>45691.0</v>
      </c>
      <c r="N126" s="278" t="s">
        <v>284</v>
      </c>
      <c r="O126" s="278" t="s">
        <v>2248</v>
      </c>
    </row>
    <row r="127">
      <c r="A127" s="67"/>
      <c r="B127" s="213" t="s">
        <v>176</v>
      </c>
      <c r="C127" s="44" t="s">
        <v>124</v>
      </c>
      <c r="D127" s="44" t="s">
        <v>2251</v>
      </c>
      <c r="E127" s="299" t="s">
        <v>2252</v>
      </c>
      <c r="F127" s="44" t="s">
        <v>215</v>
      </c>
      <c r="G127" s="269" t="s">
        <v>2253</v>
      </c>
      <c r="H127" s="271" t="s">
        <v>192</v>
      </c>
      <c r="I127" s="271" t="s">
        <v>276</v>
      </c>
      <c r="J127" s="152" t="s">
        <v>2261</v>
      </c>
      <c r="K127" s="160" t="s">
        <v>2261</v>
      </c>
      <c r="L127" s="276">
        <v>4.57</v>
      </c>
      <c r="M127" s="284">
        <v>45698.0</v>
      </c>
      <c r="N127" s="278" t="s">
        <v>749</v>
      </c>
      <c r="O127" s="278" t="s">
        <v>2273</v>
      </c>
    </row>
    <row r="128">
      <c r="A128" s="67"/>
      <c r="B128" s="213" t="s">
        <v>176</v>
      </c>
      <c r="C128" s="44" t="s">
        <v>125</v>
      </c>
      <c r="D128" s="44" t="s">
        <v>2274</v>
      </c>
      <c r="E128" s="299" t="s">
        <v>317</v>
      </c>
      <c r="F128" s="44" t="s">
        <v>2276</v>
      </c>
      <c r="G128" s="269" t="s">
        <v>2277</v>
      </c>
      <c r="H128" s="271" t="s">
        <v>192</v>
      </c>
      <c r="I128" s="271" t="s">
        <v>276</v>
      </c>
      <c r="J128" s="152" t="s">
        <v>2279</v>
      </c>
      <c r="K128" s="160" t="s">
        <v>2279</v>
      </c>
      <c r="L128" s="276">
        <v>4.64</v>
      </c>
      <c r="M128" s="284">
        <v>45705.0</v>
      </c>
      <c r="N128" s="278" t="s">
        <v>469</v>
      </c>
      <c r="O128" s="278" t="s">
        <v>2291</v>
      </c>
    </row>
    <row r="129">
      <c r="A129" s="67"/>
      <c r="B129" s="213" t="s">
        <v>176</v>
      </c>
      <c r="C129" s="44" t="s">
        <v>126</v>
      </c>
      <c r="D129" s="44" t="s">
        <v>2074</v>
      </c>
      <c r="E129" s="299" t="s">
        <v>213</v>
      </c>
      <c r="F129" s="44" t="s">
        <v>2075</v>
      </c>
      <c r="G129" s="269" t="s">
        <v>2085</v>
      </c>
      <c r="H129" s="271" t="s">
        <v>192</v>
      </c>
      <c r="I129" s="271" t="s">
        <v>276</v>
      </c>
      <c r="J129" s="152" t="s">
        <v>2295</v>
      </c>
      <c r="K129" s="160" t="s">
        <v>2295</v>
      </c>
      <c r="L129" s="276">
        <v>3.36</v>
      </c>
      <c r="M129" s="284">
        <v>45712.0</v>
      </c>
      <c r="N129" s="278" t="s">
        <v>1667</v>
      </c>
      <c r="O129" s="278" t="s">
        <v>2312</v>
      </c>
    </row>
    <row r="130">
      <c r="A130" s="67"/>
      <c r="B130" s="213" t="s">
        <v>176</v>
      </c>
      <c r="C130" s="44" t="s">
        <v>127</v>
      </c>
      <c r="D130" s="44" t="s">
        <v>2314</v>
      </c>
      <c r="E130" s="299" t="s">
        <v>2315</v>
      </c>
      <c r="F130" s="44" t="s">
        <v>2316</v>
      </c>
      <c r="G130" s="269" t="s">
        <v>2317</v>
      </c>
      <c r="H130" s="271" t="s">
        <v>192</v>
      </c>
      <c r="I130" s="271" t="s">
        <v>276</v>
      </c>
      <c r="J130" s="152" t="s">
        <v>2324</v>
      </c>
      <c r="K130" s="160" t="s">
        <v>2324</v>
      </c>
      <c r="L130" s="276">
        <v>3.64</v>
      </c>
      <c r="M130" s="284">
        <v>45719.0</v>
      </c>
      <c r="N130" s="278" t="s">
        <v>1667</v>
      </c>
      <c r="O130" s="278" t="s">
        <v>2328</v>
      </c>
    </row>
    <row r="131">
      <c r="A131" s="67"/>
      <c r="B131" s="213" t="s">
        <v>176</v>
      </c>
      <c r="C131" s="44" t="s">
        <v>128</v>
      </c>
      <c r="D131" s="44" t="s">
        <v>2101</v>
      </c>
      <c r="E131" s="299" t="s">
        <v>2330</v>
      </c>
      <c r="F131" s="44" t="s">
        <v>215</v>
      </c>
      <c r="G131" s="269" t="s">
        <v>2113</v>
      </c>
      <c r="H131" s="271" t="s">
        <v>224</v>
      </c>
      <c r="I131" s="271" t="s">
        <v>226</v>
      </c>
      <c r="J131" s="152" t="s">
        <v>2336</v>
      </c>
      <c r="K131" s="160" t="s">
        <v>2336</v>
      </c>
      <c r="L131" s="276">
        <v>3.79</v>
      </c>
      <c r="M131" s="284">
        <v>45726.0</v>
      </c>
      <c r="N131" s="278" t="s">
        <v>238</v>
      </c>
      <c r="O131" s="278" t="s">
        <v>2348</v>
      </c>
    </row>
    <row r="132">
      <c r="A132" s="67"/>
      <c r="B132" s="213" t="s">
        <v>176</v>
      </c>
      <c r="C132" s="44" t="s">
        <v>129</v>
      </c>
      <c r="D132" s="44" t="s">
        <v>2349</v>
      </c>
      <c r="E132" s="299" t="s">
        <v>1495</v>
      </c>
      <c r="F132" s="44" t="s">
        <v>948</v>
      </c>
      <c r="G132" s="269" t="s">
        <v>2350</v>
      </c>
      <c r="H132" s="271" t="s">
        <v>485</v>
      </c>
      <c r="I132" s="271" t="s">
        <v>386</v>
      </c>
      <c r="J132" s="152" t="s">
        <v>2352</v>
      </c>
      <c r="K132" s="160" t="s">
        <v>2352</v>
      </c>
      <c r="L132" s="276">
        <v>4.36</v>
      </c>
      <c r="M132" s="284">
        <v>45733.0</v>
      </c>
      <c r="N132" s="278" t="s">
        <v>2133</v>
      </c>
      <c r="O132" s="278" t="s">
        <v>2360</v>
      </c>
    </row>
    <row r="133">
      <c r="A133" s="67"/>
      <c r="B133" s="213" t="s">
        <v>176</v>
      </c>
      <c r="C133" s="44" t="s">
        <v>130</v>
      </c>
      <c r="D133" s="44" t="s">
        <v>2365</v>
      </c>
      <c r="E133" s="299" t="s">
        <v>2366</v>
      </c>
      <c r="F133" s="44" t="s">
        <v>979</v>
      </c>
      <c r="G133" s="269" t="s">
        <v>2367</v>
      </c>
      <c r="H133" s="271" t="s">
        <v>192</v>
      </c>
      <c r="I133" s="271" t="s">
        <v>195</v>
      </c>
      <c r="J133" s="152" t="s">
        <v>2373</v>
      </c>
      <c r="K133" s="160" t="s">
        <v>2373</v>
      </c>
      <c r="L133" s="276">
        <v>1.0</v>
      </c>
      <c r="M133" s="284">
        <v>45740.0</v>
      </c>
      <c r="N133" s="278" t="s">
        <v>843</v>
      </c>
      <c r="O133" s="278" t="s">
        <v>2380</v>
      </c>
    </row>
    <row r="134">
      <c r="A134" s="67"/>
      <c r="B134" s="213" t="s">
        <v>176</v>
      </c>
      <c r="C134" s="44" t="s">
        <v>131</v>
      </c>
      <c r="D134" s="44" t="s">
        <v>2381</v>
      </c>
      <c r="E134" s="299" t="s">
        <v>2382</v>
      </c>
      <c r="F134" s="44" t="s">
        <v>2334</v>
      </c>
      <c r="G134" s="269" t="s">
        <v>2384</v>
      </c>
      <c r="H134" s="271" t="s">
        <v>192</v>
      </c>
      <c r="I134" s="271" t="s">
        <v>276</v>
      </c>
      <c r="J134" s="152" t="s">
        <v>2391</v>
      </c>
      <c r="K134" s="160" t="s">
        <v>2391</v>
      </c>
      <c r="L134" s="276">
        <v>1.0</v>
      </c>
      <c r="M134" s="284">
        <v>45747.0</v>
      </c>
      <c r="N134" s="278" t="s">
        <v>1667</v>
      </c>
      <c r="O134" s="278" t="s">
        <v>2397</v>
      </c>
    </row>
    <row r="135">
      <c r="A135" s="67"/>
      <c r="B135" s="213" t="s">
        <v>176</v>
      </c>
      <c r="C135" s="44" t="s">
        <v>132</v>
      </c>
      <c r="D135" s="44" t="s">
        <v>2399</v>
      </c>
      <c r="E135" s="299" t="s">
        <v>2400</v>
      </c>
      <c r="F135" s="44" t="s">
        <v>2401</v>
      </c>
      <c r="G135" s="269" t="s">
        <v>2403</v>
      </c>
      <c r="H135" s="271" t="s">
        <v>461</v>
      </c>
      <c r="I135" s="271" t="s">
        <v>462</v>
      </c>
      <c r="J135" s="152" t="s">
        <v>2412</v>
      </c>
      <c r="K135" s="160" t="s">
        <v>2412</v>
      </c>
      <c r="L135" s="276">
        <v>4.14</v>
      </c>
      <c r="M135" s="284">
        <v>45754.0</v>
      </c>
      <c r="N135" s="278" t="s">
        <v>886</v>
      </c>
      <c r="O135" s="278" t="s">
        <v>2420</v>
      </c>
    </row>
    <row r="136">
      <c r="A136" s="67"/>
      <c r="B136" s="213" t="s">
        <v>176</v>
      </c>
      <c r="C136" s="44" t="s">
        <v>133</v>
      </c>
      <c r="D136" s="44" t="s">
        <v>2421</v>
      </c>
      <c r="E136" s="299" t="s">
        <v>745</v>
      </c>
      <c r="F136" s="44" t="s">
        <v>2422</v>
      </c>
      <c r="G136" s="269" t="s">
        <v>2423</v>
      </c>
      <c r="H136" s="271" t="s">
        <v>192</v>
      </c>
      <c r="I136" s="271" t="s">
        <v>350</v>
      </c>
      <c r="J136" s="152" t="s">
        <v>2434</v>
      </c>
      <c r="K136" s="160" t="s">
        <v>2434</v>
      </c>
      <c r="L136" s="276">
        <v>4.57</v>
      </c>
      <c r="M136" s="284">
        <v>45761.0</v>
      </c>
      <c r="N136" s="278" t="s">
        <v>600</v>
      </c>
      <c r="O136" s="278" t="s">
        <v>2438</v>
      </c>
    </row>
    <row r="137">
      <c r="A137" s="67"/>
      <c r="B137" s="213" t="s">
        <v>176</v>
      </c>
      <c r="C137" s="44" t="s">
        <v>134</v>
      </c>
      <c r="D137" s="44" t="s">
        <v>2101</v>
      </c>
      <c r="E137" s="299" t="s">
        <v>2102</v>
      </c>
      <c r="F137" s="44" t="s">
        <v>215</v>
      </c>
      <c r="G137" s="269" t="s">
        <v>2113</v>
      </c>
      <c r="H137" s="271" t="s">
        <v>461</v>
      </c>
      <c r="I137" s="271" t="s">
        <v>530</v>
      </c>
      <c r="J137" s="152" t="s">
        <v>2104</v>
      </c>
      <c r="K137" s="160" t="s">
        <v>2104</v>
      </c>
      <c r="L137" s="276">
        <v>5.0</v>
      </c>
      <c r="M137" s="284">
        <v>45768.0</v>
      </c>
      <c r="N137" s="278" t="s">
        <v>867</v>
      </c>
      <c r="O137" s="278" t="s">
        <v>2448</v>
      </c>
    </row>
    <row r="138">
      <c r="A138" s="67"/>
      <c r="B138" s="213" t="s">
        <v>176</v>
      </c>
      <c r="C138" s="44" t="s">
        <v>135</v>
      </c>
      <c r="D138" s="44" t="s">
        <v>2450</v>
      </c>
      <c r="E138" s="299" t="s">
        <v>410</v>
      </c>
      <c r="F138" s="44" t="s">
        <v>2451</v>
      </c>
      <c r="G138" s="269" t="s">
        <v>2452</v>
      </c>
      <c r="H138" s="271" t="s">
        <v>485</v>
      </c>
      <c r="I138" s="271" t="s">
        <v>486</v>
      </c>
      <c r="J138" s="152" t="s">
        <v>2460</v>
      </c>
      <c r="K138" s="160" t="s">
        <v>2460</v>
      </c>
      <c r="L138" s="276">
        <v>4.0</v>
      </c>
      <c r="M138" s="284">
        <v>45775.0</v>
      </c>
      <c r="N138" s="278" t="s">
        <v>449</v>
      </c>
      <c r="O138" s="278" t="s">
        <v>2470</v>
      </c>
    </row>
    <row r="139">
      <c r="A139" s="67"/>
      <c r="B139" s="213" t="s">
        <v>176</v>
      </c>
      <c r="C139" s="44" t="s">
        <v>136</v>
      </c>
      <c r="D139" s="44" t="s">
        <v>2471</v>
      </c>
      <c r="E139" s="299" t="s">
        <v>2472</v>
      </c>
      <c r="F139" s="44" t="s">
        <v>2473</v>
      </c>
      <c r="G139" s="269" t="s">
        <v>2475</v>
      </c>
      <c r="H139" s="271" t="s">
        <v>224</v>
      </c>
      <c r="I139" s="271" t="s">
        <v>324</v>
      </c>
      <c r="J139" s="152" t="s">
        <v>2482</v>
      </c>
      <c r="K139" s="160" t="s">
        <v>2482</v>
      </c>
      <c r="L139" s="276">
        <v>5.0</v>
      </c>
      <c r="M139" s="284">
        <v>45782.0</v>
      </c>
      <c r="N139" s="278" t="s">
        <v>660</v>
      </c>
      <c r="O139" s="278" t="s">
        <v>2493</v>
      </c>
    </row>
    <row r="140">
      <c r="A140" s="67"/>
      <c r="B140" s="213" t="s">
        <v>176</v>
      </c>
      <c r="C140" s="44" t="s">
        <v>137</v>
      </c>
      <c r="D140" s="44" t="s">
        <v>2494</v>
      </c>
      <c r="E140" s="299" t="s">
        <v>2495</v>
      </c>
      <c r="F140" s="44" t="s">
        <v>948</v>
      </c>
      <c r="G140" s="269" t="s">
        <v>2496</v>
      </c>
      <c r="H140" s="271" t="s">
        <v>224</v>
      </c>
      <c r="I140" s="271" t="s">
        <v>324</v>
      </c>
      <c r="J140" s="152" t="s">
        <v>2504</v>
      </c>
      <c r="K140" s="160" t="s">
        <v>2504</v>
      </c>
      <c r="L140" s="276">
        <v>4.86</v>
      </c>
      <c r="M140" s="284">
        <v>45789.0</v>
      </c>
      <c r="N140" s="278" t="s">
        <v>332</v>
      </c>
      <c r="O140" s="278" t="s">
        <v>2512</v>
      </c>
    </row>
    <row r="141">
      <c r="A141" s="67"/>
      <c r="B141" s="213" t="s">
        <v>176</v>
      </c>
      <c r="C141" s="44" t="s">
        <v>138</v>
      </c>
      <c r="D141" s="44" t="s">
        <v>2513</v>
      </c>
      <c r="E141" s="299" t="s">
        <v>436</v>
      </c>
      <c r="F141" s="44" t="s">
        <v>318</v>
      </c>
      <c r="G141" s="269" t="s">
        <v>2514</v>
      </c>
      <c r="H141" s="271" t="s">
        <v>192</v>
      </c>
      <c r="I141" s="271" t="s">
        <v>350</v>
      </c>
      <c r="J141" s="152" t="s">
        <v>2518</v>
      </c>
      <c r="K141" s="160" t="s">
        <v>2518</v>
      </c>
      <c r="L141" s="329">
        <v>4.5</v>
      </c>
      <c r="M141" s="330">
        <v>45796.0</v>
      </c>
      <c r="N141" s="331" t="s">
        <v>352</v>
      </c>
      <c r="O141" s="331" t="s">
        <v>2530</v>
      </c>
    </row>
    <row r="142">
      <c r="A142" s="67"/>
      <c r="B142" s="213" t="s">
        <v>176</v>
      </c>
      <c r="C142" s="44" t="s">
        <v>139</v>
      </c>
      <c r="D142" s="44" t="s">
        <v>2531</v>
      </c>
      <c r="E142" s="44" t="s">
        <v>588</v>
      </c>
      <c r="F142" s="44" t="s">
        <v>2532</v>
      </c>
      <c r="G142" s="269" t="s">
        <v>2533</v>
      </c>
      <c r="H142" s="271" t="s">
        <v>224</v>
      </c>
      <c r="I142" s="271" t="s">
        <v>324</v>
      </c>
      <c r="J142" s="152" t="s">
        <v>2543</v>
      </c>
      <c r="K142" s="160" t="s">
        <v>2543</v>
      </c>
      <c r="L142" s="329">
        <v>4.79</v>
      </c>
      <c r="M142" s="330">
        <v>45803.0</v>
      </c>
      <c r="N142" s="331" t="s">
        <v>933</v>
      </c>
      <c r="O142" s="331" t="s">
        <v>2551</v>
      </c>
    </row>
    <row r="143">
      <c r="A143" s="67"/>
      <c r="B143" s="213" t="s">
        <v>176</v>
      </c>
      <c r="C143" s="44" t="s">
        <v>140</v>
      </c>
      <c r="D143" s="44" t="s">
        <v>2554</v>
      </c>
      <c r="E143" s="44" t="s">
        <v>213</v>
      </c>
      <c r="F143" s="44" t="s">
        <v>2555</v>
      </c>
      <c r="G143" s="332" t="s">
        <v>2556</v>
      </c>
      <c r="H143" s="271" t="s">
        <v>192</v>
      </c>
      <c r="I143" s="271" t="s">
        <v>276</v>
      </c>
      <c r="J143" s="152" t="s">
        <v>2564</v>
      </c>
      <c r="K143" s="160" t="s">
        <v>2564</v>
      </c>
      <c r="L143" s="329">
        <v>4.71</v>
      </c>
      <c r="M143" s="330">
        <v>45810.0</v>
      </c>
      <c r="N143" s="331" t="s">
        <v>1667</v>
      </c>
      <c r="O143" s="331" t="s">
        <v>2574</v>
      </c>
    </row>
    <row r="144">
      <c r="A144" s="67"/>
      <c r="B144" s="213" t="s">
        <v>176</v>
      </c>
      <c r="C144" s="40" t="s">
        <v>141</v>
      </c>
      <c r="D144" s="47" t="s">
        <v>2575</v>
      </c>
      <c r="E144" s="334" t="s">
        <v>2576</v>
      </c>
      <c r="F144" s="334" t="s">
        <v>2577</v>
      </c>
      <c r="G144" s="332" t="s">
        <v>2578</v>
      </c>
      <c r="H144" s="271" t="s">
        <v>192</v>
      </c>
      <c r="I144" s="271" t="s">
        <v>276</v>
      </c>
      <c r="J144" s="152" t="s">
        <v>2581</v>
      </c>
      <c r="K144" s="160" t="s">
        <v>2581</v>
      </c>
      <c r="L144" s="329">
        <v>5.0</v>
      </c>
      <c r="M144" s="330">
        <v>45817.0</v>
      </c>
      <c r="N144" s="331" t="s">
        <v>284</v>
      </c>
      <c r="O144" s="331" t="s">
        <v>2585</v>
      </c>
    </row>
    <row r="145">
      <c r="A145" s="67"/>
      <c r="B145" s="213" t="s">
        <v>176</v>
      </c>
      <c r="C145" s="47" t="s">
        <v>142</v>
      </c>
      <c r="D145" s="40" t="s">
        <v>2586</v>
      </c>
      <c r="E145" s="40" t="s">
        <v>1297</v>
      </c>
      <c r="F145" s="40" t="s">
        <v>948</v>
      </c>
      <c r="G145" s="332" t="s">
        <v>2587</v>
      </c>
      <c r="H145" s="221" t="s">
        <v>224</v>
      </c>
      <c r="I145" s="221" t="s">
        <v>440</v>
      </c>
      <c r="J145" s="152" t="s">
        <v>2589</v>
      </c>
      <c r="K145" s="160" t="s">
        <v>2589</v>
      </c>
      <c r="L145" s="329">
        <v>4.86</v>
      </c>
      <c r="M145" s="330">
        <v>45824.0</v>
      </c>
      <c r="N145" s="331" t="s">
        <v>616</v>
      </c>
      <c r="O145" s="331" t="s">
        <v>2590</v>
      </c>
    </row>
    <row r="146">
      <c r="A146" s="340"/>
      <c r="B146" s="342" t="s">
        <v>176</v>
      </c>
      <c r="C146" s="48" t="s">
        <v>143</v>
      </c>
      <c r="D146" s="48" t="s">
        <v>2593</v>
      </c>
      <c r="E146" s="344" t="s">
        <v>2594</v>
      </c>
      <c r="F146" s="346"/>
      <c r="G146" s="347" t="s">
        <v>2596</v>
      </c>
      <c r="H146" s="348" t="s">
        <v>192</v>
      </c>
      <c r="I146" s="348" t="s">
        <v>276</v>
      </c>
      <c r="J146" s="152" t="s">
        <v>2603</v>
      </c>
      <c r="K146" s="160" t="s">
        <v>2603</v>
      </c>
      <c r="L146" s="329">
        <v>4.14</v>
      </c>
      <c r="M146" s="330">
        <v>45831.0</v>
      </c>
      <c r="N146" s="331" t="s">
        <v>284</v>
      </c>
      <c r="O146" s="331" t="s">
        <v>2606</v>
      </c>
    </row>
    <row r="147">
      <c r="A147" s="349"/>
      <c r="B147" s="351" t="s">
        <v>176</v>
      </c>
      <c r="C147" s="55" t="s">
        <v>2607</v>
      </c>
      <c r="D147" s="55" t="s">
        <v>2608</v>
      </c>
      <c r="E147" s="353" t="s">
        <v>181</v>
      </c>
      <c r="F147" s="355" t="s">
        <v>1399</v>
      </c>
      <c r="G147" s="356" t="s">
        <v>2612</v>
      </c>
      <c r="H147" s="357" t="s">
        <v>485</v>
      </c>
      <c r="I147" s="357" t="s">
        <v>386</v>
      </c>
      <c r="J147" s="152" t="s">
        <v>2618</v>
      </c>
      <c r="K147" s="160" t="s">
        <v>2618</v>
      </c>
      <c r="L147" s="276">
        <v>4.0</v>
      </c>
      <c r="M147" s="284">
        <v>45838.0</v>
      </c>
      <c r="N147" s="278" t="s">
        <v>549</v>
      </c>
      <c r="O147" s="278" t="s">
        <v>2625</v>
      </c>
    </row>
    <row r="148">
      <c r="A148" s="56"/>
      <c r="B148" s="360" t="s">
        <v>176</v>
      </c>
      <c r="C148" s="59" t="s">
        <v>145</v>
      </c>
      <c r="D148" s="59" t="s">
        <v>2627</v>
      </c>
      <c r="E148" s="361" t="s">
        <v>2629</v>
      </c>
      <c r="F148" s="362"/>
      <c r="G148" s="363" t="s">
        <v>2630</v>
      </c>
      <c r="H148" s="364" t="s">
        <v>461</v>
      </c>
      <c r="I148" s="364" t="s">
        <v>530</v>
      </c>
      <c r="J148" s="152" t="s">
        <v>2635</v>
      </c>
      <c r="K148" s="160" t="s">
        <v>2635</v>
      </c>
      <c r="L148" s="276">
        <v>1.0</v>
      </c>
      <c r="M148" s="284">
        <v>45845.0</v>
      </c>
      <c r="N148" s="278" t="s">
        <v>1131</v>
      </c>
      <c r="O148" s="278" t="s">
        <v>2647</v>
      </c>
    </row>
    <row r="149">
      <c r="A149" s="67"/>
      <c r="B149" s="213" t="s">
        <v>176</v>
      </c>
      <c r="C149" s="40" t="s">
        <v>146</v>
      </c>
      <c r="D149" s="40" t="s">
        <v>2649</v>
      </c>
      <c r="E149" s="38" t="s">
        <v>2650</v>
      </c>
      <c r="F149" s="365" t="s">
        <v>2651</v>
      </c>
      <c r="G149" s="367" t="s">
        <v>2652</v>
      </c>
      <c r="H149" s="201" t="s">
        <v>192</v>
      </c>
      <c r="I149" s="201" t="s">
        <v>350</v>
      </c>
      <c r="J149" s="152" t="s">
        <v>2654</v>
      </c>
      <c r="K149" s="99" t="s">
        <v>2654</v>
      </c>
      <c r="L149" s="368">
        <v>4.57</v>
      </c>
      <c r="M149" s="369">
        <v>45852.0</v>
      </c>
      <c r="N149" s="368" t="s">
        <v>352</v>
      </c>
      <c r="O149" s="368" t="s">
        <v>2658</v>
      </c>
    </row>
    <row r="150">
      <c r="A150" s="67"/>
      <c r="B150" s="213" t="s">
        <v>176</v>
      </c>
      <c r="C150" s="40" t="s">
        <v>147</v>
      </c>
      <c r="D150" s="40" t="s">
        <v>2662</v>
      </c>
      <c r="E150" s="38" t="s">
        <v>2663</v>
      </c>
      <c r="F150" s="365" t="s">
        <v>948</v>
      </c>
      <c r="G150" s="367" t="s">
        <v>2665</v>
      </c>
      <c r="H150" s="201" t="s">
        <v>461</v>
      </c>
      <c r="I150" s="201" t="s">
        <v>462</v>
      </c>
      <c r="J150" s="152" t="s">
        <v>2672</v>
      </c>
      <c r="K150" s="99" t="s">
        <v>2672</v>
      </c>
      <c r="L150" s="100">
        <v>4.86</v>
      </c>
      <c r="M150" s="101">
        <v>45859.0</v>
      </c>
      <c r="N150" s="102" t="s">
        <v>778</v>
      </c>
      <c r="O150" s="102" t="s">
        <v>2675</v>
      </c>
    </row>
    <row r="151">
      <c r="A151" s="67"/>
      <c r="B151" s="213" t="s">
        <v>176</v>
      </c>
      <c r="C151" s="66" t="s">
        <v>148</v>
      </c>
      <c r="D151" s="40" t="s">
        <v>2676</v>
      </c>
      <c r="E151" s="38" t="s">
        <v>2677</v>
      </c>
      <c r="F151" s="365" t="s">
        <v>2678</v>
      </c>
      <c r="G151" s="367" t="s">
        <v>2680</v>
      </c>
      <c r="H151" s="201" t="s">
        <v>192</v>
      </c>
      <c r="I151" s="201" t="s">
        <v>195</v>
      </c>
      <c r="J151" s="152" t="s">
        <v>2686</v>
      </c>
      <c r="K151" s="99" t="s">
        <v>2686</v>
      </c>
      <c r="L151" s="100">
        <v>4.64</v>
      </c>
      <c r="M151" s="101">
        <v>45866.0</v>
      </c>
      <c r="N151" s="102" t="s">
        <v>208</v>
      </c>
      <c r="O151" s="102" t="s">
        <v>2690</v>
      </c>
    </row>
    <row r="152">
      <c r="A152" s="67"/>
      <c r="B152" s="213" t="s">
        <v>176</v>
      </c>
      <c r="C152" s="66" t="s">
        <v>149</v>
      </c>
      <c r="D152" s="40" t="s">
        <v>2691</v>
      </c>
      <c r="E152" s="38" t="s">
        <v>181</v>
      </c>
      <c r="F152" s="365" t="s">
        <v>2693</v>
      </c>
      <c r="G152" s="367" t="s">
        <v>2696</v>
      </c>
      <c r="H152" s="201" t="s">
        <v>192</v>
      </c>
      <c r="I152" s="201" t="s">
        <v>276</v>
      </c>
      <c r="J152" s="152" t="s">
        <v>2703</v>
      </c>
      <c r="K152" s="99" t="s">
        <v>2703</v>
      </c>
      <c r="L152" s="100">
        <v>4.29</v>
      </c>
      <c r="M152" s="101">
        <v>45873.0</v>
      </c>
      <c r="N152" s="102" t="s">
        <v>284</v>
      </c>
      <c r="O152" s="102" t="s">
        <v>2706</v>
      </c>
    </row>
    <row r="153">
      <c r="A153" s="67"/>
      <c r="B153" s="213" t="s">
        <v>176</v>
      </c>
      <c r="C153" s="40" t="s">
        <v>151</v>
      </c>
      <c r="D153" s="40" t="s">
        <v>2707</v>
      </c>
      <c r="E153" s="38" t="s">
        <v>2708</v>
      </c>
      <c r="F153" s="365" t="s">
        <v>2709</v>
      </c>
      <c r="G153" s="367" t="s">
        <v>2710</v>
      </c>
      <c r="H153" s="201" t="s">
        <v>224</v>
      </c>
      <c r="I153" s="201" t="s">
        <v>324</v>
      </c>
      <c r="J153" s="152" t="s">
        <v>2715</v>
      </c>
      <c r="K153" s="375"/>
      <c r="L153" s="100">
        <v>4.64</v>
      </c>
      <c r="M153" s="101">
        <v>45880.0</v>
      </c>
      <c r="N153" s="102" t="s">
        <v>332</v>
      </c>
      <c r="O153" s="102" t="s">
        <v>2717</v>
      </c>
    </row>
    <row r="154">
      <c r="A154" s="67"/>
      <c r="B154" s="213" t="s">
        <v>176</v>
      </c>
      <c r="C154" s="40" t="s">
        <v>155</v>
      </c>
      <c r="D154" s="361" t="s">
        <v>2719</v>
      </c>
      <c r="E154" s="66" t="s">
        <v>2720</v>
      </c>
      <c r="F154" s="376" t="s">
        <v>2723</v>
      </c>
      <c r="G154" s="377" t="s">
        <v>2724</v>
      </c>
      <c r="H154" s="378" t="s">
        <v>192</v>
      </c>
      <c r="I154" s="378" t="s">
        <v>276</v>
      </c>
      <c r="J154" s="152" t="s">
        <v>2732</v>
      </c>
      <c r="K154" s="160" t="s">
        <v>2732</v>
      </c>
      <c r="L154" s="276">
        <v>4.5</v>
      </c>
      <c r="M154" s="284">
        <v>45887.0</v>
      </c>
      <c r="N154" s="278" t="s">
        <v>284</v>
      </c>
      <c r="O154" s="278" t="s">
        <v>2736</v>
      </c>
    </row>
    <row r="155">
      <c r="A155" s="67"/>
      <c r="B155" s="213" t="s">
        <v>176</v>
      </c>
      <c r="C155" s="40" t="s">
        <v>157</v>
      </c>
      <c r="D155" s="40" t="s">
        <v>2738</v>
      </c>
      <c r="E155" s="5" t="s">
        <v>1315</v>
      </c>
      <c r="F155" s="88" t="s">
        <v>2740</v>
      </c>
      <c r="G155" s="95" t="s">
        <v>2741</v>
      </c>
      <c r="H155" s="96" t="s">
        <v>192</v>
      </c>
      <c r="I155" s="96" t="s">
        <v>195</v>
      </c>
      <c r="J155" s="381" t="s">
        <v>2743</v>
      </c>
      <c r="K155" s="160" t="s">
        <v>2743</v>
      </c>
      <c r="L155" s="100">
        <v>4.36</v>
      </c>
      <c r="M155" s="101">
        <v>45894.0</v>
      </c>
      <c r="N155" s="102" t="s">
        <v>897</v>
      </c>
      <c r="O155" s="102" t="s">
        <v>2751</v>
      </c>
    </row>
    <row r="156">
      <c r="A156" s="67"/>
      <c r="B156" s="213" t="s">
        <v>176</v>
      </c>
      <c r="C156" s="40" t="s">
        <v>161</v>
      </c>
      <c r="D156" s="40" t="s">
        <v>2415</v>
      </c>
      <c r="E156" s="5" t="s">
        <v>317</v>
      </c>
      <c r="F156" s="88" t="s">
        <v>2416</v>
      </c>
      <c r="G156" s="95" t="s">
        <v>2424</v>
      </c>
      <c r="H156" s="96" t="s">
        <v>461</v>
      </c>
      <c r="I156" s="96" t="s">
        <v>2758</v>
      </c>
      <c r="J156" s="242" t="s">
        <v>2759</v>
      </c>
      <c r="K156" s="384" t="s">
        <v>2759</v>
      </c>
      <c r="L156" s="386">
        <v>1.0</v>
      </c>
      <c r="M156" s="387">
        <v>45901.0</v>
      </c>
      <c r="N156" s="388" t="s">
        <v>1131</v>
      </c>
      <c r="O156" s="388" t="s">
        <v>2782</v>
      </c>
    </row>
    <row r="157">
      <c r="A157" s="67"/>
      <c r="B157" s="213" t="s">
        <v>176</v>
      </c>
      <c r="C157" s="77" t="s">
        <v>167</v>
      </c>
      <c r="D157" s="40" t="s">
        <v>2784</v>
      </c>
      <c r="E157" s="5" t="s">
        <v>2787</v>
      </c>
      <c r="F157" s="88" t="s">
        <v>2693</v>
      </c>
      <c r="G157" s="95" t="s">
        <v>2790</v>
      </c>
      <c r="H157" s="96" t="s">
        <v>224</v>
      </c>
      <c r="I157" s="96" t="s">
        <v>2793</v>
      </c>
      <c r="J157" s="381" t="s">
        <v>2794</v>
      </c>
      <c r="K157" s="384" t="s">
        <v>2794</v>
      </c>
      <c r="L157" s="386">
        <v>4.86</v>
      </c>
      <c r="M157" s="387">
        <v>45908.0</v>
      </c>
      <c r="N157" s="388" t="s">
        <v>616</v>
      </c>
      <c r="O157" s="388" t="s">
        <v>2798</v>
      </c>
    </row>
    <row r="158">
      <c r="A158" s="67"/>
      <c r="B158" s="213" t="s">
        <v>176</v>
      </c>
      <c r="C158" s="77" t="s">
        <v>168</v>
      </c>
      <c r="D158" s="40" t="s">
        <v>1257</v>
      </c>
      <c r="E158" s="5" t="s">
        <v>1913</v>
      </c>
      <c r="F158" s="88" t="s">
        <v>215</v>
      </c>
      <c r="G158" s="95" t="s">
        <v>1258</v>
      </c>
      <c r="H158" s="96" t="s">
        <v>485</v>
      </c>
      <c r="I158" s="96" t="s">
        <v>486</v>
      </c>
      <c r="J158" s="381" t="s">
        <v>2802</v>
      </c>
      <c r="K158" s="384" t="s">
        <v>2802</v>
      </c>
      <c r="L158" s="386">
        <v>5.0</v>
      </c>
      <c r="M158" s="387">
        <v>45915.0</v>
      </c>
      <c r="N158" s="388" t="s">
        <v>449</v>
      </c>
      <c r="O158" s="388" t="s">
        <v>2809</v>
      </c>
    </row>
    <row r="159">
      <c r="A159" s="67"/>
      <c r="B159" s="213" t="s">
        <v>176</v>
      </c>
      <c r="C159" s="77" t="s">
        <v>169</v>
      </c>
      <c r="D159" s="40" t="s">
        <v>2812</v>
      </c>
      <c r="E159" s="5" t="s">
        <v>436</v>
      </c>
      <c r="F159" s="88" t="s">
        <v>2651</v>
      </c>
      <c r="G159" s="95" t="s">
        <v>2814</v>
      </c>
      <c r="H159" s="96" t="s">
        <v>485</v>
      </c>
      <c r="I159" s="96" t="s">
        <v>2781</v>
      </c>
      <c r="J159" s="238" t="s">
        <v>2821</v>
      </c>
      <c r="K159" s="99" t="s">
        <v>2821</v>
      </c>
      <c r="L159" s="100">
        <v>4.86</v>
      </c>
      <c r="M159" s="101">
        <v>45922.0</v>
      </c>
      <c r="N159" s="102" t="s">
        <v>2133</v>
      </c>
      <c r="O159" s="102" t="s">
        <v>2831</v>
      </c>
    </row>
    <row r="160">
      <c r="A160" s="67"/>
      <c r="B160" s="213" t="s">
        <v>176</v>
      </c>
      <c r="C160" s="5" t="s">
        <v>170</v>
      </c>
      <c r="D160" s="88" t="s">
        <v>2833</v>
      </c>
      <c r="E160" s="7" t="s">
        <v>436</v>
      </c>
      <c r="F160" s="7" t="s">
        <v>2835</v>
      </c>
      <c r="G160" s="95" t="s">
        <v>2836</v>
      </c>
      <c r="H160" s="96" t="s">
        <v>192</v>
      </c>
      <c r="I160" s="96" t="s">
        <v>276</v>
      </c>
      <c r="J160" s="98" t="s">
        <v>2842</v>
      </c>
      <c r="K160" s="99" t="s">
        <v>2842</v>
      </c>
      <c r="L160" s="100">
        <v>4.21</v>
      </c>
      <c r="M160" s="101">
        <v>45929.0</v>
      </c>
      <c r="N160" s="102" t="s">
        <v>284</v>
      </c>
      <c r="O160" s="102" t="s">
        <v>2848</v>
      </c>
    </row>
    <row r="161">
      <c r="A161" s="67"/>
      <c r="B161" s="213" t="s">
        <v>176</v>
      </c>
      <c r="C161" s="77" t="s">
        <v>171</v>
      </c>
      <c r="D161" s="40" t="s">
        <v>2851</v>
      </c>
      <c r="E161" s="7" t="s">
        <v>2852</v>
      </c>
      <c r="F161" s="7" t="s">
        <v>2853</v>
      </c>
      <c r="G161" s="95" t="s">
        <v>2854</v>
      </c>
      <c r="H161" s="96" t="s">
        <v>192</v>
      </c>
      <c r="I161" s="96" t="s">
        <v>276</v>
      </c>
      <c r="J161" s="98" t="s">
        <v>2856</v>
      </c>
      <c r="K161" s="99" t="s">
        <v>2856</v>
      </c>
      <c r="L161" s="100">
        <v>3.64</v>
      </c>
      <c r="M161" s="101">
        <v>45936.0</v>
      </c>
      <c r="N161" s="102" t="s">
        <v>284</v>
      </c>
      <c r="O161" s="102" t="s">
        <v>2858</v>
      </c>
    </row>
    <row r="162">
      <c r="A162" s="67"/>
      <c r="B162" s="213" t="s">
        <v>176</v>
      </c>
      <c r="C162" s="77" t="s">
        <v>173</v>
      </c>
      <c r="D162" s="40" t="s">
        <v>2859</v>
      </c>
      <c r="E162" s="7" t="s">
        <v>213</v>
      </c>
      <c r="F162" s="7" t="s">
        <v>2860</v>
      </c>
      <c r="G162" s="95" t="s">
        <v>981</v>
      </c>
      <c r="H162" s="96" t="s">
        <v>224</v>
      </c>
      <c r="I162" s="96" t="s">
        <v>324</v>
      </c>
      <c r="J162" s="98" t="s">
        <v>2863</v>
      </c>
      <c r="K162" s="99" t="s">
        <v>2863</v>
      </c>
      <c r="L162" s="142">
        <v>4.5</v>
      </c>
      <c r="M162" s="143">
        <v>45943.0</v>
      </c>
      <c r="N162" s="144" t="s">
        <v>933</v>
      </c>
      <c r="O162" s="144" t="s">
        <v>2872</v>
      </c>
    </row>
    <row r="163">
      <c r="A163" s="67"/>
      <c r="B163" s="213" t="s">
        <v>176</v>
      </c>
      <c r="C163" s="77" t="s">
        <v>174</v>
      </c>
      <c r="D163" s="40" t="s">
        <v>2873</v>
      </c>
      <c r="E163" s="7" t="s">
        <v>2874</v>
      </c>
      <c r="F163" s="7" t="s">
        <v>948</v>
      </c>
      <c r="G163" s="95" t="s">
        <v>2875</v>
      </c>
      <c r="H163" s="96" t="s">
        <v>192</v>
      </c>
      <c r="I163" s="96" t="s">
        <v>195</v>
      </c>
      <c r="J163" s="98" t="s">
        <v>2877</v>
      </c>
      <c r="K163" s="99" t="s">
        <v>2877</v>
      </c>
      <c r="L163" s="324">
        <v>4.36</v>
      </c>
      <c r="M163" s="325">
        <v>45950.0</v>
      </c>
      <c r="N163" s="326" t="s">
        <v>897</v>
      </c>
      <c r="O163" s="326" t="s">
        <v>2884</v>
      </c>
    </row>
    <row r="164">
      <c r="A164" s="67"/>
      <c r="B164" s="213" t="s">
        <v>176</v>
      </c>
      <c r="C164" s="77" t="s">
        <v>2885</v>
      </c>
      <c r="D164" s="40" t="s">
        <v>558</v>
      </c>
      <c r="E164" s="40" t="s">
        <v>2886</v>
      </c>
      <c r="F164" s="40" t="s">
        <v>2334</v>
      </c>
      <c r="G164" s="418" t="s">
        <v>561</v>
      </c>
      <c r="H164" s="419" t="s">
        <v>461</v>
      </c>
      <c r="I164" s="419" t="s">
        <v>2758</v>
      </c>
      <c r="J164" s="238" t="s">
        <v>2888</v>
      </c>
      <c r="K164" s="99" t="s">
        <v>2888</v>
      </c>
      <c r="L164" s="324">
        <v>4.0</v>
      </c>
      <c r="M164" s="325">
        <v>45957.0</v>
      </c>
      <c r="N164" s="326" t="s">
        <v>1131</v>
      </c>
      <c r="O164" s="326" t="s">
        <v>2897</v>
      </c>
    </row>
    <row r="165">
      <c r="A165" s="67"/>
      <c r="B165" s="213" t="s">
        <v>176</v>
      </c>
      <c r="C165" s="77" t="s">
        <v>2898</v>
      </c>
      <c r="D165" s="40" t="s">
        <v>2899</v>
      </c>
      <c r="E165" s="40" t="s">
        <v>1155</v>
      </c>
      <c r="F165" s="40" t="s">
        <v>446</v>
      </c>
      <c r="G165" s="418" t="s">
        <v>2900</v>
      </c>
      <c r="H165" s="419" t="s">
        <v>461</v>
      </c>
      <c r="I165" s="419" t="s">
        <v>462</v>
      </c>
      <c r="J165" s="238" t="s">
        <v>2902</v>
      </c>
      <c r="K165" s="99" t="s">
        <v>2902</v>
      </c>
      <c r="L165" s="324">
        <v>4.86</v>
      </c>
      <c r="M165" s="327">
        <v>45964.0</v>
      </c>
      <c r="N165" s="326" t="s">
        <v>1192</v>
      </c>
      <c r="O165" s="326" t="s">
        <v>2910</v>
      </c>
    </row>
    <row r="166">
      <c r="A166" s="67"/>
      <c r="B166" s="213" t="s">
        <v>176</v>
      </c>
      <c r="C166" s="77" t="s">
        <v>2911</v>
      </c>
      <c r="D166" s="40" t="s">
        <v>2912</v>
      </c>
      <c r="E166" s="40" t="s">
        <v>599</v>
      </c>
      <c r="F166" s="40" t="s">
        <v>2914</v>
      </c>
      <c r="G166" s="418" t="s">
        <v>2916</v>
      </c>
      <c r="H166" s="419" t="s">
        <v>224</v>
      </c>
      <c r="I166" s="419" t="s">
        <v>440</v>
      </c>
      <c r="J166" s="431" t="s">
        <v>2920</v>
      </c>
      <c r="K166" s="99" t="s">
        <v>2920</v>
      </c>
      <c r="L166" s="324">
        <v>4.14</v>
      </c>
      <c r="M166" s="325">
        <v>45971.0</v>
      </c>
      <c r="N166" s="326" t="s">
        <v>1096</v>
      </c>
      <c r="O166" s="326" t="s">
        <v>2923</v>
      </c>
    </row>
    <row r="167">
      <c r="A167" s="67"/>
      <c r="B167" s="213" t="s">
        <v>176</v>
      </c>
      <c r="C167" s="77" t="s">
        <v>2925</v>
      </c>
      <c r="D167" s="40" t="s">
        <v>2926</v>
      </c>
      <c r="E167" s="40" t="s">
        <v>2928</v>
      </c>
      <c r="F167" s="40" t="s">
        <v>2054</v>
      </c>
      <c r="G167" s="418" t="s">
        <v>2929</v>
      </c>
      <c r="H167" s="419" t="s">
        <v>192</v>
      </c>
      <c r="I167" s="419" t="s">
        <v>195</v>
      </c>
      <c r="J167" s="431" t="s">
        <v>2936</v>
      </c>
      <c r="K167" s="99" t="s">
        <v>2936</v>
      </c>
      <c r="L167" s="324">
        <v>3.71</v>
      </c>
      <c r="M167" s="325">
        <v>45978.0</v>
      </c>
      <c r="N167" s="326" t="s">
        <v>362</v>
      </c>
      <c r="O167" s="326" t="s">
        <v>2943</v>
      </c>
    </row>
    <row r="168">
      <c r="A168" s="67"/>
      <c r="B168" s="213" t="s">
        <v>176</v>
      </c>
      <c r="C168" s="77" t="s">
        <v>2944</v>
      </c>
      <c r="D168" s="40" t="s">
        <v>2945</v>
      </c>
      <c r="E168" s="40" t="s">
        <v>2946</v>
      </c>
      <c r="F168" s="40" t="s">
        <v>2947</v>
      </c>
      <c r="G168" s="418" t="s">
        <v>2948</v>
      </c>
      <c r="H168" s="419" t="s">
        <v>192</v>
      </c>
      <c r="I168" s="419" t="s">
        <v>276</v>
      </c>
      <c r="J168" s="431" t="s">
        <v>2949</v>
      </c>
      <c r="K168" s="99" t="s">
        <v>2949</v>
      </c>
      <c r="L168" s="324">
        <v>1.0</v>
      </c>
      <c r="M168" s="325">
        <v>45985.0</v>
      </c>
      <c r="N168" s="326" t="s">
        <v>284</v>
      </c>
      <c r="O168" s="326" t="s">
        <v>2954</v>
      </c>
    </row>
    <row r="169">
      <c r="A169" s="67"/>
      <c r="B169" s="213" t="s">
        <v>176</v>
      </c>
      <c r="C169" s="77" t="s">
        <v>2956</v>
      </c>
      <c r="D169" s="40" t="s">
        <v>2957</v>
      </c>
      <c r="E169" s="40" t="s">
        <v>2964</v>
      </c>
      <c r="F169" s="40" t="s">
        <v>948</v>
      </c>
      <c r="G169" s="418" t="s">
        <v>2965</v>
      </c>
      <c r="H169" s="419" t="s">
        <v>485</v>
      </c>
      <c r="I169" s="419" t="s">
        <v>486</v>
      </c>
      <c r="J169" s="238" t="s">
        <v>2967</v>
      </c>
      <c r="K169" s="99" t="s">
        <v>2967</v>
      </c>
      <c r="L169" s="324">
        <v>3.71</v>
      </c>
      <c r="M169" s="327">
        <v>45992.0</v>
      </c>
      <c r="N169" s="326" t="s">
        <v>449</v>
      </c>
      <c r="O169" s="326" t="s">
        <v>2971</v>
      </c>
    </row>
    <row r="170">
      <c r="A170" s="67"/>
      <c r="B170" s="213" t="s">
        <v>176</v>
      </c>
      <c r="C170" s="77" t="s">
        <v>2974</v>
      </c>
      <c r="D170" s="40" t="s">
        <v>2975</v>
      </c>
      <c r="E170" s="40" t="s">
        <v>436</v>
      </c>
      <c r="F170" s="40" t="s">
        <v>2914</v>
      </c>
      <c r="G170" s="418" t="s">
        <v>2978</v>
      </c>
      <c r="H170" s="419" t="s">
        <v>192</v>
      </c>
      <c r="I170" s="419" t="s">
        <v>2979</v>
      </c>
      <c r="J170" s="238" t="s">
        <v>2981</v>
      </c>
      <c r="K170" s="99" t="s">
        <v>2981</v>
      </c>
      <c r="L170" s="324">
        <v>3.36</v>
      </c>
      <c r="M170" s="327">
        <v>45999.0</v>
      </c>
      <c r="N170" s="326" t="s">
        <v>533</v>
      </c>
      <c r="O170" s="326" t="s">
        <v>2987</v>
      </c>
    </row>
    <row r="171">
      <c r="A171" s="67"/>
      <c r="B171" s="213" t="s">
        <v>176</v>
      </c>
      <c r="C171" s="176" t="s">
        <v>2988</v>
      </c>
      <c r="D171" s="176" t="s">
        <v>2989</v>
      </c>
      <c r="E171" s="40" t="s">
        <v>2990</v>
      </c>
      <c r="F171" s="40" t="s">
        <v>2991</v>
      </c>
      <c r="G171" s="418" t="s">
        <v>2992</v>
      </c>
      <c r="H171" s="419" t="s">
        <v>224</v>
      </c>
      <c r="I171" s="419" t="s">
        <v>324</v>
      </c>
      <c r="J171" s="238" t="s">
        <v>2995</v>
      </c>
      <c r="K171" s="238" t="s">
        <v>2995</v>
      </c>
      <c r="L171" s="324">
        <v>3.71</v>
      </c>
      <c r="M171" s="325">
        <v>46006.0</v>
      </c>
      <c r="N171" s="326" t="s">
        <v>332</v>
      </c>
      <c r="O171" s="326" t="s">
        <v>3001</v>
      </c>
    </row>
    <row r="172">
      <c r="A172" s="67"/>
      <c r="B172" s="213" t="s">
        <v>176</v>
      </c>
      <c r="C172" s="176" t="s">
        <v>3002</v>
      </c>
      <c r="D172" s="40" t="s">
        <v>3003</v>
      </c>
      <c r="E172" s="40" t="s">
        <v>3004</v>
      </c>
      <c r="F172" s="454" t="s">
        <v>3005</v>
      </c>
      <c r="G172" s="418" t="s">
        <v>3006</v>
      </c>
      <c r="H172" s="419" t="s">
        <v>461</v>
      </c>
      <c r="I172" s="419" t="s">
        <v>530</v>
      </c>
      <c r="J172" s="238" t="s">
        <v>3013</v>
      </c>
      <c r="K172" s="238" t="s">
        <v>3013</v>
      </c>
      <c r="L172" s="324">
        <v>1.0</v>
      </c>
      <c r="M172" s="325">
        <v>46013.0</v>
      </c>
      <c r="N172" s="326" t="s">
        <v>547</v>
      </c>
      <c r="O172" s="326" t="s">
        <v>3016</v>
      </c>
    </row>
    <row r="173">
      <c r="A173" s="67"/>
      <c r="B173" s="213" t="s">
        <v>176</v>
      </c>
      <c r="C173" s="176" t="s">
        <v>3020</v>
      </c>
      <c r="D173" s="40" t="s">
        <v>3021</v>
      </c>
      <c r="E173" s="40" t="s">
        <v>3023</v>
      </c>
      <c r="F173" s="40" t="s">
        <v>3024</v>
      </c>
      <c r="G173" s="418" t="s">
        <v>3025</v>
      </c>
      <c r="H173" s="419" t="s">
        <v>192</v>
      </c>
      <c r="I173" s="419" t="s">
        <v>2979</v>
      </c>
      <c r="J173" s="238" t="s">
        <v>3028</v>
      </c>
      <c r="K173" s="238" t="s">
        <v>3028</v>
      </c>
      <c r="L173" s="324">
        <v>3.79</v>
      </c>
      <c r="M173" s="325">
        <v>46020.0</v>
      </c>
      <c r="N173" s="326" t="s">
        <v>1667</v>
      </c>
      <c r="O173" s="326" t="s">
        <v>3032</v>
      </c>
    </row>
    <row r="174">
      <c r="A174" s="116"/>
      <c r="B174" s="460" t="s">
        <v>176</v>
      </c>
      <c r="C174" s="461" t="s">
        <v>3035</v>
      </c>
      <c r="D174" s="461" t="s">
        <v>3036</v>
      </c>
      <c r="E174" s="406" t="s">
        <v>3037</v>
      </c>
      <c r="F174" s="462"/>
      <c r="G174" s="463" t="s">
        <v>3040</v>
      </c>
      <c r="H174" s="464" t="s">
        <v>192</v>
      </c>
      <c r="I174" s="464" t="s">
        <v>2979</v>
      </c>
      <c r="J174" s="338" t="s">
        <v>3044</v>
      </c>
      <c r="K174" s="338" t="s">
        <v>3044</v>
      </c>
      <c r="L174" s="339">
        <v>5.0</v>
      </c>
      <c r="M174" s="341">
        <v>46027.0</v>
      </c>
      <c r="N174" s="343" t="s">
        <v>284</v>
      </c>
      <c r="O174" s="343" t="s">
        <v>3053</v>
      </c>
    </row>
    <row r="175">
      <c r="A175" s="116"/>
      <c r="B175" s="460" t="s">
        <v>176</v>
      </c>
      <c r="C175" s="461" t="s">
        <v>3054</v>
      </c>
      <c r="D175" s="461" t="s">
        <v>3055</v>
      </c>
      <c r="E175" s="432" t="s">
        <v>3056</v>
      </c>
      <c r="F175" s="212" t="s">
        <v>1021</v>
      </c>
      <c r="G175" s="465" t="s">
        <v>3058</v>
      </c>
      <c r="H175" s="393" t="s">
        <v>461</v>
      </c>
      <c r="I175" s="393" t="s">
        <v>2758</v>
      </c>
      <c r="J175" s="366" t="s">
        <v>3059</v>
      </c>
      <c r="K175" s="366" t="s">
        <v>3059</v>
      </c>
      <c r="L175" s="352">
        <v>3.36</v>
      </c>
      <c r="M175" s="354">
        <v>46034.0</v>
      </c>
      <c r="N175" s="358" t="s">
        <v>3069</v>
      </c>
      <c r="O175" s="358" t="s">
        <v>3071</v>
      </c>
    </row>
    <row r="176">
      <c r="A176" s="116"/>
      <c r="B176" s="182" t="s">
        <v>176</v>
      </c>
      <c r="C176" s="461" t="s">
        <v>3079</v>
      </c>
      <c r="D176" s="461" t="s">
        <v>3081</v>
      </c>
      <c r="E176" s="406" t="s">
        <v>1864</v>
      </c>
      <c r="F176" s="210" t="s">
        <v>3082</v>
      </c>
      <c r="G176" s="463" t="s">
        <v>3083</v>
      </c>
      <c r="H176" s="464" t="s">
        <v>192</v>
      </c>
      <c r="I176" s="464" t="s">
        <v>2979</v>
      </c>
      <c r="J176" s="338" t="s">
        <v>3085</v>
      </c>
      <c r="K176" s="338" t="s">
        <v>3085</v>
      </c>
      <c r="L176" s="339">
        <v>3.5</v>
      </c>
      <c r="M176" s="341">
        <v>46041.0</v>
      </c>
      <c r="N176" s="343" t="s">
        <v>284</v>
      </c>
      <c r="O176" s="343" t="s">
        <v>3092</v>
      </c>
    </row>
    <row r="177">
      <c r="A177" s="116"/>
      <c r="B177" s="182" t="s">
        <v>176</v>
      </c>
      <c r="C177" s="461" t="s">
        <v>3093</v>
      </c>
      <c r="D177" s="461" t="s">
        <v>798</v>
      </c>
      <c r="E177" s="432" t="s">
        <v>3094</v>
      </c>
      <c r="F177" s="432" t="s">
        <v>3095</v>
      </c>
      <c r="G177" s="465" t="s">
        <v>803</v>
      </c>
      <c r="H177" s="393" t="s">
        <v>192</v>
      </c>
      <c r="I177" s="393" t="s">
        <v>2254</v>
      </c>
      <c r="J177" s="366" t="s">
        <v>3096</v>
      </c>
      <c r="K177" s="366" t="s">
        <v>3096</v>
      </c>
      <c r="L177" s="352">
        <v>4.21</v>
      </c>
      <c r="M177" s="354">
        <v>46048.0</v>
      </c>
      <c r="N177" s="358" t="s">
        <v>352</v>
      </c>
      <c r="O177" s="358" t="s">
        <v>3102</v>
      </c>
    </row>
    <row r="178">
      <c r="A178" s="116"/>
      <c r="B178" s="182" t="s">
        <v>176</v>
      </c>
      <c r="C178" s="461" t="s">
        <v>3103</v>
      </c>
      <c r="D178" s="461" t="s">
        <v>3104</v>
      </c>
      <c r="E178" s="406" t="s">
        <v>3105</v>
      </c>
      <c r="F178" s="406" t="s">
        <v>3106</v>
      </c>
      <c r="G178" s="463" t="s">
        <v>3107</v>
      </c>
      <c r="H178" s="464" t="s">
        <v>461</v>
      </c>
      <c r="I178" s="464" t="s">
        <v>2758</v>
      </c>
      <c r="J178" s="338" t="s">
        <v>3112</v>
      </c>
      <c r="K178" s="338" t="s">
        <v>3112</v>
      </c>
      <c r="L178" s="339">
        <v>3.93</v>
      </c>
      <c r="M178" s="341">
        <v>46055.0</v>
      </c>
      <c r="N178" s="343" t="s">
        <v>3069</v>
      </c>
      <c r="O178" s="343" t="s">
        <v>3114</v>
      </c>
    </row>
    <row r="179">
      <c r="A179" s="116"/>
      <c r="B179" s="182" t="s">
        <v>176</v>
      </c>
      <c r="C179" s="461" t="s">
        <v>3115</v>
      </c>
      <c r="D179" s="461" t="s">
        <v>2622</v>
      </c>
      <c r="E179" s="432" t="s">
        <v>2623</v>
      </c>
      <c r="F179" s="432" t="s">
        <v>215</v>
      </c>
      <c r="G179" s="465" t="s">
        <v>1805</v>
      </c>
      <c r="H179" s="485" t="s">
        <v>192</v>
      </c>
      <c r="I179" s="485" t="s">
        <v>2979</v>
      </c>
      <c r="J179" s="366" t="s">
        <v>3118</v>
      </c>
      <c r="K179" s="366" t="s">
        <v>3118</v>
      </c>
      <c r="L179" s="352">
        <v>5.0</v>
      </c>
      <c r="M179" s="354">
        <v>46062.0</v>
      </c>
      <c r="N179" s="358" t="s">
        <v>284</v>
      </c>
      <c r="O179" s="358" t="s">
        <v>3120</v>
      </c>
    </row>
    <row r="180">
      <c r="A180" s="67"/>
      <c r="B180" s="182" t="s">
        <v>176</v>
      </c>
      <c r="C180" s="210" t="s">
        <v>3121</v>
      </c>
      <c r="D180" s="210" t="s">
        <v>3122</v>
      </c>
      <c r="E180" s="406" t="s">
        <v>1477</v>
      </c>
      <c r="F180" s="406" t="s">
        <v>3123</v>
      </c>
      <c r="G180" s="491" t="s">
        <v>3124</v>
      </c>
      <c r="H180" s="464" t="s">
        <v>485</v>
      </c>
      <c r="I180" s="464" t="s">
        <v>3136</v>
      </c>
      <c r="J180" s="492" t="s">
        <v>3137</v>
      </c>
      <c r="K180" s="338" t="s">
        <v>3137</v>
      </c>
      <c r="L180" s="494" t="s">
        <v>1292</v>
      </c>
      <c r="M180" s="327">
        <v>46069.0</v>
      </c>
      <c r="N180" s="326" t="s">
        <v>482</v>
      </c>
      <c r="O180" s="326" t="s">
        <v>3140</v>
      </c>
    </row>
    <row r="181">
      <c r="A181" s="67"/>
      <c r="B181" s="182" t="s">
        <v>176</v>
      </c>
      <c r="C181" s="212" t="s">
        <v>3141</v>
      </c>
      <c r="D181" s="212" t="s">
        <v>3142</v>
      </c>
      <c r="E181" s="432" t="s">
        <v>2955</v>
      </c>
      <c r="F181" s="432" t="s">
        <v>3144</v>
      </c>
      <c r="G181" s="495" t="s">
        <v>3146</v>
      </c>
      <c r="H181" s="393" t="s">
        <v>192</v>
      </c>
      <c r="I181" s="393" t="s">
        <v>2979</v>
      </c>
      <c r="J181" s="497" t="s">
        <v>3148</v>
      </c>
      <c r="K181" s="436" t="s">
        <v>3148</v>
      </c>
      <c r="L181" s="494" t="s">
        <v>2527</v>
      </c>
      <c r="M181" s="327">
        <v>46076.0</v>
      </c>
      <c r="N181" s="326" t="s">
        <v>284</v>
      </c>
      <c r="O181" s="326" t="s">
        <v>3154</v>
      </c>
    </row>
    <row r="182">
      <c r="A182" s="67"/>
      <c r="B182" s="182" t="s">
        <v>176</v>
      </c>
      <c r="C182" s="210" t="s">
        <v>3156</v>
      </c>
      <c r="D182" s="210" t="s">
        <v>3157</v>
      </c>
      <c r="E182" s="406" t="s">
        <v>1913</v>
      </c>
      <c r="F182" s="406" t="s">
        <v>3134</v>
      </c>
      <c r="G182" s="491" t="s">
        <v>3139</v>
      </c>
      <c r="H182" s="464" t="s">
        <v>192</v>
      </c>
      <c r="I182" s="464" t="s">
        <v>2979</v>
      </c>
      <c r="J182" s="492" t="s">
        <v>3158</v>
      </c>
      <c r="K182" s="338" t="s">
        <v>3158</v>
      </c>
      <c r="L182" s="494" t="s">
        <v>2337</v>
      </c>
      <c r="M182" s="327">
        <v>46083.0</v>
      </c>
      <c r="N182" s="326" t="s">
        <v>533</v>
      </c>
      <c r="O182" s="326" t="s">
        <v>3161</v>
      </c>
    </row>
    <row r="183">
      <c r="A183" s="67"/>
      <c r="B183" s="182" t="s">
        <v>176</v>
      </c>
      <c r="C183" s="212" t="s">
        <v>3162</v>
      </c>
      <c r="D183" s="212" t="s">
        <v>3163</v>
      </c>
      <c r="E183" s="432" t="s">
        <v>1039</v>
      </c>
      <c r="F183" s="432" t="s">
        <v>3164</v>
      </c>
      <c r="G183" s="465" t="s">
        <v>3165</v>
      </c>
      <c r="H183" s="502" t="s">
        <v>461</v>
      </c>
      <c r="I183" s="502" t="s">
        <v>2758</v>
      </c>
      <c r="J183" s="366" t="s">
        <v>3172</v>
      </c>
      <c r="K183" s="366" t="s">
        <v>3172</v>
      </c>
      <c r="L183" s="494" t="s">
        <v>1645</v>
      </c>
      <c r="M183" s="327">
        <v>46090.0</v>
      </c>
      <c r="N183" s="326" t="s">
        <v>533</v>
      </c>
      <c r="O183" s="326" t="s">
        <v>3173</v>
      </c>
    </row>
    <row r="184">
      <c r="A184" s="67"/>
      <c r="B184" s="182" t="s">
        <v>176</v>
      </c>
      <c r="C184" s="210" t="s">
        <v>3174</v>
      </c>
      <c r="D184" s="210" t="s">
        <v>3175</v>
      </c>
      <c r="E184" s="406" t="s">
        <v>1517</v>
      </c>
      <c r="F184" s="406" t="s">
        <v>3176</v>
      </c>
      <c r="G184" s="463" t="s">
        <v>3177</v>
      </c>
      <c r="H184" s="505" t="s">
        <v>192</v>
      </c>
      <c r="I184" s="505" t="s">
        <v>2979</v>
      </c>
      <c r="J184" s="338" t="s">
        <v>3178</v>
      </c>
      <c r="K184" s="338" t="s">
        <v>3178</v>
      </c>
      <c r="L184" s="494" t="s">
        <v>3183</v>
      </c>
      <c r="M184" s="327">
        <v>46097.0</v>
      </c>
      <c r="N184" s="326" t="s">
        <v>533</v>
      </c>
      <c r="O184" s="326" t="s">
        <v>3185</v>
      </c>
    </row>
    <row r="185">
      <c r="A185" s="67"/>
      <c r="B185" s="182" t="s">
        <v>176</v>
      </c>
      <c r="C185" s="507" t="s">
        <v>3186</v>
      </c>
      <c r="D185" s="507" t="s">
        <v>3188</v>
      </c>
      <c r="E185" s="508" t="s">
        <v>3189</v>
      </c>
      <c r="F185" s="508" t="s">
        <v>3192</v>
      </c>
      <c r="G185" s="289" t="s">
        <v>3196</v>
      </c>
      <c r="H185" s="311" t="s">
        <v>192</v>
      </c>
      <c r="I185" s="311" t="s">
        <v>2979</v>
      </c>
      <c r="J185" s="408" t="s">
        <v>3197</v>
      </c>
      <c r="K185" s="408" t="s">
        <v>3197</v>
      </c>
      <c r="L185" s="311">
        <v>3.0</v>
      </c>
      <c r="M185" s="511">
        <v>46104.0</v>
      </c>
      <c r="N185" s="512" t="s">
        <v>749</v>
      </c>
      <c r="O185" s="512" t="s">
        <v>3200</v>
      </c>
    </row>
    <row r="186">
      <c r="A186" s="67"/>
      <c r="B186" s="182" t="s">
        <v>176</v>
      </c>
      <c r="C186" s="210" t="s">
        <v>3201</v>
      </c>
      <c r="D186" s="513" t="s">
        <v>3202</v>
      </c>
      <c r="E186" s="406" t="s">
        <v>588</v>
      </c>
      <c r="F186" s="406" t="s">
        <v>318</v>
      </c>
      <c r="G186" s="514" t="s">
        <v>3203</v>
      </c>
      <c r="H186" s="505" t="s">
        <v>224</v>
      </c>
      <c r="I186" s="505" t="s">
        <v>2793</v>
      </c>
      <c r="J186" s="366" t="s">
        <v>3208</v>
      </c>
      <c r="K186" s="366" t="s">
        <v>3208</v>
      </c>
      <c r="L186" s="338">
        <v>4.0</v>
      </c>
      <c r="M186" s="515">
        <v>46111.0</v>
      </c>
      <c r="N186" s="516" t="s">
        <v>442</v>
      </c>
      <c r="O186" s="516" t="s">
        <v>3213</v>
      </c>
    </row>
    <row r="187">
      <c r="A187" s="67"/>
      <c r="B187" s="182" t="s">
        <v>176</v>
      </c>
      <c r="C187" s="145" t="s">
        <v>3214</v>
      </c>
      <c r="D187" s="145" t="s">
        <v>3215</v>
      </c>
      <c r="E187" s="110" t="s">
        <v>2869</v>
      </c>
      <c r="F187" s="446" t="s">
        <v>3216</v>
      </c>
      <c r="G187" s="447" t="s">
        <v>3218</v>
      </c>
      <c r="H187" s="446" t="s">
        <v>224</v>
      </c>
      <c r="I187" s="446" t="s">
        <v>324</v>
      </c>
      <c r="J187" s="338" t="s">
        <v>3220</v>
      </c>
      <c r="K187" s="338" t="s">
        <v>3220</v>
      </c>
      <c r="L187" s="521">
        <v>4.0</v>
      </c>
      <c r="M187" s="522">
        <v>46118.0</v>
      </c>
      <c r="N187" s="524" t="s">
        <v>332</v>
      </c>
      <c r="O187" s="524" t="s">
        <v>3227</v>
      </c>
    </row>
    <row r="188">
      <c r="A188" s="67"/>
      <c r="B188" s="182" t="s">
        <v>176</v>
      </c>
      <c r="C188" s="518" t="s">
        <v>3228</v>
      </c>
      <c r="D188" s="526" t="s">
        <v>2622</v>
      </c>
      <c r="E188" s="212" t="s">
        <v>2623</v>
      </c>
      <c r="F188" s="212" t="s">
        <v>215</v>
      </c>
      <c r="G188" s="236" t="s">
        <v>1805</v>
      </c>
      <c r="H188" s="527" t="s">
        <v>192</v>
      </c>
      <c r="I188" s="527" t="s">
        <v>276</v>
      </c>
      <c r="J188" s="350" t="s">
        <v>3231</v>
      </c>
      <c r="K188" s="350" t="s">
        <v>3231</v>
      </c>
      <c r="L188" s="303">
        <v>5.0</v>
      </c>
      <c r="M188" s="530"/>
      <c r="N188" s="530" t="s">
        <v>996</v>
      </c>
      <c r="O188" s="530" t="s">
        <v>3235</v>
      </c>
    </row>
    <row r="189">
      <c r="A189" s="67"/>
      <c r="B189" s="182" t="s">
        <v>176</v>
      </c>
      <c r="C189" s="461" t="s">
        <v>3236</v>
      </c>
      <c r="D189" s="461" t="s">
        <v>3237</v>
      </c>
      <c r="E189" s="406" t="s">
        <v>3238</v>
      </c>
      <c r="F189" s="406" t="s">
        <v>3239</v>
      </c>
      <c r="G189" s="463" t="s">
        <v>3240</v>
      </c>
      <c r="H189" s="534" t="s">
        <v>192</v>
      </c>
      <c r="I189" s="534" t="s">
        <v>276</v>
      </c>
      <c r="J189" s="338" t="s">
        <v>3246</v>
      </c>
      <c r="K189" s="338" t="s">
        <v>3246</v>
      </c>
      <c r="L189" s="299">
        <v>3.5</v>
      </c>
      <c r="M189" s="530"/>
      <c r="N189" s="530" t="s">
        <v>284</v>
      </c>
      <c r="O189" s="530" t="s">
        <v>3249</v>
      </c>
    </row>
    <row r="190">
      <c r="A190" s="67"/>
      <c r="B190" s="182" t="s">
        <v>176</v>
      </c>
      <c r="C190" s="162" t="s">
        <v>3253</v>
      </c>
      <c r="D190" s="162" t="s">
        <v>3254</v>
      </c>
      <c r="E190" s="241" t="s">
        <v>3255</v>
      </c>
      <c r="F190" s="241" t="s">
        <v>3258</v>
      </c>
      <c r="G190" s="514" t="s">
        <v>3259</v>
      </c>
      <c r="H190" s="534" t="s">
        <v>224</v>
      </c>
      <c r="I190" s="534" t="s">
        <v>226</v>
      </c>
      <c r="J190" s="338" t="s">
        <v>3264</v>
      </c>
      <c r="K190" s="338" t="s">
        <v>3264</v>
      </c>
      <c r="L190" s="299">
        <v>3.5</v>
      </c>
      <c r="M190" s="530"/>
      <c r="N190" s="530" t="s">
        <v>3269</v>
      </c>
      <c r="O190" s="530"/>
    </row>
    <row r="191">
      <c r="A191" s="67"/>
      <c r="B191" s="182" t="s">
        <v>176</v>
      </c>
      <c r="C191" s="104" t="s">
        <v>3272</v>
      </c>
      <c r="D191" s="104" t="s">
        <v>2622</v>
      </c>
      <c r="E191" s="104" t="s">
        <v>2623</v>
      </c>
      <c r="F191" s="104" t="s">
        <v>215</v>
      </c>
      <c r="G191" s="545" t="s">
        <v>1805</v>
      </c>
      <c r="H191" s="157" t="s">
        <v>192</v>
      </c>
      <c r="I191" s="157" t="s">
        <v>195</v>
      </c>
      <c r="J191" s="546" t="s">
        <v>3275</v>
      </c>
      <c r="K191" s="546" t="s">
        <v>3275</v>
      </c>
      <c r="L191" s="299">
        <v>5.0</v>
      </c>
      <c r="M191" s="530"/>
      <c r="N191" s="530" t="s">
        <v>362</v>
      </c>
      <c r="O191" s="530"/>
    </row>
    <row r="192">
      <c r="A192" s="67"/>
      <c r="B192" s="182" t="s">
        <v>176</v>
      </c>
      <c r="C192" s="210" t="s">
        <v>3284</v>
      </c>
      <c r="D192" s="210" t="s">
        <v>3285</v>
      </c>
      <c r="E192" s="406" t="s">
        <v>3286</v>
      </c>
      <c r="F192" s="406" t="s">
        <v>1021</v>
      </c>
      <c r="G192" s="463" t="s">
        <v>3287</v>
      </c>
      <c r="H192" s="534" t="s">
        <v>461</v>
      </c>
      <c r="I192" s="534" t="s">
        <v>530</v>
      </c>
      <c r="J192" s="338" t="s">
        <v>3292</v>
      </c>
      <c r="K192" s="338" t="s">
        <v>3292</v>
      </c>
      <c r="L192" s="299">
        <v>3.86</v>
      </c>
      <c r="M192" s="530"/>
      <c r="N192" s="530" t="s">
        <v>3301</v>
      </c>
      <c r="O192" s="530"/>
    </row>
    <row r="193">
      <c r="A193" s="67"/>
      <c r="B193" s="182" t="s">
        <v>176</v>
      </c>
      <c r="C193" s="212" t="s">
        <v>3302</v>
      </c>
      <c r="D193" s="212" t="s">
        <v>3303</v>
      </c>
      <c r="E193" s="432" t="s">
        <v>3304</v>
      </c>
      <c r="F193" s="432" t="s">
        <v>986</v>
      </c>
      <c r="G193" s="465" t="s">
        <v>3306</v>
      </c>
      <c r="H193" s="548" t="s">
        <v>224</v>
      </c>
      <c r="I193" s="548" t="s">
        <v>324</v>
      </c>
      <c r="J193" s="366" t="s">
        <v>3308</v>
      </c>
      <c r="K193" s="366" t="s">
        <v>3308</v>
      </c>
      <c r="L193" s="424">
        <v>4.5</v>
      </c>
      <c r="M193" s="551"/>
      <c r="N193" s="552" t="s">
        <v>660</v>
      </c>
      <c r="O193" s="551"/>
    </row>
    <row r="194">
      <c r="A194" s="67"/>
      <c r="B194" s="182" t="s">
        <v>176</v>
      </c>
      <c r="C194" s="237" t="s">
        <v>3314</v>
      </c>
      <c r="D194" s="39" t="s">
        <v>3316</v>
      </c>
      <c r="E194" s="442" t="s">
        <v>588</v>
      </c>
      <c r="F194" s="442" t="s">
        <v>578</v>
      </c>
      <c r="G194" s="486" t="s">
        <v>3318</v>
      </c>
      <c r="H194" s="557" t="s">
        <v>192</v>
      </c>
      <c r="I194" s="557" t="s">
        <v>276</v>
      </c>
      <c r="J194" s="486" t="s">
        <v>3322</v>
      </c>
      <c r="K194" s="486" t="s">
        <v>3322</v>
      </c>
      <c r="L194" s="560">
        <v>3.43</v>
      </c>
      <c r="M194" s="561"/>
      <c r="N194" s="561" t="s">
        <v>284</v>
      </c>
      <c r="O194" s="561"/>
    </row>
    <row r="195">
      <c r="A195" s="67"/>
      <c r="B195" s="213" t="s">
        <v>176</v>
      </c>
      <c r="C195" s="237" t="s">
        <v>3326</v>
      </c>
      <c r="D195" s="39" t="s">
        <v>3328</v>
      </c>
      <c r="E195" s="442" t="s">
        <v>3329</v>
      </c>
      <c r="F195" s="442" t="s">
        <v>3330</v>
      </c>
      <c r="G195" s="486" t="s">
        <v>3331</v>
      </c>
      <c r="H195" s="557" t="s">
        <v>192</v>
      </c>
      <c r="I195" s="557" t="s">
        <v>276</v>
      </c>
      <c r="J195" s="486" t="s">
        <v>3333</v>
      </c>
      <c r="K195" s="486" t="s">
        <v>3333</v>
      </c>
      <c r="L195" s="560">
        <v>3.71</v>
      </c>
      <c r="M195" s="561"/>
      <c r="N195" s="561" t="s">
        <v>284</v>
      </c>
      <c r="O195" s="561"/>
    </row>
    <row r="196">
      <c r="A196" s="67"/>
      <c r="B196" s="213" t="s">
        <v>176</v>
      </c>
      <c r="C196" s="210" t="s">
        <v>3340</v>
      </c>
      <c r="D196" s="210" t="s">
        <v>3341</v>
      </c>
      <c r="E196" s="406" t="s">
        <v>3342</v>
      </c>
      <c r="F196" s="406" t="s">
        <v>3343</v>
      </c>
      <c r="G196" s="463" t="s">
        <v>3344</v>
      </c>
      <c r="H196" s="534" t="s">
        <v>192</v>
      </c>
      <c r="I196" s="534" t="s">
        <v>276</v>
      </c>
      <c r="J196" s="566" t="s">
        <v>3346</v>
      </c>
      <c r="K196" s="566" t="s">
        <v>3346</v>
      </c>
      <c r="L196" s="400">
        <v>3.29</v>
      </c>
      <c r="M196" s="326"/>
      <c r="N196" s="326" t="s">
        <v>469</v>
      </c>
      <c r="O196" s="326"/>
    </row>
    <row r="197">
      <c r="A197" s="67"/>
      <c r="B197" s="213" t="s">
        <v>176</v>
      </c>
      <c r="C197" s="212" t="s">
        <v>3354</v>
      </c>
      <c r="D197" s="212" t="s">
        <v>2593</v>
      </c>
      <c r="E197" s="432" t="s">
        <v>592</v>
      </c>
      <c r="F197" s="432" t="s">
        <v>3355</v>
      </c>
      <c r="G197" s="465" t="s">
        <v>2596</v>
      </c>
      <c r="H197" s="548" t="s">
        <v>461</v>
      </c>
      <c r="I197" s="548" t="s">
        <v>530</v>
      </c>
      <c r="J197" s="567" t="s">
        <v>3359</v>
      </c>
      <c r="K197" s="567" t="s">
        <v>3359</v>
      </c>
      <c r="L197" s="568">
        <v>3.71</v>
      </c>
      <c r="M197" s="569"/>
      <c r="N197" s="569" t="s">
        <v>3069</v>
      </c>
      <c r="O197" s="569"/>
    </row>
    <row r="198">
      <c r="A198" s="67"/>
      <c r="B198" s="213" t="s">
        <v>176</v>
      </c>
      <c r="C198" s="210" t="s">
        <v>3363</v>
      </c>
      <c r="D198" s="210" t="s">
        <v>1804</v>
      </c>
      <c r="E198" s="406" t="s">
        <v>2623</v>
      </c>
      <c r="F198" s="406" t="s">
        <v>215</v>
      </c>
      <c r="G198" s="463" t="s">
        <v>1805</v>
      </c>
      <c r="H198" s="534" t="s">
        <v>192</v>
      </c>
      <c r="I198" s="534" t="s">
        <v>276</v>
      </c>
      <c r="J198" s="566" t="s">
        <v>3365</v>
      </c>
      <c r="K198" s="570"/>
      <c r="L198" s="400">
        <v>4.14</v>
      </c>
      <c r="M198" s="571"/>
      <c r="N198" s="326" t="s">
        <v>284</v>
      </c>
      <c r="O198" s="326"/>
    </row>
    <row r="199">
      <c r="A199" s="67"/>
      <c r="B199" s="213" t="s">
        <v>176</v>
      </c>
      <c r="C199" s="212" t="s">
        <v>3372</v>
      </c>
      <c r="D199" s="212" t="s">
        <v>3373</v>
      </c>
      <c r="E199" s="432" t="s">
        <v>1655</v>
      </c>
      <c r="F199" s="432" t="s">
        <v>3374</v>
      </c>
      <c r="G199" s="465" t="s">
        <v>3375</v>
      </c>
      <c r="H199" s="548" t="s">
        <v>224</v>
      </c>
      <c r="I199" s="548" t="s">
        <v>324</v>
      </c>
      <c r="J199" s="567" t="s">
        <v>3381</v>
      </c>
      <c r="K199" s="439"/>
      <c r="L199" s="324">
        <v>3.21</v>
      </c>
      <c r="M199" s="326"/>
      <c r="N199" s="326" t="s">
        <v>660</v>
      </c>
      <c r="O199" s="326"/>
    </row>
    <row r="200">
      <c r="A200" s="67"/>
      <c r="B200" s="213" t="s">
        <v>176</v>
      </c>
      <c r="C200" s="145" t="s">
        <v>3383</v>
      </c>
      <c r="D200" s="145" t="s">
        <v>3384</v>
      </c>
      <c r="E200" s="110" t="s">
        <v>3385</v>
      </c>
      <c r="F200" s="579" t="s">
        <v>1962</v>
      </c>
      <c r="G200" s="583" t="s">
        <v>3386</v>
      </c>
      <c r="H200" s="534" t="s">
        <v>224</v>
      </c>
      <c r="I200" s="534" t="s">
        <v>440</v>
      </c>
      <c r="J200" s="483" t="s">
        <v>3389</v>
      </c>
      <c r="L200" s="303">
        <v>3.21</v>
      </c>
      <c r="M200" s="530"/>
      <c r="N200" s="530" t="s">
        <v>616</v>
      </c>
      <c r="O200" s="530"/>
    </row>
    <row r="201">
      <c r="A201" s="67"/>
      <c r="B201" s="213" t="s">
        <v>176</v>
      </c>
      <c r="C201" s="246" t="s">
        <v>3391</v>
      </c>
      <c r="D201" s="38" t="s">
        <v>3392</v>
      </c>
      <c r="E201" s="194" t="s">
        <v>3393</v>
      </c>
      <c r="F201" s="590" t="s">
        <v>3395</v>
      </c>
      <c r="G201" s="592" t="s">
        <v>3396</v>
      </c>
      <c r="H201" s="593" t="s">
        <v>192</v>
      </c>
      <c r="I201" s="593" t="s">
        <v>1133</v>
      </c>
      <c r="J201" s="597" t="s">
        <v>3397</v>
      </c>
      <c r="K201" s="457" t="s">
        <v>3397</v>
      </c>
      <c r="L201" s="299"/>
      <c r="M201" s="530"/>
      <c r="N201" s="530" t="s">
        <v>1133</v>
      </c>
      <c r="O201" s="530"/>
    </row>
    <row r="202">
      <c r="A202" s="67"/>
      <c r="B202" s="213" t="s">
        <v>176</v>
      </c>
      <c r="C202" s="246" t="s">
        <v>3400</v>
      </c>
      <c r="D202" s="38" t="s">
        <v>3401</v>
      </c>
      <c r="E202" s="194" t="s">
        <v>410</v>
      </c>
      <c r="F202" s="590" t="s">
        <v>3403</v>
      </c>
      <c r="G202" s="592" t="s">
        <v>3405</v>
      </c>
      <c r="H202" s="593" t="s">
        <v>485</v>
      </c>
      <c r="I202" s="593" t="s">
        <v>486</v>
      </c>
      <c r="J202" s="597" t="s">
        <v>3409</v>
      </c>
      <c r="K202" s="599" t="s">
        <v>3409</v>
      </c>
      <c r="L202" s="299">
        <v>2.64</v>
      </c>
      <c r="M202" s="530"/>
      <c r="N202" s="530" t="s">
        <v>482</v>
      </c>
      <c r="O202" s="530"/>
    </row>
    <row r="203">
      <c r="A203" s="67"/>
      <c r="B203" s="213" t="s">
        <v>176</v>
      </c>
      <c r="C203" s="246" t="s">
        <v>3412</v>
      </c>
      <c r="D203" s="38" t="s">
        <v>3413</v>
      </c>
      <c r="E203" s="194" t="s">
        <v>3414</v>
      </c>
      <c r="F203" s="590" t="s">
        <v>3415</v>
      </c>
      <c r="G203" s="592" t="s">
        <v>3416</v>
      </c>
      <c r="H203" s="593" t="s">
        <v>192</v>
      </c>
      <c r="I203" s="593" t="s">
        <v>276</v>
      </c>
      <c r="J203" s="597" t="s">
        <v>3417</v>
      </c>
      <c r="K203" s="603"/>
      <c r="L203" s="400">
        <v>4.07</v>
      </c>
      <c r="M203" s="326"/>
      <c r="N203" s="326" t="s">
        <v>284</v>
      </c>
      <c r="O203" s="326"/>
    </row>
    <row r="204">
      <c r="A204" s="67"/>
      <c r="B204" s="213" t="s">
        <v>176</v>
      </c>
      <c r="C204" s="246" t="s">
        <v>3418</v>
      </c>
      <c r="D204" s="38" t="s">
        <v>1098</v>
      </c>
      <c r="E204" s="194" t="s">
        <v>3419</v>
      </c>
      <c r="F204" s="590" t="s">
        <v>215</v>
      </c>
      <c r="G204" s="604" t="s">
        <v>1101</v>
      </c>
      <c r="H204" s="593" t="s">
        <v>192</v>
      </c>
      <c r="I204" s="593" t="s">
        <v>276</v>
      </c>
      <c r="J204" s="457" t="s">
        <v>3420</v>
      </c>
      <c r="L204" s="299">
        <v>3.43</v>
      </c>
      <c r="M204" s="530"/>
      <c r="N204" s="530" t="s">
        <v>284</v>
      </c>
      <c r="O204" s="530"/>
    </row>
    <row r="205">
      <c r="A205" s="67"/>
      <c r="B205" s="213" t="s">
        <v>176</v>
      </c>
      <c r="C205" s="246" t="s">
        <v>3428</v>
      </c>
      <c r="D205" s="38" t="s">
        <v>3429</v>
      </c>
      <c r="E205" s="194" t="s">
        <v>1039</v>
      </c>
      <c r="F205" s="590" t="s">
        <v>3430</v>
      </c>
      <c r="G205" s="592" t="s">
        <v>3431</v>
      </c>
      <c r="H205" s="593" t="s">
        <v>192</v>
      </c>
      <c r="I205" s="593" t="s">
        <v>350</v>
      </c>
      <c r="J205" s="597" t="s">
        <v>3434</v>
      </c>
      <c r="K205" s="608"/>
      <c r="L205" s="400">
        <v>3.21</v>
      </c>
      <c r="M205" s="326"/>
      <c r="N205" s="326" t="s">
        <v>600</v>
      </c>
      <c r="O205" s="326"/>
    </row>
    <row r="206">
      <c r="A206" s="67"/>
      <c r="B206" s="213" t="s">
        <v>176</v>
      </c>
      <c r="C206" s="246" t="s">
        <v>3439</v>
      </c>
      <c r="D206" s="38" t="s">
        <v>3440</v>
      </c>
      <c r="E206" s="194" t="s">
        <v>1039</v>
      </c>
      <c r="F206" s="590" t="s">
        <v>3441</v>
      </c>
      <c r="G206" s="592" t="s">
        <v>3442</v>
      </c>
      <c r="H206" s="593" t="s">
        <v>461</v>
      </c>
      <c r="I206" s="593" t="s">
        <v>530</v>
      </c>
      <c r="J206" s="597" t="s">
        <v>3444</v>
      </c>
      <c r="K206" s="457" t="s">
        <v>3444</v>
      </c>
      <c r="L206" s="299">
        <v>3.21</v>
      </c>
      <c r="M206" s="530"/>
      <c r="N206" s="530" t="s">
        <v>867</v>
      </c>
      <c r="O206" s="530"/>
    </row>
    <row r="207">
      <c r="A207" s="67"/>
      <c r="B207" s="213" t="s">
        <v>176</v>
      </c>
      <c r="C207" s="212" t="s">
        <v>3447</v>
      </c>
      <c r="D207" s="212" t="s">
        <v>3448</v>
      </c>
      <c r="E207" s="432" t="s">
        <v>1039</v>
      </c>
      <c r="F207" s="432" t="s">
        <v>3449</v>
      </c>
      <c r="G207" s="465" t="s">
        <v>3450</v>
      </c>
      <c r="H207" s="548" t="s">
        <v>485</v>
      </c>
      <c r="I207" s="548" t="s">
        <v>386</v>
      </c>
      <c r="J207" s="609" t="s">
        <v>3452</v>
      </c>
      <c r="K207" s="439"/>
      <c r="L207" s="400">
        <v>3.79</v>
      </c>
      <c r="M207" s="326"/>
      <c r="N207" s="326" t="s">
        <v>1159</v>
      </c>
      <c r="O207" s="326"/>
    </row>
    <row r="208">
      <c r="A208" s="67"/>
      <c r="B208" s="213" t="s">
        <v>176</v>
      </c>
      <c r="C208" s="210" t="s">
        <v>3458</v>
      </c>
      <c r="D208" s="210" t="s">
        <v>3459</v>
      </c>
      <c r="E208" s="406" t="s">
        <v>3460</v>
      </c>
      <c r="F208" s="406" t="s">
        <v>3461</v>
      </c>
      <c r="G208" s="463" t="s">
        <v>3462</v>
      </c>
      <c r="H208" s="534" t="s">
        <v>224</v>
      </c>
      <c r="I208" s="534" t="s">
        <v>440</v>
      </c>
      <c r="J208" s="610" t="s">
        <v>3464</v>
      </c>
      <c r="K208" s="570"/>
      <c r="L208" s="400">
        <v>3.86</v>
      </c>
      <c r="M208" s="571"/>
      <c r="N208" s="326" t="s">
        <v>1096</v>
      </c>
      <c r="O208" s="326"/>
    </row>
    <row r="209">
      <c r="A209" s="67"/>
      <c r="B209" s="213" t="s">
        <v>176</v>
      </c>
      <c r="C209" s="212" t="s">
        <v>3465</v>
      </c>
      <c r="D209" s="212" t="s">
        <v>3466</v>
      </c>
      <c r="E209" s="432" t="s">
        <v>410</v>
      </c>
      <c r="F209" s="432" t="s">
        <v>3467</v>
      </c>
      <c r="G209" s="465" t="s">
        <v>3468</v>
      </c>
      <c r="H209" s="548" t="s">
        <v>192</v>
      </c>
      <c r="I209" s="548" t="s">
        <v>276</v>
      </c>
      <c r="J209" s="609" t="s">
        <v>3471</v>
      </c>
      <c r="K209" s="439"/>
      <c r="L209" s="400">
        <v>3.57</v>
      </c>
      <c r="M209" s="326"/>
      <c r="N209" s="326" t="s">
        <v>533</v>
      </c>
      <c r="O209" s="326"/>
    </row>
    <row r="210">
      <c r="A210" s="67"/>
      <c r="B210" s="213" t="s">
        <v>176</v>
      </c>
      <c r="C210" s="210" t="s">
        <v>3476</v>
      </c>
      <c r="D210" s="210" t="s">
        <v>3477</v>
      </c>
      <c r="E210" s="406" t="s">
        <v>3478</v>
      </c>
      <c r="F210" s="406" t="s">
        <v>1314</v>
      </c>
      <c r="G210" s="463" t="s">
        <v>3479</v>
      </c>
      <c r="H210" s="534" t="s">
        <v>224</v>
      </c>
      <c r="I210" s="534" t="s">
        <v>324</v>
      </c>
      <c r="J210" s="610" t="s">
        <v>3483</v>
      </c>
      <c r="K210" s="462"/>
      <c r="L210" s="622">
        <v>2.86</v>
      </c>
      <c r="M210" s="623"/>
      <c r="N210" s="623" t="s">
        <v>660</v>
      </c>
      <c r="O210" s="623"/>
    </row>
    <row r="211">
      <c r="A211" s="67"/>
      <c r="B211" s="213" t="s">
        <v>176</v>
      </c>
      <c r="C211" s="212" t="s">
        <v>3496</v>
      </c>
      <c r="D211" s="212" t="s">
        <v>1098</v>
      </c>
      <c r="E211" s="432" t="s">
        <v>3497</v>
      </c>
      <c r="F211" s="432" t="s">
        <v>3498</v>
      </c>
      <c r="G211" s="465" t="s">
        <v>1101</v>
      </c>
      <c r="H211" s="548" t="s">
        <v>192</v>
      </c>
      <c r="I211" s="548" t="s">
        <v>195</v>
      </c>
      <c r="J211" s="609" t="s">
        <v>3500</v>
      </c>
      <c r="K211" s="628"/>
      <c r="L211" s="622">
        <v>3.21</v>
      </c>
      <c r="M211" s="623"/>
      <c r="N211" s="623" t="s">
        <v>362</v>
      </c>
      <c r="O211" s="623"/>
    </row>
    <row r="212">
      <c r="A212" s="67"/>
      <c r="B212" s="213" t="s">
        <v>176</v>
      </c>
      <c r="C212" s="237" t="s">
        <v>3503</v>
      </c>
      <c r="D212" s="39" t="s">
        <v>3477</v>
      </c>
      <c r="E212" s="442" t="s">
        <v>3478</v>
      </c>
      <c r="F212" s="442" t="s">
        <v>1314</v>
      </c>
      <c r="G212" s="486" t="s">
        <v>3479</v>
      </c>
      <c r="H212" s="557" t="s">
        <v>485</v>
      </c>
      <c r="I212" s="557" t="s">
        <v>386</v>
      </c>
      <c r="J212" s="622" t="s">
        <v>3507</v>
      </c>
      <c r="L212" s="400">
        <v>3.5</v>
      </c>
      <c r="M212" s="326"/>
      <c r="N212" s="326" t="s">
        <v>1182</v>
      </c>
      <c r="O212" s="326"/>
    </row>
    <row r="213">
      <c r="A213" s="67"/>
      <c r="B213" s="213" t="s">
        <v>176</v>
      </c>
      <c r="C213" s="237" t="s">
        <v>86</v>
      </c>
      <c r="D213" s="39" t="s">
        <v>3466</v>
      </c>
      <c r="E213" s="442" t="s">
        <v>410</v>
      </c>
      <c r="F213" s="442" t="s">
        <v>3467</v>
      </c>
      <c r="G213" s="486" t="s">
        <v>3468</v>
      </c>
      <c r="H213" s="557" t="s">
        <v>461</v>
      </c>
      <c r="I213" s="557" t="s">
        <v>462</v>
      </c>
      <c r="J213" s="622" t="s">
        <v>3511</v>
      </c>
      <c r="K213" s="603"/>
      <c r="L213" s="324">
        <v>3.07</v>
      </c>
      <c r="M213" s="326"/>
      <c r="N213" s="326" t="s">
        <v>886</v>
      </c>
      <c r="O213" s="326"/>
    </row>
    <row r="214">
      <c r="A214" s="67"/>
      <c r="B214" s="213" t="s">
        <v>176</v>
      </c>
      <c r="C214" s="237" t="s">
        <v>3517</v>
      </c>
      <c r="D214" s="39" t="s">
        <v>3518</v>
      </c>
      <c r="E214" s="442" t="s">
        <v>1110</v>
      </c>
      <c r="F214" s="442" t="s">
        <v>3519</v>
      </c>
      <c r="G214" s="486" t="s">
        <v>3520</v>
      </c>
      <c r="H214" s="557" t="s">
        <v>224</v>
      </c>
      <c r="I214" s="557" t="s">
        <v>226</v>
      </c>
      <c r="J214" s="622" t="s">
        <v>3523</v>
      </c>
      <c r="K214" s="457" t="s">
        <v>3523</v>
      </c>
      <c r="L214" s="324">
        <v>4.0</v>
      </c>
      <c r="M214" s="326"/>
      <c r="N214" s="326" t="s">
        <v>3347</v>
      </c>
      <c r="O214" s="326"/>
    </row>
    <row r="215">
      <c r="A215" s="67"/>
      <c r="B215" s="213" t="s">
        <v>176</v>
      </c>
      <c r="C215" s="575"/>
      <c r="D215" s="576"/>
      <c r="E215" s="576"/>
      <c r="F215" s="576"/>
      <c r="G215" s="577"/>
      <c r="H215" s="577"/>
      <c r="I215" s="577"/>
      <c r="J215" s="577"/>
      <c r="K215" s="577"/>
      <c r="L215" s="324"/>
      <c r="M215" s="326"/>
      <c r="N215" s="326"/>
      <c r="O215" s="326"/>
    </row>
    <row r="216">
      <c r="A216" s="67"/>
      <c r="B216" s="213" t="s">
        <v>176</v>
      </c>
      <c r="C216" s="575"/>
      <c r="D216" s="576"/>
      <c r="E216" s="576"/>
      <c r="F216" s="576"/>
      <c r="G216" s="577"/>
      <c r="H216" s="577"/>
      <c r="I216" s="577"/>
      <c r="J216" s="577"/>
      <c r="K216" s="577"/>
      <c r="L216" s="324"/>
      <c r="M216" s="326"/>
      <c r="N216" s="326"/>
      <c r="O216" s="326"/>
    </row>
    <row r="217">
      <c r="A217" s="67"/>
      <c r="B217" s="213" t="s">
        <v>176</v>
      </c>
      <c r="C217" s="575"/>
      <c r="D217" s="576"/>
      <c r="E217" s="576"/>
      <c r="F217" s="576"/>
      <c r="G217" s="577"/>
      <c r="H217" s="577"/>
      <c r="I217" s="577"/>
      <c r="J217" s="577"/>
      <c r="K217" s="577"/>
      <c r="L217" s="324"/>
      <c r="M217" s="326"/>
      <c r="N217" s="326"/>
      <c r="O217" s="326"/>
    </row>
    <row r="218">
      <c r="A218" s="67"/>
      <c r="B218" s="213" t="s">
        <v>176</v>
      </c>
      <c r="C218" s="575"/>
      <c r="D218" s="576"/>
      <c r="E218" s="576"/>
      <c r="F218" s="576"/>
      <c r="G218" s="577"/>
      <c r="H218" s="577"/>
      <c r="I218" s="577"/>
      <c r="J218" s="577"/>
      <c r="K218" s="577"/>
      <c r="L218" s="324"/>
      <c r="M218" s="326"/>
      <c r="N218" s="326"/>
      <c r="O218" s="326"/>
    </row>
    <row r="219">
      <c r="A219" s="67"/>
      <c r="B219" s="213" t="s">
        <v>176</v>
      </c>
      <c r="C219" s="575"/>
      <c r="D219" s="576"/>
      <c r="E219" s="576"/>
      <c r="F219" s="576"/>
      <c r="G219" s="577"/>
      <c r="H219" s="577"/>
      <c r="I219" s="577"/>
      <c r="J219" s="577"/>
      <c r="K219" s="577"/>
      <c r="L219" s="324"/>
      <c r="M219" s="326"/>
      <c r="N219" s="326"/>
      <c r="O219" s="326"/>
    </row>
    <row r="220">
      <c r="A220" s="67"/>
      <c r="B220" s="213" t="s">
        <v>176</v>
      </c>
      <c r="C220" s="575"/>
      <c r="D220" s="576"/>
      <c r="E220" s="576"/>
      <c r="F220" s="576"/>
      <c r="G220" s="577"/>
      <c r="H220" s="577"/>
      <c r="I220" s="577"/>
      <c r="J220" s="577"/>
      <c r="K220" s="577"/>
      <c r="L220" s="324"/>
      <c r="M220" s="326"/>
      <c r="N220" s="326"/>
      <c r="O220" s="326"/>
    </row>
    <row r="221">
      <c r="A221" s="67"/>
      <c r="B221" s="213" t="s">
        <v>176</v>
      </c>
      <c r="C221" s="575"/>
      <c r="D221" s="576"/>
      <c r="E221" s="576"/>
      <c r="F221" s="576"/>
      <c r="G221" s="577"/>
      <c r="H221" s="577"/>
      <c r="I221" s="577"/>
      <c r="J221" s="577"/>
      <c r="K221" s="577"/>
      <c r="L221" s="324"/>
      <c r="M221" s="326"/>
      <c r="N221" s="326"/>
      <c r="O221" s="326"/>
    </row>
    <row r="222">
      <c r="A222" s="67"/>
      <c r="B222" s="213" t="s">
        <v>176</v>
      </c>
      <c r="C222" s="575"/>
      <c r="D222" s="576"/>
      <c r="E222" s="576"/>
      <c r="F222" s="576"/>
      <c r="G222" s="577"/>
      <c r="H222" s="577"/>
      <c r="I222" s="577"/>
      <c r="J222" s="577"/>
      <c r="K222" s="577"/>
      <c r="L222" s="594"/>
      <c r="M222" s="594"/>
      <c r="N222" s="594"/>
      <c r="O222" s="594"/>
    </row>
    <row r="223">
      <c r="A223" s="67"/>
      <c r="B223" s="213" t="s">
        <v>176</v>
      </c>
      <c r="C223" s="575"/>
      <c r="D223" s="576"/>
      <c r="E223" s="576"/>
      <c r="F223" s="576"/>
      <c r="G223" s="577"/>
      <c r="H223" s="577"/>
      <c r="I223" s="577"/>
      <c r="J223" s="577"/>
      <c r="K223" s="577"/>
      <c r="L223" s="594"/>
      <c r="M223" s="594"/>
      <c r="N223" s="594"/>
      <c r="O223" s="594"/>
    </row>
    <row r="224">
      <c r="A224" s="67"/>
      <c r="B224" s="213" t="s">
        <v>176</v>
      </c>
      <c r="C224" s="575"/>
      <c r="D224" s="576"/>
      <c r="E224" s="576"/>
      <c r="F224" s="576"/>
      <c r="G224" s="577"/>
      <c r="H224" s="577"/>
      <c r="I224" s="577"/>
      <c r="J224" s="577"/>
      <c r="K224" s="577"/>
      <c r="L224" s="594"/>
      <c r="M224" s="594"/>
      <c r="N224" s="594"/>
      <c r="O224" s="594"/>
    </row>
    <row r="225">
      <c r="A225" s="67"/>
      <c r="B225" s="213" t="s">
        <v>176</v>
      </c>
      <c r="C225" s="575"/>
      <c r="D225" s="576"/>
      <c r="E225" s="576"/>
      <c r="F225" s="576"/>
      <c r="G225" s="577"/>
      <c r="H225" s="577"/>
      <c r="I225" s="577"/>
      <c r="J225" s="577"/>
      <c r="K225" s="577"/>
      <c r="L225" s="594"/>
      <c r="M225" s="594"/>
      <c r="N225" s="594"/>
      <c r="O225" s="594"/>
    </row>
    <row r="226">
      <c r="A226" s="67"/>
      <c r="B226" s="213" t="s">
        <v>176</v>
      </c>
      <c r="C226" s="575"/>
      <c r="D226" s="576"/>
      <c r="E226" s="576"/>
      <c r="F226" s="576"/>
      <c r="G226" s="577"/>
      <c r="H226" s="577"/>
      <c r="I226" s="577"/>
      <c r="J226" s="577"/>
      <c r="K226" s="577"/>
      <c r="L226" s="594"/>
      <c r="M226" s="594"/>
      <c r="N226" s="594"/>
      <c r="O226" s="594"/>
    </row>
    <row r="227">
      <c r="A227" s="67"/>
      <c r="B227" s="213" t="s">
        <v>176</v>
      </c>
      <c r="C227" s="575"/>
      <c r="D227" s="576"/>
      <c r="E227" s="576"/>
      <c r="F227" s="576"/>
      <c r="G227" s="577"/>
      <c r="H227" s="577"/>
      <c r="I227" s="577"/>
      <c r="J227" s="577"/>
      <c r="K227" s="577"/>
      <c r="L227" s="594"/>
      <c r="M227" s="594"/>
      <c r="N227" s="594"/>
      <c r="O227" s="594"/>
    </row>
    <row r="228">
      <c r="A228" s="67"/>
      <c r="B228" s="213" t="s">
        <v>176</v>
      </c>
      <c r="C228" s="575"/>
      <c r="D228" s="576"/>
      <c r="E228" s="576"/>
      <c r="F228" s="576"/>
      <c r="G228" s="577"/>
      <c r="H228" s="577"/>
      <c r="I228" s="577"/>
      <c r="J228" s="577"/>
      <c r="K228" s="577"/>
      <c r="L228" s="594"/>
      <c r="M228" s="594"/>
      <c r="N228" s="594"/>
      <c r="O228" s="594"/>
    </row>
    <row r="229">
      <c r="A229" s="67"/>
      <c r="B229" s="213" t="s">
        <v>176</v>
      </c>
      <c r="C229" s="575"/>
      <c r="D229" s="576"/>
      <c r="E229" s="576"/>
      <c r="F229" s="576"/>
      <c r="G229" s="577"/>
      <c r="H229" s="577"/>
      <c r="I229" s="577"/>
      <c r="J229" s="577"/>
      <c r="K229" s="577"/>
      <c r="L229" s="594"/>
      <c r="M229" s="594"/>
      <c r="N229" s="594"/>
      <c r="O229" s="594"/>
    </row>
    <row r="230">
      <c r="A230" s="67"/>
      <c r="B230" s="636"/>
      <c r="C230" s="575"/>
      <c r="D230" s="576"/>
      <c r="E230" s="576"/>
      <c r="F230" s="576"/>
      <c r="G230" s="577"/>
      <c r="H230" s="577"/>
      <c r="I230" s="577"/>
      <c r="J230" s="577"/>
      <c r="K230" s="577"/>
      <c r="L230" s="594"/>
      <c r="M230" s="594"/>
      <c r="N230" s="594"/>
      <c r="O230" s="594"/>
    </row>
    <row r="231">
      <c r="A231" s="67"/>
      <c r="B231" s="636"/>
      <c r="C231" s="575"/>
      <c r="D231" s="576"/>
      <c r="E231" s="576"/>
      <c r="F231" s="576"/>
      <c r="G231" s="577"/>
      <c r="H231" s="577"/>
      <c r="I231" s="577"/>
      <c r="J231" s="577"/>
      <c r="K231" s="577"/>
      <c r="L231" s="594"/>
      <c r="M231" s="594"/>
      <c r="N231" s="594"/>
      <c r="O231" s="594"/>
    </row>
    <row r="232">
      <c r="A232" s="67"/>
      <c r="B232" s="636"/>
      <c r="C232" s="575"/>
      <c r="D232" s="576"/>
      <c r="E232" s="576"/>
      <c r="F232" s="576"/>
      <c r="G232" s="577"/>
      <c r="H232" s="577"/>
      <c r="I232" s="577"/>
      <c r="J232" s="577"/>
      <c r="K232" s="577"/>
      <c r="L232" s="594"/>
      <c r="M232" s="594"/>
      <c r="N232" s="594"/>
      <c r="O232" s="594"/>
    </row>
    <row r="233">
      <c r="A233" s="67"/>
      <c r="B233" s="636"/>
      <c r="C233" s="575"/>
      <c r="D233" s="576"/>
      <c r="E233" s="576"/>
      <c r="F233" s="576"/>
      <c r="G233" s="577"/>
      <c r="H233" s="577"/>
      <c r="I233" s="577"/>
      <c r="J233" s="577"/>
      <c r="K233" s="577"/>
      <c r="L233" s="594"/>
      <c r="M233" s="594"/>
      <c r="N233" s="594"/>
      <c r="O233" s="594"/>
    </row>
    <row r="234">
      <c r="A234" s="67"/>
      <c r="B234" s="636"/>
      <c r="C234" s="575"/>
      <c r="D234" s="576"/>
      <c r="E234" s="576"/>
      <c r="F234" s="576"/>
      <c r="G234" s="577"/>
      <c r="H234" s="577"/>
      <c r="I234" s="577"/>
      <c r="J234" s="577"/>
      <c r="K234" s="577"/>
      <c r="L234" s="594"/>
      <c r="M234" s="594"/>
      <c r="N234" s="594"/>
      <c r="O234" s="594"/>
    </row>
    <row r="235">
      <c r="A235" s="67"/>
      <c r="B235" s="636"/>
      <c r="C235" s="575"/>
      <c r="D235" s="576"/>
      <c r="E235" s="576"/>
      <c r="F235" s="576"/>
      <c r="G235" s="577"/>
      <c r="H235" s="577"/>
      <c r="I235" s="577"/>
      <c r="J235" s="577"/>
      <c r="K235" s="577"/>
      <c r="L235" s="594"/>
      <c r="M235" s="594"/>
      <c r="N235" s="594"/>
      <c r="O235" s="594"/>
    </row>
    <row r="236">
      <c r="A236" s="67"/>
      <c r="B236" s="636"/>
      <c r="C236" s="575"/>
      <c r="D236" s="576"/>
      <c r="E236" s="576"/>
      <c r="F236" s="576"/>
      <c r="G236" s="577"/>
      <c r="H236" s="577"/>
      <c r="I236" s="577"/>
      <c r="J236" s="577"/>
      <c r="K236" s="577"/>
      <c r="L236" s="594"/>
      <c r="M236" s="594"/>
      <c r="N236" s="594"/>
      <c r="O236" s="594"/>
    </row>
    <row r="237">
      <c r="A237" s="67"/>
      <c r="B237" s="636"/>
      <c r="C237" s="575"/>
      <c r="D237" s="576"/>
      <c r="E237" s="576"/>
      <c r="F237" s="576"/>
      <c r="G237" s="577"/>
      <c r="H237" s="577"/>
      <c r="I237" s="577"/>
      <c r="J237" s="577"/>
      <c r="K237" s="577"/>
      <c r="L237" s="594"/>
      <c r="M237" s="594"/>
      <c r="N237" s="594"/>
      <c r="O237" s="594"/>
    </row>
    <row r="238">
      <c r="A238" s="67"/>
      <c r="B238" s="636"/>
      <c r="C238" s="575"/>
      <c r="D238" s="576"/>
      <c r="E238" s="576"/>
      <c r="F238" s="576"/>
      <c r="G238" s="577"/>
      <c r="H238" s="577"/>
      <c r="I238" s="577"/>
      <c r="J238" s="577"/>
      <c r="K238" s="577"/>
      <c r="L238" s="594"/>
      <c r="M238" s="594"/>
      <c r="N238" s="594"/>
      <c r="O238" s="594"/>
    </row>
    <row r="239">
      <c r="A239" s="67"/>
      <c r="B239" s="636"/>
      <c r="C239" s="575"/>
      <c r="D239" s="576"/>
      <c r="E239" s="576"/>
      <c r="F239" s="576"/>
      <c r="G239" s="577"/>
      <c r="H239" s="577"/>
      <c r="I239" s="577"/>
      <c r="J239" s="577"/>
      <c r="K239" s="577"/>
      <c r="L239" s="594"/>
      <c r="M239" s="594"/>
      <c r="N239" s="594"/>
      <c r="O239" s="594"/>
    </row>
    <row r="240">
      <c r="A240" s="67"/>
      <c r="B240" s="636"/>
      <c r="C240" s="575"/>
      <c r="D240" s="576"/>
      <c r="E240" s="576"/>
      <c r="F240" s="576"/>
      <c r="G240" s="577"/>
      <c r="H240" s="577"/>
      <c r="I240" s="577"/>
      <c r="J240" s="577"/>
      <c r="K240" s="577"/>
      <c r="L240" s="594"/>
      <c r="M240" s="594"/>
      <c r="N240" s="594"/>
      <c r="O240" s="594"/>
    </row>
    <row r="241">
      <c r="A241" s="67"/>
      <c r="B241" s="636"/>
      <c r="C241" s="575"/>
      <c r="D241" s="576"/>
      <c r="E241" s="576"/>
      <c r="F241" s="576"/>
      <c r="G241" s="577"/>
      <c r="H241" s="577"/>
      <c r="I241" s="577"/>
      <c r="J241" s="577"/>
      <c r="K241" s="577"/>
      <c r="L241" s="594"/>
      <c r="M241" s="594"/>
      <c r="N241" s="594"/>
      <c r="O241" s="594"/>
    </row>
    <row r="242">
      <c r="A242" s="67"/>
      <c r="B242" s="636"/>
      <c r="C242" s="575"/>
      <c r="D242" s="576"/>
      <c r="E242" s="576"/>
      <c r="F242" s="576"/>
      <c r="G242" s="577"/>
      <c r="H242" s="577"/>
      <c r="I242" s="577"/>
      <c r="J242" s="577"/>
      <c r="K242" s="577"/>
      <c r="L242" s="594"/>
      <c r="M242" s="594"/>
      <c r="N242" s="594"/>
      <c r="O242" s="594"/>
    </row>
    <row r="243">
      <c r="A243" s="67"/>
      <c r="B243" s="636"/>
      <c r="C243" s="575"/>
      <c r="D243" s="576"/>
      <c r="E243" s="576"/>
      <c r="F243" s="576"/>
      <c r="G243" s="577"/>
      <c r="H243" s="577"/>
      <c r="I243" s="577"/>
      <c r="J243" s="577"/>
      <c r="K243" s="577"/>
      <c r="L243" s="594"/>
      <c r="M243" s="594"/>
      <c r="N243" s="594"/>
      <c r="O243" s="594"/>
    </row>
    <row r="244">
      <c r="A244" s="67"/>
      <c r="B244" s="636"/>
      <c r="C244" s="575"/>
      <c r="D244" s="576"/>
      <c r="E244" s="576"/>
      <c r="F244" s="576"/>
      <c r="G244" s="577"/>
      <c r="H244" s="577"/>
      <c r="I244" s="577"/>
      <c r="J244" s="577"/>
      <c r="K244" s="577"/>
      <c r="L244" s="594"/>
      <c r="M244" s="594"/>
      <c r="N244" s="594"/>
      <c r="O244" s="594"/>
    </row>
    <row r="245">
      <c r="A245" s="67"/>
      <c r="B245" s="636"/>
      <c r="C245" s="575"/>
      <c r="D245" s="576"/>
      <c r="E245" s="576"/>
      <c r="F245" s="576"/>
      <c r="G245" s="577"/>
      <c r="H245" s="577"/>
      <c r="I245" s="577"/>
      <c r="J245" s="577"/>
      <c r="K245" s="577"/>
      <c r="L245" s="594"/>
      <c r="M245" s="594"/>
      <c r="N245" s="594"/>
      <c r="O245" s="594"/>
    </row>
    <row r="246">
      <c r="A246" s="67"/>
      <c r="B246" s="636"/>
      <c r="C246" s="575"/>
      <c r="D246" s="576"/>
      <c r="E246" s="576"/>
      <c r="F246" s="576"/>
      <c r="G246" s="577"/>
      <c r="H246" s="577"/>
      <c r="I246" s="577"/>
      <c r="J246" s="577"/>
      <c r="K246" s="577"/>
      <c r="L246" s="594"/>
      <c r="M246" s="594"/>
      <c r="N246" s="594"/>
      <c r="O246" s="594"/>
    </row>
    <row r="247">
      <c r="A247" s="67"/>
      <c r="B247" s="636"/>
      <c r="C247" s="575"/>
      <c r="D247" s="576"/>
      <c r="E247" s="576"/>
      <c r="F247" s="576"/>
      <c r="G247" s="577"/>
      <c r="H247" s="577"/>
      <c r="I247" s="577"/>
      <c r="J247" s="577"/>
      <c r="K247" s="577"/>
      <c r="L247" s="594"/>
      <c r="M247" s="594"/>
      <c r="N247" s="594"/>
      <c r="O247" s="594"/>
    </row>
    <row r="248">
      <c r="A248" s="67"/>
      <c r="B248" s="636"/>
      <c r="C248" s="575"/>
      <c r="D248" s="576"/>
      <c r="E248" s="576"/>
      <c r="F248" s="576"/>
      <c r="G248" s="577"/>
      <c r="H248" s="577"/>
      <c r="I248" s="577"/>
      <c r="J248" s="577"/>
      <c r="K248" s="577"/>
      <c r="L248" s="594"/>
      <c r="M248" s="594"/>
      <c r="N248" s="594"/>
      <c r="O248" s="594"/>
    </row>
    <row r="249">
      <c r="A249" s="67"/>
      <c r="B249" s="636"/>
      <c r="C249" s="575"/>
      <c r="D249" s="576"/>
      <c r="E249" s="576"/>
      <c r="F249" s="576"/>
      <c r="G249" s="577"/>
      <c r="H249" s="577"/>
      <c r="I249" s="577"/>
      <c r="J249" s="577"/>
      <c r="K249" s="577"/>
      <c r="L249" s="594"/>
      <c r="M249" s="594"/>
      <c r="N249" s="594"/>
      <c r="O249" s="594"/>
    </row>
    <row r="250">
      <c r="A250" s="67"/>
      <c r="B250" s="636"/>
      <c r="C250" s="575"/>
      <c r="D250" s="576"/>
      <c r="E250" s="576"/>
      <c r="F250" s="576"/>
      <c r="G250" s="577"/>
      <c r="H250" s="577"/>
      <c r="I250" s="577"/>
      <c r="J250" s="577"/>
      <c r="K250" s="577"/>
      <c r="L250" s="594"/>
      <c r="M250" s="594"/>
      <c r="N250" s="594"/>
      <c r="O250" s="594"/>
    </row>
    <row r="251">
      <c r="A251" s="67"/>
      <c r="B251" s="636"/>
      <c r="C251" s="575"/>
      <c r="D251" s="576"/>
      <c r="E251" s="576"/>
      <c r="F251" s="576"/>
      <c r="G251" s="577"/>
      <c r="H251" s="577"/>
      <c r="I251" s="577"/>
      <c r="J251" s="577"/>
      <c r="K251" s="577"/>
      <c r="L251" s="594"/>
      <c r="M251" s="594"/>
      <c r="N251" s="594"/>
      <c r="O251" s="594"/>
    </row>
    <row r="252">
      <c r="A252" s="67"/>
      <c r="B252" s="636"/>
      <c r="C252" s="575"/>
      <c r="D252" s="576"/>
      <c r="E252" s="576"/>
      <c r="F252" s="576"/>
      <c r="G252" s="577"/>
      <c r="H252" s="577"/>
      <c r="I252" s="577"/>
      <c r="J252" s="577"/>
      <c r="K252" s="577"/>
      <c r="L252" s="594"/>
      <c r="M252" s="594"/>
      <c r="N252" s="594"/>
      <c r="O252" s="594"/>
    </row>
    <row r="253">
      <c r="A253" s="67"/>
      <c r="B253" s="636"/>
      <c r="C253" s="575"/>
      <c r="D253" s="576"/>
      <c r="E253" s="576"/>
      <c r="F253" s="576"/>
      <c r="G253" s="577"/>
      <c r="H253" s="577"/>
      <c r="I253" s="577"/>
      <c r="J253" s="577"/>
      <c r="K253" s="577"/>
      <c r="L253" s="594"/>
      <c r="M253" s="594"/>
      <c r="N253" s="594"/>
      <c r="O253" s="594"/>
    </row>
    <row r="254">
      <c r="A254" s="67"/>
      <c r="B254" s="636"/>
      <c r="C254" s="575"/>
      <c r="D254" s="576"/>
      <c r="E254" s="576"/>
      <c r="F254" s="576"/>
      <c r="G254" s="577"/>
      <c r="H254" s="577"/>
      <c r="I254" s="577"/>
      <c r="J254" s="577"/>
      <c r="K254" s="577"/>
      <c r="L254" s="594"/>
      <c r="M254" s="594"/>
      <c r="N254" s="594"/>
      <c r="O254" s="594"/>
    </row>
    <row r="255">
      <c r="A255" s="67"/>
      <c r="B255" s="636"/>
      <c r="C255" s="575"/>
      <c r="D255" s="576"/>
      <c r="E255" s="576"/>
      <c r="F255" s="576"/>
      <c r="G255" s="577"/>
      <c r="H255" s="577"/>
      <c r="I255" s="577"/>
      <c r="J255" s="577"/>
      <c r="K255" s="577"/>
      <c r="L255" s="594"/>
      <c r="M255" s="594"/>
      <c r="N255" s="594"/>
      <c r="O255" s="594"/>
    </row>
    <row r="256">
      <c r="A256" s="67"/>
      <c r="B256" s="636"/>
      <c r="C256" s="575"/>
      <c r="D256" s="576"/>
      <c r="E256" s="576"/>
      <c r="F256" s="576"/>
      <c r="G256" s="577"/>
      <c r="H256" s="577"/>
      <c r="I256" s="577"/>
      <c r="J256" s="577"/>
      <c r="K256" s="577"/>
      <c r="L256" s="594"/>
      <c r="M256" s="594"/>
      <c r="N256" s="594"/>
      <c r="O256" s="594"/>
    </row>
    <row r="257">
      <c r="A257" s="67"/>
      <c r="B257" s="636"/>
      <c r="C257" s="575"/>
      <c r="D257" s="576"/>
      <c r="E257" s="576"/>
      <c r="F257" s="576"/>
      <c r="G257" s="577"/>
      <c r="H257" s="577"/>
      <c r="I257" s="577"/>
      <c r="J257" s="577"/>
      <c r="K257" s="577"/>
      <c r="L257" s="594"/>
      <c r="M257" s="594"/>
      <c r="N257" s="594"/>
      <c r="O257" s="594"/>
    </row>
    <row r="258">
      <c r="A258" s="67"/>
      <c r="B258" s="636"/>
      <c r="C258" s="575"/>
      <c r="D258" s="576"/>
      <c r="E258" s="576"/>
      <c r="F258" s="576"/>
      <c r="G258" s="577"/>
      <c r="H258" s="577"/>
      <c r="I258" s="577"/>
      <c r="J258" s="577"/>
      <c r="K258" s="577"/>
      <c r="L258" s="594"/>
      <c r="M258" s="594"/>
      <c r="N258" s="594"/>
      <c r="O258" s="594"/>
    </row>
    <row r="259">
      <c r="A259" s="67"/>
      <c r="B259" s="636"/>
      <c r="C259" s="575"/>
      <c r="D259" s="576"/>
      <c r="E259" s="576"/>
      <c r="F259" s="576"/>
      <c r="G259" s="577"/>
      <c r="H259" s="577"/>
      <c r="I259" s="577"/>
      <c r="J259" s="577"/>
      <c r="K259" s="577"/>
      <c r="L259" s="594"/>
      <c r="M259" s="594"/>
      <c r="N259" s="594"/>
      <c r="O259" s="594"/>
    </row>
    <row r="260">
      <c r="A260" s="67"/>
      <c r="B260" s="636"/>
      <c r="C260" s="575"/>
      <c r="D260" s="576"/>
      <c r="E260" s="576"/>
      <c r="F260" s="576"/>
      <c r="G260" s="577"/>
      <c r="H260" s="577"/>
      <c r="I260" s="577"/>
      <c r="J260" s="577"/>
      <c r="K260" s="577"/>
      <c r="L260" s="594"/>
      <c r="M260" s="594"/>
      <c r="N260" s="594"/>
      <c r="O260" s="594"/>
    </row>
    <row r="261">
      <c r="A261" s="67"/>
      <c r="B261" s="636"/>
      <c r="C261" s="575"/>
      <c r="D261" s="576"/>
      <c r="E261" s="576"/>
      <c r="F261" s="576"/>
      <c r="G261" s="577"/>
      <c r="H261" s="577"/>
      <c r="I261" s="577"/>
      <c r="J261" s="577"/>
      <c r="K261" s="577"/>
      <c r="L261" s="594"/>
      <c r="M261" s="594"/>
      <c r="N261" s="594"/>
      <c r="O261" s="594"/>
    </row>
    <row r="262">
      <c r="A262" s="67"/>
      <c r="B262" s="636"/>
      <c r="C262" s="575"/>
      <c r="D262" s="576"/>
      <c r="E262" s="576"/>
      <c r="F262" s="576"/>
      <c r="G262" s="577"/>
      <c r="H262" s="577"/>
      <c r="I262" s="577"/>
      <c r="J262" s="577"/>
      <c r="K262" s="577"/>
      <c r="L262" s="594"/>
      <c r="M262" s="594"/>
      <c r="N262" s="594"/>
      <c r="O262" s="594"/>
    </row>
    <row r="263">
      <c r="A263" s="67"/>
      <c r="B263" s="636"/>
      <c r="C263" s="575"/>
      <c r="D263" s="576"/>
      <c r="E263" s="576"/>
      <c r="F263" s="576"/>
      <c r="G263" s="577"/>
      <c r="H263" s="577"/>
      <c r="I263" s="577"/>
      <c r="J263" s="577"/>
      <c r="K263" s="577"/>
      <c r="L263" s="594"/>
      <c r="M263" s="594"/>
      <c r="N263" s="594"/>
      <c r="O263" s="594"/>
    </row>
    <row r="264">
      <c r="A264" s="67"/>
      <c r="B264" s="636"/>
      <c r="C264" s="575"/>
      <c r="D264" s="576"/>
      <c r="E264" s="576"/>
      <c r="F264" s="576"/>
      <c r="G264" s="577"/>
      <c r="H264" s="577"/>
      <c r="I264" s="577"/>
      <c r="J264" s="577"/>
      <c r="K264" s="577"/>
      <c r="L264" s="594"/>
      <c r="M264" s="594"/>
      <c r="N264" s="594"/>
      <c r="O264" s="594"/>
    </row>
    <row r="265">
      <c r="A265" s="67"/>
      <c r="B265" s="636"/>
      <c r="C265" s="575"/>
      <c r="D265" s="576"/>
      <c r="E265" s="576"/>
      <c r="F265" s="576"/>
      <c r="G265" s="577"/>
      <c r="H265" s="577"/>
      <c r="I265" s="577"/>
      <c r="J265" s="577"/>
      <c r="K265" s="577"/>
      <c r="L265" s="594"/>
      <c r="M265" s="594"/>
      <c r="N265" s="594"/>
      <c r="O265" s="594"/>
    </row>
    <row r="266">
      <c r="A266" s="67"/>
      <c r="B266" s="636"/>
      <c r="C266" s="575"/>
      <c r="D266" s="576"/>
      <c r="E266" s="576"/>
      <c r="F266" s="576"/>
      <c r="G266" s="577"/>
      <c r="H266" s="577"/>
      <c r="I266" s="577"/>
      <c r="J266" s="577"/>
      <c r="K266" s="577"/>
      <c r="L266" s="594"/>
      <c r="M266" s="594"/>
      <c r="N266" s="594"/>
      <c r="O266" s="594"/>
    </row>
    <row r="267">
      <c r="A267" s="67"/>
      <c r="B267" s="636"/>
      <c r="C267" s="575"/>
      <c r="D267" s="576"/>
      <c r="E267" s="576"/>
      <c r="F267" s="576"/>
      <c r="G267" s="577"/>
      <c r="H267" s="577"/>
      <c r="I267" s="577"/>
      <c r="J267" s="577"/>
      <c r="K267" s="577"/>
      <c r="L267" s="594"/>
      <c r="M267" s="594"/>
      <c r="N267" s="594"/>
      <c r="O267" s="594"/>
    </row>
    <row r="268">
      <c r="A268" s="67"/>
      <c r="B268" s="636"/>
      <c r="C268" s="575"/>
      <c r="D268" s="576"/>
      <c r="E268" s="576"/>
      <c r="F268" s="576"/>
      <c r="G268" s="577"/>
      <c r="H268" s="577"/>
      <c r="I268" s="577"/>
      <c r="J268" s="577"/>
      <c r="K268" s="577"/>
      <c r="L268" s="594"/>
      <c r="M268" s="594"/>
      <c r="N268" s="594"/>
      <c r="O268" s="594"/>
    </row>
    <row r="269">
      <c r="A269" s="67"/>
      <c r="B269" s="636"/>
      <c r="C269" s="575"/>
      <c r="D269" s="576"/>
      <c r="E269" s="576"/>
      <c r="F269" s="576"/>
      <c r="G269" s="577"/>
      <c r="H269" s="577"/>
      <c r="I269" s="577"/>
      <c r="J269" s="577"/>
      <c r="K269" s="577"/>
      <c r="L269" s="594"/>
      <c r="M269" s="594"/>
      <c r="N269" s="594"/>
      <c r="O269" s="594"/>
    </row>
    <row r="270">
      <c r="A270" s="67"/>
      <c r="B270" s="636"/>
      <c r="C270" s="575"/>
      <c r="D270" s="576"/>
      <c r="E270" s="576"/>
      <c r="F270" s="576"/>
      <c r="G270" s="577"/>
      <c r="H270" s="577"/>
      <c r="I270" s="577"/>
      <c r="J270" s="577"/>
      <c r="K270" s="577"/>
      <c r="L270" s="594"/>
      <c r="M270" s="594"/>
      <c r="N270" s="594"/>
      <c r="O270" s="594"/>
    </row>
    <row r="271">
      <c r="A271" s="67"/>
      <c r="B271" s="636"/>
      <c r="C271" s="575"/>
      <c r="D271" s="576"/>
      <c r="E271" s="576"/>
      <c r="F271" s="576"/>
      <c r="G271" s="577"/>
      <c r="H271" s="577"/>
      <c r="I271" s="577"/>
      <c r="J271" s="577"/>
      <c r="K271" s="577"/>
      <c r="L271" s="594"/>
      <c r="M271" s="594"/>
      <c r="N271" s="594"/>
      <c r="O271" s="594"/>
    </row>
    <row r="272">
      <c r="A272" s="67"/>
      <c r="B272" s="636"/>
      <c r="C272" s="575"/>
      <c r="D272" s="576"/>
      <c r="E272" s="576"/>
      <c r="F272" s="576"/>
      <c r="G272" s="577"/>
      <c r="H272" s="577"/>
      <c r="I272" s="577"/>
      <c r="J272" s="577"/>
      <c r="K272" s="577"/>
      <c r="L272" s="594"/>
      <c r="M272" s="594"/>
      <c r="N272" s="594"/>
      <c r="O272" s="594"/>
    </row>
    <row r="273">
      <c r="A273" s="67"/>
      <c r="B273" s="636"/>
      <c r="C273" s="575"/>
      <c r="D273" s="576"/>
      <c r="E273" s="576"/>
      <c r="F273" s="576"/>
      <c r="G273" s="577"/>
      <c r="H273" s="577"/>
      <c r="I273" s="577"/>
      <c r="J273" s="577"/>
      <c r="K273" s="577"/>
      <c r="L273" s="594"/>
      <c r="M273" s="594"/>
      <c r="N273" s="594"/>
      <c r="O273" s="594"/>
    </row>
    <row r="274">
      <c r="A274" s="67"/>
      <c r="B274" s="636"/>
      <c r="C274" s="575"/>
      <c r="D274" s="576"/>
      <c r="E274" s="576"/>
      <c r="F274" s="576"/>
      <c r="G274" s="577"/>
      <c r="H274" s="577"/>
      <c r="I274" s="577"/>
      <c r="J274" s="577"/>
      <c r="K274" s="577"/>
      <c r="L274" s="594"/>
      <c r="M274" s="594"/>
      <c r="N274" s="594"/>
      <c r="O274" s="594"/>
    </row>
    <row r="275">
      <c r="A275" s="67"/>
      <c r="B275" s="636"/>
      <c r="C275" s="575"/>
      <c r="D275" s="576"/>
      <c r="E275" s="576"/>
      <c r="F275" s="576"/>
      <c r="G275" s="577"/>
      <c r="H275" s="577"/>
      <c r="I275" s="577"/>
      <c r="J275" s="577"/>
      <c r="K275" s="577"/>
      <c r="L275" s="594"/>
      <c r="M275" s="594"/>
      <c r="N275" s="594"/>
      <c r="O275" s="594"/>
    </row>
    <row r="276">
      <c r="A276" s="67"/>
      <c r="B276" s="636"/>
      <c r="C276" s="575"/>
      <c r="D276" s="576"/>
      <c r="E276" s="576"/>
      <c r="F276" s="576"/>
      <c r="G276" s="577"/>
      <c r="H276" s="577"/>
      <c r="I276" s="577"/>
      <c r="J276" s="577"/>
      <c r="K276" s="577"/>
      <c r="L276" s="594"/>
      <c r="M276" s="594"/>
      <c r="N276" s="594"/>
      <c r="O276" s="594"/>
    </row>
    <row r="277">
      <c r="A277" s="67"/>
      <c r="B277" s="636"/>
      <c r="C277" s="575"/>
      <c r="D277" s="576"/>
      <c r="E277" s="576"/>
      <c r="F277" s="576"/>
      <c r="G277" s="577"/>
      <c r="H277" s="577"/>
      <c r="I277" s="577"/>
      <c r="J277" s="577"/>
      <c r="K277" s="577"/>
      <c r="L277" s="594"/>
      <c r="M277" s="594"/>
      <c r="N277" s="594"/>
      <c r="O277" s="594"/>
    </row>
    <row r="278">
      <c r="A278" s="67"/>
      <c r="B278" s="636"/>
      <c r="C278" s="575"/>
      <c r="D278" s="576"/>
      <c r="E278" s="576"/>
      <c r="F278" s="576"/>
      <c r="G278" s="577"/>
      <c r="H278" s="577"/>
      <c r="I278" s="577"/>
      <c r="J278" s="577"/>
      <c r="K278" s="577"/>
      <c r="L278" s="594"/>
      <c r="M278" s="594"/>
      <c r="N278" s="594"/>
      <c r="O278" s="594"/>
    </row>
    <row r="279">
      <c r="A279" s="67"/>
      <c r="B279" s="636"/>
      <c r="C279" s="575"/>
      <c r="D279" s="576"/>
      <c r="E279" s="576"/>
      <c r="F279" s="576"/>
      <c r="G279" s="577"/>
      <c r="H279" s="577"/>
      <c r="I279" s="577"/>
      <c r="J279" s="577"/>
      <c r="K279" s="577"/>
      <c r="L279" s="594"/>
      <c r="M279" s="594"/>
      <c r="N279" s="594"/>
      <c r="O279" s="594"/>
    </row>
    <row r="280">
      <c r="A280" s="67"/>
      <c r="B280" s="636"/>
      <c r="C280" s="575"/>
      <c r="D280" s="576"/>
      <c r="E280" s="576"/>
      <c r="F280" s="576"/>
      <c r="G280" s="577"/>
      <c r="H280" s="577"/>
      <c r="I280" s="577"/>
      <c r="J280" s="577"/>
      <c r="K280" s="577"/>
      <c r="L280" s="594"/>
      <c r="M280" s="594"/>
      <c r="N280" s="594"/>
      <c r="O280" s="594"/>
    </row>
    <row r="281">
      <c r="A281" s="67"/>
      <c r="B281" s="636"/>
      <c r="C281" s="575"/>
      <c r="D281" s="576"/>
      <c r="E281" s="576"/>
      <c r="F281" s="576"/>
      <c r="G281" s="577"/>
      <c r="H281" s="577"/>
      <c r="I281" s="577"/>
      <c r="J281" s="577"/>
      <c r="K281" s="577"/>
      <c r="L281" s="594"/>
      <c r="M281" s="594"/>
      <c r="N281" s="594"/>
      <c r="O281" s="594"/>
    </row>
    <row r="282">
      <c r="A282" s="67"/>
      <c r="B282" s="636"/>
      <c r="C282" s="575"/>
      <c r="D282" s="576"/>
      <c r="E282" s="576"/>
      <c r="F282" s="576"/>
      <c r="G282" s="577"/>
      <c r="H282" s="577"/>
      <c r="I282" s="577"/>
      <c r="J282" s="577"/>
      <c r="K282" s="577"/>
      <c r="L282" s="594"/>
      <c r="M282" s="594"/>
      <c r="N282" s="594"/>
      <c r="O282" s="594"/>
    </row>
    <row r="283">
      <c r="A283" s="67"/>
      <c r="B283" s="636"/>
      <c r="C283" s="575"/>
      <c r="D283" s="576"/>
      <c r="E283" s="576"/>
      <c r="F283" s="576"/>
      <c r="G283" s="577"/>
      <c r="H283" s="577"/>
      <c r="I283" s="577"/>
      <c r="J283" s="577"/>
      <c r="K283" s="577"/>
      <c r="L283" s="594"/>
      <c r="M283" s="594"/>
      <c r="N283" s="594"/>
      <c r="O283" s="594"/>
    </row>
    <row r="284">
      <c r="A284" s="67"/>
      <c r="B284" s="636"/>
      <c r="C284" s="575"/>
      <c r="D284" s="576"/>
      <c r="E284" s="576"/>
      <c r="F284" s="576"/>
      <c r="G284" s="577"/>
      <c r="H284" s="577"/>
      <c r="I284" s="577"/>
      <c r="J284" s="577"/>
      <c r="K284" s="577"/>
      <c r="L284" s="594"/>
      <c r="M284" s="594"/>
      <c r="N284" s="594"/>
      <c r="O284" s="594"/>
    </row>
    <row r="285">
      <c r="A285" s="67"/>
      <c r="B285" s="636"/>
      <c r="C285" s="575"/>
      <c r="D285" s="576"/>
      <c r="E285" s="576"/>
      <c r="F285" s="576"/>
      <c r="G285" s="577"/>
      <c r="H285" s="577"/>
      <c r="I285" s="577"/>
      <c r="J285" s="577"/>
      <c r="K285" s="577"/>
      <c r="L285" s="594"/>
      <c r="M285" s="594"/>
      <c r="N285" s="594"/>
      <c r="O285" s="594"/>
    </row>
    <row r="286">
      <c r="A286" s="67"/>
      <c r="B286" s="636"/>
      <c r="C286" s="575"/>
      <c r="D286" s="576"/>
      <c r="E286" s="576"/>
      <c r="F286" s="576"/>
      <c r="G286" s="577"/>
      <c r="H286" s="577"/>
      <c r="I286" s="577"/>
      <c r="J286" s="577"/>
      <c r="K286" s="577"/>
      <c r="L286" s="594"/>
      <c r="M286" s="594"/>
      <c r="N286" s="594"/>
      <c r="O286" s="594"/>
    </row>
    <row r="287">
      <c r="A287" s="67"/>
      <c r="B287" s="636"/>
      <c r="C287" s="575"/>
      <c r="D287" s="576"/>
      <c r="E287" s="576"/>
      <c r="F287" s="576"/>
      <c r="G287" s="577"/>
      <c r="H287" s="577"/>
      <c r="I287" s="577"/>
      <c r="J287" s="577"/>
      <c r="K287" s="577"/>
      <c r="L287" s="594"/>
      <c r="M287" s="594"/>
      <c r="N287" s="594"/>
      <c r="O287" s="594"/>
    </row>
    <row r="288">
      <c r="A288" s="67"/>
      <c r="B288" s="636"/>
      <c r="C288" s="575"/>
      <c r="D288" s="576"/>
      <c r="E288" s="576"/>
      <c r="F288" s="576"/>
      <c r="G288" s="577"/>
      <c r="H288" s="577"/>
      <c r="I288" s="577"/>
      <c r="J288" s="577"/>
      <c r="K288" s="577"/>
      <c r="L288" s="594"/>
      <c r="M288" s="594"/>
      <c r="N288" s="594"/>
      <c r="O288" s="594"/>
    </row>
    <row r="289">
      <c r="A289" s="67"/>
      <c r="B289" s="636"/>
      <c r="C289" s="575"/>
      <c r="D289" s="576"/>
      <c r="E289" s="576"/>
      <c r="F289" s="576"/>
      <c r="G289" s="577"/>
      <c r="H289" s="577"/>
      <c r="I289" s="577"/>
      <c r="J289" s="577"/>
      <c r="K289" s="577"/>
      <c r="L289" s="594"/>
      <c r="M289" s="594"/>
      <c r="N289" s="594"/>
      <c r="O289" s="594"/>
    </row>
    <row r="290">
      <c r="A290" s="67"/>
      <c r="B290" s="636"/>
      <c r="C290" s="575"/>
      <c r="D290" s="576"/>
      <c r="E290" s="576"/>
      <c r="F290" s="576"/>
      <c r="G290" s="577"/>
      <c r="H290" s="577"/>
      <c r="I290" s="577"/>
      <c r="J290" s="577"/>
      <c r="K290" s="577"/>
      <c r="L290" s="594"/>
      <c r="M290" s="594"/>
      <c r="N290" s="594"/>
      <c r="O290" s="594"/>
    </row>
    <row r="291">
      <c r="A291" s="67"/>
      <c r="B291" s="636"/>
      <c r="C291" s="575"/>
      <c r="D291" s="576"/>
      <c r="E291" s="576"/>
      <c r="F291" s="576"/>
      <c r="G291" s="577"/>
      <c r="H291" s="577"/>
      <c r="I291" s="577"/>
      <c r="J291" s="577"/>
      <c r="K291" s="577"/>
      <c r="L291" s="594"/>
      <c r="M291" s="594"/>
      <c r="N291" s="594"/>
      <c r="O291" s="594"/>
    </row>
    <row r="292">
      <c r="A292" s="67"/>
      <c r="B292" s="636"/>
      <c r="C292" s="575"/>
      <c r="D292" s="576"/>
      <c r="E292" s="576"/>
      <c r="F292" s="576"/>
      <c r="G292" s="577"/>
      <c r="H292" s="577"/>
      <c r="I292" s="577"/>
      <c r="J292" s="577"/>
      <c r="K292" s="577"/>
      <c r="L292" s="594"/>
      <c r="M292" s="594"/>
      <c r="N292" s="594"/>
      <c r="O292" s="594"/>
    </row>
    <row r="293">
      <c r="A293" s="67"/>
      <c r="B293" s="636"/>
      <c r="C293" s="575"/>
      <c r="D293" s="576"/>
      <c r="E293" s="576"/>
      <c r="F293" s="576"/>
      <c r="G293" s="577"/>
      <c r="H293" s="577"/>
      <c r="I293" s="577"/>
      <c r="J293" s="577"/>
      <c r="K293" s="577"/>
      <c r="L293" s="594"/>
      <c r="M293" s="594"/>
      <c r="N293" s="594"/>
      <c r="O293" s="594"/>
    </row>
    <row r="294">
      <c r="A294" s="67"/>
      <c r="B294" s="636"/>
      <c r="C294" s="575"/>
      <c r="D294" s="576"/>
      <c r="E294" s="576"/>
      <c r="F294" s="576"/>
      <c r="G294" s="577"/>
      <c r="H294" s="577"/>
      <c r="I294" s="577"/>
      <c r="J294" s="577"/>
      <c r="K294" s="577"/>
      <c r="L294" s="594"/>
      <c r="M294" s="594"/>
      <c r="N294" s="594"/>
      <c r="O294" s="594"/>
    </row>
    <row r="295">
      <c r="A295" s="67"/>
      <c r="B295" s="636"/>
      <c r="C295" s="575"/>
      <c r="D295" s="576"/>
      <c r="E295" s="576"/>
      <c r="F295" s="576"/>
      <c r="G295" s="577"/>
      <c r="H295" s="577"/>
      <c r="I295" s="577"/>
      <c r="J295" s="577"/>
      <c r="K295" s="577"/>
      <c r="L295" s="594"/>
      <c r="M295" s="594"/>
      <c r="N295" s="594"/>
      <c r="O295" s="594"/>
    </row>
    <row r="296">
      <c r="A296" s="67"/>
      <c r="B296" s="636"/>
      <c r="C296" s="575"/>
      <c r="D296" s="576"/>
      <c r="E296" s="576"/>
      <c r="F296" s="576"/>
      <c r="G296" s="577"/>
      <c r="H296" s="577"/>
      <c r="I296" s="577"/>
      <c r="J296" s="577"/>
      <c r="K296" s="577"/>
      <c r="L296" s="594"/>
      <c r="M296" s="594"/>
      <c r="N296" s="594"/>
      <c r="O296" s="594"/>
    </row>
    <row r="297">
      <c r="A297" s="67"/>
      <c r="B297" s="636"/>
      <c r="C297" s="575"/>
      <c r="D297" s="576"/>
      <c r="E297" s="576"/>
      <c r="F297" s="576"/>
      <c r="G297" s="577"/>
      <c r="H297" s="577"/>
      <c r="I297" s="577"/>
      <c r="J297" s="577"/>
      <c r="K297" s="577"/>
      <c r="L297" s="594"/>
      <c r="M297" s="594"/>
      <c r="N297" s="594"/>
      <c r="O297" s="594"/>
    </row>
    <row r="298">
      <c r="A298" s="67"/>
      <c r="B298" s="636"/>
      <c r="C298" s="575"/>
      <c r="D298" s="576"/>
      <c r="E298" s="576"/>
      <c r="F298" s="576"/>
      <c r="G298" s="577"/>
      <c r="H298" s="577"/>
      <c r="I298" s="577"/>
      <c r="J298" s="577"/>
      <c r="K298" s="577"/>
      <c r="L298" s="594"/>
      <c r="M298" s="594"/>
      <c r="N298" s="594"/>
      <c r="O298" s="594"/>
    </row>
    <row r="299">
      <c r="A299" s="67"/>
      <c r="B299" s="636"/>
      <c r="C299" s="575"/>
      <c r="D299" s="576"/>
      <c r="E299" s="576"/>
      <c r="F299" s="576"/>
      <c r="G299" s="577"/>
      <c r="H299" s="577"/>
      <c r="I299" s="577"/>
      <c r="J299" s="577"/>
      <c r="K299" s="577"/>
      <c r="L299" s="594"/>
      <c r="M299" s="594"/>
      <c r="N299" s="594"/>
      <c r="O299" s="594"/>
    </row>
    <row r="300">
      <c r="A300" s="67"/>
      <c r="B300" s="636"/>
      <c r="C300" s="575"/>
      <c r="D300" s="576"/>
      <c r="E300" s="576"/>
      <c r="F300" s="576"/>
      <c r="G300" s="577"/>
      <c r="H300" s="577"/>
      <c r="I300" s="577"/>
      <c r="J300" s="577"/>
      <c r="K300" s="577"/>
      <c r="L300" s="594"/>
      <c r="M300" s="594"/>
      <c r="N300" s="594"/>
      <c r="O300" s="594"/>
    </row>
    <row r="301">
      <c r="A301" s="67"/>
      <c r="B301" s="636"/>
      <c r="C301" s="575"/>
      <c r="D301" s="576"/>
      <c r="E301" s="576"/>
      <c r="F301" s="576"/>
      <c r="G301" s="577"/>
      <c r="H301" s="577"/>
      <c r="I301" s="577"/>
      <c r="J301" s="577"/>
      <c r="K301" s="577"/>
      <c r="L301" s="594"/>
      <c r="M301" s="594"/>
      <c r="N301" s="594"/>
      <c r="O301" s="594"/>
    </row>
    <row r="302">
      <c r="A302" s="67"/>
      <c r="B302" s="636"/>
      <c r="C302" s="575"/>
      <c r="D302" s="576"/>
      <c r="E302" s="576"/>
      <c r="F302" s="576"/>
      <c r="G302" s="577"/>
      <c r="H302" s="577"/>
      <c r="I302" s="577"/>
      <c r="J302" s="577"/>
      <c r="K302" s="577"/>
      <c r="L302" s="594"/>
      <c r="M302" s="594"/>
      <c r="N302" s="594"/>
      <c r="O302" s="594"/>
    </row>
    <row r="303">
      <c r="A303" s="67"/>
      <c r="B303" s="636"/>
      <c r="C303" s="575"/>
      <c r="D303" s="576"/>
      <c r="E303" s="576"/>
      <c r="F303" s="576"/>
      <c r="G303" s="577"/>
      <c r="H303" s="577"/>
      <c r="I303" s="577"/>
      <c r="J303" s="577"/>
      <c r="K303" s="577"/>
      <c r="L303" s="594"/>
      <c r="M303" s="594"/>
      <c r="N303" s="594"/>
      <c r="O303" s="594"/>
    </row>
    <row r="304">
      <c r="A304" s="67"/>
      <c r="B304" s="636"/>
      <c r="C304" s="575"/>
      <c r="D304" s="576"/>
      <c r="E304" s="576"/>
      <c r="F304" s="576"/>
      <c r="G304" s="577"/>
      <c r="H304" s="577"/>
      <c r="I304" s="577"/>
      <c r="J304" s="577"/>
      <c r="K304" s="577"/>
      <c r="L304" s="594"/>
      <c r="M304" s="594"/>
      <c r="N304" s="594"/>
      <c r="O304" s="594"/>
    </row>
    <row r="305">
      <c r="A305" s="67"/>
      <c r="B305" s="636"/>
      <c r="C305" s="575"/>
      <c r="D305" s="576"/>
      <c r="E305" s="576"/>
      <c r="F305" s="576"/>
      <c r="G305" s="577"/>
      <c r="H305" s="577"/>
      <c r="I305" s="577"/>
      <c r="J305" s="577"/>
      <c r="K305" s="577"/>
      <c r="L305" s="594"/>
      <c r="M305" s="594"/>
      <c r="N305" s="594"/>
      <c r="O305" s="594"/>
    </row>
    <row r="306">
      <c r="A306" s="67"/>
      <c r="B306" s="636"/>
      <c r="C306" s="575"/>
      <c r="D306" s="576"/>
      <c r="E306" s="576"/>
      <c r="F306" s="576"/>
      <c r="G306" s="577"/>
      <c r="H306" s="577"/>
      <c r="I306" s="577"/>
      <c r="J306" s="577"/>
      <c r="K306" s="577"/>
      <c r="L306" s="594"/>
      <c r="M306" s="594"/>
      <c r="N306" s="594"/>
      <c r="O306" s="594"/>
    </row>
    <row r="307">
      <c r="A307" s="67"/>
      <c r="B307" s="636"/>
      <c r="C307" s="575"/>
      <c r="D307" s="576"/>
      <c r="E307" s="576"/>
      <c r="F307" s="576"/>
      <c r="G307" s="577"/>
      <c r="H307" s="577"/>
      <c r="I307" s="577"/>
      <c r="J307" s="577"/>
      <c r="K307" s="577"/>
      <c r="L307" s="594"/>
      <c r="M307" s="594"/>
      <c r="N307" s="594"/>
      <c r="O307" s="594"/>
    </row>
    <row r="308">
      <c r="A308" s="67"/>
      <c r="B308" s="636"/>
      <c r="C308" s="575"/>
      <c r="D308" s="576"/>
      <c r="E308" s="576"/>
      <c r="F308" s="576"/>
      <c r="G308" s="577"/>
      <c r="H308" s="577"/>
      <c r="I308" s="577"/>
      <c r="J308" s="577"/>
      <c r="K308" s="577"/>
      <c r="L308" s="594"/>
      <c r="M308" s="594"/>
      <c r="N308" s="594"/>
      <c r="O308" s="594"/>
    </row>
    <row r="309">
      <c r="A309" s="67"/>
      <c r="B309" s="636"/>
      <c r="C309" s="575"/>
      <c r="D309" s="576"/>
      <c r="E309" s="576"/>
      <c r="F309" s="576"/>
      <c r="G309" s="577"/>
      <c r="H309" s="577"/>
      <c r="I309" s="577"/>
      <c r="J309" s="577"/>
      <c r="K309" s="577"/>
      <c r="L309" s="594"/>
      <c r="M309" s="594"/>
      <c r="N309" s="594"/>
      <c r="O309" s="594"/>
    </row>
    <row r="310">
      <c r="A310" s="67"/>
      <c r="B310" s="636"/>
      <c r="C310" s="575"/>
      <c r="D310" s="576"/>
      <c r="E310" s="576"/>
      <c r="F310" s="576"/>
      <c r="G310" s="577"/>
      <c r="H310" s="577"/>
      <c r="I310" s="577"/>
      <c r="J310" s="577"/>
      <c r="K310" s="577"/>
      <c r="L310" s="594"/>
      <c r="M310" s="594"/>
      <c r="N310" s="594"/>
      <c r="O310" s="594"/>
    </row>
    <row r="311">
      <c r="A311" s="67"/>
      <c r="B311" s="636"/>
      <c r="C311" s="575"/>
      <c r="D311" s="576"/>
      <c r="E311" s="576"/>
      <c r="F311" s="576"/>
      <c r="G311" s="577"/>
      <c r="H311" s="577"/>
      <c r="I311" s="577"/>
      <c r="J311" s="577"/>
      <c r="K311" s="577"/>
      <c r="L311" s="594"/>
      <c r="M311" s="594"/>
      <c r="N311" s="594"/>
      <c r="O311" s="594"/>
    </row>
    <row r="312">
      <c r="A312" s="67"/>
      <c r="B312" s="636"/>
      <c r="C312" s="575"/>
      <c r="D312" s="576"/>
      <c r="E312" s="576"/>
      <c r="F312" s="576"/>
      <c r="G312" s="577"/>
      <c r="H312" s="577"/>
      <c r="I312" s="577"/>
      <c r="J312" s="577"/>
      <c r="K312" s="577"/>
      <c r="L312" s="594"/>
      <c r="M312" s="594"/>
      <c r="N312" s="594"/>
      <c r="O312" s="594"/>
    </row>
    <row r="313">
      <c r="A313" s="67"/>
      <c r="B313" s="636"/>
      <c r="C313" s="575"/>
      <c r="D313" s="576"/>
      <c r="E313" s="576"/>
      <c r="F313" s="576"/>
      <c r="G313" s="577"/>
      <c r="H313" s="577"/>
      <c r="I313" s="577"/>
      <c r="J313" s="577"/>
      <c r="K313" s="577"/>
      <c r="L313" s="594"/>
      <c r="M313" s="594"/>
      <c r="N313" s="594"/>
      <c r="O313" s="594"/>
    </row>
    <row r="314">
      <c r="A314" s="67"/>
      <c r="B314" s="636"/>
      <c r="C314" s="575"/>
      <c r="D314" s="576"/>
      <c r="E314" s="576"/>
      <c r="F314" s="576"/>
      <c r="G314" s="577"/>
      <c r="H314" s="577"/>
      <c r="I314" s="577"/>
      <c r="J314" s="577"/>
      <c r="K314" s="577"/>
      <c r="L314" s="594"/>
      <c r="M314" s="594"/>
      <c r="N314" s="594"/>
      <c r="O314" s="594"/>
    </row>
    <row r="315">
      <c r="A315" s="67"/>
      <c r="B315" s="636"/>
      <c r="C315" s="575"/>
      <c r="D315" s="576"/>
      <c r="E315" s="576"/>
      <c r="F315" s="576"/>
      <c r="G315" s="577"/>
      <c r="H315" s="577"/>
      <c r="I315" s="577"/>
      <c r="J315" s="577"/>
      <c r="K315" s="577"/>
      <c r="L315" s="594"/>
      <c r="M315" s="594"/>
      <c r="N315" s="594"/>
      <c r="O315" s="594"/>
    </row>
    <row r="316">
      <c r="A316" s="67"/>
      <c r="B316" s="636"/>
      <c r="C316" s="575"/>
      <c r="D316" s="576"/>
      <c r="E316" s="576"/>
      <c r="F316" s="576"/>
      <c r="G316" s="577"/>
      <c r="H316" s="577"/>
      <c r="I316" s="577"/>
      <c r="J316" s="577"/>
      <c r="K316" s="577"/>
      <c r="L316" s="594"/>
      <c r="M316" s="594"/>
      <c r="N316" s="594"/>
      <c r="O316" s="594"/>
    </row>
    <row r="317">
      <c r="A317" s="67"/>
      <c r="B317" s="636"/>
      <c r="C317" s="575"/>
      <c r="D317" s="576"/>
      <c r="E317" s="576"/>
      <c r="F317" s="576"/>
      <c r="G317" s="577"/>
      <c r="H317" s="577"/>
      <c r="I317" s="577"/>
      <c r="J317" s="577"/>
      <c r="K317" s="577"/>
      <c r="L317" s="594"/>
      <c r="M317" s="594"/>
      <c r="N317" s="594"/>
      <c r="O317" s="594"/>
    </row>
    <row r="318">
      <c r="A318" s="67"/>
      <c r="B318" s="636"/>
      <c r="C318" s="575"/>
      <c r="D318" s="576"/>
      <c r="E318" s="576"/>
      <c r="F318" s="576"/>
      <c r="G318" s="577"/>
      <c r="H318" s="577"/>
      <c r="I318" s="577"/>
      <c r="J318" s="577"/>
      <c r="K318" s="577"/>
      <c r="L318" s="594"/>
      <c r="M318" s="594"/>
      <c r="N318" s="594"/>
      <c r="O318" s="594"/>
    </row>
    <row r="319">
      <c r="A319" s="67"/>
      <c r="B319" s="636"/>
      <c r="C319" s="575"/>
      <c r="D319" s="576"/>
      <c r="E319" s="576"/>
      <c r="F319" s="576"/>
      <c r="G319" s="577"/>
      <c r="H319" s="577"/>
      <c r="I319" s="577"/>
      <c r="J319" s="577"/>
      <c r="K319" s="577"/>
      <c r="L319" s="594"/>
      <c r="M319" s="594"/>
      <c r="N319" s="594"/>
      <c r="O319" s="594"/>
    </row>
    <row r="320">
      <c r="A320" s="67"/>
      <c r="B320" s="636"/>
      <c r="C320" s="575"/>
      <c r="D320" s="576"/>
      <c r="E320" s="576"/>
      <c r="F320" s="576"/>
      <c r="G320" s="577"/>
      <c r="H320" s="577"/>
      <c r="I320" s="577"/>
      <c r="J320" s="577"/>
      <c r="K320" s="577"/>
      <c r="L320" s="594"/>
      <c r="M320" s="594"/>
      <c r="N320" s="594"/>
      <c r="O320" s="594"/>
    </row>
    <row r="321">
      <c r="A321" s="67"/>
      <c r="B321" s="636"/>
      <c r="C321" s="575"/>
      <c r="D321" s="576"/>
      <c r="E321" s="576"/>
      <c r="F321" s="576"/>
      <c r="G321" s="577"/>
      <c r="H321" s="577"/>
      <c r="I321" s="577"/>
      <c r="J321" s="577"/>
      <c r="K321" s="577"/>
      <c r="L321" s="594"/>
      <c r="M321" s="594"/>
      <c r="N321" s="594"/>
      <c r="O321" s="594"/>
    </row>
    <row r="322">
      <c r="A322" s="67"/>
      <c r="B322" s="636"/>
      <c r="C322" s="575"/>
      <c r="D322" s="576"/>
      <c r="E322" s="576"/>
      <c r="F322" s="576"/>
      <c r="G322" s="577"/>
      <c r="H322" s="577"/>
      <c r="I322" s="577"/>
      <c r="J322" s="577"/>
      <c r="K322" s="577"/>
      <c r="L322" s="594"/>
      <c r="M322" s="594"/>
      <c r="N322" s="594"/>
      <c r="O322" s="594"/>
    </row>
    <row r="323">
      <c r="A323" s="67"/>
      <c r="B323" s="636"/>
      <c r="C323" s="575"/>
      <c r="D323" s="576"/>
      <c r="E323" s="576"/>
      <c r="F323" s="576"/>
      <c r="G323" s="577"/>
      <c r="H323" s="577"/>
      <c r="I323" s="577"/>
      <c r="J323" s="577"/>
      <c r="K323" s="577"/>
      <c r="L323" s="594"/>
      <c r="M323" s="594"/>
      <c r="N323" s="594"/>
      <c r="O323" s="594"/>
    </row>
    <row r="324">
      <c r="A324" s="67"/>
      <c r="B324" s="636"/>
      <c r="C324" s="575"/>
      <c r="D324" s="576"/>
      <c r="E324" s="576"/>
      <c r="F324" s="576"/>
      <c r="G324" s="577"/>
      <c r="H324" s="577"/>
      <c r="I324" s="577"/>
      <c r="J324" s="577"/>
      <c r="K324" s="577"/>
      <c r="L324" s="594"/>
      <c r="M324" s="594"/>
      <c r="N324" s="594"/>
      <c r="O324" s="594"/>
    </row>
    <row r="325">
      <c r="A325" s="67"/>
      <c r="B325" s="636"/>
      <c r="C325" s="575"/>
      <c r="D325" s="576"/>
      <c r="E325" s="576"/>
      <c r="F325" s="576"/>
      <c r="G325" s="577"/>
      <c r="H325" s="577"/>
      <c r="I325" s="577"/>
      <c r="J325" s="577"/>
      <c r="K325" s="577"/>
      <c r="L325" s="594"/>
      <c r="M325" s="594"/>
      <c r="N325" s="594"/>
      <c r="O325" s="594"/>
    </row>
    <row r="326">
      <c r="A326" s="67"/>
      <c r="B326" s="636"/>
      <c r="C326" s="575"/>
      <c r="D326" s="576"/>
      <c r="E326" s="576"/>
      <c r="F326" s="576"/>
      <c r="G326" s="577"/>
      <c r="H326" s="577"/>
      <c r="I326" s="577"/>
      <c r="J326" s="577"/>
      <c r="K326" s="577"/>
      <c r="L326" s="594"/>
      <c r="M326" s="594"/>
      <c r="N326" s="594"/>
      <c r="O326" s="594"/>
    </row>
    <row r="327">
      <c r="A327" s="67"/>
      <c r="B327" s="636"/>
      <c r="C327" s="575"/>
      <c r="D327" s="576"/>
      <c r="E327" s="576"/>
      <c r="F327" s="576"/>
      <c r="G327" s="577"/>
      <c r="H327" s="577"/>
      <c r="I327" s="577"/>
      <c r="J327" s="577"/>
      <c r="K327" s="577"/>
      <c r="L327" s="594"/>
      <c r="M327" s="594"/>
      <c r="N327" s="594"/>
      <c r="O327" s="594"/>
    </row>
    <row r="328">
      <c r="A328" s="67"/>
      <c r="B328" s="636"/>
      <c r="C328" s="575"/>
      <c r="D328" s="576"/>
      <c r="E328" s="576"/>
      <c r="F328" s="576"/>
      <c r="G328" s="577"/>
      <c r="H328" s="577"/>
      <c r="I328" s="577"/>
      <c r="J328" s="577"/>
      <c r="K328" s="577"/>
      <c r="L328" s="594"/>
      <c r="M328" s="594"/>
      <c r="N328" s="594"/>
      <c r="O328" s="594"/>
    </row>
    <row r="329">
      <c r="A329" s="67"/>
      <c r="B329" s="636"/>
      <c r="C329" s="575"/>
      <c r="D329" s="576"/>
      <c r="E329" s="576"/>
      <c r="F329" s="576"/>
      <c r="G329" s="577"/>
      <c r="H329" s="577"/>
      <c r="I329" s="577"/>
      <c r="J329" s="577"/>
      <c r="K329" s="577"/>
      <c r="L329" s="594"/>
      <c r="M329" s="594"/>
      <c r="N329" s="594"/>
      <c r="O329" s="594"/>
    </row>
    <row r="330">
      <c r="A330" s="67"/>
      <c r="B330" s="636"/>
      <c r="C330" s="575"/>
      <c r="D330" s="576"/>
      <c r="E330" s="576"/>
      <c r="F330" s="576"/>
      <c r="G330" s="577"/>
      <c r="H330" s="577"/>
      <c r="I330" s="577"/>
      <c r="J330" s="577"/>
      <c r="K330" s="577"/>
      <c r="L330" s="594"/>
      <c r="M330" s="594"/>
      <c r="N330" s="594"/>
      <c r="O330" s="594"/>
    </row>
    <row r="331">
      <c r="A331" s="67"/>
      <c r="B331" s="636"/>
      <c r="C331" s="575"/>
      <c r="D331" s="576"/>
      <c r="E331" s="576"/>
      <c r="F331" s="576"/>
      <c r="G331" s="577"/>
      <c r="H331" s="577"/>
      <c r="I331" s="577"/>
      <c r="J331" s="577"/>
      <c r="K331" s="577"/>
      <c r="L331" s="594"/>
      <c r="M331" s="594"/>
      <c r="N331" s="594"/>
      <c r="O331" s="594"/>
    </row>
    <row r="332">
      <c r="A332" s="67"/>
      <c r="B332" s="636"/>
      <c r="C332" s="575"/>
      <c r="D332" s="576"/>
      <c r="E332" s="576"/>
      <c r="F332" s="576"/>
      <c r="G332" s="577"/>
      <c r="H332" s="577"/>
      <c r="I332" s="577"/>
      <c r="J332" s="577"/>
      <c r="K332" s="577"/>
      <c r="L332" s="594"/>
      <c r="M332" s="594"/>
      <c r="N332" s="594"/>
      <c r="O332" s="594"/>
    </row>
    <row r="333">
      <c r="A333" s="67"/>
      <c r="B333" s="636"/>
      <c r="C333" s="575"/>
      <c r="D333" s="576"/>
      <c r="E333" s="576"/>
      <c r="F333" s="576"/>
      <c r="G333" s="577"/>
      <c r="H333" s="577"/>
      <c r="I333" s="577"/>
      <c r="J333" s="577"/>
      <c r="K333" s="577"/>
      <c r="L333" s="594"/>
      <c r="M333" s="594"/>
      <c r="N333" s="594"/>
      <c r="O333" s="594"/>
    </row>
    <row r="334">
      <c r="A334" s="67"/>
      <c r="B334" s="636"/>
      <c r="C334" s="575"/>
      <c r="D334" s="576"/>
      <c r="E334" s="576"/>
      <c r="F334" s="576"/>
      <c r="G334" s="577"/>
      <c r="H334" s="577"/>
      <c r="I334" s="577"/>
      <c r="J334" s="577"/>
      <c r="K334" s="577"/>
      <c r="L334" s="594"/>
      <c r="M334" s="594"/>
      <c r="N334" s="594"/>
      <c r="O334" s="594"/>
    </row>
    <row r="335">
      <c r="A335" s="67"/>
      <c r="B335" s="645"/>
      <c r="C335" s="575"/>
      <c r="D335" s="576"/>
      <c r="E335" s="576"/>
      <c r="F335" s="576"/>
      <c r="G335" s="577"/>
      <c r="H335" s="577"/>
      <c r="I335" s="577"/>
      <c r="J335" s="577"/>
      <c r="K335" s="577"/>
      <c r="L335" s="594"/>
      <c r="M335" s="594"/>
      <c r="N335" s="594"/>
      <c r="O335" s="594"/>
    </row>
    <row r="336">
      <c r="A336" s="67"/>
      <c r="B336" s="645"/>
      <c r="C336" s="575"/>
      <c r="D336" s="576"/>
      <c r="E336" s="576"/>
      <c r="F336" s="576"/>
      <c r="G336" s="577"/>
      <c r="H336" s="577"/>
      <c r="I336" s="577"/>
      <c r="J336" s="577"/>
      <c r="K336" s="577"/>
      <c r="L336" s="594"/>
      <c r="M336" s="594"/>
      <c r="N336" s="594"/>
      <c r="O336" s="594"/>
    </row>
    <row r="337">
      <c r="A337" s="67"/>
      <c r="B337" s="645"/>
      <c r="C337" s="575"/>
      <c r="D337" s="576"/>
      <c r="E337" s="576"/>
      <c r="F337" s="576"/>
      <c r="G337" s="577"/>
      <c r="H337" s="577"/>
      <c r="I337" s="577"/>
      <c r="J337" s="577"/>
      <c r="K337" s="577"/>
      <c r="L337" s="594"/>
      <c r="M337" s="594"/>
      <c r="N337" s="594"/>
      <c r="O337" s="594"/>
    </row>
    <row r="338">
      <c r="A338" s="67"/>
      <c r="B338" s="645"/>
      <c r="C338" s="575"/>
      <c r="D338" s="576"/>
      <c r="E338" s="576"/>
      <c r="F338" s="576"/>
      <c r="G338" s="577"/>
      <c r="H338" s="577"/>
      <c r="I338" s="577"/>
      <c r="J338" s="577"/>
      <c r="K338" s="577"/>
      <c r="L338" s="594"/>
      <c r="M338" s="594"/>
      <c r="N338" s="594"/>
      <c r="O338" s="594"/>
    </row>
    <row r="339">
      <c r="A339" s="67"/>
      <c r="B339" s="645"/>
      <c r="C339" s="575"/>
      <c r="D339" s="576"/>
      <c r="E339" s="576"/>
      <c r="F339" s="576"/>
      <c r="G339" s="577"/>
      <c r="H339" s="577"/>
      <c r="I339" s="577"/>
      <c r="J339" s="577"/>
      <c r="K339" s="577"/>
      <c r="L339" s="594"/>
      <c r="M339" s="594"/>
      <c r="N339" s="594"/>
      <c r="O339" s="594"/>
    </row>
    <row r="340">
      <c r="A340" s="67"/>
      <c r="B340" s="645"/>
      <c r="C340" s="575"/>
      <c r="D340" s="576"/>
      <c r="E340" s="576"/>
      <c r="F340" s="576"/>
      <c r="G340" s="577"/>
      <c r="H340" s="577"/>
      <c r="I340" s="577"/>
      <c r="J340" s="577"/>
      <c r="K340" s="577"/>
      <c r="L340" s="594"/>
      <c r="M340" s="594"/>
      <c r="N340" s="594"/>
      <c r="O340" s="594"/>
    </row>
    <row r="341">
      <c r="A341" s="67"/>
      <c r="B341" s="645"/>
      <c r="C341" s="575"/>
      <c r="D341" s="576"/>
      <c r="E341" s="576"/>
      <c r="F341" s="576"/>
      <c r="G341" s="577"/>
      <c r="H341" s="577"/>
      <c r="I341" s="577"/>
      <c r="J341" s="577"/>
      <c r="K341" s="577"/>
      <c r="L341" s="594"/>
      <c r="M341" s="594"/>
      <c r="N341" s="594"/>
      <c r="O341" s="594"/>
    </row>
    <row r="342">
      <c r="A342" s="67"/>
      <c r="B342" s="645"/>
      <c r="C342" s="575"/>
      <c r="D342" s="576"/>
      <c r="E342" s="576"/>
      <c r="F342" s="576"/>
      <c r="G342" s="577"/>
      <c r="H342" s="577"/>
      <c r="I342" s="577"/>
      <c r="J342" s="577"/>
      <c r="K342" s="577"/>
      <c r="L342" s="594"/>
      <c r="M342" s="594"/>
      <c r="N342" s="594"/>
      <c r="O342" s="594"/>
    </row>
    <row r="343">
      <c r="A343" s="67"/>
      <c r="B343" s="645"/>
      <c r="C343" s="575"/>
      <c r="D343" s="576"/>
      <c r="E343" s="576"/>
      <c r="F343" s="576"/>
      <c r="G343" s="577"/>
      <c r="H343" s="577"/>
      <c r="I343" s="577"/>
      <c r="J343" s="577"/>
      <c r="K343" s="577"/>
      <c r="L343" s="594"/>
      <c r="M343" s="594"/>
      <c r="N343" s="594"/>
      <c r="O343" s="594"/>
    </row>
    <row r="344">
      <c r="A344" s="67"/>
      <c r="B344" s="645"/>
      <c r="C344" s="575"/>
      <c r="D344" s="576"/>
      <c r="E344" s="576"/>
      <c r="F344" s="576"/>
      <c r="G344" s="577"/>
      <c r="H344" s="577"/>
      <c r="I344" s="577"/>
      <c r="J344" s="577"/>
      <c r="K344" s="577"/>
      <c r="L344" s="594"/>
      <c r="M344" s="594"/>
      <c r="N344" s="594"/>
      <c r="O344" s="594"/>
    </row>
    <row r="345">
      <c r="A345" s="67"/>
      <c r="B345" s="645"/>
      <c r="C345" s="575"/>
      <c r="D345" s="576"/>
      <c r="E345" s="576"/>
      <c r="F345" s="576"/>
      <c r="G345" s="577"/>
      <c r="H345" s="577"/>
      <c r="I345" s="577"/>
      <c r="J345" s="577"/>
      <c r="K345" s="577"/>
      <c r="L345" s="594"/>
      <c r="M345" s="594"/>
      <c r="N345" s="594"/>
      <c r="O345" s="594"/>
    </row>
    <row r="346">
      <c r="A346" s="67"/>
      <c r="B346" s="645"/>
      <c r="C346" s="575"/>
      <c r="D346" s="576"/>
      <c r="E346" s="576"/>
      <c r="F346" s="576"/>
      <c r="G346" s="577"/>
      <c r="H346" s="577"/>
      <c r="I346" s="577"/>
      <c r="J346" s="577"/>
      <c r="K346" s="577"/>
      <c r="L346" s="594"/>
      <c r="M346" s="594"/>
      <c r="N346" s="594"/>
      <c r="O346" s="594"/>
    </row>
    <row r="347">
      <c r="A347" s="67"/>
      <c r="B347" s="645"/>
      <c r="C347" s="575"/>
      <c r="D347" s="576"/>
      <c r="E347" s="576"/>
      <c r="F347" s="576"/>
      <c r="G347" s="577"/>
      <c r="H347" s="577"/>
      <c r="I347" s="577"/>
      <c r="J347" s="577"/>
      <c r="K347" s="577"/>
      <c r="L347" s="594"/>
      <c r="M347" s="594"/>
      <c r="N347" s="594"/>
      <c r="O347" s="594"/>
    </row>
    <row r="348">
      <c r="A348" s="67"/>
      <c r="B348" s="645"/>
      <c r="C348" s="575"/>
      <c r="D348" s="576"/>
      <c r="E348" s="576"/>
      <c r="F348" s="576"/>
      <c r="G348" s="577"/>
      <c r="H348" s="577"/>
      <c r="I348" s="577"/>
      <c r="J348" s="577"/>
      <c r="K348" s="577"/>
      <c r="L348" s="594"/>
      <c r="M348" s="594"/>
      <c r="N348" s="594"/>
      <c r="O348" s="594"/>
    </row>
    <row r="349">
      <c r="A349" s="67"/>
      <c r="B349" s="645"/>
      <c r="C349" s="575"/>
      <c r="D349" s="576"/>
      <c r="E349" s="576"/>
      <c r="F349" s="576"/>
      <c r="G349" s="577"/>
      <c r="H349" s="577"/>
      <c r="I349" s="577"/>
      <c r="J349" s="577"/>
      <c r="K349" s="577"/>
      <c r="L349" s="594"/>
      <c r="M349" s="594"/>
      <c r="N349" s="594"/>
      <c r="O349" s="594"/>
    </row>
    <row r="350">
      <c r="A350" s="67"/>
      <c r="B350" s="645"/>
      <c r="C350" s="575"/>
      <c r="D350" s="576"/>
      <c r="E350" s="576"/>
      <c r="F350" s="576"/>
      <c r="G350" s="577"/>
      <c r="H350" s="577"/>
      <c r="I350" s="577"/>
      <c r="J350" s="577"/>
      <c r="K350" s="577"/>
      <c r="L350" s="594"/>
      <c r="M350" s="594"/>
      <c r="N350" s="594"/>
      <c r="O350" s="594"/>
    </row>
    <row r="351">
      <c r="A351" s="67"/>
      <c r="B351" s="645"/>
      <c r="C351" s="575"/>
      <c r="D351" s="576"/>
      <c r="E351" s="576"/>
      <c r="F351" s="576"/>
      <c r="G351" s="577"/>
      <c r="H351" s="577"/>
      <c r="I351" s="577"/>
      <c r="J351" s="577"/>
      <c r="K351" s="577"/>
      <c r="L351" s="594"/>
      <c r="M351" s="594"/>
      <c r="N351" s="594"/>
      <c r="O351" s="594"/>
    </row>
    <row r="352">
      <c r="A352" s="67"/>
      <c r="B352" s="645"/>
      <c r="C352" s="575"/>
      <c r="D352" s="576"/>
      <c r="E352" s="576"/>
      <c r="F352" s="576"/>
      <c r="G352" s="577"/>
      <c r="H352" s="577"/>
      <c r="I352" s="577"/>
      <c r="J352" s="577"/>
      <c r="K352" s="577"/>
      <c r="L352" s="594"/>
      <c r="M352" s="594"/>
      <c r="N352" s="594"/>
      <c r="O352" s="594"/>
    </row>
    <row r="353">
      <c r="A353" s="67"/>
      <c r="B353" s="645"/>
      <c r="C353" s="575"/>
      <c r="D353" s="576"/>
      <c r="E353" s="576"/>
      <c r="F353" s="576"/>
      <c r="G353" s="577"/>
      <c r="H353" s="577"/>
      <c r="I353" s="577"/>
      <c r="J353" s="577"/>
      <c r="K353" s="577"/>
      <c r="L353" s="594"/>
      <c r="M353" s="594"/>
      <c r="N353" s="594"/>
      <c r="O353" s="594"/>
    </row>
    <row r="354">
      <c r="A354" s="67"/>
      <c r="B354" s="645"/>
      <c r="C354" s="575"/>
      <c r="D354" s="576"/>
      <c r="E354" s="576"/>
      <c r="F354" s="576"/>
      <c r="G354" s="577"/>
      <c r="H354" s="577"/>
      <c r="I354" s="577"/>
      <c r="J354" s="577"/>
      <c r="K354" s="577"/>
      <c r="L354" s="594"/>
      <c r="M354" s="594"/>
      <c r="N354" s="594"/>
      <c r="O354" s="594"/>
    </row>
    <row r="355">
      <c r="A355" s="67"/>
      <c r="B355" s="645"/>
      <c r="C355" s="575"/>
      <c r="D355" s="576"/>
      <c r="E355" s="576"/>
      <c r="F355" s="576"/>
      <c r="G355" s="577"/>
      <c r="H355" s="577"/>
      <c r="I355" s="577"/>
      <c r="J355" s="577"/>
      <c r="K355" s="577"/>
      <c r="L355" s="594"/>
      <c r="M355" s="594"/>
      <c r="N355" s="594"/>
      <c r="O355" s="594"/>
    </row>
    <row r="356">
      <c r="A356" s="67"/>
      <c r="B356" s="645"/>
      <c r="C356" s="575"/>
      <c r="D356" s="576"/>
      <c r="E356" s="576"/>
      <c r="F356" s="576"/>
      <c r="G356" s="577"/>
      <c r="H356" s="577"/>
      <c r="I356" s="577"/>
      <c r="J356" s="577"/>
      <c r="K356" s="577"/>
      <c r="L356" s="594"/>
      <c r="M356" s="594"/>
      <c r="N356" s="594"/>
      <c r="O356" s="594"/>
    </row>
    <row r="357">
      <c r="A357" s="67"/>
      <c r="B357" s="645"/>
      <c r="C357" s="575"/>
      <c r="D357" s="576"/>
      <c r="E357" s="576"/>
      <c r="F357" s="576"/>
      <c r="G357" s="577"/>
      <c r="H357" s="577"/>
      <c r="I357" s="577"/>
      <c r="J357" s="577"/>
      <c r="K357" s="577"/>
      <c r="L357" s="594"/>
      <c r="M357" s="594"/>
      <c r="N357" s="594"/>
      <c r="O357" s="594"/>
    </row>
    <row r="358">
      <c r="A358" s="67"/>
      <c r="B358" s="645"/>
      <c r="C358" s="575"/>
      <c r="D358" s="576"/>
      <c r="E358" s="576"/>
      <c r="F358" s="576"/>
      <c r="G358" s="577"/>
      <c r="H358" s="577"/>
      <c r="I358" s="577"/>
      <c r="J358" s="577"/>
      <c r="K358" s="577"/>
      <c r="L358" s="594"/>
      <c r="M358" s="594"/>
      <c r="N358" s="594"/>
      <c r="O358" s="594"/>
    </row>
    <row r="359">
      <c r="A359" s="67"/>
      <c r="B359" s="645"/>
      <c r="C359" s="575"/>
      <c r="D359" s="576"/>
      <c r="E359" s="576"/>
      <c r="F359" s="576"/>
      <c r="G359" s="577"/>
      <c r="H359" s="577"/>
      <c r="I359" s="577"/>
      <c r="J359" s="577"/>
      <c r="K359" s="577"/>
      <c r="L359" s="594"/>
      <c r="M359" s="594"/>
      <c r="N359" s="594"/>
      <c r="O359" s="594"/>
    </row>
    <row r="360">
      <c r="A360" s="67"/>
      <c r="B360" s="645"/>
      <c r="C360" s="575"/>
      <c r="D360" s="576"/>
      <c r="E360" s="576"/>
      <c r="F360" s="576"/>
      <c r="G360" s="577"/>
      <c r="H360" s="577"/>
      <c r="I360" s="577"/>
      <c r="J360" s="577"/>
      <c r="K360" s="577"/>
      <c r="L360" s="594"/>
      <c r="M360" s="594"/>
      <c r="N360" s="594"/>
      <c r="O360" s="594"/>
    </row>
    <row r="361">
      <c r="A361" s="67"/>
      <c r="B361" s="645"/>
      <c r="C361" s="575"/>
      <c r="D361" s="576"/>
      <c r="E361" s="576"/>
      <c r="F361" s="576"/>
      <c r="G361" s="577"/>
      <c r="H361" s="577"/>
      <c r="I361" s="577"/>
      <c r="J361" s="577"/>
      <c r="K361" s="577"/>
      <c r="L361" s="594"/>
      <c r="M361" s="594"/>
      <c r="N361" s="594"/>
      <c r="O361" s="594"/>
    </row>
    <row r="362">
      <c r="A362" s="67"/>
      <c r="B362" s="645"/>
      <c r="C362" s="575"/>
      <c r="D362" s="576"/>
      <c r="E362" s="576"/>
      <c r="F362" s="576"/>
      <c r="G362" s="577"/>
      <c r="H362" s="577"/>
      <c r="I362" s="577"/>
      <c r="J362" s="577"/>
      <c r="K362" s="577"/>
      <c r="L362" s="594"/>
      <c r="M362" s="594"/>
      <c r="N362" s="594"/>
      <c r="O362" s="594"/>
    </row>
    <row r="363">
      <c r="A363" s="67"/>
      <c r="B363" s="645"/>
      <c r="C363" s="575"/>
      <c r="D363" s="576"/>
      <c r="E363" s="576"/>
      <c r="F363" s="576"/>
      <c r="G363" s="577"/>
      <c r="H363" s="577"/>
      <c r="I363" s="577"/>
      <c r="J363" s="577"/>
      <c r="K363" s="577"/>
      <c r="L363" s="594"/>
      <c r="M363" s="594"/>
      <c r="N363" s="594"/>
      <c r="O363" s="594"/>
    </row>
    <row r="364">
      <c r="A364" s="67"/>
      <c r="B364" s="645"/>
      <c r="C364" s="575"/>
      <c r="D364" s="576"/>
      <c r="E364" s="576"/>
      <c r="F364" s="576"/>
      <c r="G364" s="577"/>
      <c r="H364" s="577"/>
      <c r="I364" s="577"/>
      <c r="J364" s="577"/>
      <c r="K364" s="577"/>
      <c r="L364" s="594"/>
      <c r="M364" s="594"/>
      <c r="N364" s="594"/>
      <c r="O364" s="594"/>
    </row>
    <row r="365">
      <c r="A365" s="67"/>
      <c r="B365" s="645"/>
      <c r="C365" s="575"/>
      <c r="D365" s="576"/>
      <c r="E365" s="576"/>
      <c r="F365" s="576"/>
      <c r="G365" s="577"/>
      <c r="H365" s="577"/>
      <c r="I365" s="577"/>
      <c r="J365" s="577"/>
      <c r="K365" s="577"/>
      <c r="L365" s="594"/>
      <c r="M365" s="594"/>
      <c r="N365" s="594"/>
      <c r="O365" s="594"/>
    </row>
    <row r="366">
      <c r="A366" s="67"/>
      <c r="B366" s="645"/>
      <c r="C366" s="575"/>
      <c r="D366" s="576"/>
      <c r="E366" s="576"/>
      <c r="F366" s="576"/>
      <c r="G366" s="577"/>
      <c r="H366" s="577"/>
      <c r="I366" s="577"/>
      <c r="J366" s="577"/>
      <c r="K366" s="577"/>
      <c r="L366" s="594"/>
      <c r="M366" s="594"/>
      <c r="N366" s="594"/>
      <c r="O366" s="594"/>
    </row>
    <row r="367">
      <c r="A367" s="67"/>
      <c r="B367" s="645"/>
      <c r="C367" s="575"/>
      <c r="D367" s="576"/>
      <c r="E367" s="576"/>
      <c r="F367" s="576"/>
      <c r="G367" s="577"/>
      <c r="H367" s="577"/>
      <c r="I367" s="577"/>
      <c r="J367" s="577"/>
      <c r="K367" s="577"/>
      <c r="L367" s="594"/>
      <c r="M367" s="594"/>
      <c r="N367" s="594"/>
      <c r="O367" s="594"/>
    </row>
    <row r="368">
      <c r="A368" s="67"/>
      <c r="B368" s="645"/>
      <c r="C368" s="575"/>
      <c r="D368" s="576"/>
      <c r="E368" s="576"/>
      <c r="F368" s="576"/>
      <c r="G368" s="577"/>
      <c r="H368" s="577"/>
      <c r="I368" s="577"/>
      <c r="J368" s="577"/>
      <c r="K368" s="577"/>
      <c r="L368" s="594"/>
      <c r="M368" s="594"/>
      <c r="N368" s="594"/>
      <c r="O368" s="594"/>
    </row>
    <row r="369">
      <c r="A369" s="67"/>
      <c r="B369" s="645"/>
      <c r="C369" s="575"/>
      <c r="D369" s="576"/>
      <c r="E369" s="576"/>
      <c r="F369" s="576"/>
      <c r="G369" s="577"/>
      <c r="H369" s="577"/>
      <c r="I369" s="577"/>
      <c r="J369" s="577"/>
      <c r="K369" s="577"/>
      <c r="L369" s="594"/>
      <c r="M369" s="594"/>
      <c r="N369" s="594"/>
      <c r="O369" s="594"/>
    </row>
    <row r="370">
      <c r="A370" s="67"/>
      <c r="B370" s="645"/>
      <c r="C370" s="575"/>
      <c r="D370" s="576"/>
      <c r="E370" s="576"/>
      <c r="F370" s="576"/>
      <c r="G370" s="577"/>
      <c r="H370" s="577"/>
      <c r="I370" s="577"/>
      <c r="J370" s="577"/>
      <c r="K370" s="577"/>
      <c r="L370" s="594"/>
      <c r="M370" s="594"/>
      <c r="N370" s="594"/>
      <c r="O370" s="594"/>
    </row>
    <row r="371">
      <c r="A371" s="67"/>
      <c r="B371" s="645"/>
      <c r="C371" s="575"/>
      <c r="D371" s="576"/>
      <c r="E371" s="576"/>
      <c r="F371" s="576"/>
      <c r="G371" s="577"/>
      <c r="H371" s="577"/>
      <c r="I371" s="577"/>
      <c r="J371" s="577"/>
      <c r="K371" s="577"/>
      <c r="L371" s="594"/>
      <c r="M371" s="594"/>
      <c r="N371" s="594"/>
      <c r="O371" s="594"/>
    </row>
    <row r="372">
      <c r="A372" s="67"/>
      <c r="B372" s="645"/>
      <c r="C372" s="575"/>
      <c r="D372" s="576"/>
      <c r="E372" s="576"/>
      <c r="F372" s="576"/>
      <c r="G372" s="577"/>
      <c r="H372" s="577"/>
      <c r="I372" s="577"/>
      <c r="J372" s="577"/>
      <c r="K372" s="577"/>
      <c r="L372" s="594"/>
      <c r="M372" s="594"/>
      <c r="N372" s="594"/>
      <c r="O372" s="594"/>
    </row>
    <row r="373">
      <c r="A373" s="67"/>
      <c r="B373" s="645"/>
      <c r="C373" s="575"/>
      <c r="D373" s="576"/>
      <c r="E373" s="576"/>
      <c r="F373" s="576"/>
      <c r="G373" s="577"/>
      <c r="H373" s="577"/>
      <c r="I373" s="577"/>
      <c r="J373" s="577"/>
      <c r="K373" s="577"/>
      <c r="L373" s="594"/>
      <c r="M373" s="594"/>
      <c r="N373" s="594"/>
      <c r="O373" s="594"/>
    </row>
    <row r="374">
      <c r="A374" s="67"/>
      <c r="B374" s="645"/>
      <c r="C374" s="575"/>
      <c r="D374" s="576"/>
      <c r="E374" s="576"/>
      <c r="F374" s="576"/>
      <c r="G374" s="577"/>
      <c r="H374" s="577"/>
      <c r="I374" s="577"/>
      <c r="J374" s="577"/>
      <c r="K374" s="577"/>
      <c r="L374" s="594"/>
      <c r="M374" s="594"/>
      <c r="N374" s="594"/>
      <c r="O374" s="594"/>
    </row>
    <row r="375">
      <c r="A375" s="67"/>
      <c r="B375" s="645"/>
      <c r="C375" s="575"/>
      <c r="D375" s="576"/>
      <c r="E375" s="576"/>
      <c r="F375" s="576"/>
      <c r="G375" s="577"/>
      <c r="H375" s="577"/>
      <c r="I375" s="577"/>
      <c r="J375" s="577"/>
      <c r="K375" s="577"/>
      <c r="L375" s="594"/>
      <c r="M375" s="594"/>
      <c r="N375" s="594"/>
      <c r="O375" s="594"/>
    </row>
    <row r="376">
      <c r="A376" s="67"/>
      <c r="B376" s="645"/>
      <c r="C376" s="575"/>
      <c r="D376" s="576"/>
      <c r="E376" s="576"/>
      <c r="F376" s="576"/>
      <c r="G376" s="577"/>
      <c r="H376" s="577"/>
      <c r="I376" s="577"/>
      <c r="J376" s="577"/>
      <c r="K376" s="577"/>
      <c r="L376" s="594"/>
      <c r="M376" s="594"/>
      <c r="N376" s="594"/>
      <c r="O376" s="594"/>
    </row>
    <row r="377">
      <c r="A377" s="67"/>
      <c r="B377" s="645"/>
      <c r="C377" s="575"/>
      <c r="D377" s="576"/>
      <c r="E377" s="576"/>
      <c r="F377" s="576"/>
      <c r="G377" s="577"/>
      <c r="H377" s="577"/>
      <c r="I377" s="577"/>
      <c r="J377" s="577"/>
      <c r="K377" s="577"/>
      <c r="L377" s="594"/>
      <c r="M377" s="594"/>
      <c r="N377" s="594"/>
      <c r="O377" s="594"/>
    </row>
    <row r="378">
      <c r="A378" s="67"/>
      <c r="B378" s="645"/>
      <c r="C378" s="575"/>
      <c r="D378" s="576"/>
      <c r="E378" s="576"/>
      <c r="F378" s="576"/>
      <c r="G378" s="577"/>
      <c r="H378" s="577"/>
      <c r="I378" s="577"/>
      <c r="J378" s="577"/>
      <c r="K378" s="577"/>
      <c r="L378" s="594"/>
      <c r="M378" s="594"/>
      <c r="N378" s="594"/>
      <c r="O378" s="594"/>
    </row>
    <row r="379">
      <c r="A379" s="67"/>
      <c r="B379" s="645"/>
      <c r="C379" s="575"/>
      <c r="D379" s="576"/>
      <c r="E379" s="576"/>
      <c r="F379" s="576"/>
      <c r="G379" s="577"/>
      <c r="H379" s="577"/>
      <c r="I379" s="577"/>
      <c r="J379" s="577"/>
      <c r="K379" s="577"/>
      <c r="L379" s="594"/>
      <c r="M379" s="594"/>
      <c r="N379" s="594"/>
      <c r="O379" s="594"/>
    </row>
    <row r="380">
      <c r="A380" s="67"/>
      <c r="B380" s="645"/>
      <c r="C380" s="575"/>
      <c r="D380" s="576"/>
      <c r="E380" s="576"/>
      <c r="F380" s="576"/>
      <c r="G380" s="577"/>
      <c r="H380" s="577"/>
      <c r="I380" s="577"/>
      <c r="J380" s="577"/>
      <c r="K380" s="577"/>
      <c r="L380" s="594"/>
      <c r="M380" s="594"/>
      <c r="N380" s="594"/>
      <c r="O380" s="594"/>
    </row>
    <row r="381">
      <c r="A381" s="67"/>
      <c r="B381" s="645"/>
      <c r="C381" s="575"/>
      <c r="D381" s="576"/>
      <c r="E381" s="576"/>
      <c r="F381" s="576"/>
      <c r="G381" s="577"/>
      <c r="H381" s="577"/>
      <c r="I381" s="577"/>
      <c r="J381" s="577"/>
      <c r="K381" s="577"/>
      <c r="L381" s="594"/>
      <c r="M381" s="594"/>
      <c r="N381" s="594"/>
      <c r="O381" s="594"/>
    </row>
    <row r="382">
      <c r="A382" s="67"/>
      <c r="B382" s="645"/>
      <c r="C382" s="575"/>
      <c r="D382" s="576"/>
      <c r="E382" s="576"/>
      <c r="F382" s="576"/>
      <c r="G382" s="577"/>
      <c r="H382" s="577"/>
      <c r="I382" s="577"/>
      <c r="J382" s="577"/>
      <c r="K382" s="577"/>
      <c r="L382" s="594"/>
      <c r="M382" s="594"/>
      <c r="N382" s="594"/>
      <c r="O382" s="594"/>
    </row>
    <row r="383">
      <c r="A383" s="67"/>
      <c r="B383" s="645"/>
      <c r="C383" s="575"/>
      <c r="D383" s="576"/>
      <c r="E383" s="576"/>
      <c r="F383" s="576"/>
      <c r="G383" s="577"/>
      <c r="H383" s="577"/>
      <c r="I383" s="577"/>
      <c r="J383" s="577"/>
      <c r="K383" s="577"/>
      <c r="L383" s="594"/>
      <c r="M383" s="594"/>
      <c r="N383" s="594"/>
      <c r="O383" s="594"/>
    </row>
    <row r="384">
      <c r="A384" s="67"/>
      <c r="B384" s="645"/>
      <c r="C384" s="575"/>
      <c r="D384" s="576"/>
      <c r="E384" s="576"/>
      <c r="F384" s="576"/>
      <c r="G384" s="577"/>
      <c r="H384" s="577"/>
      <c r="I384" s="577"/>
      <c r="J384" s="577"/>
      <c r="K384" s="577"/>
      <c r="L384" s="594"/>
      <c r="M384" s="594"/>
      <c r="N384" s="594"/>
      <c r="O384" s="594"/>
    </row>
    <row r="385">
      <c r="A385" s="67"/>
      <c r="B385" s="645"/>
      <c r="C385" s="575"/>
      <c r="D385" s="576"/>
      <c r="E385" s="576"/>
      <c r="F385" s="576"/>
      <c r="G385" s="577"/>
      <c r="H385" s="577"/>
      <c r="I385" s="577"/>
      <c r="J385" s="577"/>
      <c r="K385" s="577"/>
      <c r="L385" s="594"/>
      <c r="M385" s="594"/>
      <c r="N385" s="594"/>
      <c r="O385" s="594"/>
    </row>
    <row r="386">
      <c r="A386" s="67"/>
      <c r="B386" s="645"/>
      <c r="C386" s="575"/>
      <c r="D386" s="576"/>
      <c r="E386" s="576"/>
      <c r="F386" s="576"/>
      <c r="G386" s="577"/>
      <c r="H386" s="577"/>
      <c r="I386" s="577"/>
      <c r="J386" s="577"/>
      <c r="K386" s="577"/>
      <c r="L386" s="594"/>
      <c r="M386" s="594"/>
      <c r="N386" s="594"/>
      <c r="O386" s="594"/>
    </row>
    <row r="387">
      <c r="A387" s="67"/>
      <c r="B387" s="645"/>
      <c r="C387" s="575"/>
      <c r="D387" s="576"/>
      <c r="E387" s="576"/>
      <c r="F387" s="576"/>
      <c r="G387" s="577"/>
      <c r="H387" s="577"/>
      <c r="I387" s="577"/>
      <c r="J387" s="577"/>
      <c r="K387" s="577"/>
      <c r="L387" s="594"/>
      <c r="M387" s="594"/>
      <c r="N387" s="594"/>
      <c r="O387" s="594"/>
    </row>
    <row r="388">
      <c r="A388" s="67"/>
      <c r="B388" s="645"/>
      <c r="C388" s="575"/>
      <c r="D388" s="576"/>
      <c r="E388" s="576"/>
      <c r="F388" s="576"/>
      <c r="G388" s="577"/>
      <c r="H388" s="577"/>
      <c r="I388" s="577"/>
      <c r="J388" s="577"/>
      <c r="K388" s="577"/>
      <c r="L388" s="594"/>
      <c r="M388" s="594"/>
      <c r="N388" s="594"/>
      <c r="O388" s="594"/>
    </row>
    <row r="389">
      <c r="A389" s="67"/>
      <c r="B389" s="645"/>
      <c r="C389" s="575"/>
      <c r="D389" s="576"/>
      <c r="E389" s="576"/>
      <c r="F389" s="576"/>
      <c r="G389" s="577"/>
      <c r="H389" s="577"/>
      <c r="I389" s="577"/>
      <c r="J389" s="577"/>
      <c r="K389" s="577"/>
      <c r="L389" s="594"/>
      <c r="M389" s="594"/>
      <c r="N389" s="594"/>
      <c r="O389" s="594"/>
    </row>
    <row r="390">
      <c r="A390" s="67"/>
      <c r="B390" s="645"/>
      <c r="C390" s="575"/>
      <c r="D390" s="576"/>
      <c r="E390" s="576"/>
      <c r="F390" s="576"/>
      <c r="G390" s="577"/>
      <c r="H390" s="577"/>
      <c r="I390" s="577"/>
      <c r="J390" s="577"/>
      <c r="K390" s="577"/>
      <c r="L390" s="594"/>
      <c r="M390" s="594"/>
      <c r="N390" s="594"/>
      <c r="O390" s="594"/>
    </row>
    <row r="391">
      <c r="A391" s="67"/>
      <c r="B391" s="645"/>
      <c r="C391" s="575"/>
      <c r="D391" s="576"/>
      <c r="E391" s="576"/>
      <c r="F391" s="576"/>
      <c r="G391" s="577"/>
      <c r="H391" s="577"/>
      <c r="I391" s="577"/>
      <c r="J391" s="577"/>
      <c r="K391" s="577"/>
      <c r="L391" s="594"/>
      <c r="M391" s="594"/>
      <c r="N391" s="594"/>
      <c r="O391" s="594"/>
    </row>
    <row r="392">
      <c r="A392" s="67"/>
      <c r="B392" s="645"/>
      <c r="C392" s="575"/>
      <c r="D392" s="576"/>
      <c r="E392" s="576"/>
      <c r="F392" s="576"/>
      <c r="G392" s="577"/>
      <c r="H392" s="577"/>
      <c r="I392" s="577"/>
      <c r="J392" s="577"/>
      <c r="K392" s="577"/>
      <c r="L392" s="594"/>
      <c r="M392" s="594"/>
      <c r="N392" s="594"/>
      <c r="O392" s="594"/>
    </row>
    <row r="393">
      <c r="A393" s="67"/>
      <c r="B393" s="645"/>
      <c r="C393" s="575"/>
      <c r="D393" s="576"/>
      <c r="E393" s="576"/>
      <c r="F393" s="576"/>
      <c r="G393" s="577"/>
      <c r="H393" s="577"/>
      <c r="I393" s="577"/>
      <c r="J393" s="577"/>
      <c r="K393" s="577"/>
      <c r="L393" s="594"/>
      <c r="M393" s="594"/>
      <c r="N393" s="594"/>
      <c r="O393" s="594"/>
    </row>
    <row r="394">
      <c r="A394" s="67"/>
      <c r="B394" s="645"/>
      <c r="C394" s="575"/>
      <c r="D394" s="576"/>
      <c r="E394" s="576"/>
      <c r="F394" s="576"/>
      <c r="G394" s="577"/>
      <c r="H394" s="577"/>
      <c r="I394" s="577"/>
      <c r="J394" s="577"/>
      <c r="K394" s="577"/>
      <c r="L394" s="594"/>
      <c r="M394" s="594"/>
      <c r="N394" s="594"/>
      <c r="O394" s="594"/>
    </row>
    <row r="395">
      <c r="A395" s="67"/>
      <c r="B395" s="645"/>
      <c r="C395" s="575"/>
      <c r="D395" s="576"/>
      <c r="E395" s="576"/>
      <c r="F395" s="576"/>
      <c r="G395" s="577"/>
      <c r="H395" s="577"/>
      <c r="I395" s="577"/>
      <c r="J395" s="577"/>
      <c r="K395" s="577"/>
      <c r="L395" s="594"/>
      <c r="M395" s="594"/>
      <c r="N395" s="594"/>
      <c r="O395" s="594"/>
    </row>
    <row r="396">
      <c r="A396" s="67"/>
      <c r="B396" s="645"/>
      <c r="C396" s="575"/>
      <c r="D396" s="576"/>
      <c r="E396" s="576"/>
      <c r="F396" s="576"/>
      <c r="G396" s="577"/>
      <c r="H396" s="577"/>
      <c r="I396" s="577"/>
      <c r="J396" s="577"/>
      <c r="K396" s="577"/>
      <c r="L396" s="594"/>
      <c r="M396" s="594"/>
      <c r="N396" s="594"/>
      <c r="O396" s="594"/>
    </row>
    <row r="397">
      <c r="A397" s="67"/>
      <c r="B397" s="645"/>
      <c r="C397" s="575"/>
      <c r="D397" s="576"/>
      <c r="E397" s="576"/>
      <c r="F397" s="576"/>
      <c r="G397" s="577"/>
      <c r="H397" s="577"/>
      <c r="I397" s="577"/>
      <c r="J397" s="577"/>
      <c r="K397" s="577"/>
      <c r="L397" s="594"/>
      <c r="M397" s="594"/>
      <c r="N397" s="594"/>
      <c r="O397" s="594"/>
    </row>
    <row r="398">
      <c r="A398" s="67"/>
      <c r="B398" s="645"/>
      <c r="C398" s="575"/>
      <c r="D398" s="576"/>
      <c r="E398" s="576"/>
      <c r="F398" s="576"/>
      <c r="G398" s="577"/>
      <c r="H398" s="577"/>
      <c r="I398" s="577"/>
      <c r="J398" s="577"/>
      <c r="K398" s="577"/>
      <c r="L398" s="594"/>
      <c r="M398" s="594"/>
      <c r="N398" s="594"/>
      <c r="O398" s="594"/>
    </row>
    <row r="399">
      <c r="A399" s="67"/>
      <c r="B399" s="645"/>
      <c r="C399" s="575"/>
      <c r="D399" s="576"/>
      <c r="E399" s="576"/>
      <c r="F399" s="576"/>
      <c r="G399" s="577"/>
      <c r="H399" s="577"/>
      <c r="I399" s="577"/>
      <c r="J399" s="577"/>
      <c r="K399" s="577"/>
      <c r="L399" s="594"/>
      <c r="M399" s="594"/>
      <c r="N399" s="594"/>
      <c r="O399" s="594"/>
    </row>
    <row r="400">
      <c r="A400" s="67"/>
      <c r="B400" s="645"/>
      <c r="C400" s="575"/>
      <c r="D400" s="576"/>
      <c r="E400" s="576"/>
      <c r="F400" s="576"/>
      <c r="G400" s="577"/>
      <c r="H400" s="577"/>
      <c r="I400" s="577"/>
      <c r="J400" s="577"/>
      <c r="K400" s="577"/>
      <c r="L400" s="594"/>
      <c r="M400" s="594"/>
      <c r="N400" s="594"/>
      <c r="O400" s="594"/>
    </row>
    <row r="401">
      <c r="A401" s="67"/>
      <c r="B401" s="645"/>
      <c r="C401" s="575"/>
      <c r="D401" s="576"/>
      <c r="E401" s="576"/>
      <c r="F401" s="576"/>
      <c r="G401" s="577"/>
      <c r="H401" s="577"/>
      <c r="I401" s="577"/>
      <c r="J401" s="577"/>
      <c r="K401" s="577"/>
      <c r="L401" s="594"/>
      <c r="M401" s="594"/>
      <c r="N401" s="594"/>
      <c r="O401" s="594"/>
    </row>
    <row r="402">
      <c r="A402" s="67"/>
      <c r="B402" s="645"/>
      <c r="C402" s="575"/>
      <c r="D402" s="576"/>
      <c r="E402" s="576"/>
      <c r="F402" s="576"/>
      <c r="G402" s="577"/>
      <c r="H402" s="577"/>
      <c r="I402" s="577"/>
      <c r="J402" s="577"/>
      <c r="K402" s="577"/>
      <c r="L402" s="594"/>
      <c r="M402" s="594"/>
      <c r="N402" s="594"/>
      <c r="O402" s="594"/>
    </row>
    <row r="403">
      <c r="A403" s="67"/>
      <c r="B403" s="645"/>
      <c r="C403" s="575"/>
      <c r="D403" s="576"/>
      <c r="E403" s="576"/>
      <c r="F403" s="576"/>
      <c r="G403" s="577"/>
      <c r="H403" s="577"/>
      <c r="I403" s="577"/>
      <c r="J403" s="577"/>
      <c r="K403" s="577"/>
      <c r="L403" s="594"/>
      <c r="M403" s="594"/>
      <c r="N403" s="594"/>
      <c r="O403" s="594"/>
    </row>
    <row r="404">
      <c r="A404" s="67"/>
      <c r="B404" s="645"/>
      <c r="C404" s="575"/>
      <c r="D404" s="576"/>
      <c r="E404" s="576"/>
      <c r="F404" s="576"/>
      <c r="G404" s="577"/>
      <c r="H404" s="577"/>
      <c r="I404" s="577"/>
      <c r="J404" s="577"/>
      <c r="K404" s="577"/>
      <c r="L404" s="594"/>
      <c r="M404" s="594"/>
      <c r="N404" s="594"/>
      <c r="O404" s="594"/>
    </row>
    <row r="405">
      <c r="A405" s="67"/>
      <c r="B405" s="645"/>
      <c r="C405" s="575"/>
      <c r="D405" s="576"/>
      <c r="E405" s="576"/>
      <c r="F405" s="576"/>
      <c r="G405" s="577"/>
      <c r="H405" s="577"/>
      <c r="I405" s="577"/>
      <c r="J405" s="577"/>
      <c r="K405" s="577"/>
      <c r="L405" s="594"/>
      <c r="M405" s="594"/>
      <c r="N405" s="594"/>
      <c r="O405" s="594"/>
    </row>
    <row r="406">
      <c r="A406" s="67"/>
      <c r="B406" s="645"/>
      <c r="C406" s="575"/>
      <c r="D406" s="576"/>
      <c r="E406" s="576"/>
      <c r="F406" s="576"/>
      <c r="G406" s="577"/>
      <c r="H406" s="577"/>
      <c r="I406" s="577"/>
      <c r="J406" s="577"/>
      <c r="K406" s="577"/>
      <c r="L406" s="594"/>
      <c r="M406" s="594"/>
      <c r="N406" s="594"/>
      <c r="O406" s="594"/>
    </row>
    <row r="407">
      <c r="A407" s="67"/>
      <c r="B407" s="645"/>
      <c r="C407" s="575"/>
      <c r="D407" s="576"/>
      <c r="E407" s="576"/>
      <c r="F407" s="576"/>
      <c r="G407" s="577"/>
      <c r="H407" s="577"/>
      <c r="I407" s="577"/>
      <c r="J407" s="577"/>
      <c r="K407" s="577"/>
      <c r="L407" s="594"/>
      <c r="M407" s="594"/>
      <c r="N407" s="594"/>
      <c r="O407" s="594"/>
    </row>
    <row r="408">
      <c r="A408" s="67"/>
      <c r="B408" s="645"/>
      <c r="C408" s="575"/>
      <c r="D408" s="576"/>
      <c r="E408" s="576"/>
      <c r="F408" s="576"/>
      <c r="G408" s="577"/>
      <c r="H408" s="577"/>
      <c r="I408" s="577"/>
      <c r="J408" s="577"/>
      <c r="K408" s="577"/>
      <c r="L408" s="594"/>
      <c r="M408" s="594"/>
      <c r="N408" s="594"/>
      <c r="O408" s="594"/>
    </row>
    <row r="409">
      <c r="A409" s="67"/>
      <c r="B409" s="645"/>
      <c r="C409" s="575"/>
      <c r="D409" s="576"/>
      <c r="E409" s="576"/>
      <c r="F409" s="576"/>
      <c r="G409" s="577"/>
      <c r="H409" s="577"/>
      <c r="I409" s="577"/>
      <c r="J409" s="577"/>
      <c r="K409" s="577"/>
      <c r="L409" s="594"/>
      <c r="M409" s="594"/>
      <c r="N409" s="594"/>
      <c r="O409" s="594"/>
    </row>
    <row r="410">
      <c r="A410" s="67"/>
      <c r="B410" s="645"/>
      <c r="C410" s="575"/>
      <c r="D410" s="576"/>
      <c r="E410" s="576"/>
      <c r="F410" s="576"/>
      <c r="G410" s="577"/>
      <c r="H410" s="577"/>
      <c r="I410" s="577"/>
      <c r="J410" s="577"/>
      <c r="K410" s="577"/>
      <c r="L410" s="594"/>
      <c r="M410" s="594"/>
      <c r="N410" s="594"/>
      <c r="O410" s="594"/>
    </row>
    <row r="411">
      <c r="A411" s="67"/>
      <c r="B411" s="645"/>
      <c r="C411" s="575"/>
      <c r="D411" s="576"/>
      <c r="E411" s="576"/>
      <c r="F411" s="576"/>
      <c r="G411" s="577"/>
      <c r="H411" s="577"/>
      <c r="I411" s="577"/>
      <c r="J411" s="577"/>
      <c r="K411" s="577"/>
      <c r="L411" s="594"/>
      <c r="M411" s="594"/>
      <c r="N411" s="594"/>
      <c r="O411" s="594"/>
    </row>
    <row r="412">
      <c r="A412" s="67"/>
      <c r="B412" s="645"/>
      <c r="C412" s="575"/>
      <c r="D412" s="576"/>
      <c r="E412" s="576"/>
      <c r="F412" s="576"/>
      <c r="G412" s="577"/>
      <c r="H412" s="577"/>
      <c r="I412" s="577"/>
      <c r="J412" s="577"/>
      <c r="K412" s="577"/>
      <c r="L412" s="594"/>
      <c r="M412" s="594"/>
      <c r="N412" s="594"/>
      <c r="O412" s="594"/>
    </row>
    <row r="413">
      <c r="A413" s="67"/>
      <c r="B413" s="645"/>
      <c r="C413" s="575"/>
      <c r="D413" s="576"/>
      <c r="E413" s="576"/>
      <c r="F413" s="576"/>
      <c r="G413" s="577"/>
      <c r="H413" s="577"/>
      <c r="I413" s="577"/>
      <c r="J413" s="577"/>
      <c r="K413" s="577"/>
      <c r="L413" s="594"/>
      <c r="M413" s="594"/>
      <c r="N413" s="594"/>
      <c r="O413" s="594"/>
    </row>
    <row r="414">
      <c r="A414" s="67"/>
      <c r="B414" s="645"/>
      <c r="C414" s="575"/>
      <c r="D414" s="576"/>
      <c r="E414" s="576"/>
      <c r="F414" s="576"/>
      <c r="G414" s="577"/>
      <c r="H414" s="577"/>
      <c r="I414" s="577"/>
      <c r="J414" s="577"/>
      <c r="K414" s="577"/>
      <c r="L414" s="594"/>
      <c r="M414" s="594"/>
      <c r="N414" s="594"/>
      <c r="O414" s="594"/>
    </row>
    <row r="415">
      <c r="A415" s="67"/>
      <c r="B415" s="645"/>
      <c r="C415" s="575"/>
      <c r="D415" s="576"/>
      <c r="E415" s="576"/>
      <c r="F415" s="576"/>
      <c r="G415" s="577"/>
      <c r="H415" s="577"/>
      <c r="I415" s="577"/>
      <c r="J415" s="577"/>
      <c r="K415" s="577"/>
      <c r="L415" s="594"/>
      <c r="M415" s="594"/>
      <c r="N415" s="594"/>
      <c r="O415" s="594"/>
    </row>
    <row r="416">
      <c r="A416" s="67"/>
      <c r="B416" s="645"/>
      <c r="C416" s="575"/>
      <c r="D416" s="576"/>
      <c r="E416" s="576"/>
      <c r="F416" s="576"/>
      <c r="G416" s="577"/>
      <c r="H416" s="577"/>
      <c r="I416" s="577"/>
      <c r="J416" s="577"/>
      <c r="K416" s="577"/>
      <c r="L416" s="594"/>
      <c r="M416" s="594"/>
      <c r="N416" s="594"/>
      <c r="O416" s="594"/>
    </row>
    <row r="417">
      <c r="A417" s="67"/>
      <c r="B417" s="645"/>
      <c r="C417" s="575"/>
      <c r="D417" s="576"/>
      <c r="E417" s="576"/>
      <c r="F417" s="576"/>
      <c r="G417" s="577"/>
      <c r="H417" s="577"/>
      <c r="I417" s="577"/>
      <c r="J417" s="577"/>
      <c r="K417" s="577"/>
      <c r="L417" s="594"/>
      <c r="M417" s="594"/>
      <c r="N417" s="594"/>
      <c r="O417" s="594"/>
    </row>
    <row r="418">
      <c r="A418" s="67"/>
      <c r="B418" s="645"/>
      <c r="C418" s="575"/>
      <c r="D418" s="576"/>
      <c r="E418" s="576"/>
      <c r="F418" s="576"/>
      <c r="G418" s="577"/>
      <c r="H418" s="577"/>
      <c r="I418" s="577"/>
      <c r="J418" s="577"/>
      <c r="K418" s="577"/>
      <c r="L418" s="594"/>
      <c r="M418" s="594"/>
      <c r="N418" s="594"/>
      <c r="O418" s="594"/>
    </row>
    <row r="419">
      <c r="A419" s="67"/>
      <c r="B419" s="645"/>
      <c r="C419" s="575"/>
      <c r="D419" s="576"/>
      <c r="E419" s="576"/>
      <c r="F419" s="576"/>
      <c r="G419" s="577"/>
      <c r="H419" s="577"/>
      <c r="I419" s="577"/>
      <c r="J419" s="577"/>
      <c r="K419" s="577"/>
      <c r="L419" s="594"/>
      <c r="M419" s="594"/>
      <c r="N419" s="594"/>
      <c r="O419" s="594"/>
    </row>
    <row r="420">
      <c r="A420" s="67"/>
      <c r="B420" s="645"/>
      <c r="C420" s="575"/>
      <c r="D420" s="576"/>
      <c r="E420" s="576"/>
      <c r="F420" s="576"/>
      <c r="G420" s="577"/>
      <c r="H420" s="577"/>
      <c r="I420" s="577"/>
      <c r="J420" s="577"/>
      <c r="K420" s="577"/>
      <c r="L420" s="594"/>
      <c r="M420" s="594"/>
      <c r="N420" s="594"/>
      <c r="O420" s="594"/>
    </row>
    <row r="421">
      <c r="A421" s="67"/>
      <c r="B421" s="645"/>
      <c r="C421" s="575"/>
      <c r="D421" s="576"/>
      <c r="E421" s="576"/>
      <c r="F421" s="576"/>
      <c r="G421" s="577"/>
      <c r="H421" s="577"/>
      <c r="I421" s="577"/>
      <c r="J421" s="577"/>
      <c r="K421" s="577"/>
      <c r="L421" s="594"/>
      <c r="M421" s="594"/>
      <c r="N421" s="594"/>
      <c r="O421" s="594"/>
    </row>
    <row r="422">
      <c r="A422" s="67"/>
      <c r="B422" s="645"/>
      <c r="C422" s="575"/>
      <c r="D422" s="576"/>
      <c r="E422" s="576"/>
      <c r="F422" s="576"/>
      <c r="G422" s="577"/>
      <c r="H422" s="577"/>
      <c r="I422" s="577"/>
      <c r="J422" s="577"/>
      <c r="K422" s="577"/>
      <c r="L422" s="594"/>
      <c r="M422" s="594"/>
      <c r="N422" s="594"/>
      <c r="O422" s="594"/>
    </row>
    <row r="423">
      <c r="A423" s="67"/>
      <c r="B423" s="645"/>
      <c r="C423" s="575"/>
      <c r="D423" s="576"/>
      <c r="E423" s="576"/>
      <c r="F423" s="576"/>
      <c r="G423" s="577"/>
      <c r="H423" s="577"/>
      <c r="I423" s="577"/>
      <c r="J423" s="577"/>
      <c r="K423" s="577"/>
      <c r="L423" s="594"/>
      <c r="M423" s="594"/>
      <c r="N423" s="594"/>
      <c r="O423" s="594"/>
    </row>
    <row r="424">
      <c r="A424" s="67"/>
      <c r="B424" s="645"/>
      <c r="C424" s="575"/>
      <c r="D424" s="576"/>
      <c r="E424" s="576"/>
      <c r="F424" s="576"/>
      <c r="G424" s="577"/>
      <c r="H424" s="577"/>
      <c r="I424" s="577"/>
      <c r="J424" s="577"/>
      <c r="K424" s="577"/>
      <c r="L424" s="594"/>
      <c r="M424" s="594"/>
      <c r="N424" s="594"/>
      <c r="O424" s="594"/>
    </row>
    <row r="425">
      <c r="A425" s="67"/>
      <c r="B425" s="645"/>
      <c r="C425" s="575"/>
      <c r="D425" s="576"/>
      <c r="E425" s="576"/>
      <c r="F425" s="576"/>
      <c r="G425" s="577"/>
      <c r="H425" s="577"/>
      <c r="I425" s="577"/>
      <c r="J425" s="577"/>
      <c r="K425" s="577"/>
      <c r="L425" s="594"/>
      <c r="M425" s="594"/>
      <c r="N425" s="594"/>
      <c r="O425" s="594"/>
    </row>
    <row r="426">
      <c r="A426" s="67"/>
      <c r="B426" s="645"/>
      <c r="C426" s="575"/>
      <c r="D426" s="576"/>
      <c r="E426" s="576"/>
      <c r="F426" s="576"/>
      <c r="G426" s="577"/>
      <c r="H426" s="577"/>
      <c r="I426" s="577"/>
      <c r="J426" s="577"/>
      <c r="K426" s="577"/>
      <c r="L426" s="594"/>
      <c r="M426" s="594"/>
      <c r="N426" s="594"/>
      <c r="O426" s="594"/>
    </row>
    <row r="427">
      <c r="A427" s="67"/>
      <c r="B427" s="645"/>
      <c r="C427" s="575"/>
      <c r="D427" s="576"/>
      <c r="E427" s="576"/>
      <c r="F427" s="576"/>
      <c r="G427" s="577"/>
      <c r="H427" s="577"/>
      <c r="I427" s="577"/>
      <c r="J427" s="577"/>
      <c r="K427" s="577"/>
      <c r="L427" s="594"/>
      <c r="M427" s="594"/>
      <c r="N427" s="594"/>
      <c r="O427" s="594"/>
    </row>
    <row r="428">
      <c r="A428" s="67"/>
      <c r="B428" s="645"/>
      <c r="C428" s="575"/>
      <c r="D428" s="576"/>
      <c r="E428" s="576"/>
      <c r="F428" s="576"/>
      <c r="G428" s="577"/>
      <c r="H428" s="577"/>
      <c r="I428" s="577"/>
      <c r="J428" s="577"/>
      <c r="K428" s="577"/>
      <c r="L428" s="594"/>
      <c r="M428" s="594"/>
      <c r="N428" s="594"/>
      <c r="O428" s="594"/>
    </row>
    <row r="429">
      <c r="A429" s="67"/>
      <c r="B429" s="645"/>
      <c r="C429" s="575"/>
      <c r="D429" s="576"/>
      <c r="E429" s="576"/>
      <c r="F429" s="576"/>
      <c r="G429" s="577"/>
      <c r="H429" s="577"/>
      <c r="I429" s="577"/>
      <c r="J429" s="577"/>
      <c r="K429" s="577"/>
      <c r="L429" s="594"/>
      <c r="M429" s="594"/>
      <c r="N429" s="594"/>
      <c r="O429" s="594"/>
    </row>
    <row r="430">
      <c r="A430" s="67"/>
      <c r="B430" s="645"/>
      <c r="C430" s="575"/>
      <c r="D430" s="576"/>
      <c r="E430" s="576"/>
      <c r="F430" s="576"/>
      <c r="G430" s="577"/>
      <c r="H430" s="577"/>
      <c r="I430" s="577"/>
      <c r="J430" s="577"/>
      <c r="K430" s="577"/>
      <c r="L430" s="594"/>
      <c r="M430" s="594"/>
      <c r="N430" s="594"/>
      <c r="O430" s="594"/>
    </row>
    <row r="431">
      <c r="A431" s="67"/>
      <c r="B431" s="645"/>
      <c r="C431" s="575"/>
      <c r="D431" s="576"/>
      <c r="E431" s="576"/>
      <c r="F431" s="576"/>
      <c r="G431" s="577"/>
      <c r="H431" s="577"/>
      <c r="I431" s="577"/>
      <c r="J431" s="577"/>
      <c r="K431" s="577"/>
      <c r="L431" s="594"/>
      <c r="M431" s="594"/>
      <c r="N431" s="594"/>
      <c r="O431" s="594"/>
    </row>
    <row r="432">
      <c r="A432" s="67"/>
      <c r="B432" s="645"/>
      <c r="C432" s="575"/>
      <c r="D432" s="576"/>
      <c r="E432" s="576"/>
      <c r="F432" s="576"/>
      <c r="G432" s="577"/>
      <c r="H432" s="577"/>
      <c r="I432" s="577"/>
      <c r="J432" s="577"/>
      <c r="K432" s="577"/>
      <c r="L432" s="594"/>
      <c r="M432" s="594"/>
      <c r="N432" s="594"/>
      <c r="O432" s="594"/>
    </row>
    <row r="433">
      <c r="A433" s="67"/>
      <c r="B433" s="645"/>
      <c r="C433" s="575"/>
      <c r="D433" s="576"/>
      <c r="E433" s="576"/>
      <c r="F433" s="576"/>
      <c r="G433" s="577"/>
      <c r="H433" s="577"/>
      <c r="I433" s="577"/>
      <c r="J433" s="577"/>
      <c r="K433" s="577"/>
      <c r="L433" s="594"/>
      <c r="M433" s="594"/>
      <c r="N433" s="594"/>
      <c r="O433" s="594"/>
    </row>
    <row r="434">
      <c r="A434" s="67"/>
      <c r="B434" s="645"/>
      <c r="C434" s="575"/>
      <c r="D434" s="576"/>
      <c r="E434" s="576"/>
      <c r="F434" s="576"/>
      <c r="G434" s="577"/>
      <c r="H434" s="577"/>
      <c r="I434" s="577"/>
      <c r="J434" s="577"/>
      <c r="K434" s="577"/>
      <c r="L434" s="594"/>
      <c r="M434" s="594"/>
      <c r="N434" s="594"/>
      <c r="O434" s="594"/>
    </row>
    <row r="435">
      <c r="A435" s="67"/>
      <c r="B435" s="645"/>
      <c r="C435" s="575"/>
      <c r="D435" s="576"/>
      <c r="E435" s="576"/>
      <c r="F435" s="576"/>
      <c r="G435" s="577"/>
      <c r="H435" s="577"/>
      <c r="I435" s="577"/>
      <c r="J435" s="577"/>
      <c r="K435" s="577"/>
      <c r="L435" s="594"/>
      <c r="M435" s="594"/>
      <c r="N435" s="594"/>
      <c r="O435" s="594"/>
    </row>
    <row r="436">
      <c r="A436" s="67"/>
      <c r="B436" s="645"/>
      <c r="C436" s="575"/>
      <c r="D436" s="576"/>
      <c r="E436" s="576"/>
      <c r="F436" s="576"/>
      <c r="G436" s="577"/>
      <c r="H436" s="577"/>
      <c r="I436" s="577"/>
      <c r="J436" s="577"/>
      <c r="K436" s="577"/>
      <c r="L436" s="594"/>
      <c r="M436" s="594"/>
      <c r="N436" s="594"/>
      <c r="O436" s="594"/>
    </row>
    <row r="437">
      <c r="A437" s="67"/>
      <c r="B437" s="645"/>
      <c r="C437" s="575"/>
      <c r="D437" s="576"/>
      <c r="E437" s="576"/>
      <c r="F437" s="576"/>
      <c r="G437" s="577"/>
      <c r="H437" s="577"/>
      <c r="I437" s="577"/>
      <c r="J437" s="577"/>
      <c r="K437" s="577"/>
      <c r="L437" s="594"/>
      <c r="M437" s="594"/>
      <c r="N437" s="594"/>
      <c r="O437" s="594"/>
    </row>
    <row r="438">
      <c r="A438" s="67"/>
      <c r="B438" s="645"/>
      <c r="C438" s="575"/>
      <c r="D438" s="576"/>
      <c r="E438" s="576"/>
      <c r="F438" s="576"/>
      <c r="G438" s="577"/>
      <c r="H438" s="577"/>
      <c r="I438" s="577"/>
      <c r="J438" s="577"/>
      <c r="K438" s="577"/>
      <c r="L438" s="594"/>
      <c r="M438" s="594"/>
      <c r="N438" s="594"/>
      <c r="O438" s="594"/>
    </row>
    <row r="439">
      <c r="A439" s="67"/>
      <c r="B439" s="645"/>
      <c r="C439" s="575"/>
      <c r="D439" s="576"/>
      <c r="E439" s="576"/>
      <c r="F439" s="576"/>
      <c r="G439" s="577"/>
      <c r="H439" s="577"/>
      <c r="I439" s="577"/>
      <c r="J439" s="577"/>
      <c r="K439" s="577"/>
      <c r="L439" s="594"/>
      <c r="M439" s="594"/>
      <c r="N439" s="594"/>
      <c r="O439" s="594"/>
    </row>
    <row r="440">
      <c r="A440" s="67"/>
      <c r="B440" s="645"/>
      <c r="C440" s="575"/>
      <c r="D440" s="576"/>
      <c r="E440" s="576"/>
      <c r="F440" s="576"/>
      <c r="G440" s="577"/>
      <c r="H440" s="577"/>
      <c r="I440" s="577"/>
      <c r="J440" s="577"/>
      <c r="K440" s="577"/>
      <c r="L440" s="594"/>
      <c r="M440" s="594"/>
      <c r="N440" s="594"/>
      <c r="O440" s="594"/>
    </row>
    <row r="441">
      <c r="A441" s="67"/>
      <c r="B441" s="645"/>
      <c r="C441" s="575"/>
      <c r="D441" s="576"/>
      <c r="E441" s="576"/>
      <c r="F441" s="576"/>
      <c r="G441" s="577"/>
      <c r="H441" s="577"/>
      <c r="I441" s="577"/>
      <c r="J441" s="577"/>
      <c r="K441" s="577"/>
      <c r="L441" s="594"/>
      <c r="M441" s="594"/>
      <c r="N441" s="594"/>
      <c r="O441" s="594"/>
    </row>
    <row r="442">
      <c r="A442" s="67"/>
      <c r="B442" s="645"/>
      <c r="C442" s="575"/>
      <c r="D442" s="576"/>
      <c r="E442" s="576"/>
      <c r="F442" s="576"/>
      <c r="G442" s="577"/>
      <c r="H442" s="577"/>
      <c r="I442" s="577"/>
      <c r="J442" s="577"/>
      <c r="K442" s="577"/>
      <c r="L442" s="594"/>
      <c r="M442" s="594"/>
      <c r="N442" s="594"/>
      <c r="O442" s="594"/>
    </row>
    <row r="443">
      <c r="A443" s="67"/>
      <c r="B443" s="645"/>
      <c r="C443" s="575"/>
      <c r="D443" s="576"/>
      <c r="E443" s="576"/>
      <c r="F443" s="576"/>
      <c r="G443" s="577"/>
      <c r="H443" s="577"/>
      <c r="I443" s="577"/>
      <c r="J443" s="577"/>
      <c r="K443" s="577"/>
      <c r="L443" s="594"/>
      <c r="M443" s="594"/>
      <c r="N443" s="594"/>
      <c r="O443" s="594"/>
    </row>
    <row r="444">
      <c r="A444" s="67"/>
      <c r="B444" s="645"/>
      <c r="C444" s="575"/>
      <c r="D444" s="576"/>
      <c r="E444" s="576"/>
      <c r="F444" s="576"/>
      <c r="G444" s="577"/>
      <c r="H444" s="577"/>
      <c r="I444" s="577"/>
      <c r="J444" s="577"/>
      <c r="K444" s="577"/>
      <c r="L444" s="594"/>
      <c r="M444" s="594"/>
      <c r="N444" s="594"/>
      <c r="O444" s="594"/>
    </row>
    <row r="445">
      <c r="A445" s="67"/>
      <c r="B445" s="645"/>
      <c r="C445" s="575"/>
      <c r="D445" s="576"/>
      <c r="E445" s="576"/>
      <c r="F445" s="576"/>
      <c r="G445" s="577"/>
      <c r="H445" s="577"/>
      <c r="I445" s="577"/>
      <c r="J445" s="577"/>
      <c r="K445" s="577"/>
      <c r="L445" s="594"/>
      <c r="M445" s="594"/>
      <c r="N445" s="594"/>
      <c r="O445" s="594"/>
    </row>
    <row r="446">
      <c r="A446" s="67"/>
      <c r="B446" s="645"/>
      <c r="C446" s="575"/>
      <c r="D446" s="576"/>
      <c r="E446" s="576"/>
      <c r="F446" s="576"/>
      <c r="G446" s="577"/>
      <c r="H446" s="577"/>
      <c r="I446" s="577"/>
      <c r="J446" s="577"/>
      <c r="K446" s="577"/>
      <c r="L446" s="594"/>
      <c r="M446" s="594"/>
      <c r="N446" s="594"/>
      <c r="O446" s="594"/>
    </row>
    <row r="447">
      <c r="A447" s="67"/>
      <c r="B447" s="645"/>
      <c r="C447" s="575"/>
      <c r="D447" s="576"/>
      <c r="E447" s="576"/>
      <c r="F447" s="576"/>
      <c r="G447" s="577"/>
      <c r="H447" s="577"/>
      <c r="I447" s="577"/>
      <c r="J447" s="577"/>
      <c r="K447" s="577"/>
      <c r="L447" s="594"/>
      <c r="M447" s="594"/>
      <c r="N447" s="594"/>
      <c r="O447" s="594"/>
    </row>
    <row r="448">
      <c r="A448" s="67"/>
      <c r="B448" s="645"/>
      <c r="C448" s="575"/>
      <c r="D448" s="576"/>
      <c r="E448" s="576"/>
      <c r="F448" s="576"/>
      <c r="G448" s="577"/>
      <c r="H448" s="577"/>
      <c r="I448" s="577"/>
      <c r="J448" s="577"/>
      <c r="K448" s="577"/>
      <c r="L448" s="594"/>
      <c r="M448" s="594"/>
      <c r="N448" s="594"/>
      <c r="O448" s="594"/>
    </row>
    <row r="449">
      <c r="A449" s="67"/>
      <c r="B449" s="645"/>
      <c r="C449" s="575"/>
      <c r="D449" s="576"/>
      <c r="E449" s="576"/>
      <c r="F449" s="576"/>
      <c r="G449" s="577"/>
      <c r="H449" s="577"/>
      <c r="I449" s="577"/>
      <c r="J449" s="577"/>
      <c r="K449" s="577"/>
      <c r="L449" s="594"/>
      <c r="M449" s="594"/>
      <c r="N449" s="594"/>
      <c r="O449" s="594"/>
    </row>
    <row r="450">
      <c r="A450" s="67"/>
      <c r="B450" s="645"/>
      <c r="C450" s="575"/>
      <c r="D450" s="576"/>
      <c r="E450" s="576"/>
      <c r="F450" s="576"/>
      <c r="G450" s="577"/>
      <c r="H450" s="577"/>
      <c r="I450" s="577"/>
      <c r="J450" s="577"/>
      <c r="K450" s="577"/>
      <c r="L450" s="594"/>
      <c r="M450" s="594"/>
      <c r="N450" s="594"/>
      <c r="O450" s="594"/>
    </row>
    <row r="451">
      <c r="A451" s="67"/>
      <c r="B451" s="645"/>
      <c r="C451" s="575"/>
      <c r="D451" s="576"/>
      <c r="E451" s="576"/>
      <c r="F451" s="576"/>
      <c r="G451" s="577"/>
      <c r="H451" s="577"/>
      <c r="I451" s="577"/>
      <c r="J451" s="577"/>
      <c r="K451" s="577"/>
      <c r="L451" s="594"/>
      <c r="M451" s="594"/>
      <c r="N451" s="594"/>
      <c r="O451" s="594"/>
    </row>
    <row r="452">
      <c r="A452" s="67"/>
      <c r="B452" s="645"/>
      <c r="C452" s="575"/>
      <c r="D452" s="576"/>
      <c r="E452" s="576"/>
      <c r="F452" s="576"/>
      <c r="G452" s="577"/>
      <c r="H452" s="577"/>
      <c r="I452" s="577"/>
      <c r="J452" s="577"/>
      <c r="K452" s="577"/>
      <c r="L452" s="594"/>
      <c r="M452" s="594"/>
      <c r="N452" s="594"/>
      <c r="O452" s="594"/>
    </row>
    <row r="453">
      <c r="A453" s="67"/>
      <c r="B453" s="645"/>
      <c r="C453" s="575"/>
      <c r="D453" s="576"/>
      <c r="E453" s="576"/>
      <c r="F453" s="576"/>
      <c r="G453" s="577"/>
      <c r="H453" s="577"/>
      <c r="I453" s="577"/>
      <c r="J453" s="577"/>
      <c r="K453" s="577"/>
      <c r="L453" s="594"/>
      <c r="M453" s="594"/>
      <c r="N453" s="594"/>
      <c r="O453" s="594"/>
    </row>
    <row r="454">
      <c r="A454" s="67"/>
      <c r="B454" s="645"/>
      <c r="C454" s="575"/>
      <c r="D454" s="576"/>
      <c r="E454" s="576"/>
      <c r="F454" s="576"/>
      <c r="G454" s="577"/>
      <c r="H454" s="577"/>
      <c r="I454" s="577"/>
      <c r="J454" s="577"/>
      <c r="K454" s="577"/>
      <c r="L454" s="594"/>
      <c r="M454" s="594"/>
      <c r="N454" s="594"/>
      <c r="O454" s="594"/>
    </row>
    <row r="455">
      <c r="A455" s="67"/>
      <c r="B455" s="645"/>
      <c r="C455" s="575"/>
      <c r="D455" s="576"/>
      <c r="E455" s="576"/>
      <c r="F455" s="576"/>
      <c r="G455" s="577"/>
      <c r="H455" s="577"/>
      <c r="I455" s="577"/>
      <c r="J455" s="577"/>
      <c r="K455" s="577"/>
      <c r="L455" s="594"/>
      <c r="M455" s="594"/>
      <c r="N455" s="594"/>
      <c r="O455" s="594"/>
    </row>
    <row r="456">
      <c r="A456" s="67"/>
      <c r="B456" s="645"/>
      <c r="C456" s="575"/>
      <c r="D456" s="576"/>
      <c r="E456" s="576"/>
      <c r="F456" s="576"/>
      <c r="G456" s="577"/>
      <c r="H456" s="577"/>
      <c r="I456" s="577"/>
      <c r="J456" s="577"/>
      <c r="K456" s="577"/>
      <c r="L456" s="594"/>
      <c r="M456" s="594"/>
      <c r="N456" s="594"/>
      <c r="O456" s="594"/>
    </row>
    <row r="457">
      <c r="A457" s="67"/>
      <c r="B457" s="645"/>
      <c r="C457" s="575"/>
      <c r="D457" s="576"/>
      <c r="E457" s="576"/>
      <c r="F457" s="576"/>
      <c r="G457" s="577"/>
      <c r="H457" s="577"/>
      <c r="I457" s="577"/>
      <c r="J457" s="577"/>
      <c r="K457" s="577"/>
      <c r="L457" s="594"/>
      <c r="M457" s="594"/>
      <c r="N457" s="594"/>
      <c r="O457" s="594"/>
    </row>
    <row r="458">
      <c r="A458" s="67"/>
      <c r="B458" s="645"/>
      <c r="C458" s="575"/>
      <c r="D458" s="576"/>
      <c r="E458" s="576"/>
      <c r="F458" s="576"/>
      <c r="G458" s="577"/>
      <c r="H458" s="577"/>
      <c r="I458" s="577"/>
      <c r="J458" s="577"/>
      <c r="K458" s="577"/>
      <c r="L458" s="594"/>
      <c r="M458" s="594"/>
      <c r="N458" s="594"/>
      <c r="O458" s="594"/>
    </row>
    <row r="459">
      <c r="A459" s="67"/>
      <c r="B459" s="645"/>
      <c r="C459" s="575"/>
      <c r="D459" s="576"/>
      <c r="E459" s="576"/>
      <c r="F459" s="576"/>
      <c r="G459" s="577"/>
      <c r="H459" s="577"/>
      <c r="I459" s="577"/>
      <c r="J459" s="577"/>
      <c r="K459" s="577"/>
      <c r="L459" s="594"/>
      <c r="M459" s="594"/>
      <c r="N459" s="594"/>
      <c r="O459" s="594"/>
    </row>
    <row r="460">
      <c r="A460" s="67"/>
      <c r="B460" s="645"/>
      <c r="C460" s="575"/>
      <c r="D460" s="576"/>
      <c r="E460" s="576"/>
      <c r="F460" s="576"/>
      <c r="G460" s="577"/>
      <c r="H460" s="577"/>
      <c r="I460" s="577"/>
      <c r="J460" s="577"/>
      <c r="K460" s="577"/>
      <c r="L460" s="594"/>
      <c r="M460" s="594"/>
      <c r="N460" s="594"/>
      <c r="O460" s="594"/>
    </row>
    <row r="461">
      <c r="A461" s="67"/>
      <c r="B461" s="645"/>
      <c r="C461" s="575"/>
      <c r="D461" s="576"/>
      <c r="E461" s="576"/>
      <c r="F461" s="576"/>
      <c r="G461" s="577"/>
      <c r="H461" s="577"/>
      <c r="I461" s="577"/>
      <c r="J461" s="577"/>
      <c r="K461" s="577"/>
      <c r="L461" s="594"/>
      <c r="M461" s="594"/>
      <c r="N461" s="594"/>
      <c r="O461" s="594"/>
    </row>
    <row r="462">
      <c r="A462" s="67"/>
      <c r="B462" s="645"/>
      <c r="C462" s="575"/>
      <c r="D462" s="576"/>
      <c r="E462" s="576"/>
      <c r="F462" s="576"/>
      <c r="G462" s="577"/>
      <c r="H462" s="577"/>
      <c r="I462" s="577"/>
      <c r="J462" s="577"/>
      <c r="K462" s="577"/>
      <c r="L462" s="594"/>
      <c r="M462" s="594"/>
      <c r="N462" s="594"/>
      <c r="O462" s="594"/>
    </row>
    <row r="463">
      <c r="A463" s="67"/>
      <c r="B463" s="645"/>
      <c r="C463" s="575"/>
      <c r="D463" s="576"/>
      <c r="E463" s="576"/>
      <c r="F463" s="576"/>
      <c r="G463" s="577"/>
      <c r="H463" s="577"/>
      <c r="I463" s="577"/>
      <c r="J463" s="577"/>
      <c r="K463" s="577"/>
      <c r="L463" s="594"/>
      <c r="M463" s="594"/>
      <c r="N463" s="594"/>
      <c r="O463" s="594"/>
    </row>
    <row r="464">
      <c r="A464" s="67"/>
      <c r="B464" s="645"/>
      <c r="C464" s="575"/>
      <c r="D464" s="576"/>
      <c r="E464" s="576"/>
      <c r="F464" s="576"/>
      <c r="G464" s="577"/>
      <c r="H464" s="577"/>
      <c r="I464" s="577"/>
      <c r="J464" s="577"/>
      <c r="K464" s="577"/>
      <c r="L464" s="594"/>
      <c r="M464" s="594"/>
      <c r="N464" s="594"/>
      <c r="O464" s="594"/>
    </row>
    <row r="465">
      <c r="A465" s="67"/>
      <c r="B465" s="645"/>
      <c r="C465" s="575"/>
      <c r="D465" s="576"/>
      <c r="E465" s="576"/>
      <c r="F465" s="576"/>
      <c r="G465" s="577"/>
      <c r="H465" s="577"/>
      <c r="I465" s="577"/>
      <c r="J465" s="577"/>
      <c r="K465" s="577"/>
      <c r="L465" s="594"/>
      <c r="M465" s="594"/>
      <c r="N465" s="594"/>
      <c r="O465" s="594"/>
    </row>
    <row r="466">
      <c r="A466" s="67"/>
      <c r="B466" s="645"/>
      <c r="C466" s="575"/>
      <c r="D466" s="576"/>
      <c r="E466" s="576"/>
      <c r="F466" s="576"/>
      <c r="G466" s="577"/>
      <c r="H466" s="577"/>
      <c r="I466" s="577"/>
      <c r="J466" s="577"/>
      <c r="K466" s="577"/>
      <c r="L466" s="594"/>
      <c r="M466" s="594"/>
      <c r="N466" s="594"/>
      <c r="O466" s="594"/>
    </row>
    <row r="467">
      <c r="A467" s="67"/>
      <c r="B467" s="645"/>
      <c r="C467" s="575"/>
      <c r="D467" s="576"/>
      <c r="E467" s="576"/>
      <c r="F467" s="576"/>
      <c r="G467" s="577"/>
      <c r="H467" s="577"/>
      <c r="I467" s="577"/>
      <c r="J467" s="577"/>
      <c r="K467" s="577"/>
      <c r="L467" s="594"/>
      <c r="M467" s="594"/>
      <c r="N467" s="594"/>
      <c r="O467" s="594"/>
    </row>
    <row r="468">
      <c r="A468" s="67"/>
      <c r="B468" s="645"/>
      <c r="C468" s="575"/>
      <c r="D468" s="576"/>
      <c r="E468" s="576"/>
      <c r="F468" s="576"/>
      <c r="G468" s="577"/>
      <c r="H468" s="577"/>
      <c r="I468" s="577"/>
      <c r="J468" s="577"/>
      <c r="K468" s="577"/>
      <c r="L468" s="594"/>
      <c r="M468" s="594"/>
      <c r="N468" s="594"/>
      <c r="O468" s="594"/>
    </row>
    <row r="469">
      <c r="A469" s="67"/>
      <c r="B469" s="645"/>
      <c r="C469" s="575"/>
      <c r="D469" s="576"/>
      <c r="E469" s="576"/>
      <c r="F469" s="576"/>
      <c r="G469" s="577"/>
      <c r="H469" s="577"/>
      <c r="I469" s="577"/>
      <c r="J469" s="577"/>
      <c r="K469" s="577"/>
      <c r="L469" s="594"/>
      <c r="M469" s="594"/>
      <c r="N469" s="594"/>
      <c r="O469" s="594"/>
    </row>
    <row r="470">
      <c r="A470" s="67"/>
      <c r="B470" s="645"/>
      <c r="C470" s="575"/>
      <c r="D470" s="576"/>
      <c r="E470" s="576"/>
      <c r="F470" s="576"/>
      <c r="G470" s="577"/>
      <c r="H470" s="577"/>
      <c r="I470" s="577"/>
      <c r="J470" s="577"/>
      <c r="K470" s="577"/>
      <c r="L470" s="594"/>
      <c r="M470" s="594"/>
      <c r="N470" s="594"/>
      <c r="O470" s="594"/>
    </row>
    <row r="471">
      <c r="A471" s="67"/>
      <c r="B471" s="645"/>
      <c r="C471" s="575"/>
      <c r="D471" s="576"/>
      <c r="E471" s="576"/>
      <c r="F471" s="576"/>
      <c r="G471" s="577"/>
      <c r="H471" s="577"/>
      <c r="I471" s="577"/>
      <c r="J471" s="577"/>
      <c r="K471" s="577"/>
      <c r="L471" s="594"/>
      <c r="M471" s="594"/>
      <c r="N471" s="594"/>
      <c r="O471" s="594"/>
    </row>
    <row r="472">
      <c r="A472" s="67"/>
      <c r="B472" s="645"/>
      <c r="C472" s="575"/>
      <c r="D472" s="576"/>
      <c r="E472" s="576"/>
      <c r="F472" s="576"/>
      <c r="G472" s="577"/>
      <c r="H472" s="577"/>
      <c r="I472" s="577"/>
      <c r="J472" s="577"/>
      <c r="K472" s="577"/>
      <c r="L472" s="594"/>
      <c r="M472" s="594"/>
      <c r="N472" s="594"/>
      <c r="O472" s="594"/>
    </row>
    <row r="473">
      <c r="A473" s="67"/>
      <c r="B473" s="645"/>
      <c r="C473" s="575"/>
      <c r="D473" s="576"/>
      <c r="E473" s="576"/>
      <c r="F473" s="576"/>
      <c r="G473" s="577"/>
      <c r="H473" s="577"/>
      <c r="I473" s="577"/>
      <c r="J473" s="577"/>
      <c r="K473" s="577"/>
      <c r="L473" s="594"/>
      <c r="M473" s="594"/>
      <c r="N473" s="594"/>
      <c r="O473" s="594"/>
    </row>
    <row r="474">
      <c r="A474" s="67"/>
      <c r="B474" s="645"/>
      <c r="C474" s="575"/>
      <c r="D474" s="576"/>
      <c r="E474" s="576"/>
      <c r="F474" s="576"/>
      <c r="G474" s="577"/>
      <c r="H474" s="577"/>
      <c r="I474" s="577"/>
      <c r="J474" s="577"/>
      <c r="K474" s="577"/>
      <c r="L474" s="594"/>
      <c r="M474" s="594"/>
      <c r="N474" s="594"/>
      <c r="O474" s="594"/>
    </row>
    <row r="475">
      <c r="A475" s="67"/>
      <c r="B475" s="645"/>
      <c r="C475" s="575"/>
      <c r="D475" s="576"/>
      <c r="E475" s="576"/>
      <c r="F475" s="576"/>
      <c r="G475" s="577"/>
      <c r="H475" s="577"/>
      <c r="I475" s="577"/>
      <c r="J475" s="577"/>
      <c r="K475" s="577"/>
      <c r="L475" s="594"/>
      <c r="M475" s="594"/>
      <c r="N475" s="594"/>
      <c r="O475" s="594"/>
    </row>
    <row r="476">
      <c r="A476" s="67"/>
      <c r="B476" s="645"/>
      <c r="C476" s="575"/>
      <c r="D476" s="576"/>
      <c r="E476" s="576"/>
      <c r="F476" s="576"/>
      <c r="G476" s="577"/>
      <c r="H476" s="577"/>
      <c r="I476" s="577"/>
      <c r="J476" s="577"/>
      <c r="K476" s="577"/>
      <c r="L476" s="594"/>
      <c r="M476" s="594"/>
      <c r="N476" s="594"/>
      <c r="O476" s="594"/>
    </row>
    <row r="477">
      <c r="A477" s="67"/>
      <c r="B477" s="645"/>
      <c r="C477" s="575"/>
      <c r="D477" s="576"/>
      <c r="E477" s="576"/>
      <c r="F477" s="576"/>
      <c r="G477" s="577"/>
      <c r="H477" s="577"/>
      <c r="I477" s="577"/>
      <c r="J477" s="577"/>
      <c r="K477" s="577"/>
      <c r="L477" s="594"/>
      <c r="M477" s="594"/>
      <c r="N477" s="594"/>
      <c r="O477" s="594"/>
    </row>
    <row r="478">
      <c r="A478" s="67"/>
      <c r="B478" s="645"/>
      <c r="C478" s="575"/>
      <c r="D478" s="576"/>
      <c r="E478" s="576"/>
      <c r="F478" s="576"/>
      <c r="G478" s="577"/>
      <c r="H478" s="577"/>
      <c r="I478" s="577"/>
      <c r="J478" s="577"/>
      <c r="K478" s="577"/>
      <c r="L478" s="594"/>
      <c r="M478" s="594"/>
      <c r="N478" s="594"/>
      <c r="O478" s="594"/>
    </row>
    <row r="479">
      <c r="A479" s="67"/>
      <c r="B479" s="645"/>
      <c r="C479" s="575"/>
      <c r="D479" s="576"/>
      <c r="E479" s="576"/>
      <c r="F479" s="576"/>
      <c r="G479" s="577"/>
      <c r="H479" s="577"/>
      <c r="I479" s="577"/>
      <c r="J479" s="577"/>
      <c r="K479" s="577"/>
      <c r="L479" s="594"/>
      <c r="M479" s="594"/>
      <c r="N479" s="594"/>
      <c r="O479" s="594"/>
    </row>
    <row r="480">
      <c r="A480" s="67"/>
      <c r="B480" s="645"/>
      <c r="C480" s="575"/>
      <c r="D480" s="576"/>
      <c r="E480" s="576"/>
      <c r="F480" s="576"/>
      <c r="G480" s="577"/>
      <c r="H480" s="577"/>
      <c r="I480" s="577"/>
      <c r="J480" s="577"/>
      <c r="K480" s="577"/>
      <c r="L480" s="594"/>
      <c r="M480" s="594"/>
      <c r="N480" s="594"/>
      <c r="O480" s="594"/>
    </row>
    <row r="481">
      <c r="A481" s="67"/>
      <c r="B481" s="645"/>
      <c r="C481" s="575"/>
      <c r="D481" s="576"/>
      <c r="E481" s="576"/>
      <c r="F481" s="576"/>
      <c r="G481" s="577"/>
      <c r="H481" s="577"/>
      <c r="I481" s="577"/>
      <c r="J481" s="577"/>
      <c r="K481" s="577"/>
      <c r="L481" s="594"/>
      <c r="M481" s="594"/>
      <c r="N481" s="594"/>
      <c r="O481" s="594"/>
    </row>
    <row r="482">
      <c r="A482" s="67"/>
      <c r="B482" s="645"/>
      <c r="C482" s="575"/>
      <c r="D482" s="576"/>
      <c r="E482" s="576"/>
      <c r="F482" s="576"/>
      <c r="G482" s="577"/>
      <c r="H482" s="577"/>
      <c r="I482" s="577"/>
      <c r="J482" s="577"/>
      <c r="K482" s="577"/>
      <c r="L482" s="594"/>
      <c r="M482" s="594"/>
      <c r="N482" s="594"/>
      <c r="O482" s="594"/>
    </row>
    <row r="483">
      <c r="A483" s="67"/>
      <c r="B483" s="645"/>
      <c r="C483" s="575"/>
      <c r="D483" s="576"/>
      <c r="E483" s="576"/>
      <c r="F483" s="576"/>
      <c r="G483" s="577"/>
      <c r="H483" s="577"/>
      <c r="I483" s="577"/>
      <c r="J483" s="577"/>
      <c r="K483" s="577"/>
      <c r="L483" s="594"/>
      <c r="M483" s="594"/>
      <c r="N483" s="594"/>
      <c r="O483" s="594"/>
    </row>
    <row r="484">
      <c r="A484" s="67"/>
      <c r="B484" s="645"/>
      <c r="C484" s="575"/>
      <c r="D484" s="576"/>
      <c r="E484" s="576"/>
      <c r="F484" s="576"/>
      <c r="G484" s="577"/>
      <c r="H484" s="577"/>
      <c r="I484" s="577"/>
      <c r="J484" s="577"/>
      <c r="K484" s="577"/>
      <c r="L484" s="594"/>
      <c r="M484" s="594"/>
      <c r="N484" s="594"/>
      <c r="O484" s="594"/>
    </row>
    <row r="485">
      <c r="A485" s="67"/>
      <c r="B485" s="645"/>
      <c r="C485" s="575"/>
      <c r="D485" s="576"/>
      <c r="E485" s="576"/>
      <c r="F485" s="576"/>
      <c r="G485" s="577"/>
      <c r="H485" s="577"/>
      <c r="I485" s="577"/>
      <c r="J485" s="577"/>
      <c r="K485" s="577"/>
      <c r="L485" s="594"/>
      <c r="M485" s="594"/>
      <c r="N485" s="594"/>
      <c r="O485" s="594"/>
    </row>
    <row r="486">
      <c r="A486" s="67"/>
      <c r="B486" s="645"/>
      <c r="C486" s="575"/>
      <c r="D486" s="576"/>
      <c r="E486" s="576"/>
      <c r="F486" s="576"/>
      <c r="G486" s="577"/>
      <c r="H486" s="577"/>
      <c r="I486" s="577"/>
      <c r="J486" s="577"/>
      <c r="K486" s="577"/>
      <c r="L486" s="594"/>
      <c r="M486" s="594"/>
      <c r="N486" s="594"/>
      <c r="O486" s="594"/>
    </row>
    <row r="487">
      <c r="A487" s="67"/>
      <c r="B487" s="645"/>
      <c r="C487" s="575"/>
      <c r="D487" s="576"/>
      <c r="E487" s="576"/>
      <c r="F487" s="576"/>
      <c r="G487" s="577"/>
      <c r="H487" s="577"/>
      <c r="I487" s="577"/>
      <c r="J487" s="577"/>
      <c r="K487" s="577"/>
      <c r="L487" s="594"/>
      <c r="M487" s="594"/>
      <c r="N487" s="594"/>
      <c r="O487" s="594"/>
    </row>
    <row r="488">
      <c r="A488" s="67"/>
      <c r="B488" s="645"/>
      <c r="C488" s="575"/>
      <c r="D488" s="576"/>
      <c r="E488" s="576"/>
      <c r="F488" s="576"/>
      <c r="G488" s="577"/>
      <c r="H488" s="577"/>
      <c r="I488" s="577"/>
      <c r="J488" s="577"/>
      <c r="K488" s="577"/>
      <c r="L488" s="594"/>
      <c r="M488" s="594"/>
      <c r="N488" s="594"/>
      <c r="O488" s="594"/>
    </row>
    <row r="489">
      <c r="A489" s="67"/>
      <c r="B489" s="645"/>
      <c r="C489" s="575"/>
      <c r="D489" s="576"/>
      <c r="E489" s="576"/>
      <c r="F489" s="576"/>
      <c r="G489" s="577"/>
      <c r="H489" s="577"/>
      <c r="I489" s="577"/>
      <c r="J489" s="577"/>
      <c r="K489" s="577"/>
      <c r="L489" s="594"/>
      <c r="M489" s="594"/>
      <c r="N489" s="594"/>
      <c r="O489" s="594"/>
    </row>
    <row r="490">
      <c r="A490" s="67"/>
      <c r="B490" s="645"/>
      <c r="C490" s="575"/>
      <c r="D490" s="576"/>
      <c r="E490" s="576"/>
      <c r="F490" s="576"/>
      <c r="G490" s="577"/>
      <c r="H490" s="577"/>
      <c r="I490" s="577"/>
      <c r="J490" s="577"/>
      <c r="K490" s="577"/>
      <c r="L490" s="594"/>
      <c r="M490" s="594"/>
      <c r="N490" s="594"/>
      <c r="O490" s="594"/>
    </row>
    <row r="491">
      <c r="A491" s="67"/>
      <c r="B491" s="645"/>
      <c r="C491" s="575"/>
      <c r="D491" s="576"/>
      <c r="E491" s="576"/>
      <c r="F491" s="576"/>
      <c r="G491" s="577"/>
      <c r="H491" s="577"/>
      <c r="I491" s="577"/>
      <c r="J491" s="577"/>
      <c r="K491" s="577"/>
      <c r="L491" s="594"/>
      <c r="M491" s="594"/>
      <c r="N491" s="594"/>
      <c r="O491" s="594"/>
    </row>
    <row r="492">
      <c r="A492" s="67"/>
      <c r="B492" s="645"/>
      <c r="C492" s="575"/>
      <c r="D492" s="576"/>
      <c r="E492" s="576"/>
      <c r="F492" s="576"/>
      <c r="G492" s="577"/>
      <c r="H492" s="577"/>
      <c r="I492" s="577"/>
      <c r="J492" s="577"/>
      <c r="K492" s="577"/>
      <c r="L492" s="594"/>
      <c r="M492" s="594"/>
      <c r="N492" s="594"/>
      <c r="O492" s="594"/>
    </row>
    <row r="493">
      <c r="A493" s="67"/>
      <c r="B493" s="645"/>
      <c r="C493" s="575"/>
      <c r="D493" s="576"/>
      <c r="E493" s="576"/>
      <c r="F493" s="576"/>
      <c r="G493" s="577"/>
      <c r="H493" s="577"/>
      <c r="I493" s="577"/>
      <c r="J493" s="577"/>
      <c r="K493" s="577"/>
      <c r="L493" s="594"/>
      <c r="M493" s="594"/>
      <c r="N493" s="594"/>
      <c r="O493" s="594"/>
    </row>
    <row r="494">
      <c r="A494" s="67"/>
      <c r="B494" s="645"/>
      <c r="C494" s="575"/>
      <c r="D494" s="576"/>
      <c r="E494" s="576"/>
      <c r="F494" s="576"/>
      <c r="G494" s="577"/>
      <c r="H494" s="577"/>
      <c r="I494" s="577"/>
      <c r="J494" s="577"/>
      <c r="K494" s="577"/>
      <c r="L494" s="594"/>
      <c r="M494" s="594"/>
      <c r="N494" s="594"/>
      <c r="O494" s="594"/>
    </row>
    <row r="495">
      <c r="A495" s="67"/>
      <c r="B495" s="645"/>
      <c r="C495" s="575"/>
      <c r="D495" s="576"/>
      <c r="E495" s="576"/>
      <c r="F495" s="576"/>
      <c r="G495" s="577"/>
      <c r="H495" s="577"/>
      <c r="I495" s="577"/>
      <c r="J495" s="577"/>
      <c r="K495" s="577"/>
      <c r="L495" s="594"/>
      <c r="M495" s="594"/>
      <c r="N495" s="594"/>
      <c r="O495" s="594"/>
    </row>
    <row r="496">
      <c r="A496" s="67"/>
      <c r="B496" s="645"/>
      <c r="C496" s="575"/>
      <c r="D496" s="576"/>
      <c r="E496" s="576"/>
      <c r="F496" s="576"/>
      <c r="G496" s="577"/>
      <c r="H496" s="577"/>
      <c r="I496" s="577"/>
      <c r="J496" s="577"/>
      <c r="K496" s="577"/>
      <c r="L496" s="594"/>
      <c r="M496" s="594"/>
      <c r="N496" s="594"/>
      <c r="O496" s="594"/>
    </row>
    <row r="497">
      <c r="A497" s="67"/>
      <c r="B497" s="645"/>
      <c r="C497" s="575"/>
      <c r="D497" s="576"/>
      <c r="E497" s="576"/>
      <c r="F497" s="576"/>
      <c r="G497" s="577"/>
      <c r="H497" s="577"/>
      <c r="I497" s="577"/>
      <c r="J497" s="577"/>
      <c r="K497" s="577"/>
      <c r="L497" s="594"/>
      <c r="M497" s="594"/>
      <c r="N497" s="594"/>
      <c r="O497" s="594"/>
    </row>
    <row r="498">
      <c r="A498" s="67"/>
      <c r="B498" s="645"/>
      <c r="C498" s="575"/>
      <c r="D498" s="576"/>
      <c r="E498" s="576"/>
      <c r="F498" s="576"/>
      <c r="G498" s="577"/>
      <c r="H498" s="577"/>
      <c r="I498" s="577"/>
      <c r="J498" s="577"/>
      <c r="K498" s="577"/>
      <c r="L498" s="594"/>
      <c r="M498" s="594"/>
      <c r="N498" s="594"/>
      <c r="O498" s="594"/>
    </row>
    <row r="499">
      <c r="A499" s="67"/>
      <c r="B499" s="645"/>
      <c r="C499" s="575"/>
      <c r="D499" s="576"/>
      <c r="E499" s="576"/>
      <c r="F499" s="576"/>
      <c r="G499" s="577"/>
      <c r="H499" s="577"/>
      <c r="I499" s="577"/>
      <c r="J499" s="577"/>
      <c r="K499" s="577"/>
      <c r="L499" s="594"/>
      <c r="M499" s="594"/>
      <c r="N499" s="594"/>
      <c r="O499" s="594"/>
    </row>
    <row r="500">
      <c r="A500" s="67"/>
      <c r="B500" s="645"/>
      <c r="C500" s="575"/>
      <c r="D500" s="576"/>
      <c r="E500" s="576"/>
      <c r="F500" s="576"/>
      <c r="G500" s="577"/>
      <c r="H500" s="577"/>
      <c r="I500" s="577"/>
      <c r="J500" s="577"/>
      <c r="K500" s="577"/>
      <c r="L500" s="594"/>
      <c r="M500" s="594"/>
      <c r="N500" s="594"/>
      <c r="O500" s="594"/>
    </row>
    <row r="501">
      <c r="A501" s="67"/>
      <c r="B501" s="645"/>
      <c r="C501" s="575"/>
      <c r="D501" s="576"/>
      <c r="E501" s="576"/>
      <c r="F501" s="576"/>
      <c r="G501" s="577"/>
      <c r="H501" s="577"/>
      <c r="I501" s="577"/>
      <c r="J501" s="577"/>
      <c r="K501" s="577"/>
      <c r="L501" s="594"/>
      <c r="M501" s="594"/>
      <c r="N501" s="594"/>
      <c r="O501" s="594"/>
    </row>
    <row r="502">
      <c r="A502" s="67"/>
      <c r="B502" s="645"/>
      <c r="C502" s="575"/>
      <c r="D502" s="576"/>
      <c r="E502" s="576"/>
      <c r="F502" s="576"/>
      <c r="G502" s="577"/>
      <c r="H502" s="577"/>
      <c r="I502" s="577"/>
      <c r="J502" s="577"/>
      <c r="K502" s="577"/>
      <c r="L502" s="594"/>
      <c r="M502" s="594"/>
      <c r="N502" s="594"/>
      <c r="O502" s="594"/>
    </row>
    <row r="503">
      <c r="A503" s="67"/>
      <c r="B503" s="645"/>
      <c r="C503" s="575"/>
      <c r="D503" s="576"/>
      <c r="E503" s="576"/>
      <c r="F503" s="576"/>
      <c r="G503" s="577"/>
      <c r="H503" s="577"/>
      <c r="I503" s="577"/>
      <c r="J503" s="577"/>
      <c r="K503" s="577"/>
      <c r="L503" s="594"/>
      <c r="M503" s="594"/>
      <c r="N503" s="594"/>
      <c r="O503" s="594"/>
    </row>
    <row r="504">
      <c r="A504" s="67"/>
      <c r="B504" s="645"/>
      <c r="C504" s="575"/>
      <c r="D504" s="576"/>
      <c r="E504" s="576"/>
      <c r="F504" s="576"/>
      <c r="G504" s="577"/>
      <c r="H504" s="577"/>
      <c r="I504" s="577"/>
      <c r="J504" s="577"/>
      <c r="K504" s="577"/>
      <c r="L504" s="594"/>
      <c r="M504" s="594"/>
      <c r="N504" s="594"/>
      <c r="O504" s="594"/>
    </row>
    <row r="505">
      <c r="A505" s="67"/>
      <c r="B505" s="645"/>
      <c r="C505" s="575"/>
      <c r="D505" s="576"/>
      <c r="E505" s="576"/>
      <c r="F505" s="576"/>
      <c r="G505" s="577"/>
      <c r="H505" s="577"/>
      <c r="I505" s="577"/>
      <c r="J505" s="577"/>
      <c r="K505" s="577"/>
      <c r="L505" s="594"/>
      <c r="M505" s="594"/>
      <c r="N505" s="594"/>
      <c r="O505" s="594"/>
    </row>
    <row r="506">
      <c r="A506" s="67"/>
      <c r="B506" s="645"/>
      <c r="C506" s="575"/>
      <c r="D506" s="576"/>
      <c r="E506" s="576"/>
      <c r="F506" s="576"/>
      <c r="G506" s="577"/>
      <c r="H506" s="577"/>
      <c r="I506" s="577"/>
      <c r="J506" s="577"/>
      <c r="K506" s="577"/>
      <c r="L506" s="594"/>
      <c r="M506" s="594"/>
      <c r="N506" s="594"/>
      <c r="O506" s="594"/>
    </row>
    <row r="507">
      <c r="A507" s="67"/>
      <c r="B507" s="645"/>
      <c r="C507" s="575"/>
      <c r="D507" s="576"/>
      <c r="E507" s="576"/>
      <c r="F507" s="576"/>
      <c r="G507" s="577"/>
      <c r="H507" s="577"/>
      <c r="I507" s="577"/>
      <c r="J507" s="577"/>
      <c r="K507" s="577"/>
      <c r="L507" s="594"/>
      <c r="M507" s="594"/>
      <c r="N507" s="594"/>
      <c r="O507" s="594"/>
    </row>
    <row r="508">
      <c r="A508" s="67"/>
      <c r="B508" s="645"/>
      <c r="C508" s="575"/>
      <c r="D508" s="576"/>
      <c r="E508" s="576"/>
      <c r="F508" s="576"/>
      <c r="G508" s="577"/>
      <c r="H508" s="577"/>
      <c r="I508" s="577"/>
      <c r="J508" s="577"/>
      <c r="K508" s="577"/>
      <c r="L508" s="594"/>
      <c r="M508" s="594"/>
      <c r="N508" s="594"/>
      <c r="O508" s="594"/>
    </row>
    <row r="509">
      <c r="A509" s="67"/>
      <c r="B509" s="645"/>
      <c r="C509" s="575"/>
      <c r="D509" s="576"/>
      <c r="E509" s="576"/>
      <c r="F509" s="576"/>
      <c r="G509" s="577"/>
      <c r="H509" s="577"/>
      <c r="I509" s="577"/>
      <c r="J509" s="577"/>
      <c r="K509" s="577"/>
      <c r="L509" s="594"/>
      <c r="M509" s="594"/>
      <c r="N509" s="594"/>
      <c r="O509" s="594"/>
    </row>
    <row r="510">
      <c r="A510" s="67"/>
      <c r="B510" s="645"/>
      <c r="C510" s="575"/>
      <c r="D510" s="576"/>
      <c r="E510" s="576"/>
      <c r="F510" s="576"/>
      <c r="G510" s="577"/>
      <c r="H510" s="577"/>
      <c r="I510" s="577"/>
      <c r="J510" s="577"/>
      <c r="K510" s="577"/>
      <c r="L510" s="594"/>
      <c r="M510" s="594"/>
      <c r="N510" s="594"/>
      <c r="O510" s="594"/>
    </row>
    <row r="511">
      <c r="A511" s="67"/>
      <c r="B511" s="645"/>
      <c r="C511" s="575"/>
      <c r="D511" s="576"/>
      <c r="E511" s="576"/>
      <c r="F511" s="576"/>
      <c r="G511" s="577"/>
      <c r="H511" s="577"/>
      <c r="I511" s="577"/>
      <c r="J511" s="577"/>
      <c r="K511" s="577"/>
      <c r="L511" s="594"/>
      <c r="M511" s="594"/>
      <c r="N511" s="594"/>
      <c r="O511" s="594"/>
    </row>
    <row r="512">
      <c r="A512" s="67"/>
      <c r="B512" s="645"/>
      <c r="C512" s="575"/>
      <c r="D512" s="576"/>
      <c r="E512" s="576"/>
      <c r="F512" s="576"/>
      <c r="G512" s="577"/>
      <c r="H512" s="577"/>
      <c r="I512" s="577"/>
      <c r="J512" s="577"/>
      <c r="K512" s="577"/>
      <c r="L512" s="594"/>
      <c r="M512" s="594"/>
      <c r="N512" s="594"/>
      <c r="O512" s="594"/>
    </row>
    <row r="513">
      <c r="A513" s="67"/>
      <c r="B513" s="645"/>
      <c r="C513" s="575"/>
      <c r="D513" s="576"/>
      <c r="E513" s="576"/>
      <c r="F513" s="576"/>
      <c r="G513" s="577"/>
      <c r="H513" s="577"/>
      <c r="I513" s="577"/>
      <c r="J513" s="577"/>
      <c r="K513" s="577"/>
      <c r="L513" s="594"/>
      <c r="M513" s="594"/>
      <c r="N513" s="594"/>
      <c r="O513" s="594"/>
    </row>
    <row r="514">
      <c r="A514" s="67"/>
      <c r="B514" s="645"/>
      <c r="C514" s="575"/>
      <c r="D514" s="576"/>
      <c r="E514" s="576"/>
      <c r="F514" s="576"/>
      <c r="G514" s="577"/>
      <c r="H514" s="577"/>
      <c r="I514" s="577"/>
      <c r="J514" s="577"/>
      <c r="K514" s="577"/>
      <c r="L514" s="594"/>
      <c r="M514" s="594"/>
      <c r="N514" s="594"/>
      <c r="O514" s="594"/>
    </row>
    <row r="515">
      <c r="A515" s="67"/>
      <c r="B515" s="645"/>
      <c r="C515" s="575"/>
      <c r="D515" s="576"/>
      <c r="E515" s="576"/>
      <c r="F515" s="576"/>
      <c r="G515" s="577"/>
      <c r="H515" s="577"/>
      <c r="I515" s="577"/>
      <c r="J515" s="577"/>
      <c r="K515" s="577"/>
      <c r="L515" s="594"/>
      <c r="M515" s="594"/>
      <c r="N515" s="594"/>
      <c r="O515" s="594"/>
    </row>
    <row r="516">
      <c r="A516" s="67"/>
      <c r="B516" s="645"/>
      <c r="C516" s="575"/>
      <c r="D516" s="576"/>
      <c r="E516" s="576"/>
      <c r="F516" s="576"/>
      <c r="G516" s="577"/>
      <c r="H516" s="577"/>
      <c r="I516" s="577"/>
      <c r="J516" s="577"/>
      <c r="K516" s="577"/>
      <c r="L516" s="594"/>
      <c r="M516" s="594"/>
      <c r="N516" s="594"/>
      <c r="O516" s="594"/>
    </row>
    <row r="517">
      <c r="A517" s="67"/>
      <c r="B517" s="645"/>
      <c r="C517" s="575"/>
      <c r="D517" s="576"/>
      <c r="E517" s="576"/>
      <c r="F517" s="576"/>
      <c r="G517" s="577"/>
      <c r="H517" s="577"/>
      <c r="I517" s="577"/>
      <c r="J517" s="577"/>
      <c r="K517" s="577"/>
      <c r="L517" s="594"/>
      <c r="M517" s="594"/>
      <c r="N517" s="594"/>
      <c r="O517" s="594"/>
    </row>
    <row r="518">
      <c r="A518" s="67"/>
      <c r="B518" s="645"/>
      <c r="C518" s="575"/>
      <c r="D518" s="576"/>
      <c r="E518" s="576"/>
      <c r="F518" s="576"/>
      <c r="G518" s="577"/>
      <c r="H518" s="577"/>
      <c r="I518" s="577"/>
      <c r="J518" s="577"/>
      <c r="K518" s="577"/>
      <c r="L518" s="594"/>
      <c r="M518" s="594"/>
      <c r="N518" s="594"/>
      <c r="O518" s="594"/>
    </row>
    <row r="519">
      <c r="A519" s="67"/>
      <c r="B519" s="645"/>
      <c r="C519" s="575"/>
      <c r="D519" s="576"/>
      <c r="E519" s="576"/>
      <c r="F519" s="576"/>
      <c r="G519" s="577"/>
      <c r="H519" s="577"/>
      <c r="I519" s="577"/>
      <c r="J519" s="577"/>
      <c r="K519" s="577"/>
      <c r="L519" s="594"/>
      <c r="M519" s="594"/>
      <c r="N519" s="594"/>
      <c r="O519" s="594"/>
    </row>
    <row r="520">
      <c r="A520" s="67"/>
      <c r="B520" s="645"/>
      <c r="C520" s="575"/>
      <c r="D520" s="576"/>
      <c r="E520" s="576"/>
      <c r="F520" s="576"/>
      <c r="G520" s="577"/>
      <c r="H520" s="577"/>
      <c r="I520" s="577"/>
      <c r="J520" s="577"/>
      <c r="K520" s="577"/>
      <c r="L520" s="594"/>
      <c r="M520" s="594"/>
      <c r="N520" s="594"/>
      <c r="O520" s="594"/>
    </row>
    <row r="521">
      <c r="A521" s="67"/>
      <c r="B521" s="645"/>
      <c r="C521" s="575"/>
      <c r="D521" s="576"/>
      <c r="E521" s="576"/>
      <c r="F521" s="576"/>
      <c r="G521" s="577"/>
      <c r="H521" s="577"/>
      <c r="I521" s="577"/>
      <c r="J521" s="577"/>
      <c r="K521" s="577"/>
      <c r="L521" s="594"/>
      <c r="M521" s="594"/>
      <c r="N521" s="594"/>
      <c r="O521" s="594"/>
    </row>
    <row r="522">
      <c r="A522" s="67"/>
      <c r="B522" s="645"/>
      <c r="C522" s="575"/>
      <c r="D522" s="576"/>
      <c r="E522" s="576"/>
      <c r="F522" s="576"/>
      <c r="G522" s="577"/>
      <c r="H522" s="577"/>
      <c r="I522" s="577"/>
      <c r="J522" s="577"/>
      <c r="K522" s="577"/>
      <c r="L522" s="594"/>
      <c r="M522" s="594"/>
      <c r="N522" s="594"/>
      <c r="O522" s="594"/>
    </row>
    <row r="523">
      <c r="A523" s="67"/>
      <c r="B523" s="645"/>
      <c r="C523" s="575"/>
      <c r="D523" s="576"/>
      <c r="E523" s="576"/>
      <c r="F523" s="576"/>
      <c r="G523" s="577"/>
      <c r="H523" s="577"/>
      <c r="I523" s="577"/>
      <c r="J523" s="577"/>
      <c r="K523" s="577"/>
      <c r="L523" s="594"/>
      <c r="M523" s="594"/>
      <c r="N523" s="594"/>
      <c r="O523" s="594"/>
    </row>
    <row r="524">
      <c r="A524" s="67"/>
      <c r="B524" s="645"/>
      <c r="C524" s="575"/>
      <c r="D524" s="576"/>
      <c r="E524" s="576"/>
      <c r="F524" s="576"/>
      <c r="G524" s="577"/>
      <c r="H524" s="577"/>
      <c r="I524" s="577"/>
      <c r="J524" s="577"/>
      <c r="K524" s="577"/>
      <c r="L524" s="594"/>
      <c r="M524" s="594"/>
      <c r="N524" s="594"/>
      <c r="O524" s="594"/>
    </row>
    <row r="525">
      <c r="A525" s="67"/>
      <c r="B525" s="645"/>
      <c r="C525" s="575"/>
      <c r="D525" s="576"/>
      <c r="E525" s="576"/>
      <c r="F525" s="576"/>
      <c r="G525" s="577"/>
      <c r="H525" s="577"/>
      <c r="I525" s="577"/>
      <c r="J525" s="577"/>
      <c r="K525" s="577"/>
      <c r="L525" s="594"/>
      <c r="M525" s="594"/>
      <c r="N525" s="594"/>
      <c r="O525" s="594"/>
    </row>
    <row r="526">
      <c r="A526" s="67"/>
      <c r="B526" s="645"/>
      <c r="C526" s="575"/>
      <c r="D526" s="576"/>
      <c r="E526" s="576"/>
      <c r="F526" s="576"/>
      <c r="G526" s="577"/>
      <c r="H526" s="577"/>
      <c r="I526" s="577"/>
      <c r="J526" s="577"/>
      <c r="K526" s="577"/>
      <c r="L526" s="594"/>
      <c r="M526" s="594"/>
      <c r="N526" s="594"/>
      <c r="O526" s="594"/>
    </row>
    <row r="527">
      <c r="A527" s="67"/>
      <c r="B527" s="645"/>
      <c r="C527" s="575"/>
      <c r="D527" s="576"/>
      <c r="E527" s="576"/>
      <c r="F527" s="576"/>
      <c r="G527" s="577"/>
      <c r="H527" s="577"/>
      <c r="I527" s="577"/>
      <c r="J527" s="577"/>
      <c r="K527" s="577"/>
      <c r="L527" s="594"/>
      <c r="M527" s="594"/>
      <c r="N527" s="594"/>
      <c r="O527" s="594"/>
    </row>
    <row r="528">
      <c r="A528" s="67"/>
      <c r="B528" s="645"/>
      <c r="C528" s="575"/>
      <c r="D528" s="576"/>
      <c r="E528" s="576"/>
      <c r="F528" s="576"/>
      <c r="G528" s="577"/>
      <c r="H528" s="577"/>
      <c r="I528" s="577"/>
      <c r="J528" s="577"/>
      <c r="K528" s="577"/>
      <c r="L528" s="594"/>
      <c r="M528" s="594"/>
      <c r="N528" s="594"/>
      <c r="O528" s="594"/>
    </row>
    <row r="529">
      <c r="A529" s="67"/>
      <c r="B529" s="645"/>
      <c r="C529" s="575"/>
      <c r="D529" s="576"/>
      <c r="E529" s="576"/>
      <c r="F529" s="576"/>
      <c r="G529" s="577"/>
      <c r="H529" s="577"/>
      <c r="I529" s="577"/>
      <c r="J529" s="577"/>
      <c r="K529" s="577"/>
      <c r="L529" s="594"/>
      <c r="M529" s="594"/>
      <c r="N529" s="594"/>
      <c r="O529" s="594"/>
    </row>
    <row r="530">
      <c r="A530" s="67"/>
      <c r="B530" s="645"/>
      <c r="C530" s="575"/>
      <c r="D530" s="576"/>
      <c r="E530" s="576"/>
      <c r="F530" s="576"/>
      <c r="G530" s="577"/>
      <c r="H530" s="577"/>
      <c r="I530" s="577"/>
      <c r="J530" s="577"/>
      <c r="K530" s="577"/>
      <c r="L530" s="594"/>
      <c r="M530" s="594"/>
      <c r="N530" s="594"/>
      <c r="O530" s="594"/>
    </row>
    <row r="531">
      <c r="A531" s="67"/>
      <c r="B531" s="645"/>
      <c r="C531" s="575"/>
      <c r="D531" s="576"/>
      <c r="E531" s="576"/>
      <c r="F531" s="576"/>
      <c r="G531" s="577"/>
      <c r="H531" s="577"/>
      <c r="I531" s="577"/>
      <c r="J531" s="577"/>
      <c r="K531" s="577"/>
      <c r="L531" s="594"/>
      <c r="M531" s="594"/>
      <c r="N531" s="594"/>
      <c r="O531" s="594"/>
    </row>
    <row r="532">
      <c r="A532" s="67"/>
      <c r="B532" s="645"/>
      <c r="C532" s="575"/>
      <c r="D532" s="576"/>
      <c r="E532" s="576"/>
      <c r="F532" s="576"/>
      <c r="G532" s="577"/>
      <c r="H532" s="577"/>
      <c r="I532" s="577"/>
      <c r="J532" s="577"/>
      <c r="K532" s="577"/>
      <c r="L532" s="594"/>
      <c r="M532" s="594"/>
      <c r="N532" s="594"/>
      <c r="O532" s="594"/>
    </row>
    <row r="533">
      <c r="A533" s="67"/>
      <c r="B533" s="645"/>
      <c r="C533" s="575"/>
      <c r="D533" s="576"/>
      <c r="E533" s="576"/>
      <c r="F533" s="576"/>
      <c r="G533" s="577"/>
      <c r="H533" s="577"/>
      <c r="I533" s="577"/>
      <c r="J533" s="577"/>
      <c r="K533" s="577"/>
      <c r="L533" s="594"/>
      <c r="M533" s="594"/>
      <c r="N533" s="594"/>
      <c r="O533" s="594"/>
    </row>
    <row r="534">
      <c r="A534" s="67"/>
      <c r="B534" s="645"/>
      <c r="C534" s="575"/>
      <c r="D534" s="576"/>
      <c r="E534" s="576"/>
      <c r="F534" s="576"/>
      <c r="G534" s="577"/>
      <c r="H534" s="577"/>
      <c r="I534" s="577"/>
      <c r="J534" s="577"/>
      <c r="K534" s="577"/>
      <c r="L534" s="594"/>
      <c r="M534" s="594"/>
      <c r="N534" s="594"/>
      <c r="O534" s="594"/>
    </row>
    <row r="535">
      <c r="A535" s="67"/>
      <c r="B535" s="645"/>
      <c r="C535" s="575"/>
      <c r="D535" s="576"/>
      <c r="E535" s="576"/>
      <c r="F535" s="576"/>
      <c r="G535" s="577"/>
      <c r="H535" s="577"/>
      <c r="I535" s="577"/>
      <c r="J535" s="577"/>
      <c r="K535" s="577"/>
      <c r="L535" s="594"/>
      <c r="M535" s="594"/>
      <c r="N535" s="594"/>
      <c r="O535" s="594"/>
    </row>
    <row r="536">
      <c r="A536" s="67"/>
      <c r="B536" s="645"/>
      <c r="C536" s="575"/>
      <c r="D536" s="576"/>
      <c r="E536" s="576"/>
      <c r="F536" s="576"/>
      <c r="G536" s="577"/>
      <c r="H536" s="577"/>
      <c r="I536" s="577"/>
      <c r="J536" s="577"/>
      <c r="K536" s="577"/>
      <c r="L536" s="594"/>
      <c r="M536" s="594"/>
      <c r="N536" s="594"/>
      <c r="O536" s="594"/>
    </row>
    <row r="537">
      <c r="A537" s="67"/>
      <c r="B537" s="645"/>
      <c r="C537" s="575"/>
      <c r="D537" s="576"/>
      <c r="E537" s="576"/>
      <c r="F537" s="576"/>
      <c r="G537" s="577"/>
      <c r="H537" s="577"/>
      <c r="I537" s="577"/>
      <c r="J537" s="577"/>
      <c r="K537" s="577"/>
      <c r="L537" s="594"/>
      <c r="M537" s="594"/>
      <c r="N537" s="594"/>
      <c r="O537" s="594"/>
    </row>
    <row r="538">
      <c r="A538" s="67"/>
      <c r="B538" s="645"/>
      <c r="C538" s="575"/>
      <c r="D538" s="576"/>
      <c r="E538" s="576"/>
      <c r="F538" s="576"/>
      <c r="G538" s="577"/>
      <c r="H538" s="577"/>
      <c r="I538" s="577"/>
      <c r="J538" s="577"/>
      <c r="K538" s="577"/>
      <c r="L538" s="594"/>
      <c r="M538" s="594"/>
      <c r="N538" s="594"/>
      <c r="O538" s="594"/>
    </row>
    <row r="539">
      <c r="A539" s="67"/>
      <c r="B539" s="645"/>
      <c r="C539" s="575"/>
      <c r="D539" s="576"/>
      <c r="E539" s="576"/>
      <c r="F539" s="576"/>
      <c r="G539" s="577"/>
      <c r="H539" s="577"/>
      <c r="I539" s="577"/>
      <c r="J539" s="577"/>
      <c r="K539" s="577"/>
      <c r="L539" s="594"/>
      <c r="M539" s="594"/>
      <c r="N539" s="594"/>
      <c r="O539" s="594"/>
    </row>
    <row r="540">
      <c r="A540" s="67"/>
      <c r="B540" s="645"/>
      <c r="C540" s="575"/>
      <c r="D540" s="576"/>
      <c r="E540" s="576"/>
      <c r="F540" s="576"/>
      <c r="G540" s="577"/>
      <c r="H540" s="577"/>
      <c r="I540" s="577"/>
      <c r="J540" s="577"/>
      <c r="K540" s="577"/>
      <c r="L540" s="594"/>
      <c r="M540" s="594"/>
      <c r="N540" s="594"/>
      <c r="O540" s="594"/>
    </row>
    <row r="541">
      <c r="A541" s="67"/>
      <c r="B541" s="645"/>
      <c r="C541" s="575"/>
      <c r="D541" s="576"/>
      <c r="E541" s="576"/>
      <c r="F541" s="576"/>
      <c r="G541" s="577"/>
      <c r="H541" s="577"/>
      <c r="I541" s="577"/>
      <c r="J541" s="577"/>
      <c r="K541" s="577"/>
      <c r="L541" s="594"/>
      <c r="M541" s="594"/>
      <c r="N541" s="594"/>
      <c r="O541" s="594"/>
    </row>
    <row r="542">
      <c r="A542" s="67"/>
      <c r="B542" s="645"/>
      <c r="C542" s="575"/>
      <c r="D542" s="576"/>
      <c r="E542" s="576"/>
      <c r="F542" s="576"/>
      <c r="G542" s="577"/>
      <c r="H542" s="577"/>
      <c r="I542" s="577"/>
      <c r="J542" s="577"/>
      <c r="K542" s="577"/>
      <c r="L542" s="594"/>
      <c r="M542" s="594"/>
      <c r="N542" s="594"/>
      <c r="O542" s="594"/>
    </row>
    <row r="543">
      <c r="A543" s="67"/>
      <c r="B543" s="645"/>
      <c r="C543" s="575"/>
      <c r="D543" s="576"/>
      <c r="E543" s="576"/>
      <c r="F543" s="576"/>
      <c r="G543" s="577"/>
      <c r="H543" s="577"/>
      <c r="I543" s="577"/>
      <c r="J543" s="577"/>
      <c r="K543" s="577"/>
      <c r="L543" s="594"/>
      <c r="M543" s="594"/>
      <c r="N543" s="594"/>
      <c r="O543" s="594"/>
    </row>
    <row r="544">
      <c r="A544" s="67"/>
      <c r="B544" s="645"/>
      <c r="C544" s="575"/>
      <c r="D544" s="576"/>
      <c r="E544" s="576"/>
      <c r="F544" s="576"/>
      <c r="G544" s="577"/>
      <c r="H544" s="577"/>
      <c r="I544" s="577"/>
      <c r="J544" s="577"/>
      <c r="K544" s="577"/>
      <c r="L544" s="594"/>
      <c r="M544" s="594"/>
      <c r="N544" s="594"/>
      <c r="O544" s="594"/>
    </row>
    <row r="545">
      <c r="A545" s="67"/>
      <c r="B545" s="645"/>
      <c r="C545" s="575"/>
      <c r="D545" s="576"/>
      <c r="E545" s="576"/>
      <c r="F545" s="576"/>
      <c r="G545" s="577"/>
      <c r="H545" s="577"/>
      <c r="I545" s="577"/>
      <c r="J545" s="577"/>
      <c r="K545" s="577"/>
      <c r="L545" s="594"/>
      <c r="M545" s="594"/>
      <c r="N545" s="594"/>
      <c r="O545" s="594"/>
    </row>
    <row r="546">
      <c r="A546" s="67"/>
      <c r="B546" s="645"/>
      <c r="C546" s="575"/>
      <c r="D546" s="576"/>
      <c r="E546" s="576"/>
      <c r="F546" s="576"/>
      <c r="G546" s="577"/>
      <c r="H546" s="577"/>
      <c r="I546" s="577"/>
      <c r="J546" s="577"/>
      <c r="K546" s="577"/>
      <c r="L546" s="594"/>
      <c r="M546" s="594"/>
      <c r="N546" s="594"/>
      <c r="O546" s="594"/>
    </row>
    <row r="547">
      <c r="A547" s="67"/>
      <c r="B547" s="645"/>
      <c r="C547" s="575"/>
      <c r="D547" s="576"/>
      <c r="E547" s="576"/>
      <c r="F547" s="576"/>
      <c r="G547" s="577"/>
      <c r="H547" s="577"/>
      <c r="I547" s="577"/>
      <c r="J547" s="577"/>
      <c r="K547" s="577"/>
      <c r="L547" s="594"/>
      <c r="M547" s="594"/>
      <c r="N547" s="594"/>
      <c r="O547" s="594"/>
    </row>
    <row r="548">
      <c r="A548" s="67"/>
      <c r="B548" s="645"/>
      <c r="C548" s="575"/>
      <c r="D548" s="576"/>
      <c r="E548" s="576"/>
      <c r="F548" s="576"/>
      <c r="G548" s="577"/>
      <c r="H548" s="577"/>
      <c r="I548" s="577"/>
      <c r="J548" s="577"/>
      <c r="K548" s="577"/>
      <c r="L548" s="594"/>
      <c r="M548" s="594"/>
      <c r="N548" s="594"/>
      <c r="O548" s="594"/>
    </row>
    <row r="549">
      <c r="A549" s="67"/>
      <c r="B549" s="645"/>
      <c r="C549" s="575"/>
      <c r="D549" s="576"/>
      <c r="E549" s="576"/>
      <c r="F549" s="576"/>
      <c r="G549" s="577"/>
      <c r="H549" s="577"/>
      <c r="I549" s="577"/>
      <c r="J549" s="577"/>
      <c r="K549" s="577"/>
      <c r="L549" s="594"/>
      <c r="M549" s="594"/>
      <c r="N549" s="594"/>
      <c r="O549" s="594"/>
    </row>
    <row r="550">
      <c r="A550" s="67"/>
      <c r="B550" s="645"/>
      <c r="C550" s="575"/>
      <c r="D550" s="576"/>
      <c r="E550" s="576"/>
      <c r="F550" s="576"/>
      <c r="G550" s="577"/>
      <c r="H550" s="577"/>
      <c r="I550" s="577"/>
      <c r="J550" s="577"/>
      <c r="K550" s="577"/>
      <c r="L550" s="594"/>
      <c r="M550" s="594"/>
      <c r="N550" s="594"/>
      <c r="O550" s="594"/>
    </row>
    <row r="551">
      <c r="A551" s="67"/>
      <c r="B551" s="645"/>
      <c r="C551" s="575"/>
      <c r="D551" s="576"/>
      <c r="E551" s="576"/>
      <c r="F551" s="576"/>
      <c r="G551" s="577"/>
      <c r="H551" s="577"/>
      <c r="I551" s="577"/>
      <c r="J551" s="577"/>
      <c r="K551" s="577"/>
      <c r="L551" s="594"/>
      <c r="M551" s="594"/>
      <c r="N551" s="594"/>
      <c r="O551" s="594"/>
    </row>
    <row r="552">
      <c r="A552" s="67"/>
      <c r="B552" s="645"/>
      <c r="C552" s="575"/>
      <c r="D552" s="576"/>
      <c r="E552" s="576"/>
      <c r="F552" s="576"/>
      <c r="G552" s="577"/>
      <c r="H552" s="577"/>
      <c r="I552" s="577"/>
      <c r="J552" s="577"/>
      <c r="K552" s="577"/>
      <c r="L552" s="594"/>
      <c r="M552" s="594"/>
      <c r="N552" s="594"/>
      <c r="O552" s="594"/>
    </row>
    <row r="553">
      <c r="A553" s="67"/>
      <c r="B553" s="645"/>
      <c r="C553" s="575"/>
      <c r="D553" s="576"/>
      <c r="E553" s="576"/>
      <c r="F553" s="576"/>
      <c r="G553" s="577"/>
      <c r="H553" s="577"/>
      <c r="I553" s="577"/>
      <c r="J553" s="577"/>
      <c r="K553" s="577"/>
      <c r="L553" s="594"/>
      <c r="M553" s="594"/>
      <c r="N553" s="594"/>
      <c r="O553" s="594"/>
    </row>
    <row r="554">
      <c r="A554" s="67"/>
      <c r="B554" s="645"/>
      <c r="C554" s="575"/>
      <c r="D554" s="576"/>
      <c r="E554" s="576"/>
      <c r="F554" s="576"/>
      <c r="G554" s="577"/>
      <c r="H554" s="577"/>
      <c r="I554" s="577"/>
      <c r="J554" s="577"/>
      <c r="K554" s="577"/>
      <c r="L554" s="594"/>
      <c r="M554" s="594"/>
      <c r="N554" s="594"/>
      <c r="O554" s="594"/>
    </row>
    <row r="555">
      <c r="A555" s="67"/>
      <c r="B555" s="645"/>
      <c r="C555" s="575"/>
      <c r="D555" s="576"/>
      <c r="E555" s="576"/>
      <c r="F555" s="576"/>
      <c r="G555" s="577"/>
      <c r="H555" s="577"/>
      <c r="I555" s="577"/>
      <c r="J555" s="577"/>
      <c r="K555" s="577"/>
      <c r="L555" s="594"/>
      <c r="M555" s="594"/>
      <c r="N555" s="594"/>
      <c r="O555" s="594"/>
    </row>
    <row r="556">
      <c r="A556" s="67"/>
      <c r="B556" s="645"/>
      <c r="C556" s="575"/>
      <c r="D556" s="576"/>
      <c r="E556" s="576"/>
      <c r="F556" s="576"/>
      <c r="G556" s="577"/>
      <c r="H556" s="577"/>
      <c r="I556" s="577"/>
      <c r="J556" s="577"/>
      <c r="K556" s="577"/>
      <c r="L556" s="594"/>
      <c r="M556" s="594"/>
      <c r="N556" s="594"/>
      <c r="O556" s="594"/>
    </row>
    <row r="557">
      <c r="A557" s="67"/>
      <c r="B557" s="645"/>
      <c r="C557" s="575"/>
      <c r="D557" s="576"/>
      <c r="E557" s="576"/>
      <c r="F557" s="576"/>
      <c r="G557" s="577"/>
      <c r="H557" s="577"/>
      <c r="I557" s="577"/>
      <c r="J557" s="577"/>
      <c r="K557" s="577"/>
      <c r="L557" s="594"/>
      <c r="M557" s="594"/>
      <c r="N557" s="594"/>
      <c r="O557" s="594"/>
    </row>
    <row r="558">
      <c r="A558" s="67"/>
      <c r="B558" s="645"/>
      <c r="C558" s="575"/>
      <c r="D558" s="576"/>
      <c r="E558" s="576"/>
      <c r="F558" s="576"/>
      <c r="G558" s="577"/>
      <c r="H558" s="577"/>
      <c r="I558" s="577"/>
      <c r="J558" s="577"/>
      <c r="K558" s="577"/>
      <c r="L558" s="594"/>
      <c r="M558" s="594"/>
      <c r="N558" s="594"/>
      <c r="O558" s="594"/>
    </row>
    <row r="559">
      <c r="A559" s="67"/>
      <c r="B559" s="645"/>
      <c r="C559" s="575"/>
      <c r="D559" s="576"/>
      <c r="E559" s="576"/>
      <c r="F559" s="576"/>
      <c r="G559" s="577"/>
      <c r="H559" s="577"/>
      <c r="I559" s="577"/>
      <c r="J559" s="577"/>
      <c r="K559" s="577"/>
      <c r="L559" s="594"/>
      <c r="M559" s="594"/>
      <c r="N559" s="594"/>
      <c r="O559" s="594"/>
    </row>
    <row r="560">
      <c r="A560" s="67"/>
      <c r="B560" s="645"/>
      <c r="C560" s="575"/>
      <c r="D560" s="576"/>
      <c r="E560" s="576"/>
      <c r="F560" s="576"/>
      <c r="G560" s="577"/>
      <c r="H560" s="577"/>
      <c r="I560" s="577"/>
      <c r="J560" s="577"/>
      <c r="K560" s="577"/>
      <c r="L560" s="594"/>
      <c r="M560" s="594"/>
      <c r="N560" s="594"/>
      <c r="O560" s="594"/>
    </row>
    <row r="561">
      <c r="A561" s="67"/>
      <c r="B561" s="645"/>
      <c r="C561" s="575"/>
      <c r="D561" s="576"/>
      <c r="E561" s="576"/>
      <c r="F561" s="576"/>
      <c r="G561" s="577"/>
      <c r="H561" s="577"/>
      <c r="I561" s="577"/>
      <c r="J561" s="577"/>
      <c r="K561" s="577"/>
      <c r="L561" s="594"/>
      <c r="M561" s="594"/>
      <c r="N561" s="594"/>
      <c r="O561" s="594"/>
    </row>
    <row r="562">
      <c r="A562" s="67"/>
      <c r="B562" s="645"/>
      <c r="C562" s="575"/>
      <c r="D562" s="576"/>
      <c r="E562" s="576"/>
      <c r="F562" s="576"/>
      <c r="G562" s="577"/>
      <c r="H562" s="577"/>
      <c r="I562" s="577"/>
      <c r="J562" s="577"/>
      <c r="K562" s="577"/>
      <c r="L562" s="594"/>
      <c r="M562" s="594"/>
      <c r="N562" s="594"/>
      <c r="O562" s="594"/>
    </row>
    <row r="563">
      <c r="A563" s="67"/>
      <c r="B563" s="645"/>
      <c r="C563" s="575"/>
      <c r="D563" s="576"/>
      <c r="E563" s="576"/>
      <c r="F563" s="576"/>
      <c r="G563" s="577"/>
      <c r="H563" s="577"/>
      <c r="I563" s="577"/>
      <c r="J563" s="577"/>
      <c r="K563" s="577"/>
      <c r="L563" s="594"/>
      <c r="M563" s="594"/>
      <c r="N563" s="594"/>
      <c r="O563" s="594"/>
    </row>
    <row r="564">
      <c r="A564" s="67"/>
      <c r="B564" s="645"/>
      <c r="C564" s="575"/>
      <c r="D564" s="576"/>
      <c r="E564" s="576"/>
      <c r="F564" s="576"/>
      <c r="G564" s="577"/>
      <c r="H564" s="577"/>
      <c r="I564" s="577"/>
      <c r="J564" s="577"/>
      <c r="K564" s="577"/>
      <c r="L564" s="594"/>
      <c r="M564" s="594"/>
      <c r="N564" s="594"/>
      <c r="O564" s="594"/>
    </row>
    <row r="565">
      <c r="A565" s="67"/>
      <c r="B565" s="645"/>
      <c r="C565" s="575"/>
      <c r="D565" s="576"/>
      <c r="E565" s="576"/>
      <c r="F565" s="576"/>
      <c r="G565" s="577"/>
      <c r="H565" s="577"/>
      <c r="I565" s="577"/>
      <c r="J565" s="577"/>
      <c r="K565" s="577"/>
      <c r="L565" s="594"/>
      <c r="M565" s="594"/>
      <c r="N565" s="594"/>
      <c r="O565" s="594"/>
    </row>
    <row r="566">
      <c r="A566" s="67"/>
      <c r="B566" s="645"/>
      <c r="C566" s="575"/>
      <c r="D566" s="576"/>
      <c r="E566" s="576"/>
      <c r="F566" s="576"/>
      <c r="G566" s="577"/>
      <c r="H566" s="577"/>
      <c r="I566" s="577"/>
      <c r="J566" s="577"/>
      <c r="K566" s="577"/>
      <c r="L566" s="594"/>
      <c r="M566" s="594"/>
      <c r="N566" s="594"/>
      <c r="O566" s="594"/>
    </row>
    <row r="567">
      <c r="A567" s="67"/>
      <c r="B567" s="645"/>
      <c r="C567" s="575"/>
      <c r="D567" s="576"/>
      <c r="E567" s="576"/>
      <c r="F567" s="576"/>
      <c r="G567" s="577"/>
      <c r="H567" s="577"/>
      <c r="I567" s="577"/>
      <c r="J567" s="577"/>
      <c r="K567" s="577"/>
      <c r="L567" s="594"/>
      <c r="M567" s="594"/>
      <c r="N567" s="594"/>
      <c r="O567" s="594"/>
    </row>
    <row r="568">
      <c r="A568" s="67"/>
      <c r="B568" s="645"/>
      <c r="C568" s="575"/>
      <c r="D568" s="576"/>
      <c r="E568" s="576"/>
      <c r="F568" s="576"/>
      <c r="G568" s="577"/>
      <c r="H568" s="577"/>
      <c r="I568" s="577"/>
      <c r="J568" s="577"/>
      <c r="K568" s="577"/>
      <c r="L568" s="594"/>
      <c r="M568" s="594"/>
      <c r="N568" s="594"/>
      <c r="O568" s="594"/>
    </row>
    <row r="569">
      <c r="A569" s="67"/>
      <c r="B569" s="645"/>
      <c r="C569" s="575"/>
      <c r="D569" s="576"/>
      <c r="E569" s="576"/>
      <c r="F569" s="576"/>
      <c r="G569" s="577"/>
      <c r="H569" s="577"/>
      <c r="I569" s="577"/>
      <c r="J569" s="577"/>
      <c r="K569" s="577"/>
      <c r="L569" s="594"/>
      <c r="M569" s="594"/>
      <c r="N569" s="594"/>
      <c r="O569" s="594"/>
    </row>
    <row r="570">
      <c r="A570" s="67"/>
      <c r="B570" s="645"/>
      <c r="C570" s="575"/>
      <c r="D570" s="576"/>
      <c r="E570" s="576"/>
      <c r="F570" s="576"/>
      <c r="G570" s="577"/>
      <c r="H570" s="577"/>
      <c r="I570" s="577"/>
      <c r="J570" s="577"/>
      <c r="K570" s="577"/>
      <c r="L570" s="594"/>
      <c r="M570" s="594"/>
      <c r="N570" s="594"/>
      <c r="O570" s="594"/>
    </row>
    <row r="571">
      <c r="A571" s="67"/>
      <c r="B571" s="645"/>
      <c r="C571" s="575"/>
      <c r="D571" s="576"/>
      <c r="E571" s="576"/>
      <c r="F571" s="576"/>
      <c r="G571" s="577"/>
      <c r="H571" s="577"/>
      <c r="I571" s="577"/>
      <c r="J571" s="577"/>
      <c r="K571" s="577"/>
      <c r="L571" s="594"/>
      <c r="M571" s="594"/>
      <c r="N571" s="594"/>
      <c r="O571" s="594"/>
    </row>
    <row r="572">
      <c r="A572" s="67"/>
      <c r="B572" s="645"/>
      <c r="C572" s="575"/>
      <c r="D572" s="576"/>
      <c r="E572" s="576"/>
      <c r="F572" s="576"/>
      <c r="G572" s="577"/>
      <c r="H572" s="577"/>
      <c r="I572" s="577"/>
      <c r="J572" s="577"/>
      <c r="K572" s="577"/>
      <c r="L572" s="594"/>
      <c r="M572" s="594"/>
      <c r="N572" s="594"/>
      <c r="O572" s="594"/>
    </row>
    <row r="573">
      <c r="A573" s="67"/>
      <c r="B573" s="645"/>
      <c r="C573" s="575"/>
      <c r="D573" s="576"/>
      <c r="E573" s="576"/>
      <c r="F573" s="576"/>
      <c r="G573" s="577"/>
      <c r="H573" s="577"/>
      <c r="I573" s="577"/>
      <c r="J573" s="577"/>
      <c r="K573" s="577"/>
      <c r="L573" s="594"/>
      <c r="M573" s="594"/>
      <c r="N573" s="594"/>
      <c r="O573" s="594"/>
    </row>
    <row r="574">
      <c r="A574" s="67"/>
      <c r="B574" s="645"/>
      <c r="C574" s="575"/>
      <c r="D574" s="576"/>
      <c r="E574" s="576"/>
      <c r="F574" s="576"/>
      <c r="G574" s="577"/>
      <c r="H574" s="577"/>
      <c r="I574" s="577"/>
      <c r="J574" s="577"/>
      <c r="K574" s="577"/>
      <c r="L574" s="594"/>
      <c r="M574" s="594"/>
      <c r="N574" s="594"/>
      <c r="O574" s="594"/>
    </row>
    <row r="575">
      <c r="A575" s="67"/>
      <c r="B575" s="645"/>
      <c r="C575" s="575"/>
      <c r="D575" s="576"/>
      <c r="E575" s="576"/>
      <c r="F575" s="576"/>
      <c r="G575" s="577"/>
      <c r="H575" s="577"/>
      <c r="I575" s="577"/>
      <c r="J575" s="577"/>
      <c r="K575" s="577"/>
      <c r="L575" s="594"/>
      <c r="M575" s="594"/>
      <c r="N575" s="594"/>
      <c r="O575" s="594"/>
    </row>
    <row r="576">
      <c r="A576" s="67"/>
      <c r="B576" s="645"/>
      <c r="C576" s="575"/>
      <c r="D576" s="576"/>
      <c r="E576" s="576"/>
      <c r="F576" s="576"/>
      <c r="G576" s="577"/>
      <c r="H576" s="577"/>
      <c r="I576" s="577"/>
      <c r="J576" s="577"/>
      <c r="K576" s="577"/>
      <c r="L576" s="594"/>
      <c r="M576" s="594"/>
      <c r="N576" s="594"/>
      <c r="O576" s="594"/>
    </row>
    <row r="577">
      <c r="A577" s="67"/>
      <c r="B577" s="645"/>
      <c r="C577" s="575"/>
      <c r="D577" s="576"/>
      <c r="E577" s="576"/>
      <c r="F577" s="576"/>
      <c r="G577" s="577"/>
      <c r="H577" s="577"/>
      <c r="I577" s="577"/>
      <c r="J577" s="577"/>
      <c r="K577" s="577"/>
      <c r="L577" s="594"/>
      <c r="M577" s="594"/>
      <c r="N577" s="594"/>
      <c r="O577" s="594"/>
    </row>
    <row r="578">
      <c r="A578" s="67"/>
      <c r="B578" s="645"/>
      <c r="C578" s="575"/>
      <c r="D578" s="576"/>
      <c r="E578" s="576"/>
      <c r="F578" s="576"/>
      <c r="G578" s="577"/>
      <c r="H578" s="577"/>
      <c r="I578" s="577"/>
      <c r="J578" s="577"/>
      <c r="K578" s="577"/>
      <c r="L578" s="594"/>
      <c r="M578" s="594"/>
      <c r="N578" s="594"/>
      <c r="O578" s="594"/>
    </row>
    <row r="579">
      <c r="A579" s="67"/>
      <c r="B579" s="645"/>
      <c r="C579" s="575"/>
      <c r="D579" s="576"/>
      <c r="E579" s="576"/>
      <c r="F579" s="576"/>
      <c r="G579" s="577"/>
      <c r="H579" s="577"/>
      <c r="I579" s="577"/>
      <c r="J579" s="577"/>
      <c r="K579" s="577"/>
      <c r="L579" s="594"/>
      <c r="M579" s="594"/>
      <c r="N579" s="594"/>
      <c r="O579" s="594"/>
    </row>
    <row r="580">
      <c r="A580" s="67"/>
      <c r="B580" s="645"/>
      <c r="C580" s="575"/>
      <c r="D580" s="576"/>
      <c r="E580" s="576"/>
      <c r="F580" s="576"/>
      <c r="G580" s="577"/>
      <c r="H580" s="577"/>
      <c r="I580" s="577"/>
      <c r="J580" s="577"/>
      <c r="K580" s="577"/>
      <c r="L580" s="594"/>
      <c r="M580" s="594"/>
      <c r="N580" s="594"/>
      <c r="O580" s="594"/>
    </row>
    <row r="581">
      <c r="A581" s="67"/>
      <c r="B581" s="645"/>
      <c r="C581" s="575"/>
      <c r="D581" s="576"/>
      <c r="E581" s="576"/>
      <c r="F581" s="576"/>
      <c r="G581" s="577"/>
      <c r="H581" s="577"/>
      <c r="I581" s="577"/>
      <c r="J581" s="577"/>
      <c r="K581" s="577"/>
      <c r="L581" s="594"/>
      <c r="M581" s="594"/>
      <c r="N581" s="594"/>
      <c r="O581" s="594"/>
    </row>
    <row r="582">
      <c r="A582" s="67"/>
      <c r="B582" s="645"/>
      <c r="C582" s="575"/>
      <c r="D582" s="576"/>
      <c r="E582" s="576"/>
      <c r="F582" s="576"/>
      <c r="G582" s="577"/>
      <c r="H582" s="577"/>
      <c r="I582" s="577"/>
      <c r="J582" s="577"/>
      <c r="K582" s="577"/>
      <c r="L582" s="594"/>
      <c r="M582" s="594"/>
      <c r="N582" s="594"/>
      <c r="O582" s="594"/>
    </row>
    <row r="583">
      <c r="A583" s="67"/>
      <c r="B583" s="645"/>
      <c r="C583" s="575"/>
      <c r="D583" s="576"/>
      <c r="E583" s="576"/>
      <c r="F583" s="576"/>
      <c r="G583" s="577"/>
      <c r="H583" s="577"/>
      <c r="I583" s="577"/>
      <c r="J583" s="577"/>
      <c r="K583" s="577"/>
      <c r="L583" s="594"/>
      <c r="M583" s="594"/>
      <c r="N583" s="594"/>
      <c r="O583" s="594"/>
    </row>
    <row r="584">
      <c r="A584" s="67"/>
      <c r="B584" s="645"/>
      <c r="C584" s="575"/>
      <c r="D584" s="576"/>
      <c r="E584" s="576"/>
      <c r="F584" s="576"/>
      <c r="G584" s="577"/>
      <c r="H584" s="577"/>
      <c r="I584" s="577"/>
      <c r="J584" s="577"/>
      <c r="K584" s="577"/>
      <c r="L584" s="594"/>
      <c r="M584" s="594"/>
      <c r="N584" s="594"/>
      <c r="O584" s="594"/>
    </row>
    <row r="585">
      <c r="A585" s="67"/>
      <c r="B585" s="645"/>
      <c r="C585" s="575"/>
      <c r="D585" s="576"/>
      <c r="E585" s="576"/>
      <c r="F585" s="576"/>
      <c r="G585" s="577"/>
      <c r="H585" s="577"/>
      <c r="I585" s="577"/>
      <c r="J585" s="577"/>
      <c r="K585" s="577"/>
      <c r="L585" s="594"/>
      <c r="M585" s="594"/>
      <c r="N585" s="594"/>
      <c r="O585" s="594"/>
    </row>
    <row r="586">
      <c r="A586" s="67"/>
      <c r="B586" s="645"/>
      <c r="C586" s="575"/>
      <c r="D586" s="576"/>
      <c r="E586" s="576"/>
      <c r="F586" s="576"/>
      <c r="G586" s="577"/>
      <c r="H586" s="577"/>
      <c r="I586" s="577"/>
      <c r="J586" s="577"/>
      <c r="K586" s="577"/>
      <c r="L586" s="594"/>
      <c r="M586" s="594"/>
      <c r="N586" s="594"/>
      <c r="O586" s="594"/>
    </row>
    <row r="587">
      <c r="A587" s="67"/>
      <c r="B587" s="645"/>
      <c r="C587" s="575"/>
      <c r="D587" s="576"/>
      <c r="E587" s="576"/>
      <c r="F587" s="576"/>
      <c r="G587" s="577"/>
      <c r="H587" s="577"/>
      <c r="I587" s="577"/>
      <c r="J587" s="577"/>
      <c r="K587" s="577"/>
      <c r="L587" s="594"/>
      <c r="M587" s="594"/>
      <c r="N587" s="594"/>
      <c r="O587" s="594"/>
    </row>
    <row r="588">
      <c r="A588" s="67"/>
      <c r="B588" s="645"/>
      <c r="C588" s="575"/>
      <c r="D588" s="576"/>
      <c r="E588" s="576"/>
      <c r="F588" s="576"/>
      <c r="G588" s="577"/>
      <c r="H588" s="577"/>
      <c r="I588" s="577"/>
      <c r="J588" s="577"/>
      <c r="K588" s="577"/>
      <c r="L588" s="594"/>
      <c r="M588" s="594"/>
      <c r="N588" s="594"/>
      <c r="O588" s="594"/>
    </row>
    <row r="589">
      <c r="A589" s="67"/>
      <c r="B589" s="645"/>
      <c r="C589" s="575"/>
      <c r="D589" s="576"/>
      <c r="E589" s="576"/>
      <c r="F589" s="576"/>
      <c r="G589" s="577"/>
      <c r="H589" s="577"/>
      <c r="I589" s="577"/>
      <c r="J589" s="577"/>
      <c r="K589" s="577"/>
      <c r="L589" s="594"/>
      <c r="M589" s="594"/>
      <c r="N589" s="594"/>
      <c r="O589" s="594"/>
    </row>
    <row r="590">
      <c r="A590" s="67"/>
      <c r="B590" s="645"/>
      <c r="C590" s="575"/>
      <c r="D590" s="576"/>
      <c r="E590" s="576"/>
      <c r="F590" s="576"/>
      <c r="G590" s="577"/>
      <c r="H590" s="577"/>
      <c r="I590" s="577"/>
      <c r="J590" s="577"/>
      <c r="K590" s="577"/>
      <c r="L590" s="594"/>
      <c r="M590" s="594"/>
      <c r="N590" s="594"/>
      <c r="O590" s="594"/>
    </row>
    <row r="591">
      <c r="A591" s="67"/>
      <c r="B591" s="645"/>
      <c r="C591" s="575"/>
      <c r="D591" s="576"/>
      <c r="E591" s="576"/>
      <c r="F591" s="576"/>
      <c r="G591" s="577"/>
      <c r="H591" s="577"/>
      <c r="I591" s="577"/>
      <c r="J591" s="577"/>
      <c r="K591" s="577"/>
      <c r="L591" s="594"/>
      <c r="M591" s="594"/>
      <c r="N591" s="594"/>
      <c r="O591" s="594"/>
    </row>
    <row r="592">
      <c r="A592" s="67"/>
      <c r="B592" s="645"/>
      <c r="C592" s="575"/>
      <c r="D592" s="576"/>
      <c r="E592" s="576"/>
      <c r="F592" s="576"/>
      <c r="G592" s="577"/>
      <c r="H592" s="577"/>
      <c r="I592" s="577"/>
      <c r="J592" s="577"/>
      <c r="K592" s="577"/>
      <c r="L592" s="594"/>
      <c r="M592" s="594"/>
      <c r="N592" s="594"/>
      <c r="O592" s="594"/>
    </row>
    <row r="593">
      <c r="A593" s="67"/>
      <c r="B593" s="645"/>
      <c r="C593" s="575"/>
      <c r="D593" s="576"/>
      <c r="E593" s="576"/>
      <c r="F593" s="576"/>
      <c r="G593" s="577"/>
      <c r="H593" s="577"/>
      <c r="I593" s="577"/>
      <c r="J593" s="577"/>
      <c r="K593" s="577"/>
      <c r="L593" s="594"/>
      <c r="M593" s="594"/>
      <c r="N593" s="594"/>
      <c r="O593" s="594"/>
    </row>
    <row r="594">
      <c r="A594" s="67"/>
      <c r="B594" s="645"/>
      <c r="C594" s="575"/>
      <c r="D594" s="576"/>
      <c r="E594" s="576"/>
      <c r="F594" s="576"/>
      <c r="G594" s="577"/>
      <c r="H594" s="577"/>
      <c r="I594" s="577"/>
      <c r="J594" s="577"/>
      <c r="K594" s="577"/>
      <c r="L594" s="594"/>
      <c r="M594" s="594"/>
      <c r="N594" s="594"/>
      <c r="O594" s="594"/>
    </row>
    <row r="595">
      <c r="A595" s="67"/>
      <c r="B595" s="645"/>
      <c r="C595" s="575"/>
      <c r="D595" s="576"/>
      <c r="E595" s="576"/>
      <c r="F595" s="576"/>
      <c r="G595" s="577"/>
      <c r="H595" s="577"/>
      <c r="I595" s="577"/>
      <c r="J595" s="577"/>
      <c r="K595" s="577"/>
      <c r="L595" s="594"/>
      <c r="M595" s="594"/>
      <c r="N595" s="594"/>
      <c r="O595" s="594"/>
    </row>
    <row r="596">
      <c r="A596" s="67"/>
      <c r="B596" s="645"/>
      <c r="C596" s="575"/>
      <c r="D596" s="576"/>
      <c r="E596" s="576"/>
      <c r="F596" s="576"/>
      <c r="G596" s="577"/>
      <c r="H596" s="577"/>
      <c r="I596" s="577"/>
      <c r="J596" s="577"/>
      <c r="K596" s="577"/>
      <c r="L596" s="594"/>
      <c r="M596" s="594"/>
      <c r="N596" s="594"/>
      <c r="O596" s="594"/>
    </row>
    <row r="597">
      <c r="A597" s="67"/>
      <c r="B597" s="645"/>
      <c r="C597" s="575"/>
      <c r="D597" s="576"/>
      <c r="E597" s="576"/>
      <c r="F597" s="576"/>
      <c r="G597" s="577"/>
      <c r="H597" s="577"/>
      <c r="I597" s="577"/>
      <c r="J597" s="577"/>
      <c r="K597" s="577"/>
      <c r="L597" s="594"/>
      <c r="M597" s="594"/>
      <c r="N597" s="594"/>
      <c r="O597" s="594"/>
    </row>
    <row r="598">
      <c r="A598" s="67"/>
      <c r="B598" s="645"/>
      <c r="C598" s="575"/>
      <c r="D598" s="576"/>
      <c r="E598" s="576"/>
      <c r="F598" s="576"/>
      <c r="G598" s="577"/>
      <c r="H598" s="577"/>
      <c r="I598" s="577"/>
      <c r="J598" s="577"/>
      <c r="K598" s="577"/>
      <c r="L598" s="594"/>
      <c r="M598" s="594"/>
      <c r="N598" s="594"/>
      <c r="O598" s="594"/>
    </row>
    <row r="599">
      <c r="A599" s="67"/>
      <c r="B599" s="645"/>
      <c r="C599" s="575"/>
      <c r="D599" s="576"/>
      <c r="E599" s="576"/>
      <c r="F599" s="576"/>
      <c r="G599" s="577"/>
      <c r="H599" s="577"/>
      <c r="I599" s="577"/>
      <c r="J599" s="577"/>
      <c r="K599" s="577"/>
      <c r="L599" s="594"/>
      <c r="M599" s="594"/>
      <c r="N599" s="594"/>
      <c r="O599" s="594"/>
    </row>
    <row r="600">
      <c r="A600" s="67"/>
      <c r="B600" s="645"/>
      <c r="C600" s="575"/>
      <c r="D600" s="576"/>
      <c r="E600" s="576"/>
      <c r="F600" s="576"/>
      <c r="G600" s="577"/>
      <c r="H600" s="577"/>
      <c r="I600" s="577"/>
      <c r="J600" s="577"/>
      <c r="K600" s="577"/>
      <c r="L600" s="594"/>
      <c r="M600" s="594"/>
      <c r="N600" s="594"/>
      <c r="O600" s="594"/>
    </row>
    <row r="601">
      <c r="A601" s="67"/>
      <c r="B601" s="645"/>
      <c r="C601" s="575"/>
      <c r="D601" s="576"/>
      <c r="E601" s="576"/>
      <c r="F601" s="576"/>
      <c r="G601" s="577"/>
      <c r="H601" s="577"/>
      <c r="I601" s="577"/>
      <c r="J601" s="577"/>
      <c r="K601" s="577"/>
      <c r="L601" s="594"/>
      <c r="M601" s="594"/>
      <c r="N601" s="594"/>
      <c r="O601" s="594"/>
    </row>
    <row r="602">
      <c r="A602" s="67"/>
      <c r="B602" s="645"/>
      <c r="C602" s="575"/>
      <c r="D602" s="576"/>
      <c r="E602" s="576"/>
      <c r="F602" s="576"/>
      <c r="G602" s="577"/>
      <c r="H602" s="577"/>
      <c r="I602" s="577"/>
      <c r="J602" s="577"/>
      <c r="K602" s="577"/>
      <c r="L602" s="594"/>
      <c r="M602" s="594"/>
      <c r="N602" s="594"/>
      <c r="O602" s="594"/>
    </row>
    <row r="603">
      <c r="A603" s="67"/>
      <c r="B603" s="645"/>
      <c r="C603" s="575"/>
      <c r="D603" s="576"/>
      <c r="E603" s="576"/>
      <c r="F603" s="576"/>
      <c r="G603" s="577"/>
      <c r="H603" s="577"/>
      <c r="I603" s="577"/>
      <c r="J603" s="577"/>
      <c r="K603" s="577"/>
      <c r="L603" s="594"/>
      <c r="M603" s="594"/>
      <c r="N603" s="594"/>
      <c r="O603" s="594"/>
    </row>
    <row r="604">
      <c r="A604" s="67"/>
      <c r="B604" s="645"/>
      <c r="C604" s="575"/>
      <c r="D604" s="576"/>
      <c r="E604" s="576"/>
      <c r="F604" s="576"/>
      <c r="G604" s="577"/>
      <c r="H604" s="577"/>
      <c r="I604" s="577"/>
      <c r="J604" s="577"/>
      <c r="K604" s="577"/>
      <c r="L604" s="594"/>
      <c r="M604" s="594"/>
      <c r="N604" s="594"/>
      <c r="O604" s="594"/>
    </row>
    <row r="605">
      <c r="A605" s="67"/>
      <c r="B605" s="645"/>
      <c r="C605" s="575"/>
      <c r="D605" s="576"/>
      <c r="E605" s="576"/>
      <c r="F605" s="576"/>
      <c r="G605" s="577"/>
      <c r="H605" s="577"/>
      <c r="I605" s="577"/>
      <c r="J605" s="577"/>
      <c r="K605" s="577"/>
      <c r="L605" s="594"/>
      <c r="M605" s="594"/>
      <c r="N605" s="594"/>
      <c r="O605" s="594"/>
    </row>
    <row r="606">
      <c r="A606" s="67"/>
      <c r="B606" s="645"/>
      <c r="C606" s="575"/>
      <c r="D606" s="576"/>
      <c r="E606" s="576"/>
      <c r="F606" s="576"/>
      <c r="G606" s="577"/>
      <c r="H606" s="577"/>
      <c r="I606" s="577"/>
      <c r="J606" s="577"/>
      <c r="K606" s="577"/>
      <c r="L606" s="594"/>
      <c r="M606" s="594"/>
      <c r="N606" s="594"/>
      <c r="O606" s="594"/>
    </row>
    <row r="607">
      <c r="A607" s="67"/>
      <c r="B607" s="645"/>
      <c r="C607" s="575"/>
      <c r="D607" s="576"/>
      <c r="E607" s="576"/>
      <c r="F607" s="576"/>
      <c r="G607" s="577"/>
      <c r="H607" s="577"/>
      <c r="I607" s="577"/>
      <c r="J607" s="577"/>
      <c r="K607" s="577"/>
      <c r="L607" s="594"/>
      <c r="M607" s="594"/>
      <c r="N607" s="594"/>
      <c r="O607" s="594"/>
    </row>
    <row r="608">
      <c r="A608" s="67"/>
      <c r="B608" s="645"/>
      <c r="C608" s="575"/>
      <c r="D608" s="576"/>
      <c r="E608" s="576"/>
      <c r="F608" s="576"/>
      <c r="G608" s="577"/>
      <c r="H608" s="577"/>
      <c r="I608" s="577"/>
      <c r="J608" s="577"/>
      <c r="K608" s="577"/>
      <c r="L608" s="594"/>
      <c r="M608" s="594"/>
      <c r="N608" s="594"/>
      <c r="O608" s="594"/>
    </row>
    <row r="609">
      <c r="A609" s="67"/>
      <c r="B609" s="645"/>
      <c r="C609" s="575"/>
      <c r="D609" s="576"/>
      <c r="E609" s="576"/>
      <c r="F609" s="576"/>
      <c r="G609" s="577"/>
      <c r="H609" s="577"/>
      <c r="I609" s="577"/>
      <c r="J609" s="577"/>
      <c r="K609" s="577"/>
      <c r="L609" s="594"/>
      <c r="M609" s="594"/>
      <c r="N609" s="594"/>
      <c r="O609" s="594"/>
    </row>
    <row r="610">
      <c r="A610" s="67"/>
      <c r="B610" s="645"/>
      <c r="C610" s="575"/>
      <c r="D610" s="576"/>
      <c r="E610" s="576"/>
      <c r="F610" s="576"/>
      <c r="G610" s="577"/>
      <c r="H610" s="577"/>
      <c r="I610" s="577"/>
      <c r="J610" s="577"/>
      <c r="K610" s="577"/>
      <c r="L610" s="594"/>
      <c r="M610" s="594"/>
      <c r="N610" s="594"/>
      <c r="O610" s="594"/>
    </row>
    <row r="611">
      <c r="A611" s="67"/>
      <c r="B611" s="645"/>
      <c r="C611" s="575"/>
      <c r="D611" s="576"/>
      <c r="E611" s="576"/>
      <c r="F611" s="576"/>
      <c r="G611" s="577"/>
      <c r="H611" s="577"/>
      <c r="I611" s="577"/>
      <c r="J611" s="577"/>
      <c r="K611" s="577"/>
      <c r="L611" s="594"/>
      <c r="M611" s="594"/>
      <c r="N611" s="594"/>
      <c r="O611" s="594"/>
    </row>
    <row r="612">
      <c r="A612" s="67"/>
      <c r="B612" s="645"/>
      <c r="C612" s="575"/>
      <c r="D612" s="576"/>
      <c r="E612" s="576"/>
      <c r="F612" s="576"/>
      <c r="G612" s="577"/>
      <c r="H612" s="577"/>
      <c r="I612" s="577"/>
      <c r="J612" s="577"/>
      <c r="K612" s="577"/>
      <c r="L612" s="594"/>
      <c r="M612" s="594"/>
      <c r="N612" s="594"/>
      <c r="O612" s="594"/>
    </row>
    <row r="613">
      <c r="A613" s="67"/>
      <c r="B613" s="645"/>
      <c r="C613" s="575"/>
      <c r="D613" s="576"/>
      <c r="E613" s="576"/>
      <c r="F613" s="576"/>
      <c r="G613" s="577"/>
      <c r="H613" s="577"/>
      <c r="I613" s="577"/>
      <c r="J613" s="577"/>
      <c r="K613" s="577"/>
      <c r="L613" s="594"/>
      <c r="M613" s="594"/>
      <c r="N613" s="594"/>
      <c r="O613" s="594"/>
    </row>
    <row r="614">
      <c r="A614" s="67"/>
      <c r="B614" s="645"/>
      <c r="C614" s="575"/>
      <c r="D614" s="576"/>
      <c r="E614" s="576"/>
      <c r="F614" s="576"/>
      <c r="G614" s="577"/>
      <c r="H614" s="577"/>
      <c r="I614" s="577"/>
      <c r="J614" s="577"/>
      <c r="K614" s="577"/>
      <c r="L614" s="594"/>
      <c r="M614" s="594"/>
      <c r="N614" s="594"/>
      <c r="O614" s="594"/>
    </row>
    <row r="615">
      <c r="A615" s="67"/>
      <c r="B615" s="645"/>
      <c r="C615" s="575"/>
      <c r="D615" s="576"/>
      <c r="E615" s="576"/>
      <c r="F615" s="576"/>
      <c r="G615" s="577"/>
      <c r="H615" s="577"/>
      <c r="I615" s="577"/>
      <c r="J615" s="577"/>
      <c r="K615" s="577"/>
      <c r="L615" s="594"/>
      <c r="M615" s="594"/>
      <c r="N615" s="594"/>
      <c r="O615" s="594"/>
    </row>
    <row r="616">
      <c r="A616" s="67"/>
      <c r="B616" s="645"/>
      <c r="C616" s="575"/>
      <c r="D616" s="576"/>
      <c r="E616" s="576"/>
      <c r="F616" s="576"/>
      <c r="G616" s="577"/>
      <c r="H616" s="577"/>
      <c r="I616" s="577"/>
      <c r="J616" s="577"/>
      <c r="K616" s="577"/>
      <c r="L616" s="594"/>
      <c r="M616" s="594"/>
      <c r="N616" s="594"/>
      <c r="O616" s="594"/>
    </row>
    <row r="617">
      <c r="A617" s="67"/>
      <c r="B617" s="645"/>
      <c r="C617" s="575"/>
      <c r="D617" s="576"/>
      <c r="E617" s="576"/>
      <c r="F617" s="576"/>
      <c r="G617" s="577"/>
      <c r="H617" s="577"/>
      <c r="I617" s="577"/>
      <c r="J617" s="577"/>
      <c r="K617" s="577"/>
      <c r="L617" s="594"/>
      <c r="M617" s="594"/>
      <c r="N617" s="594"/>
      <c r="O617" s="594"/>
    </row>
    <row r="618">
      <c r="A618" s="67"/>
      <c r="B618" s="645"/>
      <c r="C618" s="575"/>
      <c r="D618" s="576"/>
      <c r="E618" s="576"/>
      <c r="F618" s="576"/>
      <c r="G618" s="577"/>
      <c r="H618" s="577"/>
      <c r="I618" s="577"/>
      <c r="J618" s="577"/>
      <c r="K618" s="577"/>
      <c r="L618" s="594"/>
      <c r="M618" s="594"/>
      <c r="N618" s="594"/>
      <c r="O618" s="594"/>
    </row>
    <row r="619">
      <c r="A619" s="67"/>
      <c r="B619" s="645"/>
      <c r="C619" s="575"/>
      <c r="D619" s="576"/>
      <c r="E619" s="576"/>
      <c r="F619" s="576"/>
      <c r="G619" s="577"/>
      <c r="H619" s="577"/>
      <c r="I619" s="577"/>
      <c r="J619" s="577"/>
      <c r="K619" s="577"/>
      <c r="L619" s="594"/>
      <c r="M619" s="594"/>
      <c r="N619" s="594"/>
      <c r="O619" s="594"/>
    </row>
    <row r="620">
      <c r="A620" s="67"/>
      <c r="B620" s="645"/>
      <c r="C620" s="575"/>
      <c r="D620" s="576"/>
      <c r="E620" s="576"/>
      <c r="F620" s="576"/>
      <c r="G620" s="577"/>
      <c r="H620" s="577"/>
      <c r="I620" s="577"/>
      <c r="J620" s="577"/>
      <c r="K620" s="577"/>
      <c r="L620" s="594"/>
      <c r="M620" s="594"/>
      <c r="N620" s="594"/>
      <c r="O620" s="594"/>
    </row>
    <row r="621">
      <c r="A621" s="67"/>
      <c r="B621" s="645"/>
      <c r="C621" s="575"/>
      <c r="D621" s="576"/>
      <c r="E621" s="576"/>
      <c r="F621" s="576"/>
      <c r="G621" s="577"/>
      <c r="H621" s="577"/>
      <c r="I621" s="577"/>
      <c r="J621" s="577"/>
      <c r="K621" s="577"/>
      <c r="L621" s="594"/>
      <c r="M621" s="594"/>
      <c r="N621" s="594"/>
      <c r="O621" s="594"/>
    </row>
    <row r="622">
      <c r="A622" s="67"/>
      <c r="B622" s="645"/>
      <c r="C622" s="575"/>
      <c r="D622" s="576"/>
      <c r="E622" s="576"/>
      <c r="F622" s="576"/>
      <c r="G622" s="577"/>
      <c r="H622" s="577"/>
      <c r="I622" s="577"/>
      <c r="J622" s="577"/>
      <c r="K622" s="577"/>
      <c r="L622" s="594"/>
      <c r="M622" s="594"/>
      <c r="N622" s="594"/>
      <c r="O622" s="594"/>
    </row>
    <row r="623">
      <c r="A623" s="67"/>
      <c r="B623" s="645"/>
      <c r="C623" s="575"/>
      <c r="D623" s="576"/>
      <c r="E623" s="576"/>
      <c r="F623" s="576"/>
      <c r="G623" s="577"/>
      <c r="H623" s="577"/>
      <c r="I623" s="577"/>
      <c r="J623" s="577"/>
      <c r="K623" s="577"/>
      <c r="L623" s="594"/>
      <c r="M623" s="594"/>
      <c r="N623" s="594"/>
      <c r="O623" s="594"/>
    </row>
    <row r="624">
      <c r="A624" s="67"/>
      <c r="B624" s="645"/>
      <c r="C624" s="575"/>
      <c r="D624" s="576"/>
      <c r="E624" s="576"/>
      <c r="F624" s="576"/>
      <c r="G624" s="577"/>
      <c r="H624" s="577"/>
      <c r="I624" s="577"/>
      <c r="J624" s="577"/>
      <c r="K624" s="577"/>
      <c r="L624" s="594"/>
      <c r="M624" s="594"/>
      <c r="N624" s="594"/>
      <c r="O624" s="594"/>
    </row>
    <row r="625">
      <c r="A625" s="67"/>
      <c r="B625" s="645"/>
      <c r="C625" s="575"/>
      <c r="D625" s="576"/>
      <c r="E625" s="576"/>
      <c r="F625" s="576"/>
      <c r="G625" s="577"/>
      <c r="H625" s="577"/>
      <c r="I625" s="577"/>
      <c r="J625" s="577"/>
      <c r="K625" s="577"/>
      <c r="L625" s="594"/>
      <c r="M625" s="594"/>
      <c r="N625" s="594"/>
      <c r="O625" s="594"/>
    </row>
    <row r="626">
      <c r="A626" s="67"/>
      <c r="B626" s="645"/>
      <c r="C626" s="575"/>
      <c r="D626" s="576"/>
      <c r="E626" s="576"/>
      <c r="F626" s="576"/>
      <c r="G626" s="577"/>
      <c r="H626" s="577"/>
      <c r="I626" s="577"/>
      <c r="J626" s="577"/>
      <c r="K626" s="577"/>
      <c r="L626" s="594"/>
      <c r="M626" s="594"/>
      <c r="N626" s="594"/>
      <c r="O626" s="594"/>
    </row>
    <row r="627">
      <c r="A627" s="67"/>
      <c r="B627" s="645"/>
      <c r="C627" s="575"/>
      <c r="D627" s="576"/>
      <c r="E627" s="576"/>
      <c r="F627" s="576"/>
      <c r="G627" s="577"/>
      <c r="H627" s="577"/>
      <c r="I627" s="577"/>
      <c r="J627" s="577"/>
      <c r="K627" s="577"/>
      <c r="L627" s="594"/>
      <c r="M627" s="594"/>
      <c r="N627" s="594"/>
      <c r="O627" s="594"/>
    </row>
    <row r="628">
      <c r="A628" s="67"/>
      <c r="B628" s="645"/>
      <c r="C628" s="575"/>
      <c r="D628" s="576"/>
      <c r="E628" s="576"/>
      <c r="F628" s="576"/>
      <c r="G628" s="577"/>
      <c r="H628" s="577"/>
      <c r="I628" s="577"/>
      <c r="J628" s="577"/>
      <c r="K628" s="577"/>
      <c r="L628" s="594"/>
      <c r="M628" s="594"/>
      <c r="N628" s="594"/>
      <c r="O628" s="594"/>
    </row>
    <row r="629">
      <c r="A629" s="67"/>
      <c r="B629" s="645"/>
      <c r="C629" s="575"/>
      <c r="D629" s="576"/>
      <c r="E629" s="576"/>
      <c r="F629" s="576"/>
      <c r="G629" s="577"/>
      <c r="H629" s="577"/>
      <c r="I629" s="577"/>
      <c r="J629" s="577"/>
      <c r="K629" s="577"/>
      <c r="L629" s="594"/>
      <c r="M629" s="594"/>
      <c r="N629" s="594"/>
      <c r="O629" s="594"/>
    </row>
    <row r="630">
      <c r="A630" s="67"/>
      <c r="B630" s="645"/>
      <c r="C630" s="575"/>
      <c r="D630" s="576"/>
      <c r="E630" s="576"/>
      <c r="F630" s="576"/>
      <c r="G630" s="577"/>
      <c r="H630" s="577"/>
      <c r="I630" s="577"/>
      <c r="J630" s="577"/>
      <c r="K630" s="577"/>
      <c r="L630" s="594"/>
      <c r="M630" s="594"/>
      <c r="N630" s="594"/>
      <c r="O630" s="594"/>
    </row>
    <row r="631">
      <c r="A631" s="67"/>
      <c r="B631" s="645"/>
      <c r="C631" s="575"/>
      <c r="D631" s="576"/>
      <c r="E631" s="576"/>
      <c r="F631" s="576"/>
      <c r="G631" s="577"/>
      <c r="H631" s="577"/>
      <c r="I631" s="577"/>
      <c r="J631" s="577"/>
      <c r="K631" s="577"/>
      <c r="L631" s="594"/>
      <c r="M631" s="594"/>
      <c r="N631" s="594"/>
      <c r="O631" s="594"/>
    </row>
    <row r="632">
      <c r="A632" s="67"/>
      <c r="B632" s="645"/>
      <c r="C632" s="575"/>
      <c r="D632" s="576"/>
      <c r="E632" s="576"/>
      <c r="F632" s="576"/>
      <c r="G632" s="577"/>
      <c r="H632" s="577"/>
      <c r="I632" s="577"/>
      <c r="J632" s="577"/>
      <c r="K632" s="577"/>
      <c r="L632" s="594"/>
      <c r="M632" s="594"/>
      <c r="N632" s="594"/>
      <c r="O632" s="594"/>
    </row>
    <row r="633">
      <c r="A633" s="67"/>
      <c r="B633" s="645"/>
      <c r="C633" s="575"/>
      <c r="D633" s="576"/>
      <c r="E633" s="576"/>
      <c r="F633" s="576"/>
      <c r="G633" s="577"/>
      <c r="H633" s="577"/>
      <c r="I633" s="577"/>
      <c r="J633" s="577"/>
      <c r="K633" s="577"/>
      <c r="L633" s="594"/>
      <c r="M633" s="594"/>
      <c r="N633" s="594"/>
      <c r="O633" s="594"/>
    </row>
    <row r="634">
      <c r="A634" s="67"/>
      <c r="B634" s="645"/>
      <c r="C634" s="575"/>
      <c r="D634" s="576"/>
      <c r="E634" s="576"/>
      <c r="F634" s="576"/>
      <c r="G634" s="577"/>
      <c r="H634" s="577"/>
      <c r="I634" s="577"/>
      <c r="J634" s="577"/>
      <c r="K634" s="577"/>
      <c r="L634" s="594"/>
      <c r="M634" s="594"/>
      <c r="N634" s="594"/>
      <c r="O634" s="594"/>
    </row>
    <row r="635">
      <c r="A635" s="67"/>
      <c r="B635" s="645"/>
      <c r="C635" s="575"/>
      <c r="D635" s="576"/>
      <c r="E635" s="576"/>
      <c r="F635" s="576"/>
      <c r="G635" s="577"/>
      <c r="H635" s="577"/>
      <c r="I635" s="577"/>
      <c r="J635" s="577"/>
      <c r="K635" s="577"/>
      <c r="L635" s="594"/>
      <c r="M635" s="594"/>
      <c r="N635" s="594"/>
      <c r="O635" s="594"/>
    </row>
    <row r="636">
      <c r="A636" s="67"/>
      <c r="B636" s="645"/>
      <c r="C636" s="575"/>
      <c r="D636" s="576"/>
      <c r="E636" s="576"/>
      <c r="F636" s="576"/>
      <c r="G636" s="577"/>
      <c r="H636" s="577"/>
      <c r="I636" s="577"/>
      <c r="J636" s="577"/>
      <c r="K636" s="577"/>
      <c r="L636" s="594"/>
      <c r="M636" s="594"/>
      <c r="N636" s="594"/>
      <c r="O636" s="594"/>
    </row>
    <row r="637">
      <c r="A637" s="67"/>
      <c r="B637" s="645"/>
      <c r="C637" s="575"/>
      <c r="D637" s="576"/>
      <c r="E637" s="576"/>
      <c r="F637" s="576"/>
      <c r="G637" s="577"/>
      <c r="H637" s="577"/>
      <c r="I637" s="577"/>
      <c r="J637" s="577"/>
      <c r="K637" s="577"/>
      <c r="L637" s="594"/>
      <c r="M637" s="594"/>
      <c r="N637" s="594"/>
      <c r="O637" s="594"/>
    </row>
    <row r="638">
      <c r="A638" s="67"/>
      <c r="B638" s="645"/>
      <c r="C638" s="575"/>
      <c r="D638" s="576"/>
      <c r="E638" s="576"/>
      <c r="F638" s="576"/>
      <c r="G638" s="577"/>
      <c r="H638" s="577"/>
      <c r="I638" s="577"/>
      <c r="J638" s="577"/>
      <c r="K638" s="577"/>
      <c r="L638" s="594"/>
      <c r="M638" s="594"/>
      <c r="N638" s="594"/>
      <c r="O638" s="594"/>
    </row>
    <row r="639">
      <c r="A639" s="67"/>
      <c r="B639" s="645"/>
      <c r="C639" s="575"/>
      <c r="D639" s="576"/>
      <c r="E639" s="576"/>
      <c r="F639" s="576"/>
      <c r="G639" s="577"/>
      <c r="H639" s="577"/>
      <c r="I639" s="577"/>
      <c r="J639" s="577"/>
      <c r="K639" s="577"/>
      <c r="L639" s="594"/>
      <c r="M639" s="594"/>
      <c r="N639" s="594"/>
      <c r="O639" s="594"/>
    </row>
    <row r="640">
      <c r="A640" s="67"/>
      <c r="B640" s="645"/>
      <c r="C640" s="575"/>
      <c r="D640" s="576"/>
      <c r="E640" s="576"/>
      <c r="F640" s="576"/>
      <c r="G640" s="577"/>
      <c r="H640" s="577"/>
      <c r="I640" s="577"/>
      <c r="J640" s="577"/>
      <c r="K640" s="577"/>
      <c r="L640" s="594"/>
      <c r="M640" s="594"/>
      <c r="N640" s="594"/>
      <c r="O640" s="594"/>
    </row>
    <row r="641">
      <c r="A641" s="67"/>
      <c r="B641" s="645"/>
      <c r="C641" s="575"/>
      <c r="D641" s="576"/>
      <c r="E641" s="576"/>
      <c r="F641" s="576"/>
      <c r="G641" s="577"/>
      <c r="H641" s="577"/>
      <c r="I641" s="577"/>
      <c r="J641" s="577"/>
      <c r="K641" s="577"/>
      <c r="L641" s="594"/>
      <c r="M641" s="594"/>
      <c r="N641" s="594"/>
      <c r="O641" s="594"/>
    </row>
    <row r="642">
      <c r="A642" s="67"/>
      <c r="B642" s="645"/>
      <c r="C642" s="575"/>
      <c r="D642" s="576"/>
      <c r="E642" s="576"/>
      <c r="F642" s="576"/>
      <c r="G642" s="577"/>
      <c r="H642" s="577"/>
      <c r="I642" s="577"/>
      <c r="J642" s="577"/>
      <c r="K642" s="577"/>
      <c r="L642" s="594"/>
      <c r="M642" s="594"/>
      <c r="N642" s="594"/>
      <c r="O642" s="594"/>
    </row>
    <row r="643">
      <c r="A643" s="67"/>
      <c r="B643" s="645"/>
      <c r="C643" s="575"/>
      <c r="D643" s="576"/>
      <c r="E643" s="576"/>
      <c r="F643" s="576"/>
      <c r="G643" s="577"/>
      <c r="H643" s="577"/>
      <c r="I643" s="577"/>
      <c r="J643" s="577"/>
      <c r="K643" s="577"/>
      <c r="L643" s="594"/>
      <c r="M643" s="594"/>
      <c r="N643" s="594"/>
      <c r="O643" s="594"/>
    </row>
    <row r="644">
      <c r="A644" s="67"/>
      <c r="B644" s="645"/>
      <c r="C644" s="575"/>
      <c r="D644" s="576"/>
      <c r="E644" s="576"/>
      <c r="F644" s="576"/>
      <c r="G644" s="577"/>
      <c r="H644" s="577"/>
      <c r="I644" s="577"/>
      <c r="J644" s="577"/>
      <c r="K644" s="577"/>
      <c r="L644" s="594"/>
      <c r="M644" s="594"/>
      <c r="N644" s="594"/>
      <c r="O644" s="594"/>
    </row>
    <row r="645">
      <c r="A645" s="67"/>
      <c r="B645" s="645"/>
      <c r="C645" s="575"/>
      <c r="D645" s="576"/>
      <c r="E645" s="576"/>
      <c r="F645" s="576"/>
      <c r="G645" s="577"/>
      <c r="H645" s="577"/>
      <c r="I645" s="577"/>
      <c r="J645" s="577"/>
      <c r="K645" s="577"/>
      <c r="L645" s="594"/>
      <c r="M645" s="594"/>
      <c r="N645" s="594"/>
      <c r="O645" s="594"/>
    </row>
    <row r="646">
      <c r="A646" s="67"/>
      <c r="B646" s="645"/>
      <c r="C646" s="575"/>
      <c r="D646" s="576"/>
      <c r="E646" s="576"/>
      <c r="F646" s="576"/>
      <c r="G646" s="577"/>
      <c r="H646" s="577"/>
      <c r="I646" s="577"/>
      <c r="J646" s="577"/>
      <c r="K646" s="577"/>
      <c r="L646" s="594"/>
      <c r="M646" s="594"/>
      <c r="N646" s="594"/>
      <c r="O646" s="594"/>
    </row>
    <row r="647">
      <c r="A647" s="67"/>
      <c r="B647" s="645"/>
      <c r="C647" s="575"/>
      <c r="D647" s="576"/>
      <c r="E647" s="576"/>
      <c r="F647" s="576"/>
      <c r="G647" s="577"/>
      <c r="H647" s="577"/>
      <c r="I647" s="577"/>
      <c r="J647" s="577"/>
      <c r="K647" s="577"/>
      <c r="L647" s="594"/>
      <c r="M647" s="594"/>
      <c r="N647" s="594"/>
      <c r="O647" s="594"/>
    </row>
    <row r="648">
      <c r="A648" s="67"/>
      <c r="B648" s="645"/>
      <c r="C648" s="575"/>
      <c r="D648" s="576"/>
      <c r="E648" s="576"/>
      <c r="F648" s="576"/>
      <c r="G648" s="577"/>
      <c r="H648" s="577"/>
      <c r="I648" s="577"/>
      <c r="J648" s="577"/>
      <c r="K648" s="577"/>
      <c r="L648" s="594"/>
      <c r="M648" s="594"/>
      <c r="N648" s="594"/>
      <c r="O648" s="594"/>
    </row>
    <row r="649">
      <c r="A649" s="67"/>
      <c r="B649" s="645"/>
      <c r="C649" s="575"/>
      <c r="D649" s="576"/>
      <c r="E649" s="576"/>
      <c r="F649" s="576"/>
      <c r="G649" s="577"/>
      <c r="H649" s="577"/>
      <c r="I649" s="577"/>
      <c r="J649" s="577"/>
      <c r="K649" s="577"/>
      <c r="L649" s="594"/>
      <c r="M649" s="594"/>
      <c r="N649" s="594"/>
      <c r="O649" s="594"/>
    </row>
    <row r="650">
      <c r="A650" s="67"/>
      <c r="B650" s="645"/>
      <c r="C650" s="575"/>
      <c r="D650" s="576"/>
      <c r="E650" s="576"/>
      <c r="F650" s="576"/>
      <c r="G650" s="577"/>
      <c r="H650" s="577"/>
      <c r="I650" s="577"/>
      <c r="J650" s="577"/>
      <c r="K650" s="577"/>
      <c r="L650" s="594"/>
      <c r="M650" s="594"/>
      <c r="N650" s="594"/>
      <c r="O650" s="594"/>
    </row>
    <row r="651">
      <c r="A651" s="67"/>
      <c r="B651" s="645"/>
      <c r="C651" s="575"/>
      <c r="D651" s="576"/>
      <c r="E651" s="576"/>
      <c r="F651" s="576"/>
      <c r="G651" s="577"/>
      <c r="H651" s="577"/>
      <c r="I651" s="577"/>
      <c r="J651" s="577"/>
      <c r="K651" s="577"/>
      <c r="L651" s="594"/>
      <c r="M651" s="594"/>
      <c r="N651" s="594"/>
      <c r="O651" s="594"/>
    </row>
    <row r="652">
      <c r="A652" s="67"/>
      <c r="B652" s="645"/>
      <c r="C652" s="575"/>
      <c r="D652" s="576"/>
      <c r="E652" s="576"/>
      <c r="F652" s="576"/>
      <c r="G652" s="577"/>
      <c r="H652" s="577"/>
      <c r="I652" s="577"/>
      <c r="J652" s="577"/>
      <c r="K652" s="577"/>
      <c r="L652" s="594"/>
      <c r="M652" s="594"/>
      <c r="N652" s="594"/>
      <c r="O652" s="594"/>
    </row>
    <row r="653">
      <c r="A653" s="67"/>
      <c r="B653" s="645"/>
      <c r="C653" s="575"/>
      <c r="D653" s="576"/>
      <c r="E653" s="576"/>
      <c r="F653" s="576"/>
      <c r="G653" s="577"/>
      <c r="H653" s="577"/>
      <c r="I653" s="577"/>
      <c r="J653" s="577"/>
      <c r="K653" s="577"/>
      <c r="L653" s="594"/>
      <c r="M653" s="594"/>
      <c r="N653" s="594"/>
      <c r="O653" s="594"/>
    </row>
    <row r="654">
      <c r="A654" s="67"/>
      <c r="B654" s="645"/>
      <c r="C654" s="575"/>
      <c r="D654" s="576"/>
      <c r="E654" s="576"/>
      <c r="F654" s="576"/>
      <c r="G654" s="577"/>
      <c r="H654" s="577"/>
      <c r="I654" s="577"/>
      <c r="J654" s="577"/>
      <c r="K654" s="577"/>
      <c r="L654" s="594"/>
      <c r="M654" s="594"/>
      <c r="N654" s="594"/>
      <c r="O654" s="594"/>
    </row>
    <row r="655">
      <c r="A655" s="67"/>
      <c r="B655" s="645"/>
      <c r="C655" s="575"/>
      <c r="D655" s="576"/>
      <c r="E655" s="576"/>
      <c r="F655" s="576"/>
      <c r="G655" s="577"/>
      <c r="H655" s="577"/>
      <c r="I655" s="577"/>
      <c r="J655" s="577"/>
      <c r="K655" s="577"/>
      <c r="L655" s="594"/>
      <c r="M655" s="594"/>
      <c r="N655" s="594"/>
      <c r="O655" s="594"/>
    </row>
    <row r="656">
      <c r="A656" s="67"/>
      <c r="B656" s="645"/>
      <c r="C656" s="575"/>
      <c r="D656" s="576"/>
      <c r="E656" s="576"/>
      <c r="F656" s="576"/>
      <c r="G656" s="577"/>
      <c r="H656" s="577"/>
      <c r="I656" s="577"/>
      <c r="J656" s="577"/>
      <c r="K656" s="577"/>
      <c r="L656" s="594"/>
      <c r="M656" s="594"/>
      <c r="N656" s="594"/>
      <c r="O656" s="594"/>
    </row>
    <row r="657">
      <c r="A657" s="67"/>
      <c r="B657" s="645"/>
      <c r="C657" s="575"/>
      <c r="D657" s="576"/>
      <c r="E657" s="576"/>
      <c r="F657" s="576"/>
      <c r="G657" s="577"/>
      <c r="H657" s="577"/>
      <c r="I657" s="577"/>
      <c r="J657" s="577"/>
      <c r="K657" s="577"/>
      <c r="L657" s="594"/>
      <c r="M657" s="594"/>
      <c r="N657" s="594"/>
      <c r="O657" s="594"/>
    </row>
    <row r="658">
      <c r="A658" s="67"/>
      <c r="B658" s="645"/>
      <c r="C658" s="575"/>
      <c r="D658" s="576"/>
      <c r="E658" s="576"/>
      <c r="F658" s="576"/>
      <c r="G658" s="577"/>
      <c r="H658" s="577"/>
      <c r="I658" s="577"/>
      <c r="J658" s="577"/>
      <c r="K658" s="577"/>
      <c r="L658" s="594"/>
      <c r="M658" s="594"/>
      <c r="N658" s="594"/>
      <c r="O658" s="594"/>
    </row>
    <row r="659">
      <c r="A659" s="67"/>
      <c r="B659" s="645"/>
      <c r="C659" s="575"/>
      <c r="D659" s="576"/>
      <c r="E659" s="576"/>
      <c r="F659" s="576"/>
      <c r="G659" s="577"/>
      <c r="H659" s="577"/>
      <c r="I659" s="577"/>
      <c r="J659" s="577"/>
      <c r="K659" s="577"/>
      <c r="L659" s="594"/>
      <c r="M659" s="594"/>
      <c r="N659" s="594"/>
      <c r="O659" s="594"/>
    </row>
    <row r="660">
      <c r="A660" s="67"/>
      <c r="B660" s="645"/>
      <c r="C660" s="575"/>
      <c r="D660" s="576"/>
      <c r="E660" s="576"/>
      <c r="F660" s="576"/>
      <c r="G660" s="577"/>
      <c r="H660" s="577"/>
      <c r="I660" s="577"/>
      <c r="J660" s="577"/>
      <c r="K660" s="577"/>
      <c r="L660" s="594"/>
      <c r="M660" s="594"/>
      <c r="N660" s="594"/>
      <c r="O660" s="594"/>
    </row>
    <row r="661">
      <c r="A661" s="67"/>
      <c r="B661" s="645"/>
      <c r="C661" s="575"/>
      <c r="D661" s="576"/>
      <c r="E661" s="576"/>
      <c r="F661" s="576"/>
      <c r="G661" s="577"/>
      <c r="H661" s="577"/>
      <c r="I661" s="577"/>
      <c r="J661" s="577"/>
      <c r="K661" s="577"/>
      <c r="L661" s="594"/>
      <c r="M661" s="594"/>
      <c r="N661" s="594"/>
      <c r="O661" s="594"/>
    </row>
    <row r="662">
      <c r="A662" s="67"/>
      <c r="B662" s="645"/>
      <c r="C662" s="575"/>
      <c r="D662" s="576"/>
      <c r="E662" s="576"/>
      <c r="F662" s="576"/>
      <c r="G662" s="577"/>
      <c r="H662" s="577"/>
      <c r="I662" s="577"/>
      <c r="J662" s="577"/>
      <c r="K662" s="577"/>
      <c r="L662" s="594"/>
      <c r="M662" s="594"/>
      <c r="N662" s="594"/>
      <c r="O662" s="594"/>
    </row>
    <row r="663">
      <c r="A663" s="67"/>
      <c r="B663" s="645"/>
      <c r="C663" s="575"/>
      <c r="D663" s="576"/>
      <c r="E663" s="576"/>
      <c r="F663" s="576"/>
      <c r="G663" s="577"/>
      <c r="H663" s="577"/>
      <c r="I663" s="577"/>
      <c r="J663" s="577"/>
      <c r="K663" s="577"/>
      <c r="L663" s="594"/>
      <c r="M663" s="594"/>
      <c r="N663" s="594"/>
      <c r="O663" s="594"/>
    </row>
    <row r="664">
      <c r="A664" s="67"/>
      <c r="B664" s="645"/>
      <c r="C664" s="575"/>
      <c r="D664" s="576"/>
      <c r="E664" s="576"/>
      <c r="F664" s="576"/>
      <c r="G664" s="577"/>
      <c r="H664" s="577"/>
      <c r="I664" s="577"/>
      <c r="J664" s="577"/>
      <c r="K664" s="577"/>
      <c r="L664" s="594"/>
      <c r="M664" s="594"/>
      <c r="N664" s="594"/>
      <c r="O664" s="594"/>
    </row>
    <row r="665">
      <c r="A665" s="67"/>
      <c r="B665" s="645"/>
      <c r="C665" s="575"/>
      <c r="D665" s="576"/>
      <c r="E665" s="576"/>
      <c r="F665" s="576"/>
      <c r="G665" s="577"/>
      <c r="H665" s="577"/>
      <c r="I665" s="577"/>
      <c r="J665" s="577"/>
      <c r="K665" s="577"/>
      <c r="L665" s="594"/>
      <c r="M665" s="594"/>
      <c r="N665" s="594"/>
      <c r="O665" s="594"/>
    </row>
    <row r="666">
      <c r="A666" s="67"/>
      <c r="B666" s="645"/>
      <c r="C666" s="575"/>
      <c r="D666" s="576"/>
      <c r="E666" s="576"/>
      <c r="F666" s="576"/>
      <c r="G666" s="577"/>
      <c r="H666" s="577"/>
      <c r="I666" s="577"/>
      <c r="J666" s="577"/>
      <c r="K666" s="577"/>
      <c r="L666" s="594"/>
      <c r="M666" s="594"/>
      <c r="N666" s="594"/>
      <c r="O666" s="594"/>
    </row>
    <row r="667">
      <c r="A667" s="67"/>
      <c r="B667" s="645"/>
      <c r="C667" s="575"/>
      <c r="D667" s="576"/>
      <c r="E667" s="576"/>
      <c r="F667" s="576"/>
      <c r="G667" s="577"/>
      <c r="H667" s="577"/>
      <c r="I667" s="577"/>
      <c r="J667" s="577"/>
      <c r="K667" s="577"/>
      <c r="L667" s="594"/>
      <c r="M667" s="594"/>
      <c r="N667" s="594"/>
      <c r="O667" s="594"/>
    </row>
    <row r="668">
      <c r="A668" s="67"/>
      <c r="B668" s="645"/>
      <c r="C668" s="575"/>
      <c r="D668" s="576"/>
      <c r="E668" s="576"/>
      <c r="F668" s="576"/>
      <c r="G668" s="577"/>
      <c r="H668" s="577"/>
      <c r="I668" s="577"/>
      <c r="J668" s="577"/>
      <c r="K668" s="577"/>
      <c r="L668" s="594"/>
      <c r="M668" s="594"/>
      <c r="N668" s="594"/>
      <c r="O668" s="594"/>
    </row>
    <row r="669">
      <c r="A669" s="67"/>
      <c r="B669" s="645"/>
      <c r="C669" s="575"/>
      <c r="D669" s="576"/>
      <c r="E669" s="576"/>
      <c r="F669" s="576"/>
      <c r="G669" s="577"/>
      <c r="H669" s="577"/>
      <c r="I669" s="577"/>
      <c r="J669" s="577"/>
      <c r="K669" s="577"/>
      <c r="L669" s="594"/>
      <c r="M669" s="594"/>
      <c r="N669" s="594"/>
      <c r="O669" s="594"/>
    </row>
    <row r="670">
      <c r="A670" s="67"/>
      <c r="B670" s="645"/>
      <c r="C670" s="575"/>
      <c r="D670" s="576"/>
      <c r="E670" s="576"/>
      <c r="F670" s="576"/>
      <c r="G670" s="577"/>
      <c r="H670" s="577"/>
      <c r="I670" s="577"/>
      <c r="J670" s="577"/>
      <c r="K670" s="577"/>
      <c r="L670" s="594"/>
      <c r="M670" s="594"/>
      <c r="N670" s="594"/>
      <c r="O670" s="594"/>
    </row>
    <row r="671">
      <c r="A671" s="67"/>
      <c r="B671" s="645"/>
      <c r="C671" s="575"/>
      <c r="D671" s="576"/>
      <c r="E671" s="576"/>
      <c r="F671" s="576"/>
      <c r="G671" s="577"/>
      <c r="H671" s="577"/>
      <c r="I671" s="577"/>
      <c r="J671" s="577"/>
      <c r="K671" s="577"/>
      <c r="L671" s="594"/>
      <c r="M671" s="594"/>
      <c r="N671" s="594"/>
      <c r="O671" s="594"/>
    </row>
    <row r="672">
      <c r="A672" s="67"/>
      <c r="B672" s="645"/>
      <c r="C672" s="575"/>
      <c r="D672" s="576"/>
      <c r="E672" s="576"/>
      <c r="F672" s="576"/>
      <c r="G672" s="577"/>
      <c r="H672" s="577"/>
      <c r="I672" s="577"/>
      <c r="J672" s="577"/>
      <c r="K672" s="577"/>
      <c r="L672" s="594"/>
      <c r="M672" s="594"/>
      <c r="N672" s="594"/>
      <c r="O672" s="594"/>
    </row>
    <row r="673">
      <c r="A673" s="67"/>
      <c r="B673" s="645"/>
      <c r="C673" s="575"/>
      <c r="D673" s="576"/>
      <c r="E673" s="576"/>
      <c r="F673" s="576"/>
      <c r="G673" s="577"/>
      <c r="H673" s="577"/>
      <c r="I673" s="577"/>
      <c r="J673" s="577"/>
      <c r="K673" s="577"/>
      <c r="L673" s="594"/>
      <c r="M673" s="594"/>
      <c r="N673" s="594"/>
      <c r="O673" s="594"/>
    </row>
    <row r="674">
      <c r="A674" s="67"/>
      <c r="B674" s="645"/>
      <c r="C674" s="575"/>
      <c r="D674" s="576"/>
      <c r="E674" s="576"/>
      <c r="F674" s="576"/>
      <c r="G674" s="577"/>
      <c r="H674" s="577"/>
      <c r="I674" s="577"/>
      <c r="J674" s="577"/>
      <c r="K674" s="577"/>
      <c r="L674" s="594"/>
      <c r="M674" s="594"/>
      <c r="N674" s="594"/>
      <c r="O674" s="594"/>
    </row>
    <row r="675">
      <c r="A675" s="67"/>
      <c r="B675" s="645"/>
      <c r="C675" s="575"/>
      <c r="D675" s="576"/>
      <c r="E675" s="576"/>
      <c r="F675" s="576"/>
      <c r="G675" s="577"/>
      <c r="H675" s="577"/>
      <c r="I675" s="577"/>
      <c r="J675" s="577"/>
      <c r="K675" s="577"/>
      <c r="L675" s="594"/>
      <c r="M675" s="594"/>
      <c r="N675" s="594"/>
      <c r="O675" s="594"/>
    </row>
    <row r="676">
      <c r="A676" s="67"/>
      <c r="B676" s="645"/>
      <c r="C676" s="575"/>
      <c r="D676" s="576"/>
      <c r="E676" s="576"/>
      <c r="F676" s="576"/>
      <c r="G676" s="577"/>
      <c r="H676" s="577"/>
      <c r="I676" s="577"/>
      <c r="J676" s="577"/>
      <c r="K676" s="577"/>
      <c r="L676" s="594"/>
      <c r="M676" s="594"/>
      <c r="N676" s="594"/>
      <c r="O676" s="594"/>
    </row>
    <row r="677">
      <c r="A677" s="67"/>
      <c r="B677" s="645"/>
      <c r="C677" s="575"/>
      <c r="D677" s="576"/>
      <c r="E677" s="576"/>
      <c r="F677" s="576"/>
      <c r="G677" s="577"/>
      <c r="H677" s="577"/>
      <c r="I677" s="577"/>
      <c r="J677" s="577"/>
      <c r="K677" s="577"/>
      <c r="L677" s="594"/>
      <c r="M677" s="594"/>
      <c r="N677" s="594"/>
      <c r="O677" s="594"/>
    </row>
    <row r="678">
      <c r="A678" s="67"/>
      <c r="B678" s="645"/>
      <c r="C678" s="575"/>
      <c r="D678" s="576"/>
      <c r="E678" s="576"/>
      <c r="F678" s="576"/>
      <c r="G678" s="577"/>
      <c r="H678" s="577"/>
      <c r="I678" s="577"/>
      <c r="J678" s="577"/>
      <c r="K678" s="577"/>
      <c r="L678" s="594"/>
      <c r="M678" s="594"/>
      <c r="N678" s="594"/>
      <c r="O678" s="594"/>
    </row>
    <row r="679">
      <c r="A679" s="67"/>
      <c r="B679" s="645"/>
      <c r="C679" s="575"/>
      <c r="D679" s="576"/>
      <c r="E679" s="576"/>
      <c r="F679" s="576"/>
      <c r="G679" s="577"/>
      <c r="H679" s="577"/>
      <c r="I679" s="577"/>
      <c r="J679" s="577"/>
      <c r="K679" s="577"/>
      <c r="L679" s="594"/>
      <c r="M679" s="594"/>
      <c r="N679" s="594"/>
      <c r="O679" s="594"/>
    </row>
    <row r="680">
      <c r="A680" s="67"/>
      <c r="B680" s="645"/>
      <c r="C680" s="575"/>
      <c r="D680" s="576"/>
      <c r="E680" s="576"/>
      <c r="F680" s="576"/>
      <c r="G680" s="577"/>
      <c r="H680" s="577"/>
      <c r="I680" s="577"/>
      <c r="J680" s="577"/>
      <c r="K680" s="577"/>
      <c r="L680" s="594"/>
      <c r="M680" s="594"/>
      <c r="N680" s="594"/>
      <c r="O680" s="594"/>
    </row>
    <row r="681">
      <c r="A681" s="67"/>
      <c r="B681" s="645"/>
      <c r="C681" s="575"/>
      <c r="D681" s="576"/>
      <c r="E681" s="576"/>
      <c r="F681" s="576"/>
      <c r="G681" s="577"/>
      <c r="H681" s="577"/>
      <c r="I681" s="577"/>
      <c r="J681" s="577"/>
      <c r="K681" s="577"/>
      <c r="L681" s="594"/>
      <c r="M681" s="594"/>
      <c r="N681" s="594"/>
      <c r="O681" s="594"/>
    </row>
    <row r="682">
      <c r="A682" s="67"/>
      <c r="B682" s="645"/>
      <c r="C682" s="575"/>
      <c r="D682" s="576"/>
      <c r="E682" s="576"/>
      <c r="F682" s="576"/>
      <c r="G682" s="577"/>
      <c r="H682" s="577"/>
      <c r="I682" s="577"/>
      <c r="J682" s="577"/>
      <c r="K682" s="577"/>
      <c r="L682" s="594"/>
      <c r="M682" s="594"/>
      <c r="N682" s="594"/>
      <c r="O682" s="594"/>
    </row>
    <row r="683">
      <c r="A683" s="67"/>
      <c r="B683" s="645"/>
      <c r="C683" s="575"/>
      <c r="D683" s="576"/>
      <c r="E683" s="576"/>
      <c r="F683" s="576"/>
      <c r="G683" s="577"/>
      <c r="H683" s="577"/>
      <c r="I683" s="577"/>
      <c r="J683" s="577"/>
      <c r="K683" s="577"/>
      <c r="L683" s="594"/>
      <c r="M683" s="594"/>
      <c r="N683" s="594"/>
      <c r="O683" s="594"/>
    </row>
    <row r="684">
      <c r="A684" s="67"/>
      <c r="B684" s="645"/>
      <c r="C684" s="575"/>
      <c r="D684" s="576"/>
      <c r="E684" s="576"/>
      <c r="F684" s="576"/>
      <c r="G684" s="577"/>
      <c r="H684" s="577"/>
      <c r="I684" s="577"/>
      <c r="J684" s="577"/>
      <c r="K684" s="577"/>
      <c r="L684" s="594"/>
      <c r="M684" s="594"/>
      <c r="N684" s="594"/>
      <c r="O684" s="594"/>
    </row>
    <row r="685">
      <c r="A685" s="67"/>
      <c r="B685" s="645"/>
      <c r="C685" s="575"/>
      <c r="D685" s="576"/>
      <c r="E685" s="576"/>
      <c r="F685" s="576"/>
      <c r="G685" s="577"/>
      <c r="H685" s="577"/>
      <c r="I685" s="577"/>
      <c r="J685" s="577"/>
      <c r="K685" s="577"/>
      <c r="L685" s="594"/>
      <c r="M685" s="594"/>
      <c r="N685" s="594"/>
      <c r="O685" s="594"/>
    </row>
    <row r="686">
      <c r="A686" s="67"/>
      <c r="B686" s="645"/>
      <c r="C686" s="575"/>
      <c r="D686" s="576"/>
      <c r="E686" s="576"/>
      <c r="F686" s="576"/>
      <c r="G686" s="577"/>
      <c r="H686" s="577"/>
      <c r="I686" s="577"/>
      <c r="J686" s="577"/>
      <c r="K686" s="577"/>
      <c r="L686" s="594"/>
      <c r="M686" s="594"/>
      <c r="N686" s="594"/>
      <c r="O686" s="594"/>
    </row>
    <row r="687">
      <c r="A687" s="67"/>
      <c r="B687" s="645"/>
      <c r="C687" s="575"/>
      <c r="D687" s="576"/>
      <c r="E687" s="576"/>
      <c r="F687" s="576"/>
      <c r="G687" s="577"/>
      <c r="H687" s="577"/>
      <c r="I687" s="577"/>
      <c r="J687" s="577"/>
      <c r="K687" s="577"/>
      <c r="L687" s="594"/>
      <c r="M687" s="594"/>
      <c r="N687" s="594"/>
      <c r="O687" s="594"/>
    </row>
    <row r="688">
      <c r="A688" s="67"/>
      <c r="B688" s="645"/>
      <c r="C688" s="575"/>
      <c r="D688" s="576"/>
      <c r="E688" s="576"/>
      <c r="F688" s="576"/>
      <c r="G688" s="577"/>
      <c r="H688" s="577"/>
      <c r="I688" s="577"/>
      <c r="J688" s="577"/>
      <c r="K688" s="577"/>
      <c r="L688" s="594"/>
      <c r="M688" s="594"/>
      <c r="N688" s="594"/>
      <c r="O688" s="594"/>
    </row>
    <row r="689">
      <c r="A689" s="67"/>
      <c r="B689" s="645"/>
      <c r="C689" s="575"/>
      <c r="D689" s="576"/>
      <c r="E689" s="576"/>
      <c r="F689" s="576"/>
      <c r="G689" s="577"/>
      <c r="H689" s="577"/>
      <c r="I689" s="577"/>
      <c r="J689" s="577"/>
      <c r="K689" s="577"/>
      <c r="L689" s="594"/>
      <c r="M689" s="594"/>
      <c r="N689" s="594"/>
      <c r="O689" s="594"/>
    </row>
    <row r="690">
      <c r="A690" s="67"/>
      <c r="B690" s="645"/>
      <c r="C690" s="575"/>
      <c r="D690" s="576"/>
      <c r="E690" s="576"/>
      <c r="F690" s="576"/>
      <c r="G690" s="577"/>
      <c r="H690" s="577"/>
      <c r="I690" s="577"/>
      <c r="J690" s="577"/>
      <c r="K690" s="577"/>
      <c r="L690" s="594"/>
      <c r="M690" s="594"/>
      <c r="N690" s="594"/>
      <c r="O690" s="594"/>
    </row>
    <row r="691">
      <c r="A691" s="67"/>
      <c r="B691" s="645"/>
      <c r="C691" s="575"/>
      <c r="D691" s="576"/>
      <c r="E691" s="576"/>
      <c r="F691" s="576"/>
      <c r="G691" s="577"/>
      <c r="H691" s="577"/>
      <c r="I691" s="577"/>
      <c r="J691" s="577"/>
      <c r="K691" s="577"/>
      <c r="L691" s="594"/>
      <c r="M691" s="594"/>
      <c r="N691" s="594"/>
      <c r="O691" s="594"/>
    </row>
    <row r="692">
      <c r="A692" s="67"/>
      <c r="B692" s="645"/>
      <c r="C692" s="575"/>
      <c r="D692" s="576"/>
      <c r="E692" s="576"/>
      <c r="F692" s="576"/>
      <c r="G692" s="577"/>
      <c r="H692" s="577"/>
      <c r="I692" s="577"/>
      <c r="J692" s="577"/>
      <c r="K692" s="577"/>
      <c r="L692" s="594"/>
      <c r="M692" s="594"/>
      <c r="N692" s="594"/>
      <c r="O692" s="594"/>
    </row>
    <row r="693">
      <c r="A693" s="67"/>
      <c r="B693" s="645"/>
      <c r="C693" s="575"/>
      <c r="D693" s="576"/>
      <c r="E693" s="576"/>
      <c r="F693" s="576"/>
      <c r="G693" s="577"/>
      <c r="H693" s="577"/>
      <c r="I693" s="577"/>
      <c r="J693" s="577"/>
      <c r="K693" s="577"/>
      <c r="L693" s="594"/>
      <c r="M693" s="594"/>
      <c r="N693" s="594"/>
      <c r="O693" s="594"/>
    </row>
    <row r="694">
      <c r="A694" s="67"/>
      <c r="B694" s="645"/>
      <c r="C694" s="575"/>
      <c r="D694" s="576"/>
      <c r="E694" s="576"/>
      <c r="F694" s="576"/>
      <c r="G694" s="577"/>
      <c r="H694" s="577"/>
      <c r="I694" s="577"/>
      <c r="J694" s="577"/>
      <c r="K694" s="577"/>
      <c r="L694" s="594"/>
      <c r="M694" s="594"/>
      <c r="N694" s="594"/>
      <c r="O694" s="594"/>
    </row>
    <row r="695">
      <c r="A695" s="67"/>
      <c r="B695" s="645"/>
      <c r="C695" s="575"/>
      <c r="D695" s="576"/>
      <c r="E695" s="576"/>
      <c r="F695" s="576"/>
      <c r="G695" s="577"/>
      <c r="H695" s="577"/>
      <c r="I695" s="577"/>
      <c r="J695" s="577"/>
      <c r="K695" s="577"/>
      <c r="L695" s="594"/>
      <c r="M695" s="594"/>
      <c r="N695" s="594"/>
      <c r="O695" s="594"/>
    </row>
    <row r="696">
      <c r="A696" s="67"/>
      <c r="B696" s="645"/>
      <c r="C696" s="575"/>
      <c r="D696" s="576"/>
      <c r="E696" s="576"/>
      <c r="F696" s="576"/>
      <c r="G696" s="577"/>
      <c r="H696" s="577"/>
      <c r="I696" s="577"/>
      <c r="J696" s="577"/>
      <c r="K696" s="577"/>
      <c r="L696" s="594"/>
      <c r="M696" s="594"/>
      <c r="N696" s="594"/>
      <c r="O696" s="594"/>
    </row>
    <row r="697">
      <c r="A697" s="67"/>
      <c r="B697" s="645"/>
      <c r="C697" s="575"/>
      <c r="D697" s="576"/>
      <c r="E697" s="576"/>
      <c r="F697" s="576"/>
      <c r="G697" s="577"/>
      <c r="H697" s="577"/>
      <c r="I697" s="577"/>
      <c r="J697" s="577"/>
      <c r="K697" s="577"/>
      <c r="L697" s="594"/>
      <c r="M697" s="594"/>
      <c r="N697" s="594"/>
      <c r="O697" s="594"/>
    </row>
    <row r="698">
      <c r="A698" s="67"/>
      <c r="B698" s="645"/>
      <c r="C698" s="575"/>
      <c r="D698" s="576"/>
      <c r="E698" s="576"/>
      <c r="F698" s="576"/>
      <c r="G698" s="577"/>
      <c r="H698" s="577"/>
      <c r="I698" s="577"/>
      <c r="J698" s="577"/>
      <c r="K698" s="577"/>
      <c r="L698" s="594"/>
      <c r="M698" s="594"/>
      <c r="N698" s="594"/>
      <c r="O698" s="594"/>
    </row>
    <row r="699">
      <c r="A699" s="67"/>
      <c r="B699" s="645"/>
      <c r="C699" s="575"/>
      <c r="D699" s="576"/>
      <c r="E699" s="576"/>
      <c r="F699" s="576"/>
      <c r="G699" s="577"/>
      <c r="H699" s="577"/>
      <c r="I699" s="577"/>
      <c r="J699" s="577"/>
      <c r="K699" s="577"/>
      <c r="L699" s="594"/>
      <c r="M699" s="594"/>
      <c r="N699" s="594"/>
      <c r="O699" s="594"/>
    </row>
    <row r="700">
      <c r="A700" s="67"/>
      <c r="B700" s="645"/>
      <c r="C700" s="575"/>
      <c r="D700" s="576"/>
      <c r="E700" s="576"/>
      <c r="F700" s="576"/>
      <c r="G700" s="577"/>
      <c r="H700" s="577"/>
      <c r="I700" s="577"/>
      <c r="J700" s="577"/>
      <c r="K700" s="577"/>
      <c r="L700" s="594"/>
      <c r="M700" s="594"/>
      <c r="N700" s="594"/>
      <c r="O700" s="594"/>
    </row>
    <row r="701">
      <c r="A701" s="67"/>
      <c r="B701" s="645"/>
      <c r="C701" s="575"/>
      <c r="D701" s="576"/>
      <c r="E701" s="576"/>
      <c r="F701" s="576"/>
      <c r="G701" s="577"/>
      <c r="H701" s="577"/>
      <c r="I701" s="577"/>
      <c r="J701" s="577"/>
      <c r="K701" s="577"/>
      <c r="L701" s="594"/>
      <c r="M701" s="594"/>
      <c r="N701" s="594"/>
      <c r="O701" s="594"/>
    </row>
    <row r="702">
      <c r="A702" s="67"/>
      <c r="B702" s="645"/>
      <c r="C702" s="575"/>
      <c r="D702" s="576"/>
      <c r="E702" s="576"/>
      <c r="F702" s="576"/>
      <c r="G702" s="577"/>
      <c r="H702" s="577"/>
      <c r="I702" s="577"/>
      <c r="J702" s="577"/>
      <c r="K702" s="577"/>
      <c r="L702" s="594"/>
      <c r="M702" s="594"/>
      <c r="N702" s="594"/>
      <c r="O702" s="594"/>
    </row>
    <row r="703">
      <c r="A703" s="67"/>
      <c r="B703" s="645"/>
      <c r="C703" s="575"/>
      <c r="D703" s="576"/>
      <c r="E703" s="576"/>
      <c r="F703" s="576"/>
      <c r="G703" s="577"/>
      <c r="H703" s="577"/>
      <c r="I703" s="577"/>
      <c r="J703" s="577"/>
      <c r="K703" s="577"/>
      <c r="L703" s="594"/>
      <c r="M703" s="594"/>
      <c r="N703" s="594"/>
      <c r="O703" s="594"/>
    </row>
    <row r="704">
      <c r="A704" s="67"/>
      <c r="B704" s="645"/>
      <c r="C704" s="575"/>
      <c r="D704" s="576"/>
      <c r="E704" s="576"/>
      <c r="F704" s="576"/>
      <c r="G704" s="577"/>
      <c r="H704" s="577"/>
      <c r="I704" s="577"/>
      <c r="J704" s="577"/>
      <c r="K704" s="577"/>
      <c r="L704" s="594"/>
      <c r="M704" s="594"/>
      <c r="N704" s="594"/>
      <c r="O704" s="594"/>
    </row>
    <row r="705">
      <c r="A705" s="67"/>
      <c r="B705" s="645"/>
      <c r="C705" s="575"/>
      <c r="D705" s="576"/>
      <c r="E705" s="576"/>
      <c r="F705" s="576"/>
      <c r="G705" s="577"/>
      <c r="H705" s="577"/>
      <c r="I705" s="577"/>
      <c r="J705" s="577"/>
      <c r="K705" s="577"/>
      <c r="L705" s="594"/>
      <c r="M705" s="594"/>
      <c r="N705" s="594"/>
      <c r="O705" s="594"/>
    </row>
    <row r="706">
      <c r="A706" s="67"/>
      <c r="B706" s="645"/>
      <c r="C706" s="575"/>
      <c r="D706" s="576"/>
      <c r="E706" s="576"/>
      <c r="F706" s="576"/>
      <c r="G706" s="577"/>
      <c r="H706" s="577"/>
      <c r="I706" s="577"/>
      <c r="J706" s="577"/>
      <c r="K706" s="577"/>
      <c r="L706" s="594"/>
      <c r="M706" s="594"/>
      <c r="N706" s="594"/>
      <c r="O706" s="594"/>
    </row>
    <row r="707">
      <c r="A707" s="67"/>
      <c r="B707" s="645"/>
      <c r="C707" s="575"/>
      <c r="D707" s="576"/>
      <c r="E707" s="576"/>
      <c r="F707" s="576"/>
      <c r="G707" s="577"/>
      <c r="H707" s="577"/>
      <c r="I707" s="577"/>
      <c r="J707" s="577"/>
      <c r="K707" s="577"/>
      <c r="L707" s="594"/>
      <c r="M707" s="594"/>
      <c r="N707" s="594"/>
      <c r="O707" s="594"/>
    </row>
    <row r="708">
      <c r="A708" s="67"/>
      <c r="B708" s="645"/>
      <c r="C708" s="575"/>
      <c r="D708" s="576"/>
      <c r="E708" s="576"/>
      <c r="F708" s="576"/>
      <c r="G708" s="577"/>
      <c r="H708" s="577"/>
      <c r="I708" s="577"/>
      <c r="J708" s="577"/>
      <c r="K708" s="577"/>
      <c r="L708" s="594"/>
      <c r="M708" s="594"/>
      <c r="N708" s="594"/>
      <c r="O708" s="594"/>
    </row>
    <row r="709">
      <c r="A709" s="67"/>
      <c r="B709" s="645"/>
      <c r="C709" s="575"/>
      <c r="D709" s="576"/>
      <c r="E709" s="576"/>
      <c r="F709" s="576"/>
      <c r="G709" s="577"/>
      <c r="H709" s="577"/>
      <c r="I709" s="577"/>
      <c r="J709" s="577"/>
      <c r="K709" s="577"/>
      <c r="L709" s="594"/>
      <c r="M709" s="594"/>
      <c r="N709" s="594"/>
      <c r="O709" s="594"/>
    </row>
    <row r="710">
      <c r="A710" s="67"/>
      <c r="B710" s="645"/>
      <c r="C710" s="575"/>
      <c r="D710" s="576"/>
      <c r="E710" s="576"/>
      <c r="F710" s="576"/>
      <c r="G710" s="577"/>
      <c r="H710" s="577"/>
      <c r="I710" s="577"/>
      <c r="J710" s="577"/>
      <c r="K710" s="577"/>
      <c r="L710" s="594"/>
      <c r="M710" s="594"/>
      <c r="N710" s="594"/>
      <c r="O710" s="594"/>
    </row>
    <row r="711">
      <c r="A711" s="67"/>
      <c r="B711" s="645"/>
      <c r="C711" s="575"/>
      <c r="D711" s="576"/>
      <c r="E711" s="576"/>
      <c r="F711" s="576"/>
      <c r="G711" s="577"/>
      <c r="H711" s="577"/>
      <c r="I711" s="577"/>
      <c r="J711" s="577"/>
      <c r="K711" s="577"/>
      <c r="L711" s="594"/>
      <c r="M711" s="594"/>
      <c r="N711" s="594"/>
      <c r="O711" s="594"/>
    </row>
    <row r="712">
      <c r="A712" s="67"/>
      <c r="B712" s="645"/>
      <c r="C712" s="575"/>
      <c r="D712" s="576"/>
      <c r="E712" s="576"/>
      <c r="F712" s="576"/>
      <c r="G712" s="577"/>
      <c r="H712" s="577"/>
      <c r="I712" s="577"/>
      <c r="J712" s="577"/>
      <c r="K712" s="577"/>
      <c r="L712" s="594"/>
      <c r="M712" s="594"/>
      <c r="N712" s="594"/>
      <c r="O712" s="594"/>
    </row>
  </sheetData>
  <mergeCells count="2">
    <mergeCell ref="B1:F4"/>
    <mergeCell ref="A6:D6"/>
  </mergeCells>
  <dataValidations>
    <dataValidation type="list" allowBlank="1" showErrorMessage="1" sqref="B9:B334">
      <formula1>Listas!$B$3:$B$9</formula1>
    </dataValidation>
  </dataValidations>
  <hyperlinks>
    <hyperlink r:id="rId1" ref="B5"/>
    <hyperlink r:id="rId2" ref="G9"/>
    <hyperlink r:id="rId3" ref="J9"/>
    <hyperlink r:id="rId4" ref="K9"/>
    <hyperlink r:id="rId5" ref="G10"/>
    <hyperlink r:id="rId6" ref="J10"/>
    <hyperlink r:id="rId7" ref="K10"/>
    <hyperlink r:id="rId8" ref="G11"/>
    <hyperlink r:id="rId9" ref="J11"/>
    <hyperlink r:id="rId10" ref="K11"/>
    <hyperlink r:id="rId11" ref="G12"/>
    <hyperlink r:id="rId12" ref="J12"/>
    <hyperlink r:id="rId13" ref="K12"/>
    <hyperlink r:id="rId14" ref="G13"/>
    <hyperlink r:id="rId15" ref="J13"/>
    <hyperlink r:id="rId16" ref="K13"/>
    <hyperlink r:id="rId17" ref="G14"/>
    <hyperlink r:id="rId18" ref="J14"/>
    <hyperlink r:id="rId19" ref="K14"/>
    <hyperlink r:id="rId20" ref="G15"/>
    <hyperlink r:id="rId21" ref="J15"/>
    <hyperlink r:id="rId22" ref="K15"/>
    <hyperlink r:id="rId23" ref="G16"/>
    <hyperlink r:id="rId24" ref="J16"/>
    <hyperlink r:id="rId25" ref="K16"/>
    <hyperlink r:id="rId26" ref="G17"/>
    <hyperlink r:id="rId27" ref="J17"/>
    <hyperlink r:id="rId28" ref="K17"/>
    <hyperlink r:id="rId29" ref="F18"/>
    <hyperlink r:id="rId30" ref="G18"/>
    <hyperlink r:id="rId31" ref="J18"/>
    <hyperlink r:id="rId32" ref="K18"/>
    <hyperlink r:id="rId33" ref="G19"/>
    <hyperlink r:id="rId34" ref="J19"/>
    <hyperlink r:id="rId35" ref="K19"/>
    <hyperlink r:id="rId36" ref="J20"/>
    <hyperlink r:id="rId37" ref="K20"/>
    <hyperlink r:id="rId38" ref="F21"/>
    <hyperlink r:id="rId39" ref="J21"/>
    <hyperlink r:id="rId40" ref="K21"/>
    <hyperlink r:id="rId41" ref="G22"/>
    <hyperlink r:id="rId42" ref="J22"/>
    <hyperlink r:id="rId43" ref="K22"/>
    <hyperlink r:id="rId44" ref="G23"/>
    <hyperlink r:id="rId45" ref="J23"/>
    <hyperlink r:id="rId46" ref="K23"/>
    <hyperlink r:id="rId47" ref="G24"/>
    <hyperlink r:id="rId48" ref="J24"/>
    <hyperlink r:id="rId49" ref="K24"/>
    <hyperlink r:id="rId50" ref="G25"/>
    <hyperlink r:id="rId51" ref="J25"/>
    <hyperlink r:id="rId52" ref="K25"/>
    <hyperlink r:id="rId53" ref="G26"/>
    <hyperlink r:id="rId54" ref="J26"/>
    <hyperlink r:id="rId55" ref="K26"/>
    <hyperlink r:id="rId56" ref="G27"/>
    <hyperlink r:id="rId57" ref="J27"/>
    <hyperlink r:id="rId58" ref="K27"/>
    <hyperlink r:id="rId59" ref="G28"/>
    <hyperlink r:id="rId60" ref="J28"/>
    <hyperlink r:id="rId61" ref="K28"/>
    <hyperlink r:id="rId62" ref="G29"/>
    <hyperlink r:id="rId63" ref="J29"/>
    <hyperlink r:id="rId64" ref="K29"/>
    <hyperlink r:id="rId65" ref="G30"/>
    <hyperlink r:id="rId66" ref="J30"/>
    <hyperlink r:id="rId67" ref="K30"/>
    <hyperlink r:id="rId68" ref="G31"/>
    <hyperlink r:id="rId69" ref="J31"/>
    <hyperlink r:id="rId70" ref="K31"/>
    <hyperlink r:id="rId71" ref="G32"/>
    <hyperlink r:id="rId72" ref="J32"/>
    <hyperlink r:id="rId73" ref="K32"/>
    <hyperlink r:id="rId74" ref="G33"/>
    <hyperlink r:id="rId75" ref="J33"/>
    <hyperlink r:id="rId76" ref="K33"/>
    <hyperlink r:id="rId77" ref="G34"/>
    <hyperlink r:id="rId78" ref="J34"/>
    <hyperlink r:id="rId79" ref="K34"/>
    <hyperlink r:id="rId80" ref="G35"/>
    <hyperlink r:id="rId81" ref="J35"/>
    <hyperlink r:id="rId82" ref="K35"/>
    <hyperlink r:id="rId83" ref="G36"/>
    <hyperlink r:id="rId84" ref="J36"/>
    <hyperlink r:id="rId85" ref="K36"/>
    <hyperlink r:id="rId86" ref="J37"/>
    <hyperlink r:id="rId87" ref="K37"/>
    <hyperlink r:id="rId88" ref="G38"/>
    <hyperlink r:id="rId89" ref="J38"/>
    <hyperlink r:id="rId90" ref="K38"/>
    <hyperlink r:id="rId91" ref="J39"/>
    <hyperlink r:id="rId92" ref="K39"/>
    <hyperlink r:id="rId93" ref="G40"/>
    <hyperlink r:id="rId94" ref="J40"/>
    <hyperlink r:id="rId95" ref="K40"/>
    <hyperlink r:id="rId96" ref="G41"/>
    <hyperlink r:id="rId97" ref="J41"/>
    <hyperlink r:id="rId98" ref="K41"/>
    <hyperlink r:id="rId99" ref="J42"/>
    <hyperlink r:id="rId100" ref="K42"/>
    <hyperlink r:id="rId101" ref="J43"/>
    <hyperlink r:id="rId102" ref="K43"/>
    <hyperlink r:id="rId103" ref="G44"/>
    <hyperlink r:id="rId104" ref="J44"/>
    <hyperlink r:id="rId105" ref="K44"/>
    <hyperlink r:id="rId106" ref="G45"/>
    <hyperlink r:id="rId107" ref="J45"/>
    <hyperlink r:id="rId108" ref="K45"/>
    <hyperlink r:id="rId109" ref="G46"/>
    <hyperlink r:id="rId110" ref="J46"/>
    <hyperlink r:id="rId111" ref="K46"/>
    <hyperlink r:id="rId112" ref="G47"/>
    <hyperlink r:id="rId113" ref="J47"/>
    <hyperlink r:id="rId114" ref="K47"/>
    <hyperlink r:id="rId115" ref="G48"/>
    <hyperlink r:id="rId116" ref="J48"/>
    <hyperlink r:id="rId117" ref="K48"/>
    <hyperlink r:id="rId118" ref="G49"/>
    <hyperlink r:id="rId119" ref="J49"/>
    <hyperlink r:id="rId120" ref="K49"/>
    <hyperlink r:id="rId121" ref="G50"/>
    <hyperlink r:id="rId122" ref="J50"/>
    <hyperlink r:id="rId123" ref="K50"/>
    <hyperlink r:id="rId124" ref="G51"/>
    <hyperlink r:id="rId125" ref="J51"/>
    <hyperlink r:id="rId126" ref="K51"/>
    <hyperlink r:id="rId127" ref="G52"/>
    <hyperlink r:id="rId128" ref="J52"/>
    <hyperlink r:id="rId129" ref="K52"/>
    <hyperlink r:id="rId130" ref="G53"/>
    <hyperlink r:id="rId131" ref="J53"/>
    <hyperlink r:id="rId132" ref="K53"/>
    <hyperlink r:id="rId133" ref="G54"/>
    <hyperlink r:id="rId134" ref="J54"/>
    <hyperlink r:id="rId135" ref="K54"/>
    <hyperlink r:id="rId136" ref="G55"/>
    <hyperlink r:id="rId137" ref="J55"/>
    <hyperlink r:id="rId138" ref="K55"/>
    <hyperlink r:id="rId139" ref="G56"/>
    <hyperlink r:id="rId140" ref="J56"/>
    <hyperlink r:id="rId141" ref="K56"/>
    <hyperlink r:id="rId142" ref="G57"/>
    <hyperlink r:id="rId143" ref="J57"/>
    <hyperlink r:id="rId144" ref="K57"/>
    <hyperlink r:id="rId145" ref="G58"/>
    <hyperlink r:id="rId146" ref="J58"/>
    <hyperlink r:id="rId147" ref="K58"/>
    <hyperlink r:id="rId148" ref="G59"/>
    <hyperlink r:id="rId149" ref="J59"/>
    <hyperlink r:id="rId150" ref="K59"/>
    <hyperlink r:id="rId151" ref="G60"/>
    <hyperlink r:id="rId152" ref="J60"/>
    <hyperlink r:id="rId153" ref="K60"/>
    <hyperlink r:id="rId154" ref="G61"/>
    <hyperlink r:id="rId155" ref="J61"/>
    <hyperlink r:id="rId156" ref="K61"/>
    <hyperlink r:id="rId157" ref="G62"/>
    <hyperlink r:id="rId158" ref="J62"/>
    <hyperlink r:id="rId159" ref="K62"/>
    <hyperlink r:id="rId160" ref="G63"/>
    <hyperlink r:id="rId161" ref="J63"/>
    <hyperlink r:id="rId162" ref="K63"/>
    <hyperlink r:id="rId163" ref="G64"/>
    <hyperlink r:id="rId164" ref="J64"/>
    <hyperlink r:id="rId165" ref="K64"/>
    <hyperlink r:id="rId166" ref="G65"/>
    <hyperlink r:id="rId167" ref="J65"/>
    <hyperlink r:id="rId168" ref="K65"/>
    <hyperlink r:id="rId169" ref="G66"/>
    <hyperlink r:id="rId170" ref="J66"/>
    <hyperlink r:id="rId171" ref="K66"/>
    <hyperlink r:id="rId172" ref="G67"/>
    <hyperlink r:id="rId173" ref="J67"/>
    <hyperlink r:id="rId174" ref="K67"/>
    <hyperlink r:id="rId175" ref="G68"/>
    <hyperlink r:id="rId176" ref="J68"/>
    <hyperlink r:id="rId177" ref="K68"/>
    <hyperlink r:id="rId178" ref="G69"/>
    <hyperlink r:id="rId179" ref="J69"/>
    <hyperlink r:id="rId180" ref="K69"/>
    <hyperlink r:id="rId181" ref="G70"/>
    <hyperlink r:id="rId182" ref="J70"/>
    <hyperlink r:id="rId183" ref="K70"/>
    <hyperlink r:id="rId184" ref="G71"/>
    <hyperlink r:id="rId185" ref="J71"/>
    <hyperlink r:id="rId186" ref="K71"/>
    <hyperlink r:id="rId187" ref="G72"/>
    <hyperlink r:id="rId188" ref="J72"/>
    <hyperlink r:id="rId189" ref="K72"/>
    <hyperlink r:id="rId190" ref="G73"/>
    <hyperlink r:id="rId191" ref="J73"/>
    <hyperlink r:id="rId192" ref="K73"/>
    <hyperlink r:id="rId193" ref="G74"/>
    <hyperlink r:id="rId194" ref="J74"/>
    <hyperlink r:id="rId195" ref="K74"/>
    <hyperlink r:id="rId196" ref="G75"/>
    <hyperlink r:id="rId197" ref="J75"/>
    <hyperlink r:id="rId198" ref="K75"/>
    <hyperlink r:id="rId199" ref="G76"/>
    <hyperlink r:id="rId200" ref="J76"/>
    <hyperlink r:id="rId201" ref="K76"/>
    <hyperlink r:id="rId202" ref="G77"/>
    <hyperlink r:id="rId203" ref="J77"/>
    <hyperlink r:id="rId204" ref="K77"/>
    <hyperlink r:id="rId205" ref="G78"/>
    <hyperlink r:id="rId206" ref="J78"/>
    <hyperlink r:id="rId207" ref="K78"/>
    <hyperlink r:id="rId208" ref="G79"/>
    <hyperlink r:id="rId209" ref="J79"/>
    <hyperlink r:id="rId210" ref="K79"/>
    <hyperlink r:id="rId211" ref="G80"/>
    <hyperlink r:id="rId212" ref="J80"/>
    <hyperlink r:id="rId213" ref="K80"/>
    <hyperlink r:id="rId214" ref="G81"/>
    <hyperlink r:id="rId215" ref="J81"/>
    <hyperlink r:id="rId216" ref="K81"/>
    <hyperlink r:id="rId217" ref="G82"/>
    <hyperlink r:id="rId218" ref="J82"/>
    <hyperlink r:id="rId219" ref="K82"/>
    <hyperlink r:id="rId220" ref="G83"/>
    <hyperlink r:id="rId221" ref="J83"/>
    <hyperlink r:id="rId222" ref="K83"/>
    <hyperlink r:id="rId223" ref="G84"/>
    <hyperlink r:id="rId224" ref="J84"/>
    <hyperlink r:id="rId225" ref="K84"/>
    <hyperlink r:id="rId226" ref="G85"/>
    <hyperlink r:id="rId227" ref="J85"/>
    <hyperlink r:id="rId228" ref="K85"/>
    <hyperlink r:id="rId229" ref="G86"/>
    <hyperlink r:id="rId230" ref="J86"/>
    <hyperlink r:id="rId231" ref="K86"/>
    <hyperlink r:id="rId232" ref="G87"/>
    <hyperlink r:id="rId233" ref="J87"/>
    <hyperlink r:id="rId234" ref="K87"/>
    <hyperlink r:id="rId235" ref="G88"/>
    <hyperlink r:id="rId236" ref="J88"/>
    <hyperlink r:id="rId237" ref="K88"/>
    <hyperlink r:id="rId238" ref="G89"/>
    <hyperlink r:id="rId239" ref="J89"/>
    <hyperlink r:id="rId240" ref="K89"/>
    <hyperlink r:id="rId241" ref="G90"/>
    <hyperlink r:id="rId242" ref="J90"/>
    <hyperlink r:id="rId243" ref="K90"/>
    <hyperlink r:id="rId244" ref="G91"/>
    <hyperlink r:id="rId245" ref="J91"/>
    <hyperlink r:id="rId246" ref="K91"/>
    <hyperlink r:id="rId247" ref="G92"/>
    <hyperlink r:id="rId248" ref="J92"/>
    <hyperlink r:id="rId249" ref="K92"/>
    <hyperlink r:id="rId250" ref="G93"/>
    <hyperlink r:id="rId251" ref="J93"/>
    <hyperlink r:id="rId252" ref="K93"/>
    <hyperlink r:id="rId253" ref="G94"/>
    <hyperlink r:id="rId254" ref="J94"/>
    <hyperlink r:id="rId255" ref="K94"/>
    <hyperlink r:id="rId256" ref="G95"/>
    <hyperlink r:id="rId257" ref="J95"/>
    <hyperlink r:id="rId258" ref="K95"/>
    <hyperlink r:id="rId259" ref="G96"/>
    <hyperlink r:id="rId260" ref="J96"/>
    <hyperlink r:id="rId261" ref="K96"/>
    <hyperlink r:id="rId262" ref="G97"/>
    <hyperlink r:id="rId263" ref="J97"/>
    <hyperlink r:id="rId264" ref="K97"/>
    <hyperlink r:id="rId265" ref="G98"/>
    <hyperlink r:id="rId266" ref="J98"/>
    <hyperlink r:id="rId267" ref="K98"/>
    <hyperlink r:id="rId268" ref="G99"/>
    <hyperlink r:id="rId269" ref="J99"/>
    <hyperlink r:id="rId270" ref="K99"/>
    <hyperlink r:id="rId271" ref="G100"/>
    <hyperlink r:id="rId272" ref="J100"/>
    <hyperlink r:id="rId273" ref="K100"/>
    <hyperlink r:id="rId274" ref="G101"/>
    <hyperlink r:id="rId275" ref="J101"/>
    <hyperlink r:id="rId276" ref="K101"/>
    <hyperlink r:id="rId277" ref="G102"/>
    <hyperlink r:id="rId278" ref="J102"/>
    <hyperlink r:id="rId279" ref="K102"/>
    <hyperlink r:id="rId280" ref="G103"/>
    <hyperlink r:id="rId281" ref="J103"/>
    <hyperlink r:id="rId282" ref="K103"/>
    <hyperlink r:id="rId283" ref="G104"/>
    <hyperlink r:id="rId284" ref="J104"/>
    <hyperlink r:id="rId285" ref="K104"/>
    <hyperlink r:id="rId286" ref="G105"/>
    <hyperlink r:id="rId287" ref="J105"/>
    <hyperlink r:id="rId288" ref="K105"/>
    <hyperlink r:id="rId289" ref="J106"/>
    <hyperlink r:id="rId290" ref="K106"/>
    <hyperlink r:id="rId291" ref="J107"/>
    <hyperlink r:id="rId292" ref="K107"/>
    <hyperlink r:id="rId293" ref="J108"/>
    <hyperlink r:id="rId294" ref="K108"/>
    <hyperlink r:id="rId295" ref="J109"/>
    <hyperlink r:id="rId296" ref="K109"/>
    <hyperlink r:id="rId297" ref="G110"/>
    <hyperlink r:id="rId298" ref="J110"/>
    <hyperlink r:id="rId299" ref="K110"/>
    <hyperlink r:id="rId300" ref="G111"/>
    <hyperlink r:id="rId301" ref="J111"/>
    <hyperlink r:id="rId302" ref="K111"/>
    <hyperlink r:id="rId303" ref="G112"/>
    <hyperlink r:id="rId304" ref="J112"/>
    <hyperlink r:id="rId305" ref="K112"/>
    <hyperlink r:id="rId306" ref="G113"/>
    <hyperlink r:id="rId307" ref="J113"/>
    <hyperlink r:id="rId308" ref="K113"/>
    <hyperlink r:id="rId309" ref="G114"/>
    <hyperlink r:id="rId310" ref="J114"/>
    <hyperlink r:id="rId311" ref="K114"/>
    <hyperlink r:id="rId312" ref="G115"/>
    <hyperlink r:id="rId313" ref="J115"/>
    <hyperlink r:id="rId314" ref="K115"/>
    <hyperlink r:id="rId315" ref="G116"/>
    <hyperlink r:id="rId316" ref="J116"/>
    <hyperlink r:id="rId317" ref="K116"/>
    <hyperlink r:id="rId318" ref="G117"/>
    <hyperlink r:id="rId319" ref="J117"/>
    <hyperlink r:id="rId320" ref="K117"/>
    <hyperlink r:id="rId321" ref="G118"/>
    <hyperlink r:id="rId322" ref="J118"/>
    <hyperlink r:id="rId323" ref="K118"/>
    <hyperlink r:id="rId324" ref="G119"/>
    <hyperlink r:id="rId325" ref="J119"/>
    <hyperlink r:id="rId326" ref="K119"/>
    <hyperlink r:id="rId327" ref="G120"/>
    <hyperlink r:id="rId328" ref="J120"/>
    <hyperlink r:id="rId329" ref="K120"/>
    <hyperlink r:id="rId330" ref="G121"/>
    <hyperlink r:id="rId331" ref="J121"/>
    <hyperlink r:id="rId332" ref="K121"/>
    <hyperlink r:id="rId333" ref="G122"/>
    <hyperlink r:id="rId334" ref="J122"/>
    <hyperlink r:id="rId335" ref="K122"/>
    <hyperlink r:id="rId336" ref="J123"/>
    <hyperlink r:id="rId337" ref="K123"/>
    <hyperlink r:id="rId338" ref="G124"/>
    <hyperlink r:id="rId339" ref="J124"/>
    <hyperlink r:id="rId340" ref="K124"/>
    <hyperlink r:id="rId341" ref="G125"/>
    <hyperlink r:id="rId342" ref="J125"/>
    <hyperlink r:id="rId343" ref="K125"/>
    <hyperlink r:id="rId344" ref="G126"/>
    <hyperlink r:id="rId345" ref="J126"/>
    <hyperlink r:id="rId346" ref="K126"/>
    <hyperlink r:id="rId347" ref="G127"/>
    <hyperlink r:id="rId348" ref="J127"/>
    <hyperlink r:id="rId349" ref="K127"/>
    <hyperlink r:id="rId350" ref="G128"/>
    <hyperlink r:id="rId351" ref="J128"/>
    <hyperlink r:id="rId352" ref="K128"/>
    <hyperlink r:id="rId353" ref="G129"/>
    <hyperlink r:id="rId354" ref="J129"/>
    <hyperlink r:id="rId355" ref="K129"/>
    <hyperlink r:id="rId356" ref="G130"/>
    <hyperlink r:id="rId357" ref="J130"/>
    <hyperlink r:id="rId358" ref="K130"/>
    <hyperlink r:id="rId359" ref="G131"/>
    <hyperlink r:id="rId360" ref="J131"/>
    <hyperlink r:id="rId361" ref="K131"/>
    <hyperlink r:id="rId362" ref="G132"/>
    <hyperlink r:id="rId363" ref="J132"/>
    <hyperlink r:id="rId364" ref="K132"/>
    <hyperlink r:id="rId365" ref="G133"/>
    <hyperlink r:id="rId366" ref="J133"/>
    <hyperlink r:id="rId367" ref="K133"/>
    <hyperlink r:id="rId368" ref="G134"/>
    <hyperlink r:id="rId369" ref="J134"/>
    <hyperlink r:id="rId370" ref="K134"/>
    <hyperlink r:id="rId371" ref="G135"/>
    <hyperlink r:id="rId372" ref="J135"/>
    <hyperlink r:id="rId373" ref="K135"/>
    <hyperlink r:id="rId374" ref="G136"/>
    <hyperlink r:id="rId375" ref="J136"/>
    <hyperlink r:id="rId376" ref="K136"/>
    <hyperlink r:id="rId377" ref="G137"/>
    <hyperlink r:id="rId378" ref="J137"/>
    <hyperlink r:id="rId379" ref="K137"/>
    <hyperlink r:id="rId380" ref="G138"/>
    <hyperlink r:id="rId381" ref="J138"/>
    <hyperlink r:id="rId382" ref="K138"/>
    <hyperlink r:id="rId383" ref="G139"/>
    <hyperlink r:id="rId384" ref="J139"/>
    <hyperlink r:id="rId385" ref="K139"/>
    <hyperlink r:id="rId386" ref="G140"/>
    <hyperlink r:id="rId387" ref="J140"/>
    <hyperlink r:id="rId388" ref="K140"/>
    <hyperlink r:id="rId389" ref="G141"/>
    <hyperlink r:id="rId390" ref="J141"/>
    <hyperlink r:id="rId391" ref="K141"/>
    <hyperlink r:id="rId392" ref="G142"/>
    <hyperlink r:id="rId393" ref="J142"/>
    <hyperlink r:id="rId394" ref="K142"/>
    <hyperlink r:id="rId395" ref="G143"/>
    <hyperlink r:id="rId396" ref="J143"/>
    <hyperlink r:id="rId397" ref="K143"/>
    <hyperlink r:id="rId398" ref="G144"/>
    <hyperlink r:id="rId399" ref="J144"/>
    <hyperlink r:id="rId400" ref="K144"/>
    <hyperlink r:id="rId401" ref="G145"/>
    <hyperlink r:id="rId402" ref="J145"/>
    <hyperlink r:id="rId403" ref="K145"/>
    <hyperlink r:id="rId404" ref="G146"/>
    <hyperlink r:id="rId405" ref="J146"/>
    <hyperlink r:id="rId406" ref="K146"/>
    <hyperlink r:id="rId407" ref="G147"/>
    <hyperlink r:id="rId408" ref="J147"/>
    <hyperlink r:id="rId409" ref="K147"/>
    <hyperlink r:id="rId410" ref="G148"/>
    <hyperlink r:id="rId411" ref="J148"/>
    <hyperlink r:id="rId412" ref="K148"/>
    <hyperlink r:id="rId413" ref="G149"/>
    <hyperlink r:id="rId414" ref="J149"/>
    <hyperlink r:id="rId415" ref="K149"/>
    <hyperlink r:id="rId416" ref="G150"/>
    <hyperlink r:id="rId417" ref="J150"/>
    <hyperlink r:id="rId418" ref="K150"/>
    <hyperlink r:id="rId419" ref="G151"/>
    <hyperlink r:id="rId420" ref="J151"/>
    <hyperlink r:id="rId421" ref="K151"/>
    <hyperlink r:id="rId422" ref="G152"/>
    <hyperlink r:id="rId423" ref="J152"/>
    <hyperlink r:id="rId424" ref="K152"/>
    <hyperlink r:id="rId425" ref="G153"/>
    <hyperlink r:id="rId426" ref="J153"/>
    <hyperlink r:id="rId427" ref="G154"/>
    <hyperlink r:id="rId428" ref="J154"/>
    <hyperlink r:id="rId429" ref="K154"/>
    <hyperlink r:id="rId430" ref="G155"/>
    <hyperlink r:id="rId431" ref="J155"/>
    <hyperlink r:id="rId432" ref="K155"/>
    <hyperlink r:id="rId433" ref="G156"/>
    <hyperlink r:id="rId434" ref="J156"/>
    <hyperlink r:id="rId435" ref="K156"/>
    <hyperlink r:id="rId436" ref="G157"/>
    <hyperlink r:id="rId437" ref="J157"/>
    <hyperlink r:id="rId438" ref="K157"/>
    <hyperlink r:id="rId439" ref="G158"/>
    <hyperlink r:id="rId440" ref="J158"/>
    <hyperlink r:id="rId441" ref="K158"/>
    <hyperlink r:id="rId442" ref="G159"/>
    <hyperlink r:id="rId443" ref="J159"/>
    <hyperlink r:id="rId444" ref="K159"/>
    <hyperlink r:id="rId445" ref="G160"/>
    <hyperlink r:id="rId446" ref="J160"/>
    <hyperlink r:id="rId447" ref="K160"/>
    <hyperlink r:id="rId448" ref="G161"/>
    <hyperlink r:id="rId449" ref="J161"/>
    <hyperlink r:id="rId450" ref="K161"/>
    <hyperlink r:id="rId451" ref="G162"/>
    <hyperlink r:id="rId452" ref="J162"/>
    <hyperlink r:id="rId453" ref="K162"/>
    <hyperlink r:id="rId454" ref="G163"/>
    <hyperlink r:id="rId455" ref="J163"/>
    <hyperlink r:id="rId456" ref="K163"/>
    <hyperlink r:id="rId457" ref="G164"/>
    <hyperlink r:id="rId458" ref="J164"/>
    <hyperlink r:id="rId459" ref="K164"/>
    <hyperlink r:id="rId460" ref="G165"/>
    <hyperlink r:id="rId461" ref="J165"/>
    <hyperlink r:id="rId462" ref="K165"/>
    <hyperlink r:id="rId463" ref="G166"/>
    <hyperlink r:id="rId464" ref="J166"/>
    <hyperlink r:id="rId465" ref="K166"/>
    <hyperlink r:id="rId466" ref="G167"/>
    <hyperlink r:id="rId467" ref="J167"/>
    <hyperlink r:id="rId468" ref="K167"/>
    <hyperlink r:id="rId469" ref="G168"/>
    <hyperlink r:id="rId470" ref="J168"/>
    <hyperlink r:id="rId471" ref="K168"/>
    <hyperlink r:id="rId472" ref="G169"/>
    <hyperlink r:id="rId473" ref="J169"/>
    <hyperlink r:id="rId474" ref="K169"/>
    <hyperlink r:id="rId475" ref="G170"/>
    <hyperlink r:id="rId476" ref="J170"/>
    <hyperlink r:id="rId477" ref="K170"/>
    <hyperlink r:id="rId478" ref="G171"/>
    <hyperlink r:id="rId479" ref="J171"/>
    <hyperlink r:id="rId480" ref="K171"/>
    <hyperlink r:id="rId481" ref="F172"/>
    <hyperlink r:id="rId482" ref="G172"/>
    <hyperlink r:id="rId483" ref="J172"/>
    <hyperlink r:id="rId484" ref="K172"/>
    <hyperlink r:id="rId485" ref="G173"/>
    <hyperlink r:id="rId486" ref="J173"/>
    <hyperlink r:id="rId487" ref="K173"/>
    <hyperlink r:id="rId488" ref="G174"/>
    <hyperlink r:id="rId489" ref="J174"/>
    <hyperlink r:id="rId490" ref="K174"/>
    <hyperlink r:id="rId491" ref="G175"/>
    <hyperlink r:id="rId492" ref="J175"/>
    <hyperlink r:id="rId493" ref="K175"/>
    <hyperlink r:id="rId494" ref="G176"/>
    <hyperlink r:id="rId495" ref="J176"/>
    <hyperlink r:id="rId496" ref="K176"/>
    <hyperlink r:id="rId497" ref="G177"/>
    <hyperlink r:id="rId498" ref="J177"/>
    <hyperlink r:id="rId499" ref="K177"/>
    <hyperlink r:id="rId500" ref="G178"/>
    <hyperlink r:id="rId501" ref="J178"/>
    <hyperlink r:id="rId502" ref="K178"/>
    <hyperlink r:id="rId503" ref="G179"/>
    <hyperlink r:id="rId504" ref="J179"/>
    <hyperlink r:id="rId505" ref="K179"/>
    <hyperlink r:id="rId506" ref="G180"/>
    <hyperlink r:id="rId507" ref="J180"/>
    <hyperlink r:id="rId508" ref="K180"/>
    <hyperlink r:id="rId509" ref="J181"/>
    <hyperlink r:id="rId510" ref="K181"/>
    <hyperlink r:id="rId511" ref="G182"/>
    <hyperlink r:id="rId512" ref="J182"/>
    <hyperlink r:id="rId513" ref="K182"/>
    <hyperlink r:id="rId514" ref="G183"/>
    <hyperlink r:id="rId515" ref="J183"/>
    <hyperlink r:id="rId516" ref="K183"/>
    <hyperlink r:id="rId517" ref="G184"/>
    <hyperlink r:id="rId518" ref="J184"/>
    <hyperlink r:id="rId519" ref="K184"/>
    <hyperlink r:id="rId520" ref="J185"/>
    <hyperlink r:id="rId521" ref="K185"/>
    <hyperlink r:id="rId522" ref="G186"/>
    <hyperlink r:id="rId523" ref="J186"/>
    <hyperlink r:id="rId524" ref="K186"/>
    <hyperlink r:id="rId525" ref="G187"/>
    <hyperlink r:id="rId526" ref="J187"/>
    <hyperlink r:id="rId527" ref="K187"/>
    <hyperlink r:id="rId528" ref="G188"/>
    <hyperlink r:id="rId529" ref="J188"/>
    <hyperlink r:id="rId530" ref="K188"/>
    <hyperlink r:id="rId531" ref="G189"/>
    <hyperlink r:id="rId532" ref="J189"/>
    <hyperlink r:id="rId533" ref="K189"/>
    <hyperlink r:id="rId534" ref="G190"/>
    <hyperlink r:id="rId535" ref="J190"/>
    <hyperlink r:id="rId536" ref="K190"/>
    <hyperlink r:id="rId537" ref="G191"/>
    <hyperlink r:id="rId538" ref="J191"/>
    <hyperlink r:id="rId539" ref="K191"/>
    <hyperlink r:id="rId540" ref="G192"/>
    <hyperlink r:id="rId541" ref="J192"/>
    <hyperlink r:id="rId542" ref="K192"/>
    <hyperlink r:id="rId543" ref="G193"/>
    <hyperlink r:id="rId544" ref="J193"/>
    <hyperlink r:id="rId545" ref="K193"/>
    <hyperlink r:id="rId546" ref="G194"/>
    <hyperlink r:id="rId547" ref="J194"/>
    <hyperlink r:id="rId548" ref="K194"/>
    <hyperlink r:id="rId549" ref="G195"/>
    <hyperlink r:id="rId550" ref="J195"/>
    <hyperlink r:id="rId551" ref="K195"/>
    <hyperlink r:id="rId552" ref="G196"/>
    <hyperlink r:id="rId553" ref="J196"/>
    <hyperlink r:id="rId554" ref="K196"/>
    <hyperlink r:id="rId555" ref="G197"/>
    <hyperlink r:id="rId556" ref="J197"/>
    <hyperlink r:id="rId557" ref="K197"/>
    <hyperlink r:id="rId558" ref="G198"/>
    <hyperlink r:id="rId559" ref="J198"/>
    <hyperlink r:id="rId560" ref="G199"/>
    <hyperlink r:id="rId561" ref="J199"/>
    <hyperlink r:id="rId562" ref="G200"/>
    <hyperlink r:id="rId563" ref="J200"/>
    <hyperlink r:id="rId564" ref="G201"/>
    <hyperlink r:id="rId565" ref="J201"/>
    <hyperlink r:id="rId566" ref="K201"/>
    <hyperlink r:id="rId567" ref="G202"/>
    <hyperlink r:id="rId568" ref="J202"/>
    <hyperlink r:id="rId569" ref="K202"/>
    <hyperlink r:id="rId570" ref="G203"/>
    <hyperlink r:id="rId571" ref="J203"/>
    <hyperlink r:id="rId572" ref="J204"/>
    <hyperlink r:id="rId573" ref="G205"/>
    <hyperlink r:id="rId574" ref="J205"/>
    <hyperlink r:id="rId575" ref="G206"/>
    <hyperlink r:id="rId576" ref="J206"/>
    <hyperlink r:id="rId577" ref="K206"/>
    <hyperlink r:id="rId578" ref="G207"/>
    <hyperlink r:id="rId579" ref="J207"/>
    <hyperlink r:id="rId580" ref="G208"/>
    <hyperlink r:id="rId581" ref="J208"/>
    <hyperlink r:id="rId582" ref="G209"/>
    <hyperlink r:id="rId583" ref="J209"/>
    <hyperlink r:id="rId584" ref="G210"/>
    <hyperlink r:id="rId585" ref="J210"/>
    <hyperlink r:id="rId586" ref="G211"/>
    <hyperlink r:id="rId587" ref="J211"/>
    <hyperlink r:id="rId588" ref="G212"/>
    <hyperlink r:id="rId589" ref="J212"/>
    <hyperlink r:id="rId590" ref="G213"/>
    <hyperlink r:id="rId591" ref="J213"/>
    <hyperlink r:id="rId592" ref="G214"/>
    <hyperlink r:id="rId593" ref="J214"/>
    <hyperlink r:id="rId594" ref="K214"/>
  </hyperlinks>
  <drawing r:id="rId595"/>
  <tableParts count="7">
    <tablePart r:id="rId603"/>
    <tablePart r:id="rId604"/>
    <tablePart r:id="rId605"/>
    <tablePart r:id="rId606"/>
    <tablePart r:id="rId607"/>
    <tablePart r:id="rId608"/>
    <tablePart r:id="rId60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8.0" topLeftCell="A9" activePane="bottomLeft" state="frozen"/>
      <selection activeCell="B10" sqref="B10" pane="bottomLeft"/>
    </sheetView>
  </sheetViews>
  <sheetFormatPr customHeight="1" defaultColWidth="14.43" defaultRowHeight="15.75" outlineLevelCol="1"/>
  <cols>
    <col customWidth="1" min="1" max="1" width="2.29"/>
    <col customWidth="1" min="2" max="2" width="29.86"/>
    <col customWidth="1" min="3" max="3" width="80.14"/>
    <col customWidth="1" min="4" max="4" width="29.14"/>
    <col customWidth="1" min="5" max="5" width="49.86" outlineLevel="1"/>
    <col customWidth="1" min="6" max="6" width="30.71" outlineLevel="1"/>
    <col customWidth="1" min="7" max="8" width="33.14" outlineLevel="1"/>
    <col customWidth="1" min="9" max="17" width="33.14"/>
  </cols>
  <sheetData>
    <row r="1">
      <c r="A1" s="8"/>
      <c r="B1" s="9" t="s">
        <v>187</v>
      </c>
      <c r="C1" s="10"/>
      <c r="D1" s="10"/>
      <c r="E1" s="10"/>
      <c r="F1" s="11"/>
      <c r="G1" s="18"/>
      <c r="H1" s="18"/>
      <c r="I1" s="19"/>
      <c r="J1" s="19"/>
      <c r="K1" s="19"/>
      <c r="L1" s="19"/>
      <c r="M1" s="19"/>
      <c r="N1" s="19"/>
      <c r="O1" s="19"/>
      <c r="P1" s="19"/>
      <c r="Q1" s="19"/>
    </row>
    <row r="2">
      <c r="A2" s="21"/>
      <c r="B2" s="22"/>
      <c r="F2" s="24"/>
      <c r="G2" s="18"/>
      <c r="H2" s="18"/>
      <c r="I2" s="19"/>
      <c r="J2" s="19"/>
      <c r="K2" s="19"/>
      <c r="L2" s="19"/>
      <c r="M2" s="19"/>
      <c r="N2" s="19"/>
      <c r="O2" s="19"/>
      <c r="P2" s="19"/>
      <c r="Q2" s="19"/>
    </row>
    <row r="3" ht="11.25" customHeight="1">
      <c r="A3" s="21"/>
      <c r="B3" s="22"/>
      <c r="F3" s="24"/>
      <c r="G3" s="18"/>
      <c r="H3" s="18"/>
      <c r="I3" s="19"/>
      <c r="J3" s="19"/>
      <c r="K3" s="19"/>
      <c r="L3" s="19"/>
      <c r="M3" s="19"/>
      <c r="N3" s="19"/>
      <c r="O3" s="19"/>
      <c r="P3" s="19"/>
      <c r="Q3" s="19"/>
    </row>
    <row r="4" ht="15.0" customHeight="1">
      <c r="A4" s="21"/>
      <c r="B4" s="26"/>
      <c r="C4" s="27"/>
      <c r="D4" s="27"/>
      <c r="E4" s="27"/>
      <c r="F4" s="28"/>
      <c r="G4" s="18"/>
      <c r="H4" s="18"/>
      <c r="I4" s="19"/>
      <c r="J4" s="19"/>
      <c r="K4" s="19"/>
      <c r="L4" s="19"/>
      <c r="M4" s="19"/>
      <c r="N4" s="19"/>
      <c r="O4" s="19"/>
      <c r="P4" s="19"/>
      <c r="Q4" s="19"/>
    </row>
    <row r="5" ht="16.5" customHeight="1">
      <c r="A5" s="21"/>
      <c r="B5" s="49" t="s">
        <v>39</v>
      </c>
      <c r="C5" s="33"/>
      <c r="D5" s="50"/>
      <c r="E5" s="50"/>
      <c r="F5" s="50"/>
      <c r="G5" s="18"/>
      <c r="H5" s="18"/>
      <c r="I5" s="19"/>
      <c r="J5" s="19"/>
      <c r="K5" s="19"/>
      <c r="L5" s="19"/>
      <c r="M5" s="19"/>
      <c r="N5" s="19"/>
      <c r="O5" s="19"/>
      <c r="P5" s="19"/>
      <c r="Q5" s="19"/>
    </row>
    <row r="6" ht="12.0" customHeight="1">
      <c r="A6" s="106"/>
      <c r="B6" s="52"/>
      <c r="C6" s="52"/>
      <c r="D6" s="53"/>
      <c r="E6" s="107"/>
      <c r="F6" s="50"/>
      <c r="G6" s="18"/>
      <c r="H6" s="54"/>
      <c r="I6" s="19"/>
      <c r="J6" s="19"/>
      <c r="K6" s="19"/>
      <c r="L6" s="19"/>
      <c r="M6" s="19"/>
      <c r="N6" s="19"/>
      <c r="O6" s="19"/>
      <c r="P6" s="19"/>
      <c r="Q6" s="19"/>
    </row>
    <row r="7">
      <c r="A7" s="56"/>
      <c r="B7" s="108"/>
      <c r="C7" s="58"/>
      <c r="D7" s="60"/>
      <c r="E7" s="111"/>
      <c r="F7" s="60"/>
      <c r="G7" s="61"/>
      <c r="H7" s="61"/>
      <c r="I7" s="63"/>
      <c r="J7" s="63"/>
      <c r="K7" s="63"/>
      <c r="L7" s="63"/>
      <c r="M7" s="63"/>
      <c r="N7" s="63"/>
      <c r="O7" s="63"/>
      <c r="P7" s="63"/>
      <c r="Q7" s="63"/>
    </row>
    <row r="8">
      <c r="A8" s="67"/>
      <c r="B8" s="112" t="s">
        <v>0</v>
      </c>
      <c r="C8" s="68" t="s">
        <v>150</v>
      </c>
      <c r="D8" s="70" t="s">
        <v>152</v>
      </c>
      <c r="E8" s="70" t="s">
        <v>153</v>
      </c>
      <c r="F8" s="70" t="s">
        <v>154</v>
      </c>
      <c r="G8" s="72" t="s">
        <v>160</v>
      </c>
      <c r="H8" s="72" t="s">
        <v>162</v>
      </c>
      <c r="I8" s="75" t="s">
        <v>163</v>
      </c>
      <c r="J8" s="75" t="s">
        <v>164</v>
      </c>
      <c r="K8" s="75" t="s">
        <v>156</v>
      </c>
      <c r="L8" s="75" t="s">
        <v>158</v>
      </c>
      <c r="M8" s="75" t="s">
        <v>159</v>
      </c>
      <c r="N8" s="75" t="s">
        <v>165</v>
      </c>
      <c r="O8" s="75" t="s">
        <v>166</v>
      </c>
      <c r="P8" s="75"/>
      <c r="Q8" s="75"/>
    </row>
    <row r="9">
      <c r="A9" s="116"/>
      <c r="B9" s="120" t="s">
        <v>257</v>
      </c>
      <c r="C9" s="121" t="s">
        <v>259</v>
      </c>
      <c r="D9" s="121" t="s">
        <v>260</v>
      </c>
      <c r="E9" s="123" t="s">
        <v>262</v>
      </c>
      <c r="F9" s="123" t="s">
        <v>263</v>
      </c>
      <c r="G9" s="124" t="s">
        <v>266</v>
      </c>
      <c r="H9" s="125"/>
      <c r="I9" s="126">
        <v>3.21</v>
      </c>
      <c r="J9" s="127"/>
      <c r="K9" s="127"/>
      <c r="L9" s="127"/>
      <c r="M9" s="127"/>
      <c r="N9" s="127"/>
      <c r="O9" s="127"/>
      <c r="P9" s="127"/>
      <c r="Q9" s="127"/>
    </row>
    <row r="10">
      <c r="A10" s="129"/>
      <c r="B10" s="130" t="s">
        <v>257</v>
      </c>
      <c r="C10" s="131" t="s">
        <v>287</v>
      </c>
      <c r="D10" s="131" t="s">
        <v>288</v>
      </c>
      <c r="E10" s="132" t="s">
        <v>289</v>
      </c>
      <c r="F10" s="132" t="s">
        <v>292</v>
      </c>
      <c r="G10" s="133" t="s">
        <v>294</v>
      </c>
      <c r="H10" s="133" t="s">
        <v>294</v>
      </c>
      <c r="I10" s="134">
        <v>3.71</v>
      </c>
      <c r="J10" s="135">
        <v>44614.0</v>
      </c>
      <c r="K10" s="136"/>
      <c r="L10" s="136" t="s">
        <v>192</v>
      </c>
      <c r="M10" s="136" t="s">
        <v>195</v>
      </c>
      <c r="N10" s="136" t="s">
        <v>257</v>
      </c>
      <c r="O10" s="136" t="s">
        <v>308</v>
      </c>
      <c r="P10" s="136"/>
      <c r="Q10" s="136"/>
    </row>
    <row r="11">
      <c r="A11" s="129"/>
      <c r="B11" s="130" t="s">
        <v>257</v>
      </c>
      <c r="C11" s="137" t="s">
        <v>310</v>
      </c>
      <c r="D11" s="137" t="s">
        <v>313</v>
      </c>
      <c r="E11" s="138" t="s">
        <v>315</v>
      </c>
      <c r="F11" s="138" t="s">
        <v>318</v>
      </c>
      <c r="G11" s="133" t="s">
        <v>321</v>
      </c>
      <c r="H11" s="133" t="s">
        <v>321</v>
      </c>
      <c r="I11" s="140">
        <v>2.0</v>
      </c>
      <c r="J11" s="141">
        <v>44621.0</v>
      </c>
      <c r="K11" s="127"/>
      <c r="L11" s="127" t="s">
        <v>192</v>
      </c>
      <c r="M11" s="127" t="s">
        <v>195</v>
      </c>
      <c r="N11" s="127" t="s">
        <v>257</v>
      </c>
      <c r="O11" s="127" t="s">
        <v>330</v>
      </c>
      <c r="P11" s="127"/>
      <c r="Q11" s="127"/>
    </row>
    <row r="12">
      <c r="A12" s="129"/>
      <c r="B12" s="130" t="s">
        <v>257</v>
      </c>
      <c r="C12" s="131" t="s">
        <v>331</v>
      </c>
      <c r="D12" s="131" t="s">
        <v>335</v>
      </c>
      <c r="E12" s="132" t="s">
        <v>336</v>
      </c>
      <c r="F12" s="132" t="s">
        <v>337</v>
      </c>
      <c r="G12" s="133" t="s">
        <v>339</v>
      </c>
      <c r="H12" s="133" t="s">
        <v>339</v>
      </c>
      <c r="I12" s="134">
        <v>3.71</v>
      </c>
      <c r="J12" s="135">
        <v>44628.0</v>
      </c>
      <c r="K12" s="136"/>
      <c r="L12" s="136" t="s">
        <v>192</v>
      </c>
      <c r="M12" s="136" t="s">
        <v>350</v>
      </c>
      <c r="N12" s="136" t="s">
        <v>352</v>
      </c>
      <c r="O12" s="136" t="s">
        <v>354</v>
      </c>
      <c r="P12" s="136"/>
      <c r="Q12" s="136"/>
    </row>
    <row r="13">
      <c r="A13" s="129"/>
      <c r="B13" s="130" t="s">
        <v>257</v>
      </c>
      <c r="C13" s="137" t="s">
        <v>334</v>
      </c>
      <c r="D13" s="137" t="s">
        <v>357</v>
      </c>
      <c r="E13" s="138" t="s">
        <v>358</v>
      </c>
      <c r="F13" s="138" t="s">
        <v>359</v>
      </c>
      <c r="G13" s="133" t="s">
        <v>360</v>
      </c>
      <c r="H13" s="133" t="s">
        <v>360</v>
      </c>
      <c r="I13" s="140">
        <v>2.0</v>
      </c>
      <c r="J13" s="141">
        <v>44635.0</v>
      </c>
      <c r="K13" s="127"/>
      <c r="L13" s="127" t="s">
        <v>192</v>
      </c>
      <c r="M13" s="127" t="s">
        <v>195</v>
      </c>
      <c r="N13" s="127" t="s">
        <v>208</v>
      </c>
      <c r="O13" s="127" t="s">
        <v>372</v>
      </c>
      <c r="P13" s="127"/>
      <c r="Q13" s="127"/>
    </row>
    <row r="14">
      <c r="A14" s="129"/>
      <c r="B14" s="130" t="s">
        <v>257</v>
      </c>
      <c r="C14" s="131" t="s">
        <v>341</v>
      </c>
      <c r="D14" s="131" t="s">
        <v>375</v>
      </c>
      <c r="E14" s="132" t="s">
        <v>376</v>
      </c>
      <c r="F14" s="132" t="s">
        <v>377</v>
      </c>
      <c r="G14" s="133" t="s">
        <v>378</v>
      </c>
      <c r="H14" s="133" t="s">
        <v>378</v>
      </c>
      <c r="I14" s="134">
        <v>3.71</v>
      </c>
      <c r="J14" s="135">
        <v>44642.0</v>
      </c>
      <c r="K14" s="136"/>
      <c r="L14" s="136" t="s">
        <v>385</v>
      </c>
      <c r="M14" s="136" t="s">
        <v>386</v>
      </c>
      <c r="N14" s="136" t="s">
        <v>387</v>
      </c>
      <c r="O14" s="136" t="s">
        <v>389</v>
      </c>
      <c r="P14" s="136"/>
      <c r="Q14" s="136"/>
    </row>
    <row r="15">
      <c r="A15" s="129"/>
      <c r="B15" s="130" t="s">
        <v>257</v>
      </c>
      <c r="C15" s="137" t="s">
        <v>343</v>
      </c>
      <c r="D15" s="137" t="s">
        <v>393</v>
      </c>
      <c r="E15" s="138" t="s">
        <v>262</v>
      </c>
      <c r="F15" s="138" t="s">
        <v>394</v>
      </c>
      <c r="G15" s="133" t="s">
        <v>395</v>
      </c>
      <c r="H15" s="133" t="s">
        <v>395</v>
      </c>
      <c r="I15" s="140">
        <v>4.07</v>
      </c>
      <c r="J15" s="141">
        <v>44649.0</v>
      </c>
      <c r="K15" s="146" t="s">
        <v>402</v>
      </c>
      <c r="L15" s="127" t="s">
        <v>192</v>
      </c>
      <c r="M15" s="127" t="s">
        <v>195</v>
      </c>
      <c r="N15" s="127" t="s">
        <v>362</v>
      </c>
      <c r="O15" s="127" t="s">
        <v>407</v>
      </c>
      <c r="P15" s="127"/>
      <c r="Q15" s="127"/>
    </row>
    <row r="16">
      <c r="A16" s="129"/>
      <c r="B16" s="130" t="s">
        <v>257</v>
      </c>
      <c r="C16" s="131" t="s">
        <v>344</v>
      </c>
      <c r="D16" s="131" t="s">
        <v>412</v>
      </c>
      <c r="E16" s="132" t="s">
        <v>414</v>
      </c>
      <c r="F16" s="132" t="s">
        <v>415</v>
      </c>
      <c r="G16" s="133" t="s">
        <v>416</v>
      </c>
      <c r="H16" s="133" t="s">
        <v>416</v>
      </c>
      <c r="I16" s="134">
        <v>4.29</v>
      </c>
      <c r="J16" s="135">
        <v>44656.0</v>
      </c>
      <c r="K16" s="136"/>
      <c r="L16" s="136" t="s">
        <v>192</v>
      </c>
      <c r="M16" s="136" t="s">
        <v>195</v>
      </c>
      <c r="N16" s="136" t="s">
        <v>257</v>
      </c>
      <c r="O16" s="136" t="s">
        <v>426</v>
      </c>
      <c r="P16" s="136"/>
      <c r="Q16" s="136"/>
    </row>
    <row r="17">
      <c r="A17" s="129"/>
      <c r="B17" s="130" t="s">
        <v>257</v>
      </c>
      <c r="C17" s="137" t="s">
        <v>345</v>
      </c>
      <c r="D17" s="137" t="s">
        <v>290</v>
      </c>
      <c r="E17" s="138" t="s">
        <v>293</v>
      </c>
      <c r="F17" s="138" t="s">
        <v>295</v>
      </c>
      <c r="G17" s="133" t="s">
        <v>428</v>
      </c>
      <c r="H17" s="133" t="s">
        <v>428</v>
      </c>
      <c r="I17" s="140">
        <v>3.71</v>
      </c>
      <c r="J17" s="141">
        <v>44663.0</v>
      </c>
      <c r="K17" s="146" t="s">
        <v>296</v>
      </c>
      <c r="L17" s="127" t="s">
        <v>385</v>
      </c>
      <c r="M17" s="127" t="s">
        <v>448</v>
      </c>
      <c r="N17" s="127" t="s">
        <v>449</v>
      </c>
      <c r="O17" s="127" t="s">
        <v>451</v>
      </c>
      <c r="P17" s="127"/>
      <c r="Q17" s="127"/>
    </row>
    <row r="18">
      <c r="A18" s="129"/>
      <c r="B18" s="130" t="s">
        <v>257</v>
      </c>
      <c r="C18" s="131" t="s">
        <v>346</v>
      </c>
      <c r="D18" s="131" t="s">
        <v>452</v>
      </c>
      <c r="E18" s="132" t="s">
        <v>453</v>
      </c>
      <c r="F18" s="132" t="s">
        <v>454</v>
      </c>
      <c r="G18" s="133" t="s">
        <v>455</v>
      </c>
      <c r="H18" s="133" t="s">
        <v>455</v>
      </c>
      <c r="I18" s="134">
        <v>2.0</v>
      </c>
      <c r="J18" s="135">
        <v>44670.0</v>
      </c>
      <c r="K18" s="136"/>
      <c r="L18" s="136" t="s">
        <v>461</v>
      </c>
      <c r="M18" s="136" t="s">
        <v>462</v>
      </c>
      <c r="N18" s="136" t="s">
        <v>463</v>
      </c>
      <c r="O18" s="136" t="s">
        <v>464</v>
      </c>
      <c r="P18" s="136"/>
      <c r="Q18" s="136"/>
    </row>
    <row r="19">
      <c r="A19" s="129"/>
      <c r="B19" s="130" t="s">
        <v>257</v>
      </c>
      <c r="C19" s="137" t="s">
        <v>348</v>
      </c>
      <c r="D19" s="137" t="s">
        <v>465</v>
      </c>
      <c r="E19" s="138" t="s">
        <v>466</v>
      </c>
      <c r="F19" s="138" t="s">
        <v>467</v>
      </c>
      <c r="G19" s="133" t="s">
        <v>468</v>
      </c>
      <c r="H19" s="133" t="s">
        <v>468</v>
      </c>
      <c r="I19" s="140">
        <v>4.07</v>
      </c>
      <c r="J19" s="141">
        <v>44677.0</v>
      </c>
      <c r="K19" s="127"/>
      <c r="L19" s="127" t="s">
        <v>192</v>
      </c>
      <c r="M19" s="127" t="s">
        <v>195</v>
      </c>
      <c r="N19" s="127" t="s">
        <v>257</v>
      </c>
      <c r="O19" s="127" t="s">
        <v>474</v>
      </c>
      <c r="P19" s="127"/>
      <c r="Q19" s="127"/>
    </row>
    <row r="20">
      <c r="A20" s="129"/>
      <c r="B20" s="130" t="s">
        <v>257</v>
      </c>
      <c r="C20" s="131" t="s">
        <v>349</v>
      </c>
      <c r="D20" s="131" t="s">
        <v>365</v>
      </c>
      <c r="E20" s="132" t="s">
        <v>317</v>
      </c>
      <c r="F20" s="132" t="s">
        <v>367</v>
      </c>
      <c r="G20" s="133" t="s">
        <v>476</v>
      </c>
      <c r="H20" s="133" t="s">
        <v>476</v>
      </c>
      <c r="I20" s="134">
        <v>2.0</v>
      </c>
      <c r="J20" s="135">
        <v>44684.0</v>
      </c>
      <c r="K20" s="154" t="s">
        <v>368</v>
      </c>
      <c r="L20" s="136" t="s">
        <v>385</v>
      </c>
      <c r="M20" s="136" t="s">
        <v>448</v>
      </c>
      <c r="N20" s="136" t="s">
        <v>482</v>
      </c>
      <c r="O20" s="136" t="s">
        <v>483</v>
      </c>
      <c r="P20" s="136"/>
      <c r="Q20" s="136"/>
    </row>
    <row r="21">
      <c r="A21" s="116"/>
      <c r="B21" s="120" t="s">
        <v>257</v>
      </c>
      <c r="C21" s="121" t="s">
        <v>351</v>
      </c>
      <c r="D21" s="121" t="s">
        <v>488</v>
      </c>
      <c r="E21" s="123" t="s">
        <v>489</v>
      </c>
      <c r="F21" s="123" t="s">
        <v>490</v>
      </c>
      <c r="G21" s="124" t="s">
        <v>491</v>
      </c>
      <c r="H21" s="124" t="s">
        <v>491</v>
      </c>
      <c r="I21" s="126">
        <v>3.86</v>
      </c>
      <c r="J21" s="141">
        <v>44691.0</v>
      </c>
      <c r="K21" s="127"/>
      <c r="L21" s="127" t="s">
        <v>192</v>
      </c>
      <c r="M21" s="127" t="s">
        <v>195</v>
      </c>
      <c r="N21" s="127" t="s">
        <v>362</v>
      </c>
      <c r="O21" s="127" t="s">
        <v>492</v>
      </c>
      <c r="P21" s="127"/>
      <c r="Q21" s="127"/>
    </row>
    <row r="22">
      <c r="A22" s="129"/>
      <c r="B22" s="156" t="s">
        <v>257</v>
      </c>
      <c r="C22" s="131" t="s">
        <v>353</v>
      </c>
      <c r="D22" s="131" t="s">
        <v>494</v>
      </c>
      <c r="E22" s="132" t="s">
        <v>496</v>
      </c>
      <c r="F22" s="132" t="s">
        <v>497</v>
      </c>
      <c r="G22" s="133" t="s">
        <v>498</v>
      </c>
      <c r="H22" s="133" t="s">
        <v>498</v>
      </c>
      <c r="I22" s="134">
        <v>3.93</v>
      </c>
      <c r="J22" s="135">
        <v>44698.0</v>
      </c>
      <c r="K22" s="136"/>
      <c r="L22" s="136" t="s">
        <v>192</v>
      </c>
      <c r="M22" s="136" t="s">
        <v>350</v>
      </c>
      <c r="N22" s="136" t="s">
        <v>352</v>
      </c>
      <c r="O22" s="136" t="s">
        <v>503</v>
      </c>
      <c r="P22" s="136"/>
      <c r="Q22" s="136"/>
    </row>
    <row r="23">
      <c r="A23" s="129"/>
      <c r="B23" s="130" t="s">
        <v>257</v>
      </c>
      <c r="C23" s="137" t="s">
        <v>355</v>
      </c>
      <c r="D23" s="137" t="s">
        <v>504</v>
      </c>
      <c r="E23" s="138" t="s">
        <v>505</v>
      </c>
      <c r="F23" s="138" t="s">
        <v>506</v>
      </c>
      <c r="G23" s="133" t="s">
        <v>507</v>
      </c>
      <c r="H23" s="133" t="s">
        <v>507</v>
      </c>
      <c r="I23" s="140">
        <v>4.29</v>
      </c>
      <c r="J23" s="141">
        <v>44705.0</v>
      </c>
      <c r="K23" s="127"/>
      <c r="L23" s="127" t="s">
        <v>192</v>
      </c>
      <c r="M23" s="127" t="s">
        <v>350</v>
      </c>
      <c r="N23" s="127" t="s">
        <v>352</v>
      </c>
      <c r="O23" s="127" t="s">
        <v>514</v>
      </c>
      <c r="P23" s="127"/>
      <c r="Q23" s="127"/>
    </row>
    <row r="24">
      <c r="A24" s="129"/>
      <c r="B24" s="156" t="s">
        <v>257</v>
      </c>
      <c r="C24" s="131" t="s">
        <v>356</v>
      </c>
      <c r="D24" s="131" t="s">
        <v>515</v>
      </c>
      <c r="E24" s="132" t="s">
        <v>516</v>
      </c>
      <c r="F24" s="158" t="s">
        <v>517</v>
      </c>
      <c r="G24" s="133" t="s">
        <v>518</v>
      </c>
      <c r="H24" s="133" t="s">
        <v>518</v>
      </c>
      <c r="I24" s="134">
        <v>1.0</v>
      </c>
      <c r="J24" s="135">
        <v>44712.0</v>
      </c>
      <c r="K24" s="136"/>
      <c r="L24" s="136" t="s">
        <v>192</v>
      </c>
      <c r="M24" s="136" t="s">
        <v>350</v>
      </c>
      <c r="N24" s="136" t="s">
        <v>352</v>
      </c>
      <c r="O24" s="136" t="s">
        <v>523</v>
      </c>
      <c r="P24" s="136"/>
      <c r="Q24" s="136"/>
    </row>
    <row r="25">
      <c r="A25" s="129"/>
      <c r="B25" s="156" t="s">
        <v>257</v>
      </c>
      <c r="C25" s="137" t="s">
        <v>361</v>
      </c>
      <c r="D25" s="137" t="s">
        <v>524</v>
      </c>
      <c r="E25" s="138" t="s">
        <v>525</v>
      </c>
      <c r="F25" s="138" t="s">
        <v>526</v>
      </c>
      <c r="G25" s="133" t="s">
        <v>527</v>
      </c>
      <c r="H25" s="133" t="s">
        <v>527</v>
      </c>
      <c r="I25" s="140">
        <v>4.29</v>
      </c>
      <c r="J25" s="141">
        <v>44719.0</v>
      </c>
      <c r="K25" s="146" t="s">
        <v>529</v>
      </c>
      <c r="L25" s="127" t="s">
        <v>461</v>
      </c>
      <c r="M25" s="127" t="s">
        <v>530</v>
      </c>
      <c r="N25" s="127" t="s">
        <v>531</v>
      </c>
      <c r="O25" s="127" t="s">
        <v>532</v>
      </c>
      <c r="P25" s="127"/>
      <c r="Q25" s="127"/>
    </row>
    <row r="26">
      <c r="A26" s="129"/>
      <c r="B26" s="156" t="s">
        <v>257</v>
      </c>
      <c r="C26" s="131" t="s">
        <v>364</v>
      </c>
      <c r="D26" s="131" t="s">
        <v>535</v>
      </c>
      <c r="E26" s="132" t="s">
        <v>536</v>
      </c>
      <c r="F26" s="132" t="s">
        <v>537</v>
      </c>
      <c r="G26" s="133" t="s">
        <v>539</v>
      </c>
      <c r="H26" s="133" t="s">
        <v>539</v>
      </c>
      <c r="I26" s="134">
        <v>4.29</v>
      </c>
      <c r="J26" s="135">
        <v>44726.0</v>
      </c>
      <c r="K26" s="136"/>
      <c r="L26" s="136" t="s">
        <v>192</v>
      </c>
      <c r="M26" s="136" t="s">
        <v>350</v>
      </c>
      <c r="N26" s="136" t="s">
        <v>352</v>
      </c>
      <c r="O26" s="136" t="s">
        <v>543</v>
      </c>
      <c r="P26" s="136"/>
      <c r="Q26" s="136"/>
    </row>
    <row r="27">
      <c r="A27" s="129"/>
      <c r="B27" s="156" t="s">
        <v>257</v>
      </c>
      <c r="C27" s="137" t="s">
        <v>366</v>
      </c>
      <c r="D27" s="137" t="s">
        <v>544</v>
      </c>
      <c r="E27" s="138" t="s">
        <v>447</v>
      </c>
      <c r="F27" s="138" t="s">
        <v>447</v>
      </c>
      <c r="G27" s="133" t="s">
        <v>545</v>
      </c>
      <c r="H27" s="133" t="s">
        <v>545</v>
      </c>
      <c r="I27" s="140">
        <v>3.71</v>
      </c>
      <c r="J27" s="141">
        <v>44733.0</v>
      </c>
      <c r="K27" s="127"/>
      <c r="L27" s="127" t="s">
        <v>385</v>
      </c>
      <c r="M27" s="127" t="s">
        <v>386</v>
      </c>
      <c r="N27" s="127" t="s">
        <v>549</v>
      </c>
      <c r="O27" s="127" t="s">
        <v>550</v>
      </c>
      <c r="P27" s="127"/>
      <c r="Q27" s="127"/>
    </row>
    <row r="28">
      <c r="A28" s="67"/>
      <c r="B28" s="161" t="s">
        <v>257</v>
      </c>
      <c r="C28" s="162" t="s">
        <v>369</v>
      </c>
      <c r="D28" s="162" t="s">
        <v>555</v>
      </c>
      <c r="E28" s="162" t="s">
        <v>447</v>
      </c>
      <c r="F28" s="162" t="s">
        <v>447</v>
      </c>
      <c r="G28" s="163" t="s">
        <v>556</v>
      </c>
      <c r="H28" s="163" t="s">
        <v>556</v>
      </c>
      <c r="I28" s="126">
        <v>3.71</v>
      </c>
      <c r="J28" s="141">
        <v>44740.0</v>
      </c>
      <c r="K28" s="146" t="s">
        <v>562</v>
      </c>
      <c r="L28" s="127" t="s">
        <v>461</v>
      </c>
      <c r="M28" s="127" t="s">
        <v>462</v>
      </c>
      <c r="N28" s="127" t="s">
        <v>463</v>
      </c>
      <c r="O28" s="127" t="s">
        <v>564</v>
      </c>
      <c r="P28" s="127"/>
      <c r="Q28" s="127"/>
    </row>
    <row r="29">
      <c r="A29" s="67"/>
      <c r="B29" s="164" t="s">
        <v>257</v>
      </c>
      <c r="C29" s="165" t="s">
        <v>370</v>
      </c>
      <c r="D29" s="165" t="s">
        <v>569</v>
      </c>
      <c r="E29" s="165" t="s">
        <v>317</v>
      </c>
      <c r="F29" s="165" t="s">
        <v>571</v>
      </c>
      <c r="G29" s="163" t="s">
        <v>572</v>
      </c>
      <c r="H29" s="163" t="s">
        <v>572</v>
      </c>
      <c r="I29" s="134">
        <v>3.71</v>
      </c>
      <c r="J29" s="135">
        <v>44747.0</v>
      </c>
      <c r="K29" s="154" t="s">
        <v>574</v>
      </c>
      <c r="L29" s="136" t="s">
        <v>385</v>
      </c>
      <c r="M29" s="136" t="s">
        <v>448</v>
      </c>
      <c r="N29" s="136" t="s">
        <v>482</v>
      </c>
      <c r="O29" s="136" t="s">
        <v>580</v>
      </c>
      <c r="P29" s="136"/>
      <c r="Q29" s="136"/>
    </row>
    <row r="30">
      <c r="A30" s="67"/>
      <c r="B30" s="164" t="s">
        <v>257</v>
      </c>
      <c r="C30" s="162" t="s">
        <v>371</v>
      </c>
      <c r="D30" s="162" t="s">
        <v>581</v>
      </c>
      <c r="E30" s="162" t="s">
        <v>582</v>
      </c>
      <c r="F30" s="162" t="s">
        <v>583</v>
      </c>
      <c r="G30" s="163" t="s">
        <v>584</v>
      </c>
      <c r="H30" s="163" t="s">
        <v>584</v>
      </c>
      <c r="I30" s="140">
        <v>2.0</v>
      </c>
      <c r="J30" s="141">
        <v>44754.0</v>
      </c>
      <c r="K30" s="127"/>
      <c r="L30" s="127" t="s">
        <v>192</v>
      </c>
      <c r="M30" s="127" t="s">
        <v>195</v>
      </c>
      <c r="N30" s="127" t="s">
        <v>257</v>
      </c>
      <c r="O30" s="127" t="s">
        <v>590</v>
      </c>
      <c r="P30" s="127"/>
      <c r="Q30" s="127"/>
    </row>
    <row r="31">
      <c r="A31" s="67"/>
      <c r="B31" s="164" t="s">
        <v>257</v>
      </c>
      <c r="C31" s="165" t="s">
        <v>374</v>
      </c>
      <c r="D31" s="165" t="s">
        <v>591</v>
      </c>
      <c r="E31" s="165" t="s">
        <v>592</v>
      </c>
      <c r="F31" s="165" t="s">
        <v>367</v>
      </c>
      <c r="G31" s="163" t="s">
        <v>593</v>
      </c>
      <c r="H31" s="163" t="s">
        <v>593</v>
      </c>
      <c r="I31" s="134">
        <v>4.29</v>
      </c>
      <c r="J31" s="135">
        <v>44761.0</v>
      </c>
      <c r="K31" s="136"/>
      <c r="L31" s="136" t="s">
        <v>192</v>
      </c>
      <c r="M31" s="136" t="s">
        <v>350</v>
      </c>
      <c r="N31" s="136" t="s">
        <v>600</v>
      </c>
      <c r="O31" s="136" t="s">
        <v>602</v>
      </c>
      <c r="P31" s="136"/>
      <c r="Q31" s="136"/>
    </row>
    <row r="32">
      <c r="A32" s="67"/>
      <c r="B32" s="164" t="s">
        <v>257</v>
      </c>
      <c r="C32" s="171" t="s">
        <v>379</v>
      </c>
      <c r="D32" s="162" t="s">
        <v>605</v>
      </c>
      <c r="E32" s="162" t="s">
        <v>606</v>
      </c>
      <c r="F32" s="162" t="s">
        <v>607</v>
      </c>
      <c r="G32" s="163" t="s">
        <v>608</v>
      </c>
      <c r="H32" s="163" t="s">
        <v>608</v>
      </c>
      <c r="I32" s="140">
        <v>3.71</v>
      </c>
      <c r="J32" s="141">
        <v>44768.0</v>
      </c>
      <c r="K32" s="127"/>
      <c r="L32" s="127" t="s">
        <v>385</v>
      </c>
      <c r="M32" s="127" t="s">
        <v>386</v>
      </c>
      <c r="N32" s="127" t="s">
        <v>549</v>
      </c>
      <c r="O32" s="127" t="s">
        <v>623</v>
      </c>
      <c r="P32" s="127"/>
      <c r="Q32" s="127"/>
    </row>
    <row r="33">
      <c r="A33" s="67"/>
      <c r="B33" s="164" t="s">
        <v>257</v>
      </c>
      <c r="C33" s="165" t="s">
        <v>380</v>
      </c>
      <c r="D33" s="165" t="s">
        <v>626</v>
      </c>
      <c r="E33" s="165" t="s">
        <v>628</v>
      </c>
      <c r="F33" s="165" t="s">
        <v>629</v>
      </c>
      <c r="G33" s="163" t="s">
        <v>630</v>
      </c>
      <c r="H33" s="163" t="s">
        <v>630</v>
      </c>
      <c r="I33" s="134">
        <v>4.29</v>
      </c>
      <c r="J33" s="135">
        <v>44775.0</v>
      </c>
      <c r="K33" s="136"/>
      <c r="L33" s="136" t="s">
        <v>385</v>
      </c>
      <c r="M33" s="136" t="s">
        <v>386</v>
      </c>
      <c r="N33" s="136" t="s">
        <v>641</v>
      </c>
      <c r="O33" s="136" t="s">
        <v>643</v>
      </c>
      <c r="P33" s="136"/>
      <c r="Q33" s="136"/>
    </row>
    <row r="34">
      <c r="A34" s="67"/>
      <c r="B34" s="164" t="s">
        <v>257</v>
      </c>
      <c r="C34" s="162" t="s">
        <v>381</v>
      </c>
      <c r="D34" s="162" t="s">
        <v>647</v>
      </c>
      <c r="E34" s="162" t="s">
        <v>648</v>
      </c>
      <c r="F34" s="162" t="s">
        <v>650</v>
      </c>
      <c r="G34" s="163" t="s">
        <v>651</v>
      </c>
      <c r="H34" s="163" t="s">
        <v>651</v>
      </c>
      <c r="I34" s="140">
        <v>3.71</v>
      </c>
      <c r="J34" s="141">
        <v>44782.0</v>
      </c>
      <c r="K34" s="127"/>
      <c r="L34" s="127" t="s">
        <v>192</v>
      </c>
      <c r="M34" s="127" t="s">
        <v>195</v>
      </c>
      <c r="N34" s="127" t="s">
        <v>257</v>
      </c>
      <c r="O34" s="127" t="s">
        <v>662</v>
      </c>
      <c r="P34" s="127"/>
      <c r="Q34" s="127"/>
    </row>
    <row r="35">
      <c r="A35" s="67"/>
      <c r="B35" s="164" t="s">
        <v>257</v>
      </c>
      <c r="C35" s="172" t="s">
        <v>382</v>
      </c>
      <c r="D35" s="172" t="s">
        <v>666</v>
      </c>
      <c r="E35" s="172" t="s">
        <v>667</v>
      </c>
      <c r="F35" s="172" t="s">
        <v>668</v>
      </c>
      <c r="G35" s="163" t="s">
        <v>669</v>
      </c>
      <c r="H35" s="163" t="s">
        <v>669</v>
      </c>
      <c r="I35" s="134">
        <v>4.43</v>
      </c>
      <c r="J35" s="135">
        <v>44789.0</v>
      </c>
      <c r="K35" s="136"/>
      <c r="L35" s="136" t="s">
        <v>192</v>
      </c>
      <c r="M35" s="136" t="s">
        <v>195</v>
      </c>
      <c r="N35" s="136" t="s">
        <v>208</v>
      </c>
      <c r="O35" s="136" t="s">
        <v>679</v>
      </c>
      <c r="P35" s="136"/>
      <c r="Q35" s="136"/>
    </row>
    <row r="36">
      <c r="A36" s="67"/>
      <c r="B36" s="164" t="s">
        <v>257</v>
      </c>
      <c r="C36" s="172" t="s">
        <v>384</v>
      </c>
      <c r="D36" s="172" t="s">
        <v>682</v>
      </c>
      <c r="E36" s="172" t="s">
        <v>683</v>
      </c>
      <c r="F36" s="172" t="s">
        <v>684</v>
      </c>
      <c r="G36" s="163" t="s">
        <v>686</v>
      </c>
      <c r="H36" s="163" t="s">
        <v>686</v>
      </c>
      <c r="I36" s="140">
        <v>3.71</v>
      </c>
      <c r="J36" s="141">
        <v>44796.0</v>
      </c>
      <c r="K36" s="146" t="s">
        <v>699</v>
      </c>
      <c r="L36" s="127" t="s">
        <v>192</v>
      </c>
      <c r="M36" s="127" t="s">
        <v>195</v>
      </c>
      <c r="N36" s="127" t="s">
        <v>257</v>
      </c>
      <c r="O36" s="127" t="s">
        <v>709</v>
      </c>
      <c r="P36" s="127"/>
      <c r="Q36" s="127"/>
    </row>
    <row r="37">
      <c r="A37" s="67"/>
      <c r="B37" s="164" t="s">
        <v>257</v>
      </c>
      <c r="C37" s="172" t="s">
        <v>392</v>
      </c>
      <c r="D37" s="172" t="s">
        <v>712</v>
      </c>
      <c r="E37" s="172" t="s">
        <v>317</v>
      </c>
      <c r="F37" s="172" t="s">
        <v>714</v>
      </c>
      <c r="G37" s="163" t="s">
        <v>715</v>
      </c>
      <c r="H37" s="163" t="s">
        <v>715</v>
      </c>
      <c r="I37" s="134">
        <v>3.57</v>
      </c>
      <c r="J37" s="135">
        <v>44803.0</v>
      </c>
      <c r="K37" s="154" t="s">
        <v>722</v>
      </c>
      <c r="L37" s="136" t="s">
        <v>385</v>
      </c>
      <c r="M37" s="136" t="s">
        <v>386</v>
      </c>
      <c r="N37" s="136" t="s">
        <v>730</v>
      </c>
      <c r="O37" s="136" t="s">
        <v>732</v>
      </c>
      <c r="P37" s="136"/>
      <c r="Q37" s="136"/>
    </row>
    <row r="38">
      <c r="A38" s="67"/>
      <c r="B38" s="164" t="s">
        <v>257</v>
      </c>
      <c r="C38" s="172" t="s">
        <v>396</v>
      </c>
      <c r="D38" s="172" t="s">
        <v>733</v>
      </c>
      <c r="E38" s="172" t="s">
        <v>735</v>
      </c>
      <c r="F38" s="172" t="s">
        <v>736</v>
      </c>
      <c r="G38" s="163" t="s">
        <v>737</v>
      </c>
      <c r="H38" s="163" t="s">
        <v>737</v>
      </c>
      <c r="I38" s="140">
        <v>3.71</v>
      </c>
      <c r="J38" s="141">
        <v>44810.0</v>
      </c>
      <c r="K38" s="127"/>
      <c r="L38" s="127" t="s">
        <v>192</v>
      </c>
      <c r="M38" s="127" t="s">
        <v>276</v>
      </c>
      <c r="N38" s="127" t="s">
        <v>749</v>
      </c>
      <c r="O38" s="127" t="s">
        <v>751</v>
      </c>
      <c r="P38" s="127"/>
      <c r="Q38" s="127"/>
    </row>
    <row r="39">
      <c r="A39" s="67"/>
      <c r="B39" s="164" t="s">
        <v>257</v>
      </c>
      <c r="C39" s="172" t="s">
        <v>397</v>
      </c>
      <c r="D39" s="172" t="s">
        <v>752</v>
      </c>
      <c r="E39" s="172" t="s">
        <v>754</v>
      </c>
      <c r="F39" s="172" t="s">
        <v>755</v>
      </c>
      <c r="G39" s="163" t="s">
        <v>756</v>
      </c>
      <c r="H39" s="163" t="s">
        <v>756</v>
      </c>
      <c r="I39" s="134">
        <v>3.71</v>
      </c>
      <c r="J39" s="135">
        <v>44817.0</v>
      </c>
      <c r="K39" s="136"/>
      <c r="L39" s="136" t="s">
        <v>192</v>
      </c>
      <c r="M39" s="136" t="s">
        <v>276</v>
      </c>
      <c r="N39" s="136" t="s">
        <v>284</v>
      </c>
      <c r="O39" s="136" t="s">
        <v>764</v>
      </c>
      <c r="P39" s="136"/>
      <c r="Q39" s="136"/>
    </row>
    <row r="40">
      <c r="A40" s="67"/>
      <c r="B40" s="164" t="s">
        <v>257</v>
      </c>
      <c r="C40" s="172" t="s">
        <v>398</v>
      </c>
      <c r="D40" s="172" t="s">
        <v>767</v>
      </c>
      <c r="E40" s="172" t="s">
        <v>768</v>
      </c>
      <c r="F40" s="172" t="s">
        <v>770</v>
      </c>
      <c r="G40" s="163" t="s">
        <v>771</v>
      </c>
      <c r="H40" s="163" t="s">
        <v>771</v>
      </c>
      <c r="I40" s="126">
        <v>3.5</v>
      </c>
      <c r="J40" s="141">
        <v>44824.0</v>
      </c>
      <c r="K40" s="127"/>
      <c r="L40" s="127" t="s">
        <v>461</v>
      </c>
      <c r="M40" s="127" t="s">
        <v>462</v>
      </c>
      <c r="N40" s="127" t="s">
        <v>778</v>
      </c>
      <c r="O40" s="127" t="s">
        <v>779</v>
      </c>
      <c r="P40" s="127"/>
      <c r="Q40" s="127"/>
    </row>
    <row r="41">
      <c r="A41" s="67"/>
      <c r="B41" s="164" t="s">
        <v>257</v>
      </c>
      <c r="C41" s="172" t="s">
        <v>400</v>
      </c>
      <c r="D41" s="172" t="s">
        <v>781</v>
      </c>
      <c r="E41" s="172" t="s">
        <v>782</v>
      </c>
      <c r="F41" s="172" t="s">
        <v>784</v>
      </c>
      <c r="G41" s="163" t="s">
        <v>785</v>
      </c>
      <c r="H41" s="163" t="s">
        <v>785</v>
      </c>
      <c r="I41" s="134">
        <v>2.0</v>
      </c>
      <c r="J41" s="135">
        <v>44831.0</v>
      </c>
      <c r="K41" s="136"/>
      <c r="L41" s="136" t="s">
        <v>461</v>
      </c>
      <c r="M41" s="136" t="s">
        <v>462</v>
      </c>
      <c r="N41" s="136" t="s">
        <v>791</v>
      </c>
      <c r="O41" s="136" t="s">
        <v>793</v>
      </c>
      <c r="P41" s="136"/>
      <c r="Q41" s="136"/>
    </row>
    <row r="42">
      <c r="A42" s="67"/>
      <c r="B42" s="164" t="s">
        <v>257</v>
      </c>
      <c r="C42" s="172" t="s">
        <v>401</v>
      </c>
      <c r="D42" s="172" t="s">
        <v>794</v>
      </c>
      <c r="E42" s="172" t="s">
        <v>795</v>
      </c>
      <c r="F42" s="172" t="s">
        <v>796</v>
      </c>
      <c r="G42" s="163" t="s">
        <v>799</v>
      </c>
      <c r="H42" s="163" t="s">
        <v>799</v>
      </c>
      <c r="I42" s="140">
        <v>4.43</v>
      </c>
      <c r="J42" s="141">
        <v>44838.0</v>
      </c>
      <c r="K42" s="127"/>
      <c r="L42" s="127" t="s">
        <v>461</v>
      </c>
      <c r="M42" s="127" t="s">
        <v>530</v>
      </c>
      <c r="N42" s="127" t="s">
        <v>531</v>
      </c>
      <c r="O42" s="127" t="s">
        <v>808</v>
      </c>
      <c r="P42" s="127"/>
      <c r="Q42" s="127"/>
    </row>
    <row r="43">
      <c r="A43" s="67"/>
      <c r="B43" s="164" t="s">
        <v>257</v>
      </c>
      <c r="C43" s="176" t="s">
        <v>810</v>
      </c>
      <c r="D43" s="172" t="s">
        <v>812</v>
      </c>
      <c r="E43" s="172" t="s">
        <v>814</v>
      </c>
      <c r="F43" s="172" t="s">
        <v>815</v>
      </c>
      <c r="G43" s="163" t="s">
        <v>816</v>
      </c>
      <c r="H43" s="163" t="s">
        <v>816</v>
      </c>
      <c r="I43" s="134">
        <v>3.0</v>
      </c>
      <c r="J43" s="177">
        <v>44845.0</v>
      </c>
      <c r="K43" s="136"/>
      <c r="L43" s="136" t="s">
        <v>192</v>
      </c>
      <c r="M43" s="136" t="s">
        <v>276</v>
      </c>
      <c r="N43" s="136" t="s">
        <v>284</v>
      </c>
      <c r="O43" s="136" t="s">
        <v>824</v>
      </c>
      <c r="P43" s="136"/>
      <c r="Q43" s="136"/>
    </row>
    <row r="44">
      <c r="A44" s="67"/>
      <c r="B44" s="164" t="s">
        <v>257</v>
      </c>
      <c r="C44" s="172" t="s">
        <v>404</v>
      </c>
      <c r="D44" s="172" t="s">
        <v>826</v>
      </c>
      <c r="E44" s="172" t="s">
        <v>827</v>
      </c>
      <c r="F44" s="172" t="s">
        <v>828</v>
      </c>
      <c r="G44" s="163" t="s">
        <v>830</v>
      </c>
      <c r="H44" s="163" t="s">
        <v>830</v>
      </c>
      <c r="I44" s="140">
        <v>4.29</v>
      </c>
      <c r="J44" s="178">
        <v>44852.0</v>
      </c>
      <c r="K44" s="127"/>
      <c r="L44" s="127" t="s">
        <v>192</v>
      </c>
      <c r="M44" s="127" t="s">
        <v>195</v>
      </c>
      <c r="N44" s="127" t="s">
        <v>843</v>
      </c>
      <c r="O44" s="127" t="s">
        <v>845</v>
      </c>
      <c r="P44" s="127"/>
      <c r="Q44" s="127"/>
    </row>
    <row r="45">
      <c r="A45" s="67"/>
      <c r="B45" s="164" t="s">
        <v>257</v>
      </c>
      <c r="C45" s="172" t="s">
        <v>71</v>
      </c>
      <c r="D45" s="172" t="s">
        <v>212</v>
      </c>
      <c r="E45" s="172" t="s">
        <v>213</v>
      </c>
      <c r="F45" s="172" t="s">
        <v>215</v>
      </c>
      <c r="G45" s="163" t="s">
        <v>847</v>
      </c>
      <c r="H45" s="163" t="s">
        <v>847</v>
      </c>
      <c r="I45" s="134">
        <v>2.0</v>
      </c>
      <c r="J45" s="177">
        <v>44859.0</v>
      </c>
      <c r="K45" s="154" t="s">
        <v>216</v>
      </c>
      <c r="L45" s="136" t="s">
        <v>192</v>
      </c>
      <c r="M45" s="136" t="s">
        <v>195</v>
      </c>
      <c r="N45" s="136" t="s">
        <v>362</v>
      </c>
      <c r="O45" s="136" t="s">
        <v>862</v>
      </c>
      <c r="P45" s="136"/>
      <c r="Q45" s="136"/>
    </row>
    <row r="46">
      <c r="A46" s="67"/>
      <c r="B46" s="164" t="s">
        <v>257</v>
      </c>
      <c r="C46" s="172" t="s">
        <v>405</v>
      </c>
      <c r="D46" s="172" t="s">
        <v>863</v>
      </c>
      <c r="E46" s="172" t="s">
        <v>864</v>
      </c>
      <c r="F46" s="172" t="s">
        <v>447</v>
      </c>
      <c r="G46" s="163" t="s">
        <v>865</v>
      </c>
      <c r="H46" s="163" t="s">
        <v>865</v>
      </c>
      <c r="I46" s="140">
        <v>4.29</v>
      </c>
      <c r="J46" s="141">
        <v>44866.0</v>
      </c>
      <c r="K46" s="127"/>
      <c r="L46" s="127" t="s">
        <v>461</v>
      </c>
      <c r="M46" s="127" t="s">
        <v>530</v>
      </c>
      <c r="N46" s="127" t="s">
        <v>867</v>
      </c>
      <c r="O46" s="127" t="s">
        <v>869</v>
      </c>
      <c r="P46" s="127"/>
      <c r="Q46" s="127"/>
    </row>
    <row r="47">
      <c r="A47" s="67"/>
      <c r="B47" s="164" t="s">
        <v>257</v>
      </c>
      <c r="C47" s="172" t="s">
        <v>408</v>
      </c>
      <c r="D47" s="172" t="s">
        <v>871</v>
      </c>
      <c r="E47" s="172" t="s">
        <v>872</v>
      </c>
      <c r="F47" s="172" t="s">
        <v>447</v>
      </c>
      <c r="G47" s="163" t="s">
        <v>874</v>
      </c>
      <c r="H47" s="163" t="s">
        <v>874</v>
      </c>
      <c r="I47" s="126">
        <v>4.29</v>
      </c>
      <c r="J47" s="141">
        <v>44873.0</v>
      </c>
      <c r="K47" s="127"/>
      <c r="L47" s="127" t="s">
        <v>385</v>
      </c>
      <c r="M47" s="127" t="s">
        <v>448</v>
      </c>
      <c r="N47" s="127" t="s">
        <v>449</v>
      </c>
      <c r="O47" s="127" t="s">
        <v>876</v>
      </c>
      <c r="P47" s="127"/>
      <c r="Q47" s="127"/>
    </row>
    <row r="48">
      <c r="A48" s="67"/>
      <c r="B48" s="164" t="s">
        <v>257</v>
      </c>
      <c r="C48" s="172" t="s">
        <v>413</v>
      </c>
      <c r="D48" s="172" t="s">
        <v>877</v>
      </c>
      <c r="E48" s="172" t="s">
        <v>317</v>
      </c>
      <c r="F48" s="172" t="s">
        <v>878</v>
      </c>
      <c r="G48" s="163" t="s">
        <v>879</v>
      </c>
      <c r="H48" s="163" t="s">
        <v>879</v>
      </c>
      <c r="I48" s="134">
        <v>3.71</v>
      </c>
      <c r="J48" s="177">
        <v>44880.0</v>
      </c>
      <c r="K48" s="136"/>
      <c r="L48" s="136" t="s">
        <v>461</v>
      </c>
      <c r="M48" s="136" t="s">
        <v>462</v>
      </c>
      <c r="N48" s="136" t="s">
        <v>880</v>
      </c>
      <c r="O48" s="136" t="s">
        <v>881</v>
      </c>
      <c r="P48" s="136"/>
      <c r="Q48" s="136"/>
    </row>
    <row r="49">
      <c r="A49" s="67"/>
      <c r="B49" s="164" t="s">
        <v>257</v>
      </c>
      <c r="C49" s="172" t="s">
        <v>417</v>
      </c>
      <c r="D49" s="172" t="s">
        <v>882</v>
      </c>
      <c r="E49" s="172" t="s">
        <v>883</v>
      </c>
      <c r="F49" s="172" t="s">
        <v>884</v>
      </c>
      <c r="G49" s="163" t="s">
        <v>885</v>
      </c>
      <c r="H49" s="163" t="s">
        <v>885</v>
      </c>
      <c r="I49" s="140">
        <v>3.71</v>
      </c>
      <c r="J49" s="178">
        <v>44887.0</v>
      </c>
      <c r="K49" s="127"/>
      <c r="L49" s="127" t="s">
        <v>461</v>
      </c>
      <c r="M49" s="127" t="s">
        <v>530</v>
      </c>
      <c r="N49" s="127" t="s">
        <v>531</v>
      </c>
      <c r="O49" s="127" t="s">
        <v>891</v>
      </c>
      <c r="P49" s="127"/>
      <c r="Q49" s="127"/>
    </row>
    <row r="50">
      <c r="A50" s="67"/>
      <c r="B50" s="164" t="s">
        <v>257</v>
      </c>
      <c r="C50" s="172" t="s">
        <v>418</v>
      </c>
      <c r="D50" s="172" t="s">
        <v>892</v>
      </c>
      <c r="E50" s="172" t="s">
        <v>893</v>
      </c>
      <c r="F50" s="172" t="s">
        <v>894</v>
      </c>
      <c r="G50" s="163" t="s">
        <v>895</v>
      </c>
      <c r="H50" s="163" t="s">
        <v>895</v>
      </c>
      <c r="I50" s="134">
        <v>4.29</v>
      </c>
      <c r="J50" s="177">
        <v>44894.0</v>
      </c>
      <c r="K50" s="136"/>
      <c r="L50" s="136" t="s">
        <v>192</v>
      </c>
      <c r="M50" s="136" t="s">
        <v>195</v>
      </c>
      <c r="N50" s="136" t="s">
        <v>897</v>
      </c>
      <c r="O50" s="136" t="s">
        <v>898</v>
      </c>
      <c r="P50" s="136"/>
      <c r="Q50" s="136"/>
    </row>
    <row r="51">
      <c r="A51" s="67"/>
      <c r="B51" s="164" t="s">
        <v>257</v>
      </c>
      <c r="C51" s="172" t="s">
        <v>420</v>
      </c>
      <c r="D51" s="172" t="s">
        <v>899</v>
      </c>
      <c r="E51" s="172" t="s">
        <v>900</v>
      </c>
      <c r="F51" s="182"/>
      <c r="G51" s="163" t="s">
        <v>901</v>
      </c>
      <c r="H51" s="163" t="s">
        <v>901</v>
      </c>
      <c r="I51" s="140">
        <v>3.0</v>
      </c>
      <c r="J51" s="141">
        <v>44901.0</v>
      </c>
      <c r="K51" s="127"/>
      <c r="L51" s="127" t="s">
        <v>192</v>
      </c>
      <c r="M51" s="127" t="s">
        <v>195</v>
      </c>
      <c r="N51" s="127" t="s">
        <v>257</v>
      </c>
      <c r="O51" s="127" t="s">
        <v>903</v>
      </c>
      <c r="P51" s="127"/>
      <c r="Q51" s="127"/>
    </row>
    <row r="52">
      <c r="A52" s="67"/>
      <c r="B52" s="96" t="s">
        <v>904</v>
      </c>
      <c r="C52" s="165" t="s">
        <v>906</v>
      </c>
      <c r="D52" s="165" t="s">
        <v>907</v>
      </c>
      <c r="E52" s="165" t="s">
        <v>909</v>
      </c>
      <c r="F52" s="165" t="s">
        <v>500</v>
      </c>
      <c r="G52" s="163" t="s">
        <v>910</v>
      </c>
      <c r="H52" s="163" t="s">
        <v>910</v>
      </c>
      <c r="I52" s="183">
        <v>3.57</v>
      </c>
      <c r="J52" s="184">
        <v>44915.0</v>
      </c>
      <c r="K52" s="185"/>
      <c r="L52" s="185" t="s">
        <v>192</v>
      </c>
      <c r="M52" s="185" t="s">
        <v>195</v>
      </c>
      <c r="N52" s="185" t="s">
        <v>257</v>
      </c>
      <c r="O52" s="185" t="s">
        <v>912</v>
      </c>
      <c r="P52" s="185"/>
      <c r="Q52" s="185"/>
    </row>
    <row r="53">
      <c r="A53" s="67"/>
      <c r="B53" s="96" t="s">
        <v>904</v>
      </c>
      <c r="C53" s="162" t="s">
        <v>914</v>
      </c>
      <c r="D53" s="162" t="s">
        <v>915</v>
      </c>
      <c r="E53" s="162" t="s">
        <v>916</v>
      </c>
      <c r="F53" s="162" t="s">
        <v>918</v>
      </c>
      <c r="G53" s="163" t="s">
        <v>919</v>
      </c>
      <c r="H53" s="163" t="s">
        <v>919</v>
      </c>
      <c r="I53" s="189">
        <v>3.71</v>
      </c>
      <c r="J53" s="190">
        <v>44922.0</v>
      </c>
      <c r="K53" s="191"/>
      <c r="L53" s="191" t="s">
        <v>461</v>
      </c>
      <c r="M53" s="191" t="s">
        <v>462</v>
      </c>
      <c r="N53" s="191" t="s">
        <v>778</v>
      </c>
      <c r="O53" s="191" t="s">
        <v>924</v>
      </c>
      <c r="P53" s="191"/>
      <c r="Q53" s="191"/>
    </row>
    <row r="54">
      <c r="A54" s="67"/>
      <c r="B54" s="96" t="s">
        <v>904</v>
      </c>
      <c r="C54" s="165" t="s">
        <v>925</v>
      </c>
      <c r="D54" s="165" t="s">
        <v>926</v>
      </c>
      <c r="E54" s="165" t="s">
        <v>317</v>
      </c>
      <c r="F54" s="165" t="s">
        <v>927</v>
      </c>
      <c r="G54" s="163" t="s">
        <v>928</v>
      </c>
      <c r="H54" s="163" t="s">
        <v>928</v>
      </c>
      <c r="I54" s="183">
        <v>3.71</v>
      </c>
      <c r="J54" s="192">
        <v>44929.0</v>
      </c>
      <c r="K54" s="185"/>
      <c r="L54" s="185" t="s">
        <v>192</v>
      </c>
      <c r="M54" s="185" t="s">
        <v>195</v>
      </c>
      <c r="N54" s="185" t="s">
        <v>208</v>
      </c>
      <c r="O54" s="185" t="s">
        <v>930</v>
      </c>
      <c r="P54" s="185"/>
      <c r="Q54" s="185"/>
    </row>
    <row r="55">
      <c r="A55" s="67"/>
      <c r="B55" s="96" t="s">
        <v>904</v>
      </c>
      <c r="C55" s="162" t="s">
        <v>175</v>
      </c>
      <c r="D55" s="162" t="s">
        <v>931</v>
      </c>
      <c r="E55" s="162" t="s">
        <v>213</v>
      </c>
      <c r="F55" s="162" t="s">
        <v>578</v>
      </c>
      <c r="G55" s="163" t="s">
        <v>932</v>
      </c>
      <c r="H55" s="163" t="s">
        <v>932</v>
      </c>
      <c r="I55" s="189">
        <v>3.71</v>
      </c>
      <c r="J55" s="193">
        <v>44936.0</v>
      </c>
      <c r="K55" s="191"/>
      <c r="L55" s="191" t="s">
        <v>385</v>
      </c>
      <c r="M55" s="191" t="s">
        <v>448</v>
      </c>
      <c r="N55" s="191" t="s">
        <v>449</v>
      </c>
      <c r="O55" s="191" t="s">
        <v>939</v>
      </c>
      <c r="P55" s="191"/>
      <c r="Q55" s="191"/>
    </row>
    <row r="56">
      <c r="A56" s="67"/>
      <c r="B56" s="194" t="s">
        <v>904</v>
      </c>
      <c r="C56" s="195" t="s">
        <v>177</v>
      </c>
      <c r="D56" s="165" t="s">
        <v>940</v>
      </c>
      <c r="E56" s="165" t="s">
        <v>941</v>
      </c>
      <c r="F56" s="165" t="s">
        <v>942</v>
      </c>
      <c r="G56" s="196" t="s">
        <v>943</v>
      </c>
      <c r="H56" s="197" t="s">
        <v>943</v>
      </c>
      <c r="I56" s="183">
        <v>3.0</v>
      </c>
      <c r="J56" s="192">
        <v>44943.0</v>
      </c>
      <c r="K56" s="185"/>
      <c r="L56" s="185" t="s">
        <v>461</v>
      </c>
      <c r="M56" s="185" t="s">
        <v>462</v>
      </c>
      <c r="N56" s="185" t="s">
        <v>778</v>
      </c>
      <c r="O56" s="185"/>
      <c r="P56" s="185"/>
      <c r="Q56" s="185"/>
    </row>
    <row r="57">
      <c r="A57" s="67"/>
      <c r="B57" s="96" t="s">
        <v>904</v>
      </c>
      <c r="C57" s="162" t="s">
        <v>178</v>
      </c>
      <c r="D57" s="162" t="s">
        <v>212</v>
      </c>
      <c r="E57" s="162" t="s">
        <v>213</v>
      </c>
      <c r="F57" s="162" t="s">
        <v>215</v>
      </c>
      <c r="G57" s="163" t="s">
        <v>945</v>
      </c>
      <c r="H57" s="163" t="s">
        <v>945</v>
      </c>
      <c r="I57" s="189">
        <v>3.71</v>
      </c>
      <c r="J57" s="193">
        <v>44950.0</v>
      </c>
      <c r="K57" s="198" t="s">
        <v>216</v>
      </c>
      <c r="L57" s="191" t="s">
        <v>461</v>
      </c>
      <c r="M57" s="191" t="s">
        <v>462</v>
      </c>
      <c r="N57" s="191" t="s">
        <v>778</v>
      </c>
      <c r="O57" s="191" t="s">
        <v>946</v>
      </c>
      <c r="P57" s="191"/>
      <c r="Q57" s="191"/>
    </row>
    <row r="58">
      <c r="A58" s="67"/>
      <c r="B58" s="96" t="s">
        <v>904</v>
      </c>
      <c r="C58" s="165" t="s">
        <v>180</v>
      </c>
      <c r="D58" s="165" t="s">
        <v>947</v>
      </c>
      <c r="E58" s="165" t="s">
        <v>213</v>
      </c>
      <c r="F58" s="165" t="s">
        <v>948</v>
      </c>
      <c r="G58" s="163" t="s">
        <v>949</v>
      </c>
      <c r="H58" s="163" t="s">
        <v>949</v>
      </c>
      <c r="I58" s="183">
        <v>3.0</v>
      </c>
      <c r="J58" s="192">
        <v>44957.0</v>
      </c>
      <c r="K58" s="185"/>
      <c r="L58" s="185" t="s">
        <v>461</v>
      </c>
      <c r="M58" s="185" t="s">
        <v>462</v>
      </c>
      <c r="N58" s="185" t="s">
        <v>880</v>
      </c>
      <c r="O58" s="185" t="s">
        <v>951</v>
      </c>
      <c r="P58" s="185"/>
      <c r="Q58" s="185"/>
    </row>
    <row r="59">
      <c r="A59" s="67"/>
      <c r="B59" s="96" t="s">
        <v>904</v>
      </c>
      <c r="C59" s="162" t="s">
        <v>182</v>
      </c>
      <c r="D59" s="162" t="s">
        <v>953</v>
      </c>
      <c r="E59" s="162" t="s">
        <v>213</v>
      </c>
      <c r="F59" s="162" t="s">
        <v>954</v>
      </c>
      <c r="G59" s="163" t="s">
        <v>955</v>
      </c>
      <c r="H59" s="163" t="s">
        <v>955</v>
      </c>
      <c r="I59" s="199">
        <v>3.71</v>
      </c>
      <c r="J59" s="193">
        <v>44964.0</v>
      </c>
      <c r="K59" s="191"/>
      <c r="L59" s="191" t="s">
        <v>192</v>
      </c>
      <c r="M59" s="191" t="s">
        <v>276</v>
      </c>
      <c r="N59" s="191" t="s">
        <v>284</v>
      </c>
      <c r="O59" s="191" t="s">
        <v>959</v>
      </c>
      <c r="P59" s="191"/>
      <c r="Q59" s="191"/>
    </row>
    <row r="60">
      <c r="A60" s="67"/>
      <c r="B60" s="96" t="s">
        <v>904</v>
      </c>
      <c r="C60" s="165" t="s">
        <v>184</v>
      </c>
      <c r="D60" s="165" t="s">
        <v>960</v>
      </c>
      <c r="E60" s="165" t="s">
        <v>376</v>
      </c>
      <c r="F60" s="165" t="s">
        <v>500</v>
      </c>
      <c r="G60" s="163" t="s">
        <v>961</v>
      </c>
      <c r="H60" s="163" t="s">
        <v>961</v>
      </c>
      <c r="I60" s="183">
        <v>3.71</v>
      </c>
      <c r="J60" s="192">
        <v>44971.0</v>
      </c>
      <c r="K60" s="185"/>
      <c r="L60" s="185" t="s">
        <v>192</v>
      </c>
      <c r="M60" s="185" t="s">
        <v>276</v>
      </c>
      <c r="N60" s="185" t="s">
        <v>284</v>
      </c>
      <c r="O60" s="185" t="s">
        <v>962</v>
      </c>
      <c r="P60" s="185"/>
      <c r="Q60" s="185"/>
    </row>
    <row r="61">
      <c r="A61" s="67"/>
      <c r="B61" s="96" t="s">
        <v>904</v>
      </c>
      <c r="C61" s="162" t="s">
        <v>186</v>
      </c>
      <c r="D61" s="162" t="s">
        <v>964</v>
      </c>
      <c r="E61" s="162" t="s">
        <v>965</v>
      </c>
      <c r="F61" s="162" t="s">
        <v>966</v>
      </c>
      <c r="G61" s="163" t="s">
        <v>967</v>
      </c>
      <c r="H61" s="163" t="s">
        <v>967</v>
      </c>
      <c r="I61" s="189">
        <v>3.0</v>
      </c>
      <c r="J61" s="193">
        <v>44978.0</v>
      </c>
      <c r="K61" s="191"/>
      <c r="L61" s="191" t="s">
        <v>461</v>
      </c>
      <c r="M61" s="191" t="s">
        <v>462</v>
      </c>
      <c r="N61" s="191" t="s">
        <v>791</v>
      </c>
      <c r="O61" s="191" t="s">
        <v>968</v>
      </c>
      <c r="P61" s="191"/>
      <c r="Q61" s="191"/>
    </row>
    <row r="62">
      <c r="A62" s="67"/>
      <c r="B62" s="96" t="s">
        <v>904</v>
      </c>
      <c r="C62" s="165" t="s">
        <v>188</v>
      </c>
      <c r="D62" s="165" t="s">
        <v>969</v>
      </c>
      <c r="E62" s="165" t="s">
        <v>317</v>
      </c>
      <c r="F62" s="165" t="s">
        <v>970</v>
      </c>
      <c r="G62" s="163" t="s">
        <v>971</v>
      </c>
      <c r="H62" s="163" t="s">
        <v>971</v>
      </c>
      <c r="I62" s="183">
        <v>4.29</v>
      </c>
      <c r="J62" s="192">
        <v>44985.0</v>
      </c>
      <c r="K62" s="185"/>
      <c r="L62" s="185" t="s">
        <v>192</v>
      </c>
      <c r="M62" s="185" t="s">
        <v>276</v>
      </c>
      <c r="N62" s="185" t="s">
        <v>749</v>
      </c>
      <c r="O62" s="185" t="s">
        <v>973</v>
      </c>
      <c r="P62" s="185"/>
      <c r="Q62" s="185"/>
    </row>
    <row r="63">
      <c r="A63" s="67"/>
      <c r="B63" s="96" t="s">
        <v>904</v>
      </c>
      <c r="C63" s="162" t="s">
        <v>189</v>
      </c>
      <c r="D63" s="162" t="s">
        <v>976</v>
      </c>
      <c r="E63" s="162" t="s">
        <v>977</v>
      </c>
      <c r="F63" s="162" t="s">
        <v>979</v>
      </c>
      <c r="G63" s="163" t="s">
        <v>980</v>
      </c>
      <c r="H63" s="163" t="s">
        <v>980</v>
      </c>
      <c r="I63" s="189">
        <v>3.0</v>
      </c>
      <c r="J63" s="193">
        <v>44992.0</v>
      </c>
      <c r="K63" s="191"/>
      <c r="L63" s="191" t="s">
        <v>192</v>
      </c>
      <c r="M63" s="191" t="s">
        <v>195</v>
      </c>
      <c r="N63" s="191" t="s">
        <v>362</v>
      </c>
      <c r="O63" s="191" t="s">
        <v>982</v>
      </c>
      <c r="P63" s="191"/>
      <c r="Q63" s="191"/>
    </row>
    <row r="64">
      <c r="A64" s="67"/>
      <c r="B64" s="96" t="s">
        <v>904</v>
      </c>
      <c r="C64" s="165" t="s">
        <v>190</v>
      </c>
      <c r="D64" s="165" t="s">
        <v>984</v>
      </c>
      <c r="E64" s="165" t="s">
        <v>985</v>
      </c>
      <c r="F64" s="165" t="s">
        <v>986</v>
      </c>
      <c r="G64" s="163" t="s">
        <v>987</v>
      </c>
      <c r="H64" s="203"/>
      <c r="I64" s="183">
        <v>4.36</v>
      </c>
      <c r="J64" s="185"/>
      <c r="K64" s="185"/>
      <c r="L64" s="185"/>
      <c r="M64" s="185"/>
      <c r="N64" s="185"/>
      <c r="O64" s="185"/>
      <c r="P64" s="185"/>
      <c r="Q64" s="185"/>
    </row>
    <row r="65">
      <c r="A65" s="67"/>
      <c r="B65" s="96" t="s">
        <v>904</v>
      </c>
      <c r="C65" s="162" t="s">
        <v>191</v>
      </c>
      <c r="D65" s="162" t="s">
        <v>988</v>
      </c>
      <c r="E65" s="162" t="s">
        <v>213</v>
      </c>
      <c r="F65" s="162" t="s">
        <v>989</v>
      </c>
      <c r="G65" s="163" t="s">
        <v>990</v>
      </c>
      <c r="H65" s="163" t="s">
        <v>990</v>
      </c>
      <c r="I65" s="189">
        <v>2.0</v>
      </c>
      <c r="J65" s="193">
        <v>44999.0</v>
      </c>
      <c r="K65" s="191"/>
      <c r="L65" s="191" t="s">
        <v>192</v>
      </c>
      <c r="M65" s="191" t="s">
        <v>276</v>
      </c>
      <c r="N65" s="191" t="s">
        <v>996</v>
      </c>
      <c r="O65" s="191" t="s">
        <v>997</v>
      </c>
      <c r="P65" s="191"/>
      <c r="Q65" s="191"/>
    </row>
    <row r="66">
      <c r="A66" s="67"/>
      <c r="B66" s="96" t="s">
        <v>904</v>
      </c>
      <c r="C66" s="165" t="s">
        <v>193</v>
      </c>
      <c r="D66" s="165" t="s">
        <v>998</v>
      </c>
      <c r="E66" s="165" t="s">
        <v>999</v>
      </c>
      <c r="F66" s="165" t="s">
        <v>1000</v>
      </c>
      <c r="G66" s="163" t="s">
        <v>1001</v>
      </c>
      <c r="H66" s="163" t="s">
        <v>1001</v>
      </c>
      <c r="I66" s="199">
        <v>4.29</v>
      </c>
      <c r="J66" s="193">
        <v>45006.0</v>
      </c>
      <c r="K66" s="191"/>
      <c r="L66" s="191" t="s">
        <v>385</v>
      </c>
      <c r="M66" s="191" t="s">
        <v>386</v>
      </c>
      <c r="N66" s="191" t="s">
        <v>549</v>
      </c>
      <c r="O66" s="191" t="s">
        <v>1003</v>
      </c>
      <c r="P66" s="191"/>
      <c r="Q66" s="191"/>
    </row>
    <row r="67">
      <c r="A67" s="67"/>
      <c r="B67" s="96" t="s">
        <v>904</v>
      </c>
      <c r="C67" s="162" t="s">
        <v>194</v>
      </c>
      <c r="D67" s="162" t="s">
        <v>1004</v>
      </c>
      <c r="E67" s="162" t="s">
        <v>1005</v>
      </c>
      <c r="F67" s="162" t="s">
        <v>1006</v>
      </c>
      <c r="G67" s="163" t="s">
        <v>1007</v>
      </c>
      <c r="H67" s="163" t="s">
        <v>1007</v>
      </c>
      <c r="I67" s="183">
        <v>3.71</v>
      </c>
      <c r="J67" s="192">
        <v>45013.0</v>
      </c>
      <c r="K67" s="185"/>
      <c r="L67" s="185" t="s">
        <v>192</v>
      </c>
      <c r="M67" s="185" t="s">
        <v>195</v>
      </c>
      <c r="N67" s="185" t="s">
        <v>362</v>
      </c>
      <c r="O67" s="185" t="s">
        <v>1009</v>
      </c>
      <c r="P67" s="185"/>
      <c r="Q67" s="185"/>
    </row>
    <row r="68">
      <c r="A68" s="67"/>
      <c r="B68" s="96" t="s">
        <v>904</v>
      </c>
      <c r="C68" s="165" t="s">
        <v>197</v>
      </c>
      <c r="D68" s="165" t="s">
        <v>1010</v>
      </c>
      <c r="E68" s="165" t="s">
        <v>1011</v>
      </c>
      <c r="F68" s="165" t="s">
        <v>957</v>
      </c>
      <c r="G68" s="163" t="s">
        <v>1012</v>
      </c>
      <c r="H68" s="163" t="s">
        <v>1012</v>
      </c>
      <c r="I68" s="189">
        <v>3.71</v>
      </c>
      <c r="J68" s="193">
        <v>45020.0</v>
      </c>
      <c r="K68" s="191"/>
      <c r="L68" s="191" t="s">
        <v>385</v>
      </c>
      <c r="M68" s="191" t="s">
        <v>448</v>
      </c>
      <c r="N68" s="191" t="s">
        <v>449</v>
      </c>
      <c r="O68" s="191" t="s">
        <v>1018</v>
      </c>
      <c r="P68" s="191"/>
      <c r="Q68" s="191"/>
    </row>
    <row r="69">
      <c r="A69" s="67"/>
      <c r="B69" s="96" t="s">
        <v>904</v>
      </c>
      <c r="C69" s="162" t="s">
        <v>198</v>
      </c>
      <c r="D69" s="162" t="s">
        <v>1019</v>
      </c>
      <c r="E69" s="162" t="s">
        <v>1020</v>
      </c>
      <c r="F69" s="162" t="s">
        <v>1021</v>
      </c>
      <c r="G69" s="163" t="s">
        <v>1022</v>
      </c>
      <c r="H69" s="163" t="s">
        <v>1022</v>
      </c>
      <c r="I69" s="183">
        <v>4.29</v>
      </c>
      <c r="J69" s="192">
        <v>45027.0</v>
      </c>
      <c r="K69" s="185"/>
      <c r="L69" s="185" t="s">
        <v>385</v>
      </c>
      <c r="M69" s="185" t="s">
        <v>448</v>
      </c>
      <c r="N69" s="185" t="s">
        <v>1027</v>
      </c>
      <c r="O69" s="185" t="s">
        <v>1028</v>
      </c>
      <c r="P69" s="185"/>
      <c r="Q69" s="185"/>
    </row>
    <row r="70">
      <c r="A70" s="67"/>
      <c r="B70" s="96" t="s">
        <v>904</v>
      </c>
      <c r="C70" s="165" t="s">
        <v>199</v>
      </c>
      <c r="D70" s="165" t="s">
        <v>1029</v>
      </c>
      <c r="E70" s="165" t="s">
        <v>1030</v>
      </c>
      <c r="F70" s="165" t="s">
        <v>1031</v>
      </c>
      <c r="G70" s="163" t="s">
        <v>1032</v>
      </c>
      <c r="H70" s="163" t="s">
        <v>1032</v>
      </c>
      <c r="I70" s="189">
        <v>3.0</v>
      </c>
      <c r="J70" s="193">
        <v>45034.0</v>
      </c>
      <c r="K70" s="191"/>
      <c r="L70" s="191" t="s">
        <v>385</v>
      </c>
      <c r="M70" s="191" t="s">
        <v>448</v>
      </c>
      <c r="N70" s="191" t="s">
        <v>1027</v>
      </c>
      <c r="O70" s="191"/>
      <c r="P70" s="191"/>
      <c r="Q70" s="191"/>
    </row>
    <row r="71">
      <c r="A71" s="67"/>
      <c r="B71" s="96" t="s">
        <v>904</v>
      </c>
      <c r="C71" s="162" t="s">
        <v>200</v>
      </c>
      <c r="D71" s="162" t="s">
        <v>1034</v>
      </c>
      <c r="E71" s="210" t="s">
        <v>559</v>
      </c>
      <c r="F71" s="210" t="s">
        <v>1035</v>
      </c>
      <c r="G71" s="163" t="s">
        <v>1036</v>
      </c>
      <c r="H71" s="163" t="s">
        <v>1036</v>
      </c>
      <c r="I71" s="183">
        <v>4.29</v>
      </c>
      <c r="J71" s="192">
        <v>45041.0</v>
      </c>
      <c r="K71" s="211" t="s">
        <v>1042</v>
      </c>
      <c r="L71" s="185" t="s">
        <v>461</v>
      </c>
      <c r="M71" s="185" t="s">
        <v>462</v>
      </c>
      <c r="N71" s="185" t="s">
        <v>463</v>
      </c>
      <c r="O71" s="185" t="s">
        <v>1045</v>
      </c>
      <c r="P71" s="185"/>
      <c r="Q71" s="185"/>
    </row>
    <row r="72">
      <c r="A72" s="67"/>
      <c r="B72" s="96" t="s">
        <v>904</v>
      </c>
      <c r="C72" s="165" t="s">
        <v>201</v>
      </c>
      <c r="D72" s="165" t="s">
        <v>1046</v>
      </c>
      <c r="E72" s="212" t="s">
        <v>1047</v>
      </c>
      <c r="F72" s="212" t="s">
        <v>1048</v>
      </c>
      <c r="G72" s="163" t="s">
        <v>1049</v>
      </c>
      <c r="H72" s="163" t="s">
        <v>1049</v>
      </c>
      <c r="I72" s="189">
        <v>3.71</v>
      </c>
      <c r="J72" s="193">
        <v>45048.0</v>
      </c>
      <c r="K72" s="198" t="s">
        <v>1056</v>
      </c>
      <c r="L72" s="191" t="s">
        <v>192</v>
      </c>
      <c r="M72" s="191" t="s">
        <v>276</v>
      </c>
      <c r="N72" s="191" t="s">
        <v>284</v>
      </c>
      <c r="O72" s="191" t="s">
        <v>1059</v>
      </c>
      <c r="P72" s="191"/>
      <c r="Q72" s="191"/>
    </row>
    <row r="73">
      <c r="A73" s="67"/>
      <c r="B73" s="96" t="s">
        <v>904</v>
      </c>
      <c r="C73" s="162" t="s">
        <v>202</v>
      </c>
      <c r="D73" s="162" t="s">
        <v>1060</v>
      </c>
      <c r="E73" s="210" t="s">
        <v>1061</v>
      </c>
      <c r="F73" s="162" t="s">
        <v>1062</v>
      </c>
      <c r="G73" s="163" t="s">
        <v>1063</v>
      </c>
      <c r="H73" s="163" t="s">
        <v>1063</v>
      </c>
      <c r="I73" s="183">
        <v>4.43</v>
      </c>
      <c r="J73" s="192">
        <v>45055.0</v>
      </c>
      <c r="K73" s="185"/>
      <c r="L73" s="185" t="s">
        <v>192</v>
      </c>
      <c r="M73" s="185" t="s">
        <v>276</v>
      </c>
      <c r="N73" s="185" t="s">
        <v>284</v>
      </c>
      <c r="O73" s="185" t="s">
        <v>1068</v>
      </c>
      <c r="P73" s="185"/>
      <c r="Q73" s="185"/>
    </row>
    <row r="74">
      <c r="A74" s="67"/>
      <c r="B74" s="96" t="s">
        <v>904</v>
      </c>
      <c r="C74" s="165" t="s">
        <v>203</v>
      </c>
      <c r="D74" s="165" t="s">
        <v>1069</v>
      </c>
      <c r="E74" s="212" t="s">
        <v>1070</v>
      </c>
      <c r="F74" s="212" t="s">
        <v>292</v>
      </c>
      <c r="G74" s="163" t="s">
        <v>1071</v>
      </c>
      <c r="H74" s="163" t="s">
        <v>1071</v>
      </c>
      <c r="I74" s="189">
        <v>4.29</v>
      </c>
      <c r="J74" s="193">
        <v>45062.0</v>
      </c>
      <c r="K74" s="191"/>
      <c r="L74" s="191" t="s">
        <v>192</v>
      </c>
      <c r="M74" s="191" t="s">
        <v>195</v>
      </c>
      <c r="N74" s="191" t="s">
        <v>257</v>
      </c>
      <c r="O74" s="191" t="s">
        <v>1073</v>
      </c>
      <c r="P74" s="191"/>
      <c r="Q74" s="191"/>
    </row>
    <row r="75">
      <c r="A75" s="67"/>
      <c r="B75" s="96" t="s">
        <v>904</v>
      </c>
      <c r="C75" s="162" t="s">
        <v>204</v>
      </c>
      <c r="D75" s="162" t="s">
        <v>388</v>
      </c>
      <c r="E75" s="210" t="s">
        <v>181</v>
      </c>
      <c r="F75" s="162" t="s">
        <v>394</v>
      </c>
      <c r="G75" s="163" t="s">
        <v>1074</v>
      </c>
      <c r="H75" s="163" t="s">
        <v>1074</v>
      </c>
      <c r="I75" s="183">
        <v>4.43</v>
      </c>
      <c r="J75" s="192">
        <v>45069.0</v>
      </c>
      <c r="K75" s="211" t="s">
        <v>391</v>
      </c>
      <c r="L75" s="185" t="s">
        <v>192</v>
      </c>
      <c r="M75" s="185" t="s">
        <v>195</v>
      </c>
      <c r="N75" s="185" t="s">
        <v>257</v>
      </c>
      <c r="O75" s="185" t="s">
        <v>1081</v>
      </c>
      <c r="P75" s="185"/>
      <c r="Q75" s="185"/>
    </row>
    <row r="76">
      <c r="A76" s="67"/>
      <c r="B76" s="96" t="s">
        <v>904</v>
      </c>
      <c r="C76" s="165" t="s">
        <v>205</v>
      </c>
      <c r="D76" s="165" t="s">
        <v>1082</v>
      </c>
      <c r="E76" s="165" t="s">
        <v>181</v>
      </c>
      <c r="F76" s="212" t="s">
        <v>270</v>
      </c>
      <c r="G76" s="163" t="s">
        <v>1083</v>
      </c>
      <c r="H76" s="163" t="s">
        <v>1083</v>
      </c>
      <c r="I76" s="189">
        <v>4.29</v>
      </c>
      <c r="J76" s="193">
        <v>45076.0</v>
      </c>
      <c r="K76" s="191"/>
      <c r="L76" s="191" t="s">
        <v>192</v>
      </c>
      <c r="M76" s="191" t="s">
        <v>195</v>
      </c>
      <c r="N76" s="191" t="s">
        <v>843</v>
      </c>
      <c r="O76" s="191" t="s">
        <v>1090</v>
      </c>
      <c r="P76" s="191"/>
      <c r="Q76" s="191"/>
    </row>
    <row r="77">
      <c r="A77" s="67"/>
      <c r="B77" s="96" t="s">
        <v>904</v>
      </c>
      <c r="C77" s="162" t="s">
        <v>206</v>
      </c>
      <c r="D77" s="162" t="s">
        <v>1091</v>
      </c>
      <c r="E77" s="162" t="s">
        <v>1092</v>
      </c>
      <c r="F77" s="210" t="s">
        <v>1093</v>
      </c>
      <c r="G77" s="163" t="s">
        <v>1094</v>
      </c>
      <c r="H77" s="163" t="s">
        <v>1094</v>
      </c>
      <c r="I77" s="183">
        <v>3.71</v>
      </c>
      <c r="J77" s="192">
        <v>45083.0</v>
      </c>
      <c r="K77" s="185"/>
      <c r="L77" s="185" t="s">
        <v>224</v>
      </c>
      <c r="M77" s="185" t="s">
        <v>440</v>
      </c>
      <c r="N77" s="185" t="s">
        <v>1096</v>
      </c>
      <c r="O77" s="185" t="s">
        <v>1097</v>
      </c>
      <c r="P77" s="185"/>
      <c r="Q77" s="185"/>
    </row>
    <row r="78">
      <c r="A78" s="67"/>
      <c r="B78" s="96" t="s">
        <v>904</v>
      </c>
      <c r="C78" s="165" t="s">
        <v>207</v>
      </c>
      <c r="D78" s="165" t="s">
        <v>1102</v>
      </c>
      <c r="E78" s="165" t="s">
        <v>1103</v>
      </c>
      <c r="F78" s="212" t="s">
        <v>1104</v>
      </c>
      <c r="G78" s="163" t="s">
        <v>1105</v>
      </c>
      <c r="H78" s="163" t="s">
        <v>1105</v>
      </c>
      <c r="I78" s="199">
        <v>4.29</v>
      </c>
      <c r="J78" s="193">
        <v>45090.0</v>
      </c>
      <c r="K78" s="198" t="s">
        <v>1107</v>
      </c>
      <c r="L78" s="191" t="s">
        <v>385</v>
      </c>
      <c r="M78" s="191" t="s">
        <v>448</v>
      </c>
      <c r="N78" s="191" t="s">
        <v>482</v>
      </c>
      <c r="O78" s="191" t="s">
        <v>1112</v>
      </c>
      <c r="P78" s="191"/>
      <c r="Q78" s="191"/>
    </row>
    <row r="79">
      <c r="A79" s="67"/>
      <c r="B79" s="96" t="s">
        <v>904</v>
      </c>
      <c r="C79" s="162" t="s">
        <v>210</v>
      </c>
      <c r="D79" s="162" t="s">
        <v>1113</v>
      </c>
      <c r="E79" s="162" t="s">
        <v>1114</v>
      </c>
      <c r="F79" s="162" t="s">
        <v>490</v>
      </c>
      <c r="G79" s="163" t="s">
        <v>1115</v>
      </c>
      <c r="H79" s="163" t="s">
        <v>1115</v>
      </c>
      <c r="I79" s="183">
        <v>4.43</v>
      </c>
      <c r="J79" s="192">
        <v>45097.0</v>
      </c>
      <c r="K79" s="185"/>
      <c r="L79" s="185" t="s">
        <v>461</v>
      </c>
      <c r="M79" s="185" t="s">
        <v>530</v>
      </c>
      <c r="N79" s="185" t="s">
        <v>867</v>
      </c>
      <c r="O79" s="185" t="s">
        <v>1117</v>
      </c>
      <c r="P79" s="185"/>
      <c r="Q79" s="185"/>
    </row>
    <row r="80">
      <c r="A80" s="67"/>
      <c r="B80" s="96" t="s">
        <v>904</v>
      </c>
      <c r="C80" s="165" t="s">
        <v>211</v>
      </c>
      <c r="D80" s="165" t="s">
        <v>1118</v>
      </c>
      <c r="E80" s="165" t="s">
        <v>559</v>
      </c>
      <c r="F80" s="212" t="s">
        <v>994</v>
      </c>
      <c r="G80" s="163" t="s">
        <v>1119</v>
      </c>
      <c r="H80" s="163" t="s">
        <v>1119</v>
      </c>
      <c r="I80" s="189">
        <v>3.71</v>
      </c>
      <c r="J80" s="193">
        <v>45104.0</v>
      </c>
      <c r="K80" s="191"/>
      <c r="L80" s="191" t="s">
        <v>461</v>
      </c>
      <c r="M80" s="191" t="s">
        <v>462</v>
      </c>
      <c r="N80" s="191" t="s">
        <v>1125</v>
      </c>
      <c r="O80" s="191" t="s">
        <v>1126</v>
      </c>
      <c r="P80" s="191"/>
      <c r="Q80" s="191"/>
    </row>
    <row r="81">
      <c r="A81" s="67"/>
      <c r="B81" s="96" t="s">
        <v>904</v>
      </c>
      <c r="C81" s="162" t="s">
        <v>214</v>
      </c>
      <c r="D81" s="162" t="s">
        <v>1127</v>
      </c>
      <c r="E81" s="162" t="s">
        <v>1128</v>
      </c>
      <c r="F81" s="210" t="s">
        <v>1129</v>
      </c>
      <c r="G81" s="163" t="s">
        <v>1130</v>
      </c>
      <c r="H81" s="163" t="s">
        <v>1130</v>
      </c>
      <c r="I81" s="183">
        <v>4.43</v>
      </c>
      <c r="J81" s="192">
        <v>45111.0</v>
      </c>
      <c r="K81" s="185"/>
      <c r="L81" s="185" t="s">
        <v>192</v>
      </c>
      <c r="M81" s="185" t="s">
        <v>350</v>
      </c>
      <c r="N81" s="185" t="s">
        <v>1133</v>
      </c>
      <c r="O81" s="185" t="s">
        <v>1134</v>
      </c>
      <c r="P81" s="185"/>
      <c r="Q81" s="185"/>
    </row>
    <row r="82">
      <c r="A82" s="67"/>
      <c r="B82" s="96" t="s">
        <v>904</v>
      </c>
      <c r="C82" s="165" t="s">
        <v>217</v>
      </c>
      <c r="D82" s="165" t="s">
        <v>1138</v>
      </c>
      <c r="E82" s="212" t="s">
        <v>559</v>
      </c>
      <c r="F82" s="212" t="s">
        <v>1139</v>
      </c>
      <c r="G82" s="163" t="s">
        <v>1140</v>
      </c>
      <c r="H82" s="163" t="s">
        <v>1140</v>
      </c>
      <c r="I82" s="189">
        <v>3.71</v>
      </c>
      <c r="J82" s="193">
        <v>45118.0</v>
      </c>
      <c r="K82" s="198" t="s">
        <v>1142</v>
      </c>
      <c r="L82" s="191" t="s">
        <v>224</v>
      </c>
      <c r="M82" s="191" t="s">
        <v>324</v>
      </c>
      <c r="N82" s="191" t="s">
        <v>933</v>
      </c>
      <c r="O82" s="191" t="s">
        <v>1143</v>
      </c>
      <c r="P82" s="191"/>
      <c r="Q82" s="191"/>
    </row>
    <row r="83">
      <c r="A83" s="67"/>
      <c r="B83" s="96" t="s">
        <v>904</v>
      </c>
      <c r="C83" s="162" t="s">
        <v>218</v>
      </c>
      <c r="D83" s="162" t="s">
        <v>1145</v>
      </c>
      <c r="E83" s="210" t="s">
        <v>1146</v>
      </c>
      <c r="F83" s="210" t="s">
        <v>1147</v>
      </c>
      <c r="G83" s="163" t="s">
        <v>1148</v>
      </c>
      <c r="H83" s="163" t="s">
        <v>1148</v>
      </c>
      <c r="I83" s="183">
        <v>4.43</v>
      </c>
      <c r="J83" s="192">
        <v>45125.0</v>
      </c>
      <c r="K83" s="185"/>
      <c r="L83" s="185" t="s">
        <v>224</v>
      </c>
      <c r="M83" s="185" t="s">
        <v>324</v>
      </c>
      <c r="N83" s="185" t="s">
        <v>332</v>
      </c>
      <c r="O83" s="185" t="s">
        <v>1152</v>
      </c>
      <c r="P83" s="185"/>
      <c r="Q83" s="185"/>
    </row>
    <row r="84">
      <c r="A84" s="67"/>
      <c r="B84" s="96" t="s">
        <v>904</v>
      </c>
      <c r="C84" s="165" t="s">
        <v>219</v>
      </c>
      <c r="D84" s="165" t="s">
        <v>1154</v>
      </c>
      <c r="E84" s="212" t="s">
        <v>1155</v>
      </c>
      <c r="F84" s="212" t="s">
        <v>1156</v>
      </c>
      <c r="G84" s="163" t="s">
        <v>1157</v>
      </c>
      <c r="H84" s="163" t="s">
        <v>1157</v>
      </c>
      <c r="I84" s="189">
        <v>3.71</v>
      </c>
      <c r="J84" s="193">
        <v>45132.0</v>
      </c>
      <c r="K84" s="198" t="s">
        <v>1158</v>
      </c>
      <c r="L84" s="191" t="s">
        <v>224</v>
      </c>
      <c r="M84" s="191" t="s">
        <v>226</v>
      </c>
      <c r="N84" s="191" t="s">
        <v>238</v>
      </c>
      <c r="O84" s="191" t="s">
        <v>1164</v>
      </c>
      <c r="P84" s="191"/>
      <c r="Q84" s="191"/>
    </row>
    <row r="85">
      <c r="A85" s="67"/>
      <c r="B85" s="96" t="s">
        <v>904</v>
      </c>
      <c r="C85" s="162" t="s">
        <v>220</v>
      </c>
      <c r="D85" s="162" t="s">
        <v>1165</v>
      </c>
      <c r="E85" s="210" t="s">
        <v>1166</v>
      </c>
      <c r="F85" s="210" t="s">
        <v>1021</v>
      </c>
      <c r="G85" s="163" t="s">
        <v>1167</v>
      </c>
      <c r="H85" s="163" t="s">
        <v>1167</v>
      </c>
      <c r="I85" s="199">
        <v>3.0</v>
      </c>
      <c r="J85" s="193">
        <v>45139.0</v>
      </c>
      <c r="K85" s="191"/>
      <c r="L85" s="191" t="s">
        <v>461</v>
      </c>
      <c r="M85" s="191" t="s">
        <v>530</v>
      </c>
      <c r="N85" s="191" t="s">
        <v>531</v>
      </c>
      <c r="O85" s="191" t="s">
        <v>1169</v>
      </c>
      <c r="P85" s="191"/>
      <c r="Q85" s="191"/>
    </row>
    <row r="86">
      <c r="A86" s="67"/>
      <c r="B86" s="96" t="s">
        <v>904</v>
      </c>
      <c r="C86" s="165" t="s">
        <v>221</v>
      </c>
      <c r="D86" s="165" t="s">
        <v>1170</v>
      </c>
      <c r="E86" s="212" t="s">
        <v>1171</v>
      </c>
      <c r="F86" s="212" t="s">
        <v>318</v>
      </c>
      <c r="G86" s="163" t="s">
        <v>1172</v>
      </c>
      <c r="H86" s="163" t="s">
        <v>1172</v>
      </c>
      <c r="I86" s="183">
        <v>3.71</v>
      </c>
      <c r="J86" s="192">
        <v>45146.0</v>
      </c>
      <c r="K86" s="185"/>
      <c r="L86" s="185" t="s">
        <v>461</v>
      </c>
      <c r="M86" s="185" t="s">
        <v>462</v>
      </c>
      <c r="N86" s="185" t="s">
        <v>886</v>
      </c>
      <c r="O86" s="185" t="s">
        <v>1179</v>
      </c>
      <c r="P86" s="185"/>
      <c r="Q86" s="185"/>
    </row>
    <row r="87">
      <c r="A87" s="67"/>
      <c r="B87" s="96" t="s">
        <v>904</v>
      </c>
      <c r="C87" s="162" t="s">
        <v>222</v>
      </c>
      <c r="D87" s="162" t="s">
        <v>212</v>
      </c>
      <c r="E87" s="210" t="s">
        <v>213</v>
      </c>
      <c r="F87" s="210" t="s">
        <v>215</v>
      </c>
      <c r="G87" s="163" t="s">
        <v>1180</v>
      </c>
      <c r="H87" s="163" t="s">
        <v>1180</v>
      </c>
      <c r="I87" s="189">
        <v>2.0</v>
      </c>
      <c r="J87" s="193">
        <v>45153.0</v>
      </c>
      <c r="K87" s="198" t="s">
        <v>216</v>
      </c>
      <c r="L87" s="191" t="s">
        <v>385</v>
      </c>
      <c r="M87" s="191" t="s">
        <v>386</v>
      </c>
      <c r="N87" s="191" t="s">
        <v>1182</v>
      </c>
      <c r="O87" s="191" t="s">
        <v>1183</v>
      </c>
      <c r="P87" s="191"/>
      <c r="Q87" s="191"/>
    </row>
    <row r="88">
      <c r="A88" s="67"/>
      <c r="B88" s="96" t="s">
        <v>904</v>
      </c>
      <c r="C88" s="165" t="s">
        <v>223</v>
      </c>
      <c r="D88" s="165" t="s">
        <v>1187</v>
      </c>
      <c r="E88" s="165" t="s">
        <v>1188</v>
      </c>
      <c r="F88" s="165" t="s">
        <v>1189</v>
      </c>
      <c r="G88" s="163" t="s">
        <v>1190</v>
      </c>
      <c r="H88" s="163" t="s">
        <v>1190</v>
      </c>
      <c r="I88" s="183">
        <v>4.29</v>
      </c>
      <c r="J88" s="192">
        <v>45160.0</v>
      </c>
      <c r="K88" s="185"/>
      <c r="L88" s="185" t="s">
        <v>461</v>
      </c>
      <c r="M88" s="185" t="s">
        <v>462</v>
      </c>
      <c r="N88" s="185" t="s">
        <v>1192</v>
      </c>
      <c r="O88" s="185" t="s">
        <v>1193</v>
      </c>
      <c r="P88" s="185"/>
      <c r="Q88" s="185"/>
    </row>
    <row r="89">
      <c r="A89" s="67"/>
      <c r="B89" s="164" t="s">
        <v>904</v>
      </c>
      <c r="C89" s="162" t="s">
        <v>225</v>
      </c>
      <c r="D89" s="162" t="s">
        <v>1194</v>
      </c>
      <c r="E89" s="162" t="s">
        <v>1195</v>
      </c>
      <c r="F89" s="162" t="s">
        <v>1196</v>
      </c>
      <c r="G89" s="163" t="s">
        <v>1197</v>
      </c>
      <c r="H89" s="163" t="s">
        <v>1197</v>
      </c>
      <c r="I89" s="189">
        <v>4.43</v>
      </c>
      <c r="J89" s="193">
        <v>45167.0</v>
      </c>
      <c r="K89" s="191"/>
      <c r="L89" s="191" t="s">
        <v>461</v>
      </c>
      <c r="M89" s="191" t="s">
        <v>462</v>
      </c>
      <c r="N89" s="191" t="s">
        <v>880</v>
      </c>
      <c r="O89" s="191" t="s">
        <v>1203</v>
      </c>
      <c r="P89" s="191"/>
      <c r="Q89" s="191"/>
    </row>
    <row r="90">
      <c r="A90" s="67"/>
      <c r="B90" s="164" t="s">
        <v>904</v>
      </c>
      <c r="C90" s="165" t="s">
        <v>228</v>
      </c>
      <c r="D90" s="165" t="s">
        <v>1205</v>
      </c>
      <c r="E90" s="165" t="s">
        <v>1206</v>
      </c>
      <c r="F90" s="165" t="s">
        <v>578</v>
      </c>
      <c r="G90" s="163" t="s">
        <v>1207</v>
      </c>
      <c r="H90" s="163" t="s">
        <v>1207</v>
      </c>
      <c r="I90" s="183">
        <v>2.0</v>
      </c>
      <c r="J90" s="192">
        <v>45174.0</v>
      </c>
      <c r="K90" s="185"/>
      <c r="L90" s="185" t="s">
        <v>192</v>
      </c>
      <c r="M90" s="185" t="s">
        <v>350</v>
      </c>
      <c r="N90" s="185" t="s">
        <v>352</v>
      </c>
      <c r="O90" s="185" t="s">
        <v>1213</v>
      </c>
      <c r="P90" s="185"/>
      <c r="Q90" s="185"/>
    </row>
    <row r="91">
      <c r="A91" s="67"/>
      <c r="B91" s="161" t="s">
        <v>904</v>
      </c>
      <c r="C91" s="162" t="s">
        <v>229</v>
      </c>
      <c r="D91" s="162" t="s">
        <v>1214</v>
      </c>
      <c r="E91" s="162" t="s">
        <v>447</v>
      </c>
      <c r="F91" s="162" t="s">
        <v>447</v>
      </c>
      <c r="G91" s="163" t="s">
        <v>1215</v>
      </c>
      <c r="H91" s="163" t="s">
        <v>1215</v>
      </c>
      <c r="I91" s="189">
        <v>3.71</v>
      </c>
      <c r="J91" s="193">
        <v>45181.0</v>
      </c>
      <c r="K91" s="191"/>
      <c r="L91" s="191" t="s">
        <v>192</v>
      </c>
      <c r="M91" s="191" t="s">
        <v>195</v>
      </c>
      <c r="N91" s="191" t="s">
        <v>362</v>
      </c>
      <c r="O91" s="191" t="s">
        <v>1217</v>
      </c>
      <c r="P91" s="191"/>
      <c r="Q91" s="191"/>
    </row>
    <row r="92">
      <c r="A92" s="67"/>
      <c r="B92" s="164" t="s">
        <v>904</v>
      </c>
      <c r="C92" s="165" t="s">
        <v>230</v>
      </c>
      <c r="D92" s="165" t="s">
        <v>1219</v>
      </c>
      <c r="E92" s="165" t="s">
        <v>1220</v>
      </c>
      <c r="F92" s="165" t="s">
        <v>1221</v>
      </c>
      <c r="G92" s="163" t="s">
        <v>1222</v>
      </c>
      <c r="H92" s="163" t="s">
        <v>1222</v>
      </c>
      <c r="I92" s="183">
        <v>4.29</v>
      </c>
      <c r="J92" s="192">
        <v>45188.0</v>
      </c>
      <c r="K92" s="185"/>
      <c r="L92" s="185" t="s">
        <v>192</v>
      </c>
      <c r="M92" s="185" t="s">
        <v>195</v>
      </c>
      <c r="N92" s="185" t="s">
        <v>257</v>
      </c>
      <c r="O92" s="185" t="s">
        <v>1228</v>
      </c>
      <c r="P92" s="185"/>
      <c r="Q92" s="185"/>
    </row>
    <row r="93">
      <c r="A93" s="67"/>
      <c r="B93" s="164" t="s">
        <v>904</v>
      </c>
      <c r="C93" s="162" t="s">
        <v>231</v>
      </c>
      <c r="D93" s="162" t="s">
        <v>1229</v>
      </c>
      <c r="E93" s="162" t="s">
        <v>1230</v>
      </c>
      <c r="F93" s="227"/>
      <c r="G93" s="163" t="s">
        <v>1231</v>
      </c>
      <c r="H93" s="163" t="s">
        <v>1231</v>
      </c>
      <c r="I93" s="189">
        <v>3.71</v>
      </c>
      <c r="J93" s="193">
        <v>45195.0</v>
      </c>
      <c r="K93" s="191"/>
      <c r="L93" s="191" t="s">
        <v>224</v>
      </c>
      <c r="M93" s="191" t="s">
        <v>324</v>
      </c>
      <c r="N93" s="191" t="s">
        <v>660</v>
      </c>
      <c r="O93" s="191" t="s">
        <v>1237</v>
      </c>
      <c r="P93" s="191"/>
      <c r="Q93" s="191"/>
    </row>
    <row r="94">
      <c r="A94" s="67"/>
      <c r="B94" s="164" t="s">
        <v>904</v>
      </c>
      <c r="C94" s="165" t="s">
        <v>232</v>
      </c>
      <c r="D94" s="165" t="s">
        <v>1238</v>
      </c>
      <c r="E94" s="165" t="s">
        <v>1239</v>
      </c>
      <c r="F94" s="165" t="s">
        <v>1240</v>
      </c>
      <c r="G94" s="163" t="s">
        <v>1241</v>
      </c>
      <c r="H94" s="163" t="s">
        <v>1241</v>
      </c>
      <c r="I94" s="183">
        <v>3.0</v>
      </c>
      <c r="J94" s="192">
        <v>45202.0</v>
      </c>
      <c r="K94" s="185"/>
      <c r="L94" s="185" t="s">
        <v>385</v>
      </c>
      <c r="M94" s="185" t="s">
        <v>448</v>
      </c>
      <c r="N94" s="185" t="s">
        <v>493</v>
      </c>
      <c r="O94" s="185" t="s">
        <v>1243</v>
      </c>
      <c r="P94" s="185"/>
      <c r="Q94" s="185"/>
    </row>
    <row r="95">
      <c r="A95" s="67"/>
      <c r="B95" s="164" t="s">
        <v>904</v>
      </c>
      <c r="C95" s="162" t="s">
        <v>233</v>
      </c>
      <c r="D95" s="162" t="s">
        <v>1244</v>
      </c>
      <c r="E95" s="162" t="s">
        <v>993</v>
      </c>
      <c r="F95" s="162" t="s">
        <v>263</v>
      </c>
      <c r="G95" s="163" t="s">
        <v>1245</v>
      </c>
      <c r="H95" s="163" t="s">
        <v>1245</v>
      </c>
      <c r="I95" s="189">
        <v>3.71</v>
      </c>
      <c r="J95" s="190">
        <v>45209.0</v>
      </c>
      <c r="K95" s="191"/>
      <c r="L95" s="191" t="s">
        <v>461</v>
      </c>
      <c r="M95" s="191" t="s">
        <v>462</v>
      </c>
      <c r="N95" s="191" t="s">
        <v>778</v>
      </c>
      <c r="O95" s="191" t="s">
        <v>1251</v>
      </c>
      <c r="P95" s="191"/>
      <c r="Q95" s="191"/>
    </row>
    <row r="96">
      <c r="A96" s="67"/>
      <c r="B96" s="164" t="s">
        <v>904</v>
      </c>
      <c r="C96" s="165" t="s">
        <v>234</v>
      </c>
      <c r="D96" s="165" t="s">
        <v>1252</v>
      </c>
      <c r="E96" s="165" t="s">
        <v>1253</v>
      </c>
      <c r="F96" s="165" t="s">
        <v>1254</v>
      </c>
      <c r="G96" s="163" t="s">
        <v>1255</v>
      </c>
      <c r="H96" s="163" t="s">
        <v>1255</v>
      </c>
      <c r="I96" s="183">
        <v>2.0</v>
      </c>
      <c r="J96" s="184">
        <v>45216.0</v>
      </c>
      <c r="K96" s="185"/>
      <c r="L96" s="185" t="s">
        <v>224</v>
      </c>
      <c r="M96" s="185" t="s">
        <v>226</v>
      </c>
      <c r="N96" s="185" t="s">
        <v>238</v>
      </c>
      <c r="O96" s="185" t="s">
        <v>1259</v>
      </c>
      <c r="P96" s="185"/>
      <c r="Q96" s="185"/>
    </row>
    <row r="97">
      <c r="A97" s="67"/>
      <c r="B97" s="164" t="s">
        <v>904</v>
      </c>
      <c r="C97" s="162" t="s">
        <v>235</v>
      </c>
      <c r="D97" s="162" t="s">
        <v>1260</v>
      </c>
      <c r="E97" s="162" t="s">
        <v>1261</v>
      </c>
      <c r="F97" s="162" t="s">
        <v>1262</v>
      </c>
      <c r="G97" s="163" t="s">
        <v>1263</v>
      </c>
      <c r="H97" s="163" t="s">
        <v>1263</v>
      </c>
      <c r="I97" s="199">
        <v>2.0</v>
      </c>
      <c r="J97" s="190">
        <v>45223.0</v>
      </c>
      <c r="K97" s="191"/>
      <c r="L97" s="191" t="s">
        <v>385</v>
      </c>
      <c r="M97" s="191" t="s">
        <v>386</v>
      </c>
      <c r="N97" s="191" t="s">
        <v>1050</v>
      </c>
      <c r="O97" s="191" t="s">
        <v>1265</v>
      </c>
      <c r="P97" s="191"/>
      <c r="Q97" s="191"/>
    </row>
    <row r="98">
      <c r="A98" s="67"/>
      <c r="B98" s="164" t="s">
        <v>904</v>
      </c>
      <c r="C98" s="165" t="s">
        <v>236</v>
      </c>
      <c r="D98" s="165" t="s">
        <v>1266</v>
      </c>
      <c r="E98" s="165" t="s">
        <v>293</v>
      </c>
      <c r="F98" s="165" t="s">
        <v>1267</v>
      </c>
      <c r="G98" s="163" t="s">
        <v>1268</v>
      </c>
      <c r="H98" s="163" t="s">
        <v>1268</v>
      </c>
      <c r="I98" s="183">
        <v>3.0</v>
      </c>
      <c r="J98" s="184">
        <v>45230.0</v>
      </c>
      <c r="K98" s="185"/>
      <c r="L98" s="185" t="s">
        <v>192</v>
      </c>
      <c r="M98" s="185" t="s">
        <v>276</v>
      </c>
      <c r="N98" s="185" t="s">
        <v>284</v>
      </c>
      <c r="O98" s="185" t="s">
        <v>1274</v>
      </c>
      <c r="P98" s="185"/>
      <c r="Q98" s="185"/>
    </row>
    <row r="99">
      <c r="A99" s="67"/>
      <c r="B99" s="164" t="s">
        <v>904</v>
      </c>
      <c r="C99" s="162" t="s">
        <v>237</v>
      </c>
      <c r="D99" s="162" t="s">
        <v>1277</v>
      </c>
      <c r="E99" s="162" t="s">
        <v>447</v>
      </c>
      <c r="F99" s="162" t="s">
        <v>447</v>
      </c>
      <c r="G99" s="163" t="s">
        <v>1278</v>
      </c>
      <c r="H99" s="163" t="s">
        <v>1278</v>
      </c>
      <c r="I99" s="189">
        <v>2.0</v>
      </c>
      <c r="J99" s="193">
        <v>45237.0</v>
      </c>
      <c r="K99" s="191"/>
      <c r="L99" s="191" t="s">
        <v>461</v>
      </c>
      <c r="M99" s="191" t="s">
        <v>462</v>
      </c>
      <c r="N99" s="191" t="s">
        <v>778</v>
      </c>
      <c r="O99" s="191" t="s">
        <v>1285</v>
      </c>
      <c r="P99" s="191"/>
      <c r="Q99" s="191"/>
    </row>
    <row r="100">
      <c r="A100" s="67"/>
      <c r="B100" s="164" t="s">
        <v>904</v>
      </c>
      <c r="C100" s="165" t="s">
        <v>240</v>
      </c>
      <c r="D100" s="165" t="s">
        <v>1287</v>
      </c>
      <c r="E100" s="165" t="s">
        <v>1288</v>
      </c>
      <c r="F100" s="165" t="s">
        <v>1289</v>
      </c>
      <c r="G100" s="163" t="s">
        <v>1290</v>
      </c>
      <c r="H100" s="163" t="s">
        <v>1290</v>
      </c>
      <c r="I100" s="183">
        <v>2.0</v>
      </c>
      <c r="J100" s="184">
        <v>45244.0</v>
      </c>
      <c r="K100" s="185"/>
      <c r="L100" s="185" t="s">
        <v>192</v>
      </c>
      <c r="M100" s="185" t="s">
        <v>195</v>
      </c>
      <c r="N100" s="185" t="s">
        <v>1300</v>
      </c>
      <c r="O100" s="185" t="s">
        <v>1301</v>
      </c>
      <c r="P100" s="185"/>
      <c r="Q100" s="185"/>
    </row>
    <row r="101">
      <c r="A101" s="67"/>
      <c r="B101" s="164" t="s">
        <v>904</v>
      </c>
      <c r="C101" s="172" t="s">
        <v>242</v>
      </c>
      <c r="D101" s="172" t="s">
        <v>1303</v>
      </c>
      <c r="E101" s="172" t="s">
        <v>213</v>
      </c>
      <c r="F101" s="172" t="s">
        <v>1304</v>
      </c>
      <c r="G101" s="163" t="s">
        <v>1306</v>
      </c>
      <c r="H101" s="163" t="s">
        <v>1306</v>
      </c>
      <c r="I101" s="189">
        <v>3.71</v>
      </c>
      <c r="J101" s="190">
        <v>45251.0</v>
      </c>
      <c r="K101" s="191"/>
      <c r="L101" s="191" t="s">
        <v>192</v>
      </c>
      <c r="M101" s="191" t="s">
        <v>195</v>
      </c>
      <c r="N101" s="191" t="s">
        <v>208</v>
      </c>
      <c r="O101" s="191" t="s">
        <v>1309</v>
      </c>
      <c r="P101" s="191"/>
      <c r="Q101" s="191"/>
    </row>
    <row r="102">
      <c r="A102" s="67"/>
      <c r="B102" s="243" t="s">
        <v>904</v>
      </c>
      <c r="C102" s="245" t="s">
        <v>246</v>
      </c>
      <c r="D102" s="245" t="s">
        <v>1311</v>
      </c>
      <c r="E102" s="245" t="s">
        <v>1312</v>
      </c>
      <c r="F102" s="245" t="s">
        <v>1314</v>
      </c>
      <c r="G102" s="163" t="s">
        <v>1316</v>
      </c>
      <c r="H102" s="163" t="s">
        <v>1316</v>
      </c>
      <c r="I102" s="183">
        <v>3.71</v>
      </c>
      <c r="J102" s="184">
        <v>45258.0</v>
      </c>
      <c r="K102" s="185"/>
      <c r="L102" s="185" t="s">
        <v>385</v>
      </c>
      <c r="M102" s="185" t="s">
        <v>386</v>
      </c>
      <c r="N102" s="185" t="s">
        <v>549</v>
      </c>
      <c r="O102" s="185" t="s">
        <v>1320</v>
      </c>
      <c r="P102" s="185"/>
      <c r="Q102" s="185"/>
    </row>
    <row r="103">
      <c r="A103" s="67"/>
      <c r="B103" s="164" t="s">
        <v>904</v>
      </c>
      <c r="C103" s="172" t="s">
        <v>247</v>
      </c>
      <c r="D103" s="172" t="s">
        <v>1329</v>
      </c>
      <c r="E103" s="172" t="s">
        <v>592</v>
      </c>
      <c r="F103" s="172" t="s">
        <v>1330</v>
      </c>
      <c r="G103" s="163" t="s">
        <v>1331</v>
      </c>
      <c r="H103" s="163" t="s">
        <v>1331</v>
      </c>
      <c r="I103" s="189">
        <v>2.0</v>
      </c>
      <c r="J103" s="193">
        <v>45265.0</v>
      </c>
      <c r="K103" s="191"/>
      <c r="L103" s="191" t="s">
        <v>461</v>
      </c>
      <c r="M103" s="191" t="s">
        <v>462</v>
      </c>
      <c r="N103" s="191" t="s">
        <v>791</v>
      </c>
      <c r="O103" s="191" t="s">
        <v>1338</v>
      </c>
      <c r="P103" s="191"/>
      <c r="Q103" s="191"/>
    </row>
    <row r="104">
      <c r="A104" s="67"/>
      <c r="B104" s="243" t="s">
        <v>904</v>
      </c>
      <c r="C104" s="245" t="s">
        <v>248</v>
      </c>
      <c r="D104" s="245" t="s">
        <v>1339</v>
      </c>
      <c r="E104" s="245" t="s">
        <v>1340</v>
      </c>
      <c r="F104" s="245" t="s">
        <v>1341</v>
      </c>
      <c r="G104" s="163" t="s">
        <v>1342</v>
      </c>
      <c r="H104" s="163" t="s">
        <v>1342</v>
      </c>
      <c r="I104" s="199">
        <v>3.71</v>
      </c>
      <c r="J104" s="190">
        <v>45272.0</v>
      </c>
      <c r="K104" s="191"/>
      <c r="L104" s="191" t="s">
        <v>385</v>
      </c>
      <c r="M104" s="191" t="s">
        <v>386</v>
      </c>
      <c r="N104" s="191" t="s">
        <v>1159</v>
      </c>
      <c r="O104" s="191" t="s">
        <v>1349</v>
      </c>
      <c r="P104" s="191"/>
      <c r="Q104" s="191"/>
    </row>
    <row r="105">
      <c r="A105" s="67"/>
      <c r="B105" s="164" t="s">
        <v>904</v>
      </c>
      <c r="C105" s="172" t="s">
        <v>249</v>
      </c>
      <c r="D105" s="172" t="s">
        <v>1350</v>
      </c>
      <c r="E105" s="172" t="s">
        <v>1351</v>
      </c>
      <c r="F105" s="172" t="s">
        <v>1352</v>
      </c>
      <c r="G105" s="163" t="s">
        <v>1353</v>
      </c>
      <c r="H105" s="163" t="s">
        <v>1353</v>
      </c>
      <c r="I105" s="183">
        <v>2.0</v>
      </c>
      <c r="J105" s="184">
        <v>45279.0</v>
      </c>
      <c r="K105" s="211" t="s">
        <v>1362</v>
      </c>
      <c r="L105" s="185" t="s">
        <v>192</v>
      </c>
      <c r="M105" s="185" t="s">
        <v>195</v>
      </c>
      <c r="N105" s="185" t="s">
        <v>362</v>
      </c>
      <c r="O105" s="185" t="s">
        <v>1363</v>
      </c>
      <c r="P105" s="185"/>
      <c r="Q105" s="185"/>
    </row>
    <row r="106">
      <c r="A106" s="67"/>
      <c r="B106" s="243" t="s">
        <v>904</v>
      </c>
      <c r="C106" s="245" t="s">
        <v>250</v>
      </c>
      <c r="D106" s="245" t="s">
        <v>1365</v>
      </c>
      <c r="E106" s="245" t="s">
        <v>1146</v>
      </c>
      <c r="F106" s="245" t="s">
        <v>1366</v>
      </c>
      <c r="G106" s="163" t="s">
        <v>1367</v>
      </c>
      <c r="H106" s="163" t="s">
        <v>1367</v>
      </c>
      <c r="I106" s="189">
        <v>3.71</v>
      </c>
      <c r="J106" s="190">
        <v>45286.0</v>
      </c>
      <c r="K106" s="191"/>
      <c r="L106" s="191" t="s">
        <v>461</v>
      </c>
      <c r="M106" s="191" t="s">
        <v>462</v>
      </c>
      <c r="N106" s="191" t="s">
        <v>778</v>
      </c>
      <c r="O106" s="191" t="s">
        <v>1374</v>
      </c>
      <c r="P106" s="191"/>
      <c r="Q106" s="191"/>
    </row>
    <row r="107">
      <c r="A107" s="67"/>
      <c r="B107" s="164" t="s">
        <v>904</v>
      </c>
      <c r="C107" s="172" t="s">
        <v>251</v>
      </c>
      <c r="D107" s="172" t="s">
        <v>1377</v>
      </c>
      <c r="E107" s="172" t="s">
        <v>1378</v>
      </c>
      <c r="F107" s="172" t="s">
        <v>244</v>
      </c>
      <c r="G107" s="163" t="s">
        <v>1381</v>
      </c>
      <c r="H107" s="163" t="s">
        <v>1381</v>
      </c>
      <c r="I107" s="183">
        <v>2.0</v>
      </c>
      <c r="J107" s="192">
        <v>45293.0</v>
      </c>
      <c r="K107" s="185"/>
      <c r="L107" s="185" t="s">
        <v>385</v>
      </c>
      <c r="M107" s="185" t="s">
        <v>448</v>
      </c>
      <c r="N107" s="185" t="s">
        <v>482</v>
      </c>
      <c r="O107" s="185" t="s">
        <v>1384</v>
      </c>
      <c r="P107" s="185"/>
      <c r="Q107" s="185"/>
    </row>
    <row r="108">
      <c r="A108" s="67"/>
      <c r="B108" s="249" t="s">
        <v>904</v>
      </c>
      <c r="C108" s="250" t="s">
        <v>253</v>
      </c>
      <c r="D108" s="245" t="s">
        <v>1385</v>
      </c>
      <c r="E108" s="250" t="s">
        <v>1386</v>
      </c>
      <c r="F108" s="245" t="s">
        <v>1387</v>
      </c>
      <c r="G108" s="251" t="s">
        <v>1388</v>
      </c>
      <c r="H108" s="251" t="s">
        <v>1388</v>
      </c>
      <c r="I108" s="189">
        <v>3.71</v>
      </c>
      <c r="J108" s="193">
        <v>45300.0</v>
      </c>
      <c r="K108" s="191"/>
      <c r="L108" s="191" t="s">
        <v>385</v>
      </c>
      <c r="M108" s="191" t="s">
        <v>1406</v>
      </c>
      <c r="N108" s="191" t="s">
        <v>549</v>
      </c>
      <c r="O108" s="191" t="s">
        <v>1407</v>
      </c>
      <c r="P108" s="191"/>
      <c r="Q108" s="191"/>
    </row>
    <row r="109">
      <c r="A109" s="67"/>
      <c r="B109" s="164" t="s">
        <v>904</v>
      </c>
      <c r="C109" s="172" t="s">
        <v>254</v>
      </c>
      <c r="D109" s="172" t="s">
        <v>1410</v>
      </c>
      <c r="E109" s="172" t="s">
        <v>1411</v>
      </c>
      <c r="F109" s="172" t="s">
        <v>1412</v>
      </c>
      <c r="G109" s="163" t="s">
        <v>1413</v>
      </c>
      <c r="H109" s="163" t="s">
        <v>1413</v>
      </c>
      <c r="I109" s="183">
        <v>4.29</v>
      </c>
      <c r="J109" s="192">
        <v>45307.0</v>
      </c>
      <c r="K109" s="185"/>
      <c r="L109" s="185" t="s">
        <v>461</v>
      </c>
      <c r="M109" s="185" t="s">
        <v>462</v>
      </c>
      <c r="N109" s="185" t="s">
        <v>778</v>
      </c>
      <c r="O109" s="185" t="s">
        <v>1414</v>
      </c>
      <c r="P109" s="185"/>
      <c r="Q109" s="185"/>
    </row>
    <row r="110">
      <c r="A110" s="67"/>
      <c r="B110" s="243" t="s">
        <v>904</v>
      </c>
      <c r="C110" s="245" t="s">
        <v>255</v>
      </c>
      <c r="D110" s="245" t="s">
        <v>1417</v>
      </c>
      <c r="E110" s="253" t="s">
        <v>1419</v>
      </c>
      <c r="F110" s="165" t="s">
        <v>1422</v>
      </c>
      <c r="G110" s="163" t="s">
        <v>1424</v>
      </c>
      <c r="H110" s="163" t="s">
        <v>1424</v>
      </c>
      <c r="I110" s="189">
        <v>4.29</v>
      </c>
      <c r="J110" s="193">
        <v>45314.0</v>
      </c>
      <c r="K110" s="191"/>
      <c r="L110" s="191" t="s">
        <v>192</v>
      </c>
      <c r="M110" s="191" t="s">
        <v>195</v>
      </c>
      <c r="N110" s="191" t="s">
        <v>362</v>
      </c>
      <c r="O110" s="191" t="s">
        <v>1427</v>
      </c>
      <c r="P110" s="191"/>
      <c r="Q110" s="191"/>
    </row>
    <row r="111">
      <c r="A111" s="67"/>
      <c r="B111" s="164" t="s">
        <v>904</v>
      </c>
      <c r="C111" s="172" t="s">
        <v>256</v>
      </c>
      <c r="D111" s="172" t="s">
        <v>1428</v>
      </c>
      <c r="E111" s="172" t="s">
        <v>317</v>
      </c>
      <c r="F111" s="172" t="s">
        <v>1430</v>
      </c>
      <c r="G111" s="163" t="s">
        <v>1432</v>
      </c>
      <c r="H111" s="163" t="s">
        <v>1432</v>
      </c>
      <c r="I111" s="183">
        <v>2.0</v>
      </c>
      <c r="J111" s="192">
        <v>45321.0</v>
      </c>
      <c r="K111" s="185"/>
      <c r="L111" s="185" t="s">
        <v>224</v>
      </c>
      <c r="M111" s="185" t="s">
        <v>226</v>
      </c>
      <c r="N111" s="185" t="s">
        <v>238</v>
      </c>
      <c r="O111" s="185" t="s">
        <v>1440</v>
      </c>
      <c r="P111" s="185"/>
      <c r="Q111" s="185"/>
    </row>
    <row r="112">
      <c r="A112" s="67"/>
      <c r="B112" s="243" t="s">
        <v>904</v>
      </c>
      <c r="C112" s="245" t="s">
        <v>71</v>
      </c>
      <c r="D112" s="245" t="s">
        <v>212</v>
      </c>
      <c r="E112" s="245" t="s">
        <v>213</v>
      </c>
      <c r="F112" s="245" t="s">
        <v>215</v>
      </c>
      <c r="G112" s="163" t="s">
        <v>847</v>
      </c>
      <c r="H112" s="163" t="s">
        <v>847</v>
      </c>
      <c r="I112" s="189">
        <v>5.0</v>
      </c>
      <c r="J112" s="193">
        <v>45328.0</v>
      </c>
      <c r="K112" s="198" t="s">
        <v>216</v>
      </c>
      <c r="L112" s="191" t="s">
        <v>385</v>
      </c>
      <c r="M112" s="191" t="s">
        <v>448</v>
      </c>
      <c r="N112" s="191" t="s">
        <v>449</v>
      </c>
      <c r="O112" s="191" t="s">
        <v>1441</v>
      </c>
      <c r="P112" s="191"/>
      <c r="Q112" s="191"/>
    </row>
    <row r="113">
      <c r="A113" s="67"/>
      <c r="B113" s="164" t="s">
        <v>904</v>
      </c>
      <c r="C113" s="172" t="s">
        <v>258</v>
      </c>
      <c r="D113" s="172" t="s">
        <v>1442</v>
      </c>
      <c r="E113" s="172" t="s">
        <v>1433</v>
      </c>
      <c r="F113" s="172" t="s">
        <v>578</v>
      </c>
      <c r="G113" s="163" t="s">
        <v>1443</v>
      </c>
      <c r="H113" s="163" t="s">
        <v>1443</v>
      </c>
      <c r="I113" s="183">
        <v>4.29</v>
      </c>
      <c r="J113" s="192">
        <v>45335.0</v>
      </c>
      <c r="K113" s="185"/>
      <c r="L113" s="185" t="s">
        <v>224</v>
      </c>
      <c r="M113" s="185" t="s">
        <v>324</v>
      </c>
      <c r="N113" s="185" t="s">
        <v>660</v>
      </c>
      <c r="O113" s="185" t="s">
        <v>1448</v>
      </c>
      <c r="P113" s="185"/>
      <c r="Q113" s="185"/>
    </row>
    <row r="114">
      <c r="A114" s="67"/>
      <c r="B114" s="243" t="s">
        <v>904</v>
      </c>
      <c r="C114" s="245" t="s">
        <v>261</v>
      </c>
      <c r="D114" s="245" t="s">
        <v>1449</v>
      </c>
      <c r="E114" s="245" t="s">
        <v>1450</v>
      </c>
      <c r="F114" s="245" t="s">
        <v>447</v>
      </c>
      <c r="G114" s="163" t="s">
        <v>1451</v>
      </c>
      <c r="H114" s="163" t="s">
        <v>1451</v>
      </c>
      <c r="I114" s="189">
        <v>4.29</v>
      </c>
      <c r="J114" s="193">
        <v>45342.0</v>
      </c>
      <c r="K114" s="191"/>
      <c r="L114" s="191" t="s">
        <v>461</v>
      </c>
      <c r="M114" s="191" t="s">
        <v>462</v>
      </c>
      <c r="N114" s="191" t="s">
        <v>778</v>
      </c>
      <c r="O114" s="191" t="s">
        <v>1457</v>
      </c>
      <c r="P114" s="191"/>
      <c r="Q114" s="191"/>
    </row>
    <row r="115">
      <c r="A115" s="67"/>
      <c r="B115" s="164" t="s">
        <v>904</v>
      </c>
      <c r="C115" s="172" t="s">
        <v>264</v>
      </c>
      <c r="D115" s="172" t="s">
        <v>1458</v>
      </c>
      <c r="E115" s="172" t="s">
        <v>317</v>
      </c>
      <c r="F115" s="172" t="s">
        <v>1459</v>
      </c>
      <c r="G115" s="163" t="s">
        <v>1460</v>
      </c>
      <c r="H115" s="163" t="s">
        <v>1460</v>
      </c>
      <c r="I115" s="183">
        <v>3.71</v>
      </c>
      <c r="J115" s="192">
        <v>45349.0</v>
      </c>
      <c r="K115" s="211" t="s">
        <v>1463</v>
      </c>
      <c r="L115" s="185" t="s">
        <v>461</v>
      </c>
      <c r="M115" s="185" t="s">
        <v>462</v>
      </c>
      <c r="N115" s="185" t="s">
        <v>1192</v>
      </c>
      <c r="O115" s="185" t="s">
        <v>1464</v>
      </c>
      <c r="P115" s="185"/>
      <c r="Q115" s="185"/>
    </row>
    <row r="116">
      <c r="A116" s="67"/>
      <c r="B116" s="243" t="s">
        <v>904</v>
      </c>
      <c r="C116" s="245" t="s">
        <v>269</v>
      </c>
      <c r="D116" s="245" t="s">
        <v>1467</v>
      </c>
      <c r="E116" s="245" t="s">
        <v>1468</v>
      </c>
      <c r="F116" s="245" t="s">
        <v>1469</v>
      </c>
      <c r="G116" s="163" t="s">
        <v>1471</v>
      </c>
      <c r="H116" s="163" t="s">
        <v>1471</v>
      </c>
      <c r="I116" s="199">
        <v>2.0</v>
      </c>
      <c r="J116" s="193">
        <v>45356.0</v>
      </c>
      <c r="K116" s="191"/>
      <c r="L116" s="191" t="s">
        <v>385</v>
      </c>
      <c r="M116" s="191" t="s">
        <v>386</v>
      </c>
      <c r="N116" s="191" t="s">
        <v>387</v>
      </c>
      <c r="O116" s="191" t="s">
        <v>1475</v>
      </c>
      <c r="P116" s="191"/>
      <c r="Q116" s="191"/>
    </row>
    <row r="117">
      <c r="A117" s="67"/>
      <c r="B117" s="164" t="s">
        <v>904</v>
      </c>
      <c r="C117" s="172" t="s">
        <v>272</v>
      </c>
      <c r="D117" s="172" t="s">
        <v>1476</v>
      </c>
      <c r="E117" s="172" t="s">
        <v>1477</v>
      </c>
      <c r="F117" s="172" t="s">
        <v>1478</v>
      </c>
      <c r="G117" s="163" t="s">
        <v>1479</v>
      </c>
      <c r="H117" s="163" t="s">
        <v>1479</v>
      </c>
      <c r="I117" s="183">
        <v>2.0</v>
      </c>
      <c r="J117" s="192">
        <v>45363.0</v>
      </c>
      <c r="K117" s="211" t="s">
        <v>1486</v>
      </c>
      <c r="L117" s="185" t="s">
        <v>192</v>
      </c>
      <c r="M117" s="185" t="s">
        <v>276</v>
      </c>
      <c r="N117" s="185" t="s">
        <v>469</v>
      </c>
      <c r="O117" s="185" t="s">
        <v>1487</v>
      </c>
      <c r="P117" s="185"/>
      <c r="Q117" s="185"/>
    </row>
    <row r="118">
      <c r="A118" s="67"/>
      <c r="B118" s="243" t="s">
        <v>904</v>
      </c>
      <c r="C118" s="245" t="s">
        <v>273</v>
      </c>
      <c r="D118" s="245" t="s">
        <v>1489</v>
      </c>
      <c r="E118" s="245" t="s">
        <v>1490</v>
      </c>
      <c r="F118" s="245" t="s">
        <v>1491</v>
      </c>
      <c r="G118" s="163" t="s">
        <v>1492</v>
      </c>
      <c r="H118" s="163" t="s">
        <v>1492</v>
      </c>
      <c r="I118" s="189">
        <v>2.0</v>
      </c>
      <c r="J118" s="193">
        <v>45370.0</v>
      </c>
      <c r="K118" s="198" t="s">
        <v>1496</v>
      </c>
      <c r="L118" s="191" t="s">
        <v>192</v>
      </c>
      <c r="M118" s="191" t="s">
        <v>276</v>
      </c>
      <c r="N118" s="191" t="s">
        <v>600</v>
      </c>
      <c r="O118" s="191" t="s">
        <v>1499</v>
      </c>
      <c r="P118" s="191"/>
      <c r="Q118" s="191"/>
    </row>
    <row r="119">
      <c r="A119" s="67"/>
      <c r="B119" s="164" t="s">
        <v>904</v>
      </c>
      <c r="C119" s="172" t="s">
        <v>274</v>
      </c>
      <c r="D119" s="172" t="s">
        <v>1501</v>
      </c>
      <c r="E119" s="172" t="s">
        <v>1502</v>
      </c>
      <c r="F119" s="172" t="s">
        <v>948</v>
      </c>
      <c r="G119" s="163" t="s">
        <v>1503</v>
      </c>
      <c r="H119" s="163" t="s">
        <v>1503</v>
      </c>
      <c r="I119" s="183">
        <v>4.29</v>
      </c>
      <c r="J119" s="192">
        <v>45377.0</v>
      </c>
      <c r="K119" s="185"/>
      <c r="L119" s="185" t="s">
        <v>192</v>
      </c>
      <c r="M119" s="185" t="s">
        <v>195</v>
      </c>
      <c r="N119" s="185" t="s">
        <v>257</v>
      </c>
      <c r="O119" s="185" t="s">
        <v>1508</v>
      </c>
      <c r="P119" s="185"/>
      <c r="Q119" s="185"/>
    </row>
    <row r="120">
      <c r="A120" s="67"/>
      <c r="B120" s="243" t="s">
        <v>904</v>
      </c>
      <c r="C120" s="245" t="s">
        <v>275</v>
      </c>
      <c r="D120" s="245" t="s">
        <v>1509</v>
      </c>
      <c r="E120" s="245" t="s">
        <v>1477</v>
      </c>
      <c r="F120" s="245" t="s">
        <v>1510</v>
      </c>
      <c r="G120" s="163" t="s">
        <v>1511</v>
      </c>
      <c r="H120" s="163" t="s">
        <v>1511</v>
      </c>
      <c r="I120" s="189">
        <v>3.71</v>
      </c>
      <c r="J120" s="193">
        <v>45384.0</v>
      </c>
      <c r="K120" s="191"/>
      <c r="L120" s="191" t="s">
        <v>192</v>
      </c>
      <c r="M120" s="191" t="s">
        <v>195</v>
      </c>
      <c r="N120" s="191" t="s">
        <v>257</v>
      </c>
      <c r="O120" s="191" t="s">
        <v>1514</v>
      </c>
      <c r="P120" s="191"/>
      <c r="Q120" s="191"/>
    </row>
    <row r="121">
      <c r="A121" s="67"/>
      <c r="B121" s="164" t="s">
        <v>904</v>
      </c>
      <c r="C121" s="172" t="s">
        <v>278</v>
      </c>
      <c r="D121" s="172" t="s">
        <v>1516</v>
      </c>
      <c r="E121" s="172" t="s">
        <v>1518</v>
      </c>
      <c r="F121" s="172" t="s">
        <v>1519</v>
      </c>
      <c r="G121" s="163" t="s">
        <v>1521</v>
      </c>
      <c r="H121" s="163" t="s">
        <v>1521</v>
      </c>
      <c r="I121" s="183">
        <v>3.0</v>
      </c>
      <c r="J121" s="192">
        <v>45391.0</v>
      </c>
      <c r="K121" s="211" t="s">
        <v>1528</v>
      </c>
      <c r="L121" s="185" t="s">
        <v>192</v>
      </c>
      <c r="M121" s="185" t="s">
        <v>276</v>
      </c>
      <c r="N121" s="185" t="s">
        <v>284</v>
      </c>
      <c r="O121" s="185" t="s">
        <v>1533</v>
      </c>
      <c r="P121" s="185"/>
      <c r="Q121" s="185"/>
    </row>
    <row r="122">
      <c r="A122" s="67"/>
      <c r="B122" s="243" t="s">
        <v>904</v>
      </c>
      <c r="C122" s="245" t="s">
        <v>279</v>
      </c>
      <c r="D122" s="245" t="s">
        <v>1534</v>
      </c>
      <c r="E122" s="245" t="s">
        <v>1039</v>
      </c>
      <c r="F122" s="245" t="s">
        <v>1536</v>
      </c>
      <c r="G122" s="163" t="s">
        <v>1537</v>
      </c>
      <c r="H122" s="163" t="s">
        <v>1537</v>
      </c>
      <c r="I122" s="189">
        <v>3.71</v>
      </c>
      <c r="J122" s="193">
        <v>45398.0</v>
      </c>
      <c r="K122" s="191"/>
      <c r="L122" s="191" t="s">
        <v>385</v>
      </c>
      <c r="M122" s="191" t="s">
        <v>448</v>
      </c>
      <c r="N122" s="191" t="s">
        <v>449</v>
      </c>
      <c r="O122" s="191" t="s">
        <v>1539</v>
      </c>
      <c r="P122" s="191"/>
      <c r="Q122" s="191"/>
    </row>
    <row r="123">
      <c r="A123" s="67"/>
      <c r="B123" s="164" t="s">
        <v>904</v>
      </c>
      <c r="C123" s="172" t="s">
        <v>280</v>
      </c>
      <c r="D123" s="172" t="s">
        <v>1541</v>
      </c>
      <c r="E123" s="172" t="s">
        <v>447</v>
      </c>
      <c r="F123" s="172" t="s">
        <v>447</v>
      </c>
      <c r="G123" s="163" t="s">
        <v>1544</v>
      </c>
      <c r="H123" s="163" t="s">
        <v>1544</v>
      </c>
      <c r="I123" s="199">
        <v>3.57</v>
      </c>
      <c r="J123" s="193">
        <v>45405.0</v>
      </c>
      <c r="K123" s="191"/>
      <c r="L123" s="191" t="s">
        <v>192</v>
      </c>
      <c r="M123" s="191" t="s">
        <v>276</v>
      </c>
      <c r="N123" s="191" t="s">
        <v>284</v>
      </c>
      <c r="O123" s="191" t="s">
        <v>1546</v>
      </c>
      <c r="P123" s="191"/>
      <c r="Q123" s="191"/>
    </row>
    <row r="124">
      <c r="A124" s="67"/>
      <c r="B124" s="243" t="s">
        <v>904</v>
      </c>
      <c r="C124" s="245" t="s">
        <v>281</v>
      </c>
      <c r="D124" s="245" t="s">
        <v>1547</v>
      </c>
      <c r="E124" s="245" t="s">
        <v>1325</v>
      </c>
      <c r="F124" s="245" t="s">
        <v>1548</v>
      </c>
      <c r="G124" s="163" t="s">
        <v>1549</v>
      </c>
      <c r="H124" s="163" t="s">
        <v>1549</v>
      </c>
      <c r="I124" s="183">
        <v>4.29</v>
      </c>
      <c r="J124" s="192">
        <v>45412.0</v>
      </c>
      <c r="K124" s="211" t="s">
        <v>1552</v>
      </c>
      <c r="L124" s="185" t="s">
        <v>192</v>
      </c>
      <c r="M124" s="185" t="s">
        <v>195</v>
      </c>
      <c r="N124" s="185" t="s">
        <v>257</v>
      </c>
      <c r="O124" s="185" t="s">
        <v>1554</v>
      </c>
      <c r="P124" s="185"/>
      <c r="Q124" s="185"/>
    </row>
    <row r="125">
      <c r="A125" s="67"/>
      <c r="B125" s="164" t="s">
        <v>904</v>
      </c>
      <c r="C125" s="172" t="s">
        <v>282</v>
      </c>
      <c r="D125" s="172" t="s">
        <v>1555</v>
      </c>
      <c r="E125" s="172" t="s">
        <v>1351</v>
      </c>
      <c r="F125" s="172" t="s">
        <v>1556</v>
      </c>
      <c r="G125" s="163" t="s">
        <v>1557</v>
      </c>
      <c r="H125" s="163" t="s">
        <v>1557</v>
      </c>
      <c r="I125" s="189">
        <v>4.43</v>
      </c>
      <c r="J125" s="193">
        <v>45419.0</v>
      </c>
      <c r="K125" s="191"/>
      <c r="L125" s="191" t="s">
        <v>385</v>
      </c>
      <c r="M125" s="191" t="s">
        <v>448</v>
      </c>
      <c r="N125" s="191" t="s">
        <v>482</v>
      </c>
      <c r="O125" s="191" t="s">
        <v>1562</v>
      </c>
      <c r="P125" s="191"/>
      <c r="Q125" s="191"/>
    </row>
    <row r="126">
      <c r="A126" s="67"/>
      <c r="B126" s="243" t="s">
        <v>904</v>
      </c>
      <c r="C126" s="245" t="s">
        <v>283</v>
      </c>
      <c r="D126" s="245" t="s">
        <v>1564</v>
      </c>
      <c r="E126" s="245" t="s">
        <v>1565</v>
      </c>
      <c r="F126" s="245" t="s">
        <v>1567</v>
      </c>
      <c r="G126" s="163" t="s">
        <v>1568</v>
      </c>
      <c r="H126" s="163" t="s">
        <v>1568</v>
      </c>
      <c r="I126" s="183">
        <v>3.0</v>
      </c>
      <c r="J126" s="192">
        <v>45426.0</v>
      </c>
      <c r="K126" s="185"/>
      <c r="L126" s="185" t="s">
        <v>224</v>
      </c>
      <c r="M126" s="185" t="s">
        <v>324</v>
      </c>
      <c r="N126" s="185" t="s">
        <v>933</v>
      </c>
      <c r="O126" s="185" t="s">
        <v>1571</v>
      </c>
      <c r="P126" s="185"/>
      <c r="Q126" s="185"/>
    </row>
    <row r="127">
      <c r="A127" s="67"/>
      <c r="B127" s="164" t="s">
        <v>904</v>
      </c>
      <c r="C127" s="172" t="s">
        <v>286</v>
      </c>
      <c r="D127" s="172" t="s">
        <v>1572</v>
      </c>
      <c r="E127" s="172" t="s">
        <v>1574</v>
      </c>
      <c r="F127" s="172" t="s">
        <v>1575</v>
      </c>
      <c r="G127" s="163" t="s">
        <v>1576</v>
      </c>
      <c r="H127" s="163" t="s">
        <v>1576</v>
      </c>
      <c r="I127" s="189">
        <v>1.0</v>
      </c>
      <c r="J127" s="193">
        <v>45433.0</v>
      </c>
      <c r="K127" s="191"/>
      <c r="L127" s="191" t="s">
        <v>385</v>
      </c>
      <c r="M127" s="191" t="s">
        <v>448</v>
      </c>
      <c r="N127" s="191" t="s">
        <v>493</v>
      </c>
      <c r="O127" s="191" t="s">
        <v>1577</v>
      </c>
      <c r="P127" s="191"/>
      <c r="Q127" s="191"/>
    </row>
    <row r="128">
      <c r="A128" s="67"/>
      <c r="B128" s="243" t="s">
        <v>904</v>
      </c>
      <c r="C128" s="245" t="s">
        <v>291</v>
      </c>
      <c r="D128" s="245" t="s">
        <v>1581</v>
      </c>
      <c r="E128" s="245" t="s">
        <v>1582</v>
      </c>
      <c r="F128" s="245" t="s">
        <v>1583</v>
      </c>
      <c r="G128" s="163" t="s">
        <v>1584</v>
      </c>
      <c r="H128" s="163" t="s">
        <v>1584</v>
      </c>
      <c r="I128" s="183">
        <v>3.57</v>
      </c>
      <c r="J128" s="192">
        <v>45440.0</v>
      </c>
      <c r="K128" s="185"/>
      <c r="L128" s="185" t="s">
        <v>385</v>
      </c>
      <c r="M128" s="185" t="s">
        <v>448</v>
      </c>
      <c r="N128" s="185" t="s">
        <v>482</v>
      </c>
      <c r="O128" s="185" t="s">
        <v>1593</v>
      </c>
      <c r="P128" s="185"/>
      <c r="Q128" s="185"/>
    </row>
    <row r="129">
      <c r="A129" s="67"/>
      <c r="B129" s="164" t="s">
        <v>904</v>
      </c>
      <c r="C129" s="172" t="s">
        <v>297</v>
      </c>
      <c r="D129" s="172" t="s">
        <v>1594</v>
      </c>
      <c r="E129" s="172" t="s">
        <v>1359</v>
      </c>
      <c r="F129" s="172" t="s">
        <v>1595</v>
      </c>
      <c r="G129" s="163" t="s">
        <v>1596</v>
      </c>
      <c r="H129" s="163" t="s">
        <v>1596</v>
      </c>
      <c r="I129" s="189">
        <v>3.71</v>
      </c>
      <c r="J129" s="193">
        <v>45447.0</v>
      </c>
      <c r="K129" s="191"/>
      <c r="L129" s="191" t="s">
        <v>461</v>
      </c>
      <c r="M129" s="191" t="s">
        <v>462</v>
      </c>
      <c r="N129" s="191" t="s">
        <v>463</v>
      </c>
      <c r="O129" s="191" t="s">
        <v>1599</v>
      </c>
      <c r="P129" s="191"/>
      <c r="Q129" s="191"/>
    </row>
    <row r="130">
      <c r="A130" s="67"/>
      <c r="B130" s="243" t="s">
        <v>904</v>
      </c>
      <c r="C130" s="245" t="s">
        <v>298</v>
      </c>
      <c r="D130" s="245" t="s">
        <v>1287</v>
      </c>
      <c r="E130" s="245" t="s">
        <v>1600</v>
      </c>
      <c r="F130" s="245" t="s">
        <v>1289</v>
      </c>
      <c r="G130" s="163" t="s">
        <v>1601</v>
      </c>
      <c r="H130" s="163" t="s">
        <v>1601</v>
      </c>
      <c r="I130" s="183">
        <v>3.71</v>
      </c>
      <c r="J130" s="192">
        <v>45454.0</v>
      </c>
      <c r="K130" s="185"/>
      <c r="L130" s="185" t="s">
        <v>192</v>
      </c>
      <c r="M130" s="185" t="s">
        <v>195</v>
      </c>
      <c r="N130" s="185" t="s">
        <v>362</v>
      </c>
      <c r="O130" s="185" t="s">
        <v>1605</v>
      </c>
      <c r="P130" s="185"/>
      <c r="Q130" s="185"/>
    </row>
    <row r="131">
      <c r="A131" s="67"/>
      <c r="B131" s="164" t="s">
        <v>904</v>
      </c>
      <c r="C131" s="172" t="s">
        <v>299</v>
      </c>
      <c r="D131" s="172" t="s">
        <v>1607</v>
      </c>
      <c r="E131" s="172" t="s">
        <v>1608</v>
      </c>
      <c r="F131" s="172" t="s">
        <v>1609</v>
      </c>
      <c r="G131" s="163" t="s">
        <v>1610</v>
      </c>
      <c r="H131" s="254" t="s">
        <v>1610</v>
      </c>
      <c r="I131" s="189">
        <v>2.0</v>
      </c>
      <c r="J131" s="193">
        <v>45461.0</v>
      </c>
      <c r="K131" s="191"/>
      <c r="L131" s="191" t="s">
        <v>385</v>
      </c>
      <c r="M131" s="191" t="s">
        <v>386</v>
      </c>
      <c r="N131" s="191" t="s">
        <v>730</v>
      </c>
      <c r="O131" s="191" t="s">
        <v>1620</v>
      </c>
      <c r="P131" s="191"/>
      <c r="Q131" s="191"/>
    </row>
    <row r="132">
      <c r="A132" s="67"/>
      <c r="B132" s="243" t="s">
        <v>904</v>
      </c>
      <c r="C132" s="245" t="s">
        <v>300</v>
      </c>
      <c r="D132" s="245" t="s">
        <v>1621</v>
      </c>
      <c r="E132" s="245" t="s">
        <v>1325</v>
      </c>
      <c r="F132" s="245" t="s">
        <v>1622</v>
      </c>
      <c r="G132" s="163" t="s">
        <v>1623</v>
      </c>
      <c r="H132" s="163" t="s">
        <v>1623</v>
      </c>
      <c r="I132" s="183">
        <v>3.0</v>
      </c>
      <c r="J132" s="192">
        <v>45468.0</v>
      </c>
      <c r="K132" s="185"/>
      <c r="L132" s="185" t="s">
        <v>192</v>
      </c>
      <c r="M132" s="185" t="s">
        <v>195</v>
      </c>
      <c r="N132" s="185" t="s">
        <v>362</v>
      </c>
      <c r="O132" s="185" t="s">
        <v>1627</v>
      </c>
      <c r="P132" s="185"/>
      <c r="Q132" s="185"/>
    </row>
    <row r="133">
      <c r="A133" s="67"/>
      <c r="B133" s="164" t="s">
        <v>904</v>
      </c>
      <c r="C133" s="172" t="s">
        <v>302</v>
      </c>
      <c r="D133" s="172" t="s">
        <v>1628</v>
      </c>
      <c r="E133" s="172" t="s">
        <v>317</v>
      </c>
      <c r="F133" s="172" t="s">
        <v>1629</v>
      </c>
      <c r="G133" s="163" t="s">
        <v>1630</v>
      </c>
      <c r="H133" s="163" t="s">
        <v>1630</v>
      </c>
      <c r="I133" s="189">
        <v>3.71</v>
      </c>
      <c r="J133" s="193">
        <v>45475.0</v>
      </c>
      <c r="K133" s="191"/>
      <c r="L133" s="191" t="s">
        <v>192</v>
      </c>
      <c r="M133" s="191" t="s">
        <v>276</v>
      </c>
      <c r="N133" s="191" t="s">
        <v>284</v>
      </c>
      <c r="O133" s="191" t="s">
        <v>1638</v>
      </c>
      <c r="P133" s="191"/>
      <c r="Q133" s="191"/>
    </row>
    <row r="134">
      <c r="A134" s="67"/>
      <c r="B134" s="243" t="s">
        <v>904</v>
      </c>
      <c r="C134" s="245" t="s">
        <v>303</v>
      </c>
      <c r="D134" s="245" t="s">
        <v>1639</v>
      </c>
      <c r="E134" s="245" t="s">
        <v>1351</v>
      </c>
      <c r="F134" s="245" t="s">
        <v>1640</v>
      </c>
      <c r="G134" s="163" t="s">
        <v>1641</v>
      </c>
      <c r="H134" s="163" t="s">
        <v>1641</v>
      </c>
      <c r="I134" s="183">
        <v>2.0</v>
      </c>
      <c r="J134" s="192">
        <v>45482.0</v>
      </c>
      <c r="K134" s="185"/>
      <c r="L134" s="185" t="s">
        <v>385</v>
      </c>
      <c r="M134" s="185" t="s">
        <v>448</v>
      </c>
      <c r="N134" s="185" t="s">
        <v>449</v>
      </c>
      <c r="O134" s="185" t="s">
        <v>1644</v>
      </c>
      <c r="P134" s="185"/>
      <c r="Q134" s="185"/>
    </row>
    <row r="135">
      <c r="A135" s="67"/>
      <c r="B135" s="164" t="s">
        <v>904</v>
      </c>
      <c r="C135" s="172" t="s">
        <v>304</v>
      </c>
      <c r="D135" s="172" t="s">
        <v>1647</v>
      </c>
      <c r="E135" s="172" t="s">
        <v>1648</v>
      </c>
      <c r="F135" s="172" t="s">
        <v>1649</v>
      </c>
      <c r="G135" s="163" t="s">
        <v>1651</v>
      </c>
      <c r="H135" s="163" t="s">
        <v>1651</v>
      </c>
      <c r="I135" s="199">
        <v>3.0</v>
      </c>
      <c r="J135" s="193">
        <v>45489.0</v>
      </c>
      <c r="K135" s="191"/>
      <c r="L135" s="191" t="s">
        <v>224</v>
      </c>
      <c r="M135" s="191" t="s">
        <v>440</v>
      </c>
      <c r="N135" s="191" t="s">
        <v>1096</v>
      </c>
      <c r="O135" s="191" t="s">
        <v>1653</v>
      </c>
      <c r="P135" s="191"/>
      <c r="Q135" s="191"/>
    </row>
    <row r="136">
      <c r="A136" s="67"/>
      <c r="B136" s="256" t="s">
        <v>904</v>
      </c>
      <c r="C136" s="257" t="s">
        <v>305</v>
      </c>
      <c r="D136" s="257" t="s">
        <v>1657</v>
      </c>
      <c r="E136" s="257" t="s">
        <v>1351</v>
      </c>
      <c r="F136" s="257" t="s">
        <v>1658</v>
      </c>
      <c r="G136" s="163" t="s">
        <v>1659</v>
      </c>
      <c r="H136" s="163" t="s">
        <v>1659</v>
      </c>
      <c r="I136" s="183">
        <v>3.0</v>
      </c>
      <c r="J136" s="192">
        <v>45496.0</v>
      </c>
      <c r="K136" s="211" t="s">
        <v>1665</v>
      </c>
      <c r="L136" s="185" t="s">
        <v>192</v>
      </c>
      <c r="M136" s="185" t="s">
        <v>276</v>
      </c>
      <c r="N136" s="185" t="s">
        <v>1667</v>
      </c>
      <c r="O136" s="185" t="s">
        <v>1668</v>
      </c>
      <c r="P136" s="185"/>
      <c r="Q136" s="185"/>
    </row>
    <row r="137">
      <c r="A137" s="67"/>
      <c r="B137" s="164" t="s">
        <v>904</v>
      </c>
      <c r="C137" s="172" t="s">
        <v>306</v>
      </c>
      <c r="D137" s="172" t="s">
        <v>1669</v>
      </c>
      <c r="E137" s="172" t="s">
        <v>213</v>
      </c>
      <c r="F137" s="172" t="s">
        <v>1670</v>
      </c>
      <c r="G137" s="163" t="s">
        <v>1671</v>
      </c>
      <c r="H137" s="163" t="s">
        <v>1671</v>
      </c>
      <c r="I137" s="189">
        <v>2.0</v>
      </c>
      <c r="J137" s="193">
        <v>45503.0</v>
      </c>
      <c r="K137" s="191"/>
      <c r="L137" s="191" t="s">
        <v>385</v>
      </c>
      <c r="M137" s="191" t="s">
        <v>448</v>
      </c>
      <c r="N137" s="191" t="s">
        <v>482</v>
      </c>
      <c r="O137" s="191" t="s">
        <v>1672</v>
      </c>
      <c r="P137" s="191"/>
      <c r="Q137" s="191"/>
    </row>
    <row r="138">
      <c r="A138" s="67"/>
      <c r="B138" s="243" t="s">
        <v>904</v>
      </c>
      <c r="C138" s="245" t="s">
        <v>307</v>
      </c>
      <c r="D138" s="245" t="s">
        <v>1674</v>
      </c>
      <c r="E138" s="245" t="s">
        <v>1675</v>
      </c>
      <c r="F138" s="245" t="s">
        <v>1225</v>
      </c>
      <c r="G138" s="163" t="s">
        <v>1677</v>
      </c>
      <c r="H138" s="163" t="s">
        <v>1677</v>
      </c>
      <c r="I138" s="183">
        <v>2.0</v>
      </c>
      <c r="J138" s="192">
        <v>45510.0</v>
      </c>
      <c r="K138" s="185"/>
      <c r="L138" s="185" t="s">
        <v>192</v>
      </c>
      <c r="M138" s="185" t="s">
        <v>195</v>
      </c>
      <c r="N138" s="185" t="s">
        <v>208</v>
      </c>
      <c r="O138" s="185" t="s">
        <v>1684</v>
      </c>
      <c r="P138" s="185"/>
      <c r="Q138" s="185"/>
    </row>
    <row r="139">
      <c r="A139" s="67"/>
      <c r="B139" s="164" t="s">
        <v>904</v>
      </c>
      <c r="C139" s="172" t="s">
        <v>309</v>
      </c>
      <c r="D139" s="172" t="s">
        <v>1685</v>
      </c>
      <c r="E139" s="172" t="s">
        <v>1686</v>
      </c>
      <c r="F139" s="172" t="s">
        <v>1687</v>
      </c>
      <c r="G139" s="163" t="s">
        <v>1688</v>
      </c>
      <c r="H139" s="163" t="s">
        <v>1688</v>
      </c>
      <c r="I139" s="189">
        <v>3.57</v>
      </c>
      <c r="J139" s="193">
        <v>45517.0</v>
      </c>
      <c r="K139" s="191"/>
      <c r="L139" s="191" t="s">
        <v>385</v>
      </c>
      <c r="M139" s="191" t="s">
        <v>386</v>
      </c>
      <c r="N139" s="191" t="s">
        <v>549</v>
      </c>
      <c r="O139" s="191" t="s">
        <v>1696</v>
      </c>
      <c r="P139" s="191"/>
      <c r="Q139" s="191"/>
    </row>
    <row r="140">
      <c r="A140" s="67"/>
      <c r="B140" s="243" t="s">
        <v>904</v>
      </c>
      <c r="C140" s="245" t="s">
        <v>311</v>
      </c>
      <c r="D140" s="245" t="s">
        <v>1700</v>
      </c>
      <c r="E140" s="245" t="s">
        <v>317</v>
      </c>
      <c r="F140" s="245" t="s">
        <v>1701</v>
      </c>
      <c r="G140" s="163" t="s">
        <v>1702</v>
      </c>
      <c r="H140" s="163" t="s">
        <v>1702</v>
      </c>
      <c r="I140" s="183">
        <v>3.71</v>
      </c>
      <c r="J140" s="192">
        <v>45524.0</v>
      </c>
      <c r="K140" s="185"/>
      <c r="L140" s="185" t="s">
        <v>192</v>
      </c>
      <c r="M140" s="185" t="s">
        <v>195</v>
      </c>
      <c r="N140" s="185" t="s">
        <v>1300</v>
      </c>
      <c r="O140" s="185" t="s">
        <v>1703</v>
      </c>
      <c r="P140" s="185"/>
      <c r="Q140" s="185"/>
    </row>
    <row r="141">
      <c r="A141" s="67"/>
      <c r="B141" s="213" t="s">
        <v>904</v>
      </c>
      <c r="C141" s="172" t="s">
        <v>316</v>
      </c>
      <c r="D141" s="172" t="s">
        <v>1704</v>
      </c>
      <c r="E141" s="172" t="s">
        <v>1705</v>
      </c>
      <c r="F141" s="172" t="s">
        <v>1707</v>
      </c>
      <c r="G141" s="163" t="s">
        <v>1708</v>
      </c>
      <c r="H141" s="163" t="s">
        <v>1708</v>
      </c>
      <c r="I141" s="189">
        <v>4.29</v>
      </c>
      <c r="J141" s="193">
        <v>45531.0</v>
      </c>
      <c r="K141" s="191"/>
      <c r="L141" s="191" t="s">
        <v>461</v>
      </c>
      <c r="M141" s="191" t="s">
        <v>462</v>
      </c>
      <c r="N141" s="191" t="s">
        <v>880</v>
      </c>
      <c r="O141" s="191" t="s">
        <v>1715</v>
      </c>
      <c r="P141" s="191"/>
      <c r="Q141" s="191"/>
    </row>
    <row r="142">
      <c r="A142" s="67"/>
      <c r="B142" s="222" t="s">
        <v>904</v>
      </c>
      <c r="C142" s="245" t="s">
        <v>101</v>
      </c>
      <c r="D142" s="245" t="s">
        <v>1717</v>
      </c>
      <c r="E142" s="245" t="s">
        <v>1718</v>
      </c>
      <c r="F142" s="245" t="s">
        <v>447</v>
      </c>
      <c r="G142" s="163" t="s">
        <v>1719</v>
      </c>
      <c r="H142" s="163" t="s">
        <v>1719</v>
      </c>
      <c r="I142" s="199">
        <v>3.0</v>
      </c>
      <c r="J142" s="193">
        <v>45538.0</v>
      </c>
      <c r="K142" s="198" t="s">
        <v>1724</v>
      </c>
      <c r="L142" s="191" t="s">
        <v>224</v>
      </c>
      <c r="M142" s="191" t="s">
        <v>226</v>
      </c>
      <c r="N142" s="191" t="s">
        <v>238</v>
      </c>
      <c r="O142" s="191"/>
      <c r="P142" s="191"/>
      <c r="Q142" s="191"/>
    </row>
    <row r="143">
      <c r="A143" s="67"/>
      <c r="B143" s="213" t="s">
        <v>904</v>
      </c>
      <c r="C143" s="172" t="s">
        <v>322</v>
      </c>
      <c r="D143" s="172" t="s">
        <v>1726</v>
      </c>
      <c r="E143" s="172" t="s">
        <v>1727</v>
      </c>
      <c r="F143" s="172" t="s">
        <v>1583</v>
      </c>
      <c r="G143" s="163" t="s">
        <v>1728</v>
      </c>
      <c r="H143" s="163" t="s">
        <v>1728</v>
      </c>
      <c r="I143" s="183">
        <v>2.0</v>
      </c>
      <c r="J143" s="192">
        <v>45545.0</v>
      </c>
      <c r="K143" s="185"/>
      <c r="L143" s="185" t="s">
        <v>385</v>
      </c>
      <c r="M143" s="185" t="s">
        <v>448</v>
      </c>
      <c r="N143" s="185" t="s">
        <v>1372</v>
      </c>
      <c r="O143" s="185" t="s">
        <v>1736</v>
      </c>
      <c r="P143" s="185"/>
      <c r="Q143" s="185"/>
    </row>
    <row r="144">
      <c r="A144" s="67"/>
      <c r="B144" s="222" t="s">
        <v>904</v>
      </c>
      <c r="C144" s="162" t="s">
        <v>323</v>
      </c>
      <c r="D144" s="162" t="s">
        <v>1737</v>
      </c>
      <c r="E144" s="162" t="s">
        <v>317</v>
      </c>
      <c r="F144" s="162" t="s">
        <v>1739</v>
      </c>
      <c r="G144" s="163" t="s">
        <v>1741</v>
      </c>
      <c r="H144" s="163" t="s">
        <v>1741</v>
      </c>
      <c r="I144" s="189">
        <v>2.0</v>
      </c>
      <c r="J144" s="193">
        <v>45552.0</v>
      </c>
      <c r="K144" s="191"/>
      <c r="L144" s="191" t="s">
        <v>192</v>
      </c>
      <c r="M144" s="191" t="s">
        <v>195</v>
      </c>
      <c r="N144" s="191" t="s">
        <v>208</v>
      </c>
      <c r="O144" s="191" t="s">
        <v>1745</v>
      </c>
      <c r="P144" s="191"/>
      <c r="Q144" s="191"/>
    </row>
    <row r="145">
      <c r="A145" s="67"/>
      <c r="B145" s="213" t="s">
        <v>904</v>
      </c>
      <c r="C145" s="165" t="s">
        <v>325</v>
      </c>
      <c r="D145" s="165" t="s">
        <v>1747</v>
      </c>
      <c r="E145" s="165" t="s">
        <v>1749</v>
      </c>
      <c r="F145" s="165" t="s">
        <v>1750</v>
      </c>
      <c r="G145" s="163" t="s">
        <v>1751</v>
      </c>
      <c r="H145" s="163" t="s">
        <v>1751</v>
      </c>
      <c r="I145" s="183">
        <v>3.36</v>
      </c>
      <c r="J145" s="192">
        <v>45559.0</v>
      </c>
      <c r="K145" s="185"/>
      <c r="L145" s="185" t="s">
        <v>461</v>
      </c>
      <c r="M145" s="185" t="s">
        <v>462</v>
      </c>
      <c r="N145" s="185" t="s">
        <v>886</v>
      </c>
      <c r="O145" s="185" t="s">
        <v>1761</v>
      </c>
      <c r="P145" s="185"/>
      <c r="Q145" s="185"/>
    </row>
    <row r="146">
      <c r="A146" s="67"/>
      <c r="B146" s="222" t="s">
        <v>904</v>
      </c>
      <c r="C146" s="162" t="s">
        <v>327</v>
      </c>
      <c r="D146" s="162" t="s">
        <v>1762</v>
      </c>
      <c r="E146" s="162" t="s">
        <v>582</v>
      </c>
      <c r="F146" s="162" t="s">
        <v>1763</v>
      </c>
      <c r="G146" s="163" t="s">
        <v>1764</v>
      </c>
      <c r="H146" s="163" t="s">
        <v>1764</v>
      </c>
      <c r="I146" s="189">
        <v>4.29</v>
      </c>
      <c r="J146" s="193">
        <v>45566.0</v>
      </c>
      <c r="K146" s="191"/>
      <c r="L146" s="191" t="s">
        <v>385</v>
      </c>
      <c r="M146" s="191" t="s">
        <v>386</v>
      </c>
      <c r="N146" s="191" t="s">
        <v>730</v>
      </c>
      <c r="O146" s="191" t="s">
        <v>1770</v>
      </c>
      <c r="P146" s="191"/>
      <c r="Q146" s="191"/>
    </row>
    <row r="147">
      <c r="A147" s="67"/>
      <c r="B147" s="213" t="s">
        <v>904</v>
      </c>
      <c r="C147" s="165" t="s">
        <v>328</v>
      </c>
      <c r="D147" s="165" t="s">
        <v>1771</v>
      </c>
      <c r="E147" s="165" t="s">
        <v>1772</v>
      </c>
      <c r="F147" s="165" t="s">
        <v>447</v>
      </c>
      <c r="G147" s="163" t="s">
        <v>1773</v>
      </c>
      <c r="H147" s="163" t="s">
        <v>1773</v>
      </c>
      <c r="I147" s="183">
        <v>3.71</v>
      </c>
      <c r="J147" s="192">
        <v>45573.0</v>
      </c>
      <c r="K147" s="185"/>
      <c r="L147" s="185" t="s">
        <v>192</v>
      </c>
      <c r="M147" s="185" t="s">
        <v>195</v>
      </c>
      <c r="N147" s="185" t="s">
        <v>257</v>
      </c>
      <c r="O147" s="185" t="s">
        <v>1775</v>
      </c>
      <c r="P147" s="185"/>
      <c r="Q147" s="185"/>
    </row>
    <row r="148">
      <c r="A148" s="67"/>
      <c r="B148" s="222" t="s">
        <v>904</v>
      </c>
      <c r="C148" s="162" t="s">
        <v>329</v>
      </c>
      <c r="D148" s="162" t="s">
        <v>1776</v>
      </c>
      <c r="E148" s="162" t="s">
        <v>410</v>
      </c>
      <c r="F148" s="162" t="s">
        <v>1777</v>
      </c>
      <c r="G148" s="163" t="s">
        <v>1778</v>
      </c>
      <c r="H148" s="163" t="s">
        <v>1778</v>
      </c>
      <c r="I148" s="189">
        <v>3.71</v>
      </c>
      <c r="J148" s="190">
        <v>45580.0</v>
      </c>
      <c r="K148" s="191"/>
      <c r="L148" s="191" t="s">
        <v>192</v>
      </c>
      <c r="M148" s="191" t="s">
        <v>195</v>
      </c>
      <c r="N148" s="191" t="s">
        <v>362</v>
      </c>
      <c r="O148" s="191" t="s">
        <v>1787</v>
      </c>
      <c r="P148" s="191"/>
      <c r="Q148" s="191"/>
    </row>
    <row r="149">
      <c r="A149" s="67"/>
      <c r="B149" s="213" t="s">
        <v>904</v>
      </c>
      <c r="C149" s="165" t="s">
        <v>1788</v>
      </c>
      <c r="D149" s="165" t="s">
        <v>1789</v>
      </c>
      <c r="E149" s="165" t="s">
        <v>1790</v>
      </c>
      <c r="F149" s="165" t="s">
        <v>1314</v>
      </c>
      <c r="G149" s="163" t="s">
        <v>1791</v>
      </c>
      <c r="H149" s="163" t="s">
        <v>1791</v>
      </c>
      <c r="I149" s="183">
        <v>4.29</v>
      </c>
      <c r="J149" s="184">
        <v>45587.0</v>
      </c>
      <c r="K149" s="185"/>
      <c r="L149" s="185" t="s">
        <v>192</v>
      </c>
      <c r="M149" s="185" t="s">
        <v>195</v>
      </c>
      <c r="N149" s="185" t="s">
        <v>257</v>
      </c>
      <c r="O149" s="185" t="s">
        <v>1797</v>
      </c>
      <c r="P149" s="185"/>
      <c r="Q149" s="185"/>
    </row>
    <row r="150">
      <c r="A150" s="67"/>
      <c r="B150" s="222" t="s">
        <v>904</v>
      </c>
      <c r="C150" s="162" t="s">
        <v>1800</v>
      </c>
      <c r="D150" s="162" t="s">
        <v>1801</v>
      </c>
      <c r="E150" s="162" t="s">
        <v>1039</v>
      </c>
      <c r="F150" s="162" t="s">
        <v>1802</v>
      </c>
      <c r="G150" s="124" t="s">
        <v>1803</v>
      </c>
      <c r="H150" s="163" t="s">
        <v>1803</v>
      </c>
      <c r="I150" s="189">
        <v>4.14</v>
      </c>
      <c r="J150" s="190">
        <v>45594.0</v>
      </c>
      <c r="K150" s="191"/>
      <c r="L150" s="191" t="s">
        <v>224</v>
      </c>
      <c r="M150" s="191" t="s">
        <v>226</v>
      </c>
      <c r="N150" s="191" t="s">
        <v>238</v>
      </c>
      <c r="O150" s="191" t="s">
        <v>1810</v>
      </c>
      <c r="P150" s="191"/>
      <c r="Q150" s="191"/>
    </row>
    <row r="151">
      <c r="A151" s="67"/>
      <c r="B151" s="213" t="s">
        <v>904</v>
      </c>
      <c r="C151" s="165" t="s">
        <v>1811</v>
      </c>
      <c r="D151" s="165" t="s">
        <v>620</v>
      </c>
      <c r="E151" s="165" t="s">
        <v>1812</v>
      </c>
      <c r="F151" s="165" t="s">
        <v>622</v>
      </c>
      <c r="G151" s="163" t="s">
        <v>1813</v>
      </c>
      <c r="H151" s="163" t="s">
        <v>1813</v>
      </c>
      <c r="I151" s="183">
        <v>4.29</v>
      </c>
      <c r="J151" s="192">
        <v>45601.0</v>
      </c>
      <c r="K151" s="211" t="s">
        <v>624</v>
      </c>
      <c r="L151" s="185" t="s">
        <v>192</v>
      </c>
      <c r="M151" s="185" t="s">
        <v>195</v>
      </c>
      <c r="N151" s="185" t="s">
        <v>257</v>
      </c>
      <c r="O151" s="185" t="s">
        <v>1821</v>
      </c>
      <c r="P151" s="185"/>
      <c r="Q151" s="185"/>
    </row>
    <row r="152">
      <c r="A152" s="67"/>
      <c r="B152" s="213" t="s">
        <v>904</v>
      </c>
      <c r="C152" s="162" t="s">
        <v>1823</v>
      </c>
      <c r="D152" s="162" t="s">
        <v>1824</v>
      </c>
      <c r="E152" s="162" t="s">
        <v>1825</v>
      </c>
      <c r="F152" s="162" t="s">
        <v>1826</v>
      </c>
      <c r="G152" s="163" t="s">
        <v>1827</v>
      </c>
      <c r="H152" s="163" t="s">
        <v>1827</v>
      </c>
      <c r="I152" s="189">
        <v>4.14</v>
      </c>
      <c r="J152" s="190">
        <v>45608.0</v>
      </c>
      <c r="K152" s="191"/>
      <c r="L152" s="191" t="s">
        <v>461</v>
      </c>
      <c r="M152" s="191" t="s">
        <v>462</v>
      </c>
      <c r="N152" s="191" t="s">
        <v>1831</v>
      </c>
      <c r="O152" s="191" t="s">
        <v>1832</v>
      </c>
      <c r="P152" s="191"/>
      <c r="Q152" s="191"/>
    </row>
    <row r="153">
      <c r="A153" s="67"/>
      <c r="B153" s="222" t="s">
        <v>904</v>
      </c>
      <c r="C153" s="165" t="s">
        <v>1833</v>
      </c>
      <c r="D153" s="165" t="s">
        <v>1834</v>
      </c>
      <c r="E153" s="165" t="s">
        <v>1039</v>
      </c>
      <c r="F153" s="165" t="s">
        <v>1835</v>
      </c>
      <c r="G153" s="163" t="s">
        <v>1836</v>
      </c>
      <c r="H153" s="163" t="s">
        <v>1836</v>
      </c>
      <c r="I153" s="183">
        <v>3.71</v>
      </c>
      <c r="J153" s="184">
        <v>45615.0</v>
      </c>
      <c r="K153" s="185"/>
      <c r="L153" s="185" t="s">
        <v>385</v>
      </c>
      <c r="M153" s="185" t="s">
        <v>448</v>
      </c>
      <c r="N153" s="185" t="s">
        <v>449</v>
      </c>
      <c r="O153" s="185" t="s">
        <v>1842</v>
      </c>
      <c r="P153" s="185"/>
      <c r="Q153" s="185"/>
    </row>
    <row r="154">
      <c r="A154" s="67"/>
      <c r="B154" s="213" t="s">
        <v>904</v>
      </c>
      <c r="C154" s="162" t="s">
        <v>1843</v>
      </c>
      <c r="D154" s="162" t="s">
        <v>1794</v>
      </c>
      <c r="E154" s="162" t="s">
        <v>1155</v>
      </c>
      <c r="F154" s="162" t="s">
        <v>1844</v>
      </c>
      <c r="G154" s="163" t="s">
        <v>1845</v>
      </c>
      <c r="H154" s="163" t="s">
        <v>1845</v>
      </c>
      <c r="I154" s="199">
        <v>4.29</v>
      </c>
      <c r="J154" s="190">
        <v>45622.0</v>
      </c>
      <c r="K154" s="198" t="s">
        <v>1796</v>
      </c>
      <c r="L154" s="191" t="s">
        <v>385</v>
      </c>
      <c r="M154" s="191" t="s">
        <v>448</v>
      </c>
      <c r="N154" s="191" t="s">
        <v>482</v>
      </c>
      <c r="O154" s="191" t="s">
        <v>1848</v>
      </c>
      <c r="P154" s="191"/>
      <c r="Q154" s="191"/>
    </row>
    <row r="155">
      <c r="A155" s="67"/>
      <c r="B155" s="222" t="s">
        <v>904</v>
      </c>
      <c r="C155" s="165" t="s">
        <v>1849</v>
      </c>
      <c r="D155" s="165" t="s">
        <v>1850</v>
      </c>
      <c r="E155" s="165" t="s">
        <v>1851</v>
      </c>
      <c r="F155" s="165" t="s">
        <v>1852</v>
      </c>
      <c r="G155" s="163" t="s">
        <v>1853</v>
      </c>
      <c r="H155" s="163" t="s">
        <v>1853</v>
      </c>
      <c r="I155" s="183">
        <v>1.0</v>
      </c>
      <c r="J155" s="192">
        <v>45629.0</v>
      </c>
      <c r="K155" s="185"/>
      <c r="L155" s="185" t="s">
        <v>461</v>
      </c>
      <c r="M155" s="185" t="s">
        <v>462</v>
      </c>
      <c r="N155" s="185" t="s">
        <v>886</v>
      </c>
      <c r="O155" s="185" t="s">
        <v>1861</v>
      </c>
      <c r="P155" s="185"/>
      <c r="Q155" s="185"/>
    </row>
    <row r="156">
      <c r="A156" s="67"/>
      <c r="B156" s="213" t="s">
        <v>904</v>
      </c>
      <c r="C156" s="162" t="s">
        <v>1862</v>
      </c>
      <c r="D156" s="162" t="s">
        <v>1863</v>
      </c>
      <c r="E156" s="162" t="s">
        <v>1864</v>
      </c>
      <c r="F156" s="162" t="s">
        <v>1866</v>
      </c>
      <c r="G156" s="163" t="s">
        <v>1867</v>
      </c>
      <c r="H156" s="163" t="s">
        <v>1867</v>
      </c>
      <c r="I156" s="189">
        <v>3.57</v>
      </c>
      <c r="J156" s="190">
        <v>45636.0</v>
      </c>
      <c r="K156" s="198" t="s">
        <v>1874</v>
      </c>
      <c r="L156" s="191" t="s">
        <v>192</v>
      </c>
      <c r="M156" s="191" t="s">
        <v>195</v>
      </c>
      <c r="N156" s="191" t="s">
        <v>208</v>
      </c>
      <c r="O156" s="191" t="s">
        <v>1880</v>
      </c>
      <c r="P156" s="191"/>
      <c r="Q156" s="191"/>
    </row>
    <row r="157">
      <c r="A157" s="67"/>
      <c r="B157" s="213" t="s">
        <v>904</v>
      </c>
      <c r="C157" s="165" t="s">
        <v>1884</v>
      </c>
      <c r="D157" s="165" t="s">
        <v>1476</v>
      </c>
      <c r="E157" s="165" t="s">
        <v>317</v>
      </c>
      <c r="F157" s="165" t="s">
        <v>1478</v>
      </c>
      <c r="G157" s="163" t="s">
        <v>1885</v>
      </c>
      <c r="H157" s="163" t="s">
        <v>1885</v>
      </c>
      <c r="I157" s="183">
        <v>3.57</v>
      </c>
      <c r="J157" s="184">
        <v>45643.0</v>
      </c>
      <c r="K157" s="211" t="s">
        <v>1486</v>
      </c>
      <c r="L157" s="185" t="s">
        <v>192</v>
      </c>
      <c r="M157" s="185" t="s">
        <v>276</v>
      </c>
      <c r="N157" s="185" t="s">
        <v>1667</v>
      </c>
      <c r="O157" s="185" t="s">
        <v>1891</v>
      </c>
      <c r="P157" s="185"/>
      <c r="Q157" s="185"/>
    </row>
    <row r="158">
      <c r="A158" s="67"/>
      <c r="B158" s="222" t="s">
        <v>904</v>
      </c>
      <c r="C158" s="162" t="s">
        <v>117</v>
      </c>
      <c r="D158" s="162" t="s">
        <v>212</v>
      </c>
      <c r="E158" s="162" t="s">
        <v>213</v>
      </c>
      <c r="F158" s="162" t="s">
        <v>215</v>
      </c>
      <c r="G158" s="163" t="s">
        <v>1895</v>
      </c>
      <c r="H158" s="163" t="s">
        <v>1895</v>
      </c>
      <c r="I158" s="189">
        <v>2.0</v>
      </c>
      <c r="J158" s="190">
        <v>45650.0</v>
      </c>
      <c r="K158" s="198" t="s">
        <v>216</v>
      </c>
      <c r="L158" s="191" t="s">
        <v>385</v>
      </c>
      <c r="M158" s="191" t="s">
        <v>448</v>
      </c>
      <c r="N158" s="191" t="s">
        <v>449</v>
      </c>
      <c r="O158" s="191" t="s">
        <v>1900</v>
      </c>
      <c r="P158" s="191"/>
      <c r="Q158" s="191"/>
    </row>
    <row r="159">
      <c r="A159" s="67"/>
      <c r="B159" s="213" t="s">
        <v>904</v>
      </c>
      <c r="C159" s="165" t="s">
        <v>1901</v>
      </c>
      <c r="D159" s="165" t="s">
        <v>1902</v>
      </c>
      <c r="E159" s="165" t="s">
        <v>1903</v>
      </c>
      <c r="F159" s="165" t="s">
        <v>1905</v>
      </c>
      <c r="G159" s="163" t="s">
        <v>1907</v>
      </c>
      <c r="H159" s="163" t="s">
        <v>1907</v>
      </c>
      <c r="I159" s="183">
        <v>4.29</v>
      </c>
      <c r="J159" s="184">
        <v>45657.0</v>
      </c>
      <c r="K159" s="211" t="s">
        <v>1911</v>
      </c>
      <c r="L159" s="185" t="s">
        <v>192</v>
      </c>
      <c r="M159" s="185" t="s">
        <v>195</v>
      </c>
      <c r="N159" s="185" t="s">
        <v>362</v>
      </c>
      <c r="O159" s="185" t="s">
        <v>1914</v>
      </c>
      <c r="P159" s="185"/>
      <c r="Q159" s="185"/>
    </row>
    <row r="160">
      <c r="A160" s="67"/>
      <c r="B160" s="222" t="s">
        <v>904</v>
      </c>
      <c r="C160" s="162" t="s">
        <v>1915</v>
      </c>
      <c r="D160" s="162" t="s">
        <v>1916</v>
      </c>
      <c r="E160" s="162" t="s">
        <v>1378</v>
      </c>
      <c r="F160" s="162" t="s">
        <v>1917</v>
      </c>
      <c r="G160" s="163" t="s">
        <v>1918</v>
      </c>
      <c r="H160" s="163" t="s">
        <v>1918</v>
      </c>
      <c r="I160" s="189">
        <v>4.14</v>
      </c>
      <c r="J160" s="193">
        <v>45664.0</v>
      </c>
      <c r="K160" s="191"/>
      <c r="L160" s="191" t="s">
        <v>192</v>
      </c>
      <c r="M160" s="191" t="s">
        <v>276</v>
      </c>
      <c r="N160" s="191" t="s">
        <v>284</v>
      </c>
      <c r="O160" s="191" t="s">
        <v>1923</v>
      </c>
      <c r="P160" s="191"/>
      <c r="Q160" s="191"/>
    </row>
    <row r="161">
      <c r="A161" s="67"/>
      <c r="B161" s="213" t="s">
        <v>904</v>
      </c>
      <c r="C161" s="165" t="s">
        <v>1926</v>
      </c>
      <c r="D161" s="165" t="s">
        <v>1927</v>
      </c>
      <c r="E161" s="165" t="s">
        <v>559</v>
      </c>
      <c r="F161" s="165" t="s">
        <v>1929</v>
      </c>
      <c r="G161" s="163" t="s">
        <v>1931</v>
      </c>
      <c r="H161" s="163" t="s">
        <v>1931</v>
      </c>
      <c r="I161" s="199">
        <v>4.43</v>
      </c>
      <c r="J161" s="193">
        <v>45671.0</v>
      </c>
      <c r="K161" s="191"/>
      <c r="L161" s="191" t="s">
        <v>224</v>
      </c>
      <c r="M161" s="191" t="s">
        <v>324</v>
      </c>
      <c r="N161" s="191" t="s">
        <v>332</v>
      </c>
      <c r="O161" s="191" t="s">
        <v>1940</v>
      </c>
      <c r="P161" s="191"/>
      <c r="Q161" s="191"/>
    </row>
    <row r="162">
      <c r="A162" s="67"/>
      <c r="B162" s="222" t="s">
        <v>904</v>
      </c>
      <c r="C162" s="162" t="s">
        <v>1941</v>
      </c>
      <c r="D162" s="162" t="s">
        <v>1942</v>
      </c>
      <c r="E162" s="162" t="s">
        <v>1943</v>
      </c>
      <c r="F162" s="162" t="s">
        <v>1944</v>
      </c>
      <c r="G162" s="163" t="s">
        <v>1945</v>
      </c>
      <c r="H162" s="163" t="s">
        <v>1945</v>
      </c>
      <c r="I162" s="183">
        <v>3.14</v>
      </c>
      <c r="J162" s="192">
        <v>45678.0</v>
      </c>
      <c r="K162" s="185"/>
      <c r="L162" s="185" t="s">
        <v>192</v>
      </c>
      <c r="M162" s="185" t="s">
        <v>195</v>
      </c>
      <c r="N162" s="185" t="s">
        <v>257</v>
      </c>
      <c r="O162" s="185" t="s">
        <v>1956</v>
      </c>
      <c r="P162" s="185"/>
      <c r="Q162" s="185"/>
    </row>
    <row r="163">
      <c r="A163" s="67"/>
      <c r="B163" s="222" t="s">
        <v>904</v>
      </c>
      <c r="C163" s="165" t="s">
        <v>1958</v>
      </c>
      <c r="D163" s="165" t="s">
        <v>1959</v>
      </c>
      <c r="E163" s="165" t="s">
        <v>1960</v>
      </c>
      <c r="F163" s="165" t="s">
        <v>1962</v>
      </c>
      <c r="G163" s="163" t="s">
        <v>1963</v>
      </c>
      <c r="H163" s="163" t="s">
        <v>1963</v>
      </c>
      <c r="I163" s="189">
        <v>2.0</v>
      </c>
      <c r="J163" s="193">
        <v>45685.0</v>
      </c>
      <c r="K163" s="191"/>
      <c r="L163" s="191" t="s">
        <v>192</v>
      </c>
      <c r="M163" s="191" t="s">
        <v>195</v>
      </c>
      <c r="N163" s="191" t="s">
        <v>257</v>
      </c>
      <c r="O163" s="191" t="s">
        <v>1965</v>
      </c>
      <c r="P163" s="191"/>
      <c r="Q163" s="191"/>
    </row>
    <row r="164">
      <c r="A164" s="67"/>
      <c r="B164" s="213" t="s">
        <v>904</v>
      </c>
      <c r="C164" s="162" t="s">
        <v>1966</v>
      </c>
      <c r="D164" s="162" t="s">
        <v>212</v>
      </c>
      <c r="E164" s="162" t="s">
        <v>213</v>
      </c>
      <c r="F164" s="162" t="s">
        <v>215</v>
      </c>
      <c r="G164" s="163" t="s">
        <v>1967</v>
      </c>
      <c r="H164" s="163" t="s">
        <v>1967</v>
      </c>
      <c r="I164" s="183">
        <v>5.0</v>
      </c>
      <c r="J164" s="192">
        <v>45692.0</v>
      </c>
      <c r="K164" s="211" t="s">
        <v>216</v>
      </c>
      <c r="L164" s="185" t="s">
        <v>192</v>
      </c>
      <c r="M164" s="185" t="s">
        <v>195</v>
      </c>
      <c r="N164" s="185" t="s">
        <v>257</v>
      </c>
      <c r="O164" s="185" t="s">
        <v>1979</v>
      </c>
      <c r="P164" s="185"/>
      <c r="Q164" s="185"/>
    </row>
    <row r="165">
      <c r="A165" s="67"/>
      <c r="B165" s="222" t="s">
        <v>904</v>
      </c>
      <c r="C165" s="165" t="s">
        <v>1980</v>
      </c>
      <c r="D165" s="165" t="s">
        <v>1981</v>
      </c>
      <c r="E165" s="165" t="s">
        <v>436</v>
      </c>
      <c r="F165" s="165" t="s">
        <v>1982</v>
      </c>
      <c r="G165" s="163" t="s">
        <v>1985</v>
      </c>
      <c r="H165" s="163" t="s">
        <v>1985</v>
      </c>
      <c r="I165" s="189">
        <v>3.57</v>
      </c>
      <c r="J165" s="193">
        <v>45699.0</v>
      </c>
      <c r="K165" s="191"/>
      <c r="L165" s="191" t="s">
        <v>385</v>
      </c>
      <c r="M165" s="191" t="s">
        <v>386</v>
      </c>
      <c r="N165" s="191" t="s">
        <v>1050</v>
      </c>
      <c r="O165" s="191" t="s">
        <v>1992</v>
      </c>
      <c r="P165" s="191"/>
      <c r="Q165" s="191"/>
    </row>
    <row r="166">
      <c r="A166" s="67"/>
      <c r="B166" s="213" t="s">
        <v>904</v>
      </c>
      <c r="C166" s="162" t="s">
        <v>1994</v>
      </c>
      <c r="D166" s="162" t="s">
        <v>1995</v>
      </c>
      <c r="E166" s="162" t="s">
        <v>317</v>
      </c>
      <c r="F166" s="162" t="s">
        <v>1996</v>
      </c>
      <c r="G166" s="163" t="s">
        <v>1997</v>
      </c>
      <c r="H166" s="163" t="s">
        <v>1997</v>
      </c>
      <c r="I166" s="183">
        <v>2.0</v>
      </c>
      <c r="J166" s="192">
        <v>45706.0</v>
      </c>
      <c r="K166" s="185"/>
      <c r="L166" s="185" t="s">
        <v>461</v>
      </c>
      <c r="M166" s="185" t="s">
        <v>530</v>
      </c>
      <c r="N166" s="185" t="s">
        <v>531</v>
      </c>
      <c r="O166" s="185" t="s">
        <v>2003</v>
      </c>
      <c r="P166" s="185"/>
      <c r="Q166" s="185"/>
    </row>
    <row r="167">
      <c r="A167" s="67"/>
      <c r="B167" s="222" t="s">
        <v>904</v>
      </c>
      <c r="C167" s="237" t="s">
        <v>2004</v>
      </c>
      <c r="D167" s="165" t="s">
        <v>2006</v>
      </c>
      <c r="E167" s="165" t="s">
        <v>317</v>
      </c>
      <c r="F167" s="165" t="s">
        <v>2007</v>
      </c>
      <c r="G167" s="163" t="s">
        <v>2008</v>
      </c>
      <c r="H167" s="163" t="s">
        <v>2008</v>
      </c>
      <c r="I167" s="189">
        <v>4.43</v>
      </c>
      <c r="J167" s="193">
        <v>45713.0</v>
      </c>
      <c r="K167" s="191"/>
      <c r="L167" s="191" t="s">
        <v>224</v>
      </c>
      <c r="M167" s="191" t="s">
        <v>324</v>
      </c>
      <c r="N167" s="191" t="s">
        <v>332</v>
      </c>
      <c r="O167" s="191" t="s">
        <v>2015</v>
      </c>
      <c r="P167" s="191"/>
      <c r="Q167" s="191"/>
    </row>
    <row r="168">
      <c r="A168" s="67"/>
      <c r="B168" s="213" t="s">
        <v>904</v>
      </c>
      <c r="C168" s="162" t="s">
        <v>2016</v>
      </c>
      <c r="D168" s="162" t="s">
        <v>2017</v>
      </c>
      <c r="E168" s="162" t="s">
        <v>317</v>
      </c>
      <c r="F168" s="162" t="s">
        <v>2018</v>
      </c>
      <c r="G168" s="163" t="s">
        <v>2019</v>
      </c>
      <c r="H168" s="163" t="s">
        <v>2019</v>
      </c>
      <c r="I168" s="183">
        <v>3.71</v>
      </c>
      <c r="J168" s="192">
        <v>45720.0</v>
      </c>
      <c r="K168" s="185"/>
      <c r="L168" s="185" t="s">
        <v>385</v>
      </c>
      <c r="M168" s="185" t="s">
        <v>386</v>
      </c>
      <c r="N168" s="185" t="s">
        <v>1182</v>
      </c>
      <c r="O168" s="185" t="s">
        <v>2026</v>
      </c>
      <c r="P168" s="185"/>
      <c r="Q168" s="185"/>
    </row>
    <row r="169">
      <c r="A169" s="67"/>
      <c r="B169" s="222" t="s">
        <v>904</v>
      </c>
      <c r="C169" s="165" t="s">
        <v>2027</v>
      </c>
      <c r="D169" s="165" t="s">
        <v>2028</v>
      </c>
      <c r="E169" s="165" t="s">
        <v>2029</v>
      </c>
      <c r="F169" s="165" t="s">
        <v>2030</v>
      </c>
      <c r="G169" s="163" t="s">
        <v>2031</v>
      </c>
      <c r="H169" s="163" t="s">
        <v>2031</v>
      </c>
      <c r="I169" s="189">
        <v>2.0</v>
      </c>
      <c r="J169" s="193">
        <v>45727.0</v>
      </c>
      <c r="K169" s="191"/>
      <c r="L169" s="191" t="s">
        <v>192</v>
      </c>
      <c r="M169" s="191" t="s">
        <v>276</v>
      </c>
      <c r="N169" s="191" t="s">
        <v>996</v>
      </c>
      <c r="O169" s="191" t="s">
        <v>2038</v>
      </c>
      <c r="P169" s="191"/>
      <c r="Q169" s="191"/>
    </row>
    <row r="170">
      <c r="A170" s="67"/>
      <c r="B170" s="213" t="s">
        <v>904</v>
      </c>
      <c r="C170" s="162" t="s">
        <v>2039</v>
      </c>
      <c r="D170" s="162" t="s">
        <v>2041</v>
      </c>
      <c r="E170" s="162" t="s">
        <v>2042</v>
      </c>
      <c r="F170" s="162" t="s">
        <v>2043</v>
      </c>
      <c r="G170" s="163" t="s">
        <v>2044</v>
      </c>
      <c r="H170" s="163" t="s">
        <v>2044</v>
      </c>
      <c r="I170" s="183">
        <v>3.36</v>
      </c>
      <c r="J170" s="192">
        <v>45734.0</v>
      </c>
      <c r="K170" s="211" t="s">
        <v>2050</v>
      </c>
      <c r="L170" s="185" t="s">
        <v>192</v>
      </c>
      <c r="M170" s="185" t="s">
        <v>195</v>
      </c>
      <c r="N170" s="185" t="s">
        <v>257</v>
      </c>
      <c r="O170" s="185" t="s">
        <v>2056</v>
      </c>
      <c r="P170" s="185"/>
      <c r="Q170" s="185"/>
    </row>
    <row r="171">
      <c r="A171" s="67"/>
      <c r="B171" s="222" t="s">
        <v>904</v>
      </c>
      <c r="C171" s="165" t="s">
        <v>2059</v>
      </c>
      <c r="D171" s="165" t="s">
        <v>2060</v>
      </c>
      <c r="E171" s="165" t="s">
        <v>436</v>
      </c>
      <c r="F171" s="165" t="s">
        <v>948</v>
      </c>
      <c r="G171" s="163" t="s">
        <v>2061</v>
      </c>
      <c r="H171" s="163" t="s">
        <v>2061</v>
      </c>
      <c r="I171" s="189">
        <v>3.71</v>
      </c>
      <c r="J171" s="193">
        <v>45741.0</v>
      </c>
      <c r="K171" s="198" t="s">
        <v>2066</v>
      </c>
      <c r="L171" s="191" t="s">
        <v>224</v>
      </c>
      <c r="M171" s="191" t="s">
        <v>195</v>
      </c>
      <c r="N171" s="191" t="s">
        <v>442</v>
      </c>
      <c r="O171" s="191" t="s">
        <v>2072</v>
      </c>
      <c r="P171" s="191"/>
      <c r="Q171" s="191"/>
    </row>
    <row r="172">
      <c r="A172" s="67"/>
      <c r="B172" s="213" t="s">
        <v>904</v>
      </c>
      <c r="C172" s="162" t="s">
        <v>2073</v>
      </c>
      <c r="D172" s="162" t="s">
        <v>2074</v>
      </c>
      <c r="E172" s="162" t="s">
        <v>213</v>
      </c>
      <c r="F172" s="162" t="s">
        <v>2075</v>
      </c>
      <c r="G172" s="163" t="s">
        <v>2076</v>
      </c>
      <c r="H172" s="163" t="s">
        <v>2076</v>
      </c>
      <c r="I172" s="183">
        <v>3.0</v>
      </c>
      <c r="J172" s="192">
        <v>45748.0</v>
      </c>
      <c r="K172" s="211" t="s">
        <v>2085</v>
      </c>
      <c r="L172" s="185" t="s">
        <v>385</v>
      </c>
      <c r="M172" s="185" t="s">
        <v>448</v>
      </c>
      <c r="N172" s="185" t="s">
        <v>1372</v>
      </c>
      <c r="O172" s="185" t="s">
        <v>2090</v>
      </c>
      <c r="P172" s="185"/>
      <c r="Q172" s="185"/>
    </row>
    <row r="173">
      <c r="A173" s="67"/>
      <c r="B173" s="222" t="s">
        <v>904</v>
      </c>
      <c r="C173" s="165" t="s">
        <v>2092</v>
      </c>
      <c r="D173" s="165" t="s">
        <v>2093</v>
      </c>
      <c r="E173" s="165" t="s">
        <v>2094</v>
      </c>
      <c r="F173" s="165" t="s">
        <v>2095</v>
      </c>
      <c r="G173" s="163" t="s">
        <v>2096</v>
      </c>
      <c r="H173" s="163" t="s">
        <v>2096</v>
      </c>
      <c r="I173" s="199">
        <v>2.0</v>
      </c>
      <c r="J173" s="193">
        <v>45755.0</v>
      </c>
      <c r="K173" s="191"/>
      <c r="L173" s="191" t="s">
        <v>385</v>
      </c>
      <c r="M173" s="191" t="s">
        <v>448</v>
      </c>
      <c r="N173" s="191" t="s">
        <v>493</v>
      </c>
      <c r="O173" s="191" t="s">
        <v>2100</v>
      </c>
      <c r="P173" s="191"/>
      <c r="Q173" s="191"/>
    </row>
    <row r="174">
      <c r="A174" s="67"/>
      <c r="B174" s="213" t="s">
        <v>904</v>
      </c>
      <c r="C174" s="241" t="s">
        <v>134</v>
      </c>
      <c r="D174" s="241" t="s">
        <v>2101</v>
      </c>
      <c r="E174" s="241" t="s">
        <v>2102</v>
      </c>
      <c r="F174" s="241" t="s">
        <v>215</v>
      </c>
      <c r="G174" s="163" t="s">
        <v>2104</v>
      </c>
      <c r="H174" s="163" t="s">
        <v>2104</v>
      </c>
      <c r="I174" s="183">
        <v>5.0</v>
      </c>
      <c r="J174" s="192">
        <v>45762.0</v>
      </c>
      <c r="K174" s="211" t="s">
        <v>2113</v>
      </c>
      <c r="L174" s="185" t="s">
        <v>461</v>
      </c>
      <c r="M174" s="185" t="s">
        <v>530</v>
      </c>
      <c r="N174" s="185" t="s">
        <v>867</v>
      </c>
      <c r="O174" s="185" t="s">
        <v>2115</v>
      </c>
      <c r="P174" s="185"/>
      <c r="Q174" s="185"/>
    </row>
    <row r="175">
      <c r="A175" s="67"/>
      <c r="B175" s="222" t="s">
        <v>904</v>
      </c>
      <c r="C175" s="195" t="s">
        <v>2117</v>
      </c>
      <c r="D175" s="195" t="s">
        <v>1657</v>
      </c>
      <c r="E175" s="195" t="s">
        <v>1351</v>
      </c>
      <c r="F175" s="195" t="s">
        <v>1658</v>
      </c>
      <c r="G175" s="163" t="s">
        <v>2119</v>
      </c>
      <c r="H175" s="163" t="s">
        <v>2119</v>
      </c>
      <c r="I175" s="189">
        <v>4.29</v>
      </c>
      <c r="J175" s="193">
        <v>45769.0</v>
      </c>
      <c r="K175" s="198" t="s">
        <v>1665</v>
      </c>
      <c r="L175" s="191" t="s">
        <v>192</v>
      </c>
      <c r="M175" s="191" t="s">
        <v>276</v>
      </c>
      <c r="N175" s="191" t="s">
        <v>284</v>
      </c>
      <c r="O175" s="191" t="s">
        <v>2126</v>
      </c>
      <c r="P175" s="191"/>
      <c r="Q175" s="191"/>
    </row>
    <row r="176">
      <c r="A176" s="67"/>
      <c r="B176" s="213" t="s">
        <v>904</v>
      </c>
      <c r="C176" s="241" t="s">
        <v>2127</v>
      </c>
      <c r="D176" s="241" t="s">
        <v>701</v>
      </c>
      <c r="E176" s="241" t="s">
        <v>2128</v>
      </c>
      <c r="F176" s="241" t="s">
        <v>704</v>
      </c>
      <c r="G176" s="163" t="s">
        <v>2129</v>
      </c>
      <c r="H176" s="163" t="s">
        <v>2129</v>
      </c>
      <c r="I176" s="183">
        <v>3.14</v>
      </c>
      <c r="J176" s="192">
        <v>45776.0</v>
      </c>
      <c r="K176" s="211" t="s">
        <v>705</v>
      </c>
      <c r="L176" s="185" t="s">
        <v>461</v>
      </c>
      <c r="M176" s="185" t="s">
        <v>462</v>
      </c>
      <c r="N176" s="185" t="s">
        <v>778</v>
      </c>
      <c r="O176" s="185" t="s">
        <v>2135</v>
      </c>
      <c r="P176" s="185"/>
      <c r="Q176" s="185"/>
    </row>
    <row r="177">
      <c r="A177" s="67"/>
      <c r="B177" s="222" t="s">
        <v>904</v>
      </c>
      <c r="C177" s="195" t="s">
        <v>2136</v>
      </c>
      <c r="D177" s="195" t="s">
        <v>2137</v>
      </c>
      <c r="E177" s="195" t="s">
        <v>181</v>
      </c>
      <c r="F177" s="195" t="s">
        <v>684</v>
      </c>
      <c r="G177" s="163" t="s">
        <v>2138</v>
      </c>
      <c r="H177" s="163" t="s">
        <v>2138</v>
      </c>
      <c r="I177" s="189">
        <v>2.0</v>
      </c>
      <c r="J177" s="193">
        <v>45783.0</v>
      </c>
      <c r="K177" s="198" t="s">
        <v>2148</v>
      </c>
      <c r="L177" s="191" t="s">
        <v>192</v>
      </c>
      <c r="M177" s="191" t="s">
        <v>350</v>
      </c>
      <c r="N177" s="191" t="s">
        <v>352</v>
      </c>
      <c r="O177" s="191" t="s">
        <v>2152</v>
      </c>
      <c r="P177" s="191"/>
      <c r="Q177" s="191"/>
    </row>
    <row r="178">
      <c r="A178" s="67"/>
      <c r="B178" s="213" t="s">
        <v>904</v>
      </c>
      <c r="C178" s="241" t="s">
        <v>2154</v>
      </c>
      <c r="D178" s="241" t="s">
        <v>2101</v>
      </c>
      <c r="E178" s="241" t="s">
        <v>2102</v>
      </c>
      <c r="F178" s="241" t="s">
        <v>215</v>
      </c>
      <c r="G178" s="163" t="s">
        <v>2155</v>
      </c>
      <c r="H178" s="163" t="s">
        <v>2155</v>
      </c>
      <c r="I178" s="183">
        <v>5.0</v>
      </c>
      <c r="J178" s="192">
        <v>45790.0</v>
      </c>
      <c r="K178" s="211" t="s">
        <v>2113</v>
      </c>
      <c r="L178" s="185" t="s">
        <v>192</v>
      </c>
      <c r="M178" s="185" t="s">
        <v>195</v>
      </c>
      <c r="N178" s="185" t="s">
        <v>362</v>
      </c>
      <c r="O178" s="185" t="s">
        <v>2161</v>
      </c>
      <c r="P178" s="185"/>
      <c r="Q178" s="185"/>
    </row>
    <row r="179">
      <c r="A179" s="67"/>
      <c r="B179" s="222" t="s">
        <v>904</v>
      </c>
      <c r="C179" s="195" t="s">
        <v>2162</v>
      </c>
      <c r="D179" s="304" t="s">
        <v>2164</v>
      </c>
      <c r="E179" s="304" t="s">
        <v>317</v>
      </c>
      <c r="F179" s="304" t="s">
        <v>2167</v>
      </c>
      <c r="G179" s="163" t="s">
        <v>2168</v>
      </c>
      <c r="H179" s="163" t="s">
        <v>2168</v>
      </c>
      <c r="I179" s="189">
        <v>4.57</v>
      </c>
      <c r="J179" s="193">
        <v>45797.0</v>
      </c>
      <c r="K179" s="191"/>
      <c r="L179" s="191" t="s">
        <v>385</v>
      </c>
      <c r="M179" s="191" t="s">
        <v>448</v>
      </c>
      <c r="N179" s="191" t="s">
        <v>482</v>
      </c>
      <c r="O179" s="191" t="s">
        <v>2176</v>
      </c>
      <c r="P179" s="191"/>
      <c r="Q179" s="191"/>
    </row>
    <row r="180">
      <c r="A180" s="308"/>
      <c r="B180" s="222" t="s">
        <v>904</v>
      </c>
      <c r="C180" s="309" t="s">
        <v>2178</v>
      </c>
      <c r="D180" s="310" t="s">
        <v>1154</v>
      </c>
      <c r="E180" s="310" t="s">
        <v>2186</v>
      </c>
      <c r="F180" s="310" t="s">
        <v>1156</v>
      </c>
      <c r="G180" s="124" t="s">
        <v>2187</v>
      </c>
      <c r="H180" s="163" t="s">
        <v>2187</v>
      </c>
      <c r="I180" s="199">
        <v>2.0</v>
      </c>
      <c r="J180" s="193">
        <v>45804.0</v>
      </c>
      <c r="K180" s="198" t="s">
        <v>1158</v>
      </c>
      <c r="L180" s="191" t="s">
        <v>192</v>
      </c>
      <c r="M180" s="191" t="s">
        <v>276</v>
      </c>
      <c r="N180" s="191" t="s">
        <v>284</v>
      </c>
      <c r="O180" s="191" t="s">
        <v>2201</v>
      </c>
      <c r="P180" s="191"/>
      <c r="Q180" s="191"/>
    </row>
    <row r="181">
      <c r="A181" s="67"/>
      <c r="B181" s="213" t="s">
        <v>904</v>
      </c>
      <c r="C181" s="195" t="s">
        <v>2208</v>
      </c>
      <c r="D181" s="310" t="s">
        <v>2209</v>
      </c>
      <c r="E181" s="310" t="s">
        <v>2210</v>
      </c>
      <c r="F181" s="310" t="s">
        <v>2211</v>
      </c>
      <c r="G181" s="124" t="s">
        <v>2212</v>
      </c>
      <c r="H181" s="163" t="s">
        <v>2212</v>
      </c>
      <c r="I181" s="183">
        <v>3.71</v>
      </c>
      <c r="J181" s="192">
        <v>45811.0</v>
      </c>
      <c r="K181" s="185"/>
      <c r="L181" s="185" t="s">
        <v>385</v>
      </c>
      <c r="M181" s="185" t="s">
        <v>448</v>
      </c>
      <c r="N181" s="185" t="s">
        <v>449</v>
      </c>
      <c r="O181" s="185" t="s">
        <v>2221</v>
      </c>
      <c r="P181" s="185"/>
      <c r="Q181" s="185"/>
    </row>
    <row r="182">
      <c r="A182" s="67"/>
      <c r="B182" s="213" t="s">
        <v>904</v>
      </c>
      <c r="C182" s="310" t="s">
        <v>2225</v>
      </c>
      <c r="D182" s="313" t="s">
        <v>2228</v>
      </c>
      <c r="E182" s="313" t="s">
        <v>1812</v>
      </c>
      <c r="F182" s="313" t="s">
        <v>2229</v>
      </c>
      <c r="G182" s="124" t="s">
        <v>2230</v>
      </c>
      <c r="H182" s="163" t="s">
        <v>2230</v>
      </c>
      <c r="I182" s="189">
        <v>2.0</v>
      </c>
      <c r="J182" s="193">
        <v>45818.0</v>
      </c>
      <c r="K182" s="191"/>
      <c r="L182" s="191" t="s">
        <v>192</v>
      </c>
      <c r="M182" s="191" t="s">
        <v>350</v>
      </c>
      <c r="N182" s="191" t="s">
        <v>352</v>
      </c>
      <c r="O182" s="191" t="s">
        <v>2236</v>
      </c>
      <c r="P182" s="191"/>
      <c r="Q182" s="191"/>
    </row>
    <row r="183">
      <c r="A183" s="314"/>
      <c r="B183" s="315" t="s">
        <v>904</v>
      </c>
      <c r="C183" s="171" t="s">
        <v>2239</v>
      </c>
      <c r="D183" s="313" t="s">
        <v>2240</v>
      </c>
      <c r="E183" s="313" t="s">
        <v>2242</v>
      </c>
      <c r="F183" s="313" t="s">
        <v>2244</v>
      </c>
      <c r="G183" s="316" t="s">
        <v>2245</v>
      </c>
      <c r="H183" s="196" t="s">
        <v>2245</v>
      </c>
      <c r="I183" s="183">
        <v>2.0</v>
      </c>
      <c r="J183" s="192">
        <v>45825.0</v>
      </c>
      <c r="K183" s="185"/>
      <c r="L183" s="185" t="s">
        <v>192</v>
      </c>
      <c r="M183" s="185" t="s">
        <v>2254</v>
      </c>
      <c r="N183" s="185" t="s">
        <v>257</v>
      </c>
      <c r="O183" s="185" t="s">
        <v>2255</v>
      </c>
      <c r="P183" s="185"/>
      <c r="Q183" s="185"/>
    </row>
    <row r="184">
      <c r="A184" s="67"/>
      <c r="B184" s="213" t="s">
        <v>904</v>
      </c>
      <c r="C184" s="310" t="s">
        <v>2257</v>
      </c>
      <c r="D184" s="313" t="s">
        <v>2258</v>
      </c>
      <c r="E184" s="313" t="s">
        <v>317</v>
      </c>
      <c r="F184" s="313" t="s">
        <v>2259</v>
      </c>
      <c r="G184" s="316" t="s">
        <v>2260</v>
      </c>
      <c r="H184" s="196" t="s">
        <v>2260</v>
      </c>
      <c r="I184" s="189">
        <v>3.79</v>
      </c>
      <c r="J184" s="193">
        <v>45832.0</v>
      </c>
      <c r="K184" s="191"/>
      <c r="L184" s="191" t="s">
        <v>385</v>
      </c>
      <c r="M184" s="191" t="s">
        <v>448</v>
      </c>
      <c r="N184" s="191" t="s">
        <v>449</v>
      </c>
      <c r="O184" s="191" t="s">
        <v>2264</v>
      </c>
      <c r="P184" s="191"/>
      <c r="Q184" s="191"/>
    </row>
    <row r="185">
      <c r="A185" s="314"/>
      <c r="B185" s="317" t="s">
        <v>904</v>
      </c>
      <c r="C185" s="313" t="s">
        <v>2267</v>
      </c>
      <c r="D185" s="313" t="s">
        <v>2268</v>
      </c>
      <c r="E185" s="313" t="s">
        <v>2270</v>
      </c>
      <c r="F185" s="313" t="s">
        <v>2271</v>
      </c>
      <c r="G185" s="196" t="s">
        <v>2272</v>
      </c>
      <c r="H185" s="196" t="s">
        <v>2272</v>
      </c>
      <c r="I185" s="183">
        <v>4.57</v>
      </c>
      <c r="J185" s="192">
        <v>45839.0</v>
      </c>
      <c r="K185" s="211" t="s">
        <v>2278</v>
      </c>
      <c r="L185" s="185" t="s">
        <v>461</v>
      </c>
      <c r="M185" s="185" t="s">
        <v>462</v>
      </c>
      <c r="N185" s="185" t="s">
        <v>880</v>
      </c>
      <c r="O185" s="185" t="s">
        <v>2280</v>
      </c>
      <c r="P185" s="185"/>
      <c r="Q185" s="185"/>
    </row>
    <row r="186">
      <c r="A186" s="308"/>
      <c r="B186" s="318" t="s">
        <v>904</v>
      </c>
      <c r="C186" s="310" t="s">
        <v>2283</v>
      </c>
      <c r="D186" s="310" t="s">
        <v>2284</v>
      </c>
      <c r="E186" s="310" t="s">
        <v>1325</v>
      </c>
      <c r="F186" s="310" t="s">
        <v>2285</v>
      </c>
      <c r="G186" s="196" t="s">
        <v>2286</v>
      </c>
      <c r="H186" s="196" t="s">
        <v>2286</v>
      </c>
      <c r="I186" s="189">
        <v>2.0</v>
      </c>
      <c r="J186" s="193">
        <v>45846.0</v>
      </c>
      <c r="K186" s="198" t="s">
        <v>2292</v>
      </c>
      <c r="L186" s="191" t="s">
        <v>192</v>
      </c>
      <c r="M186" s="191" t="s">
        <v>2254</v>
      </c>
      <c r="N186" s="191" t="s">
        <v>257</v>
      </c>
      <c r="O186" s="191" t="s">
        <v>2294</v>
      </c>
      <c r="P186" s="191"/>
      <c r="Q186" s="191"/>
    </row>
    <row r="187">
      <c r="A187" s="67"/>
      <c r="B187" s="213" t="s">
        <v>904</v>
      </c>
      <c r="C187" s="319" t="s">
        <v>2296</v>
      </c>
      <c r="D187" s="319" t="s">
        <v>2297</v>
      </c>
      <c r="E187" s="319" t="s">
        <v>2298</v>
      </c>
      <c r="F187" s="319" t="s">
        <v>2299</v>
      </c>
      <c r="G187" s="196" t="s">
        <v>2300</v>
      </c>
      <c r="H187" s="196" t="s">
        <v>2300</v>
      </c>
      <c r="I187" s="183">
        <v>2.0</v>
      </c>
      <c r="J187" s="192">
        <v>45853.0</v>
      </c>
      <c r="K187" s="185"/>
      <c r="L187" s="185" t="s">
        <v>224</v>
      </c>
      <c r="M187" s="185" t="s">
        <v>440</v>
      </c>
      <c r="N187" s="185" t="s">
        <v>616</v>
      </c>
      <c r="O187" s="185" t="s">
        <v>2303</v>
      </c>
      <c r="P187" s="185"/>
      <c r="Q187" s="185"/>
    </row>
    <row r="188">
      <c r="A188" s="67"/>
      <c r="B188" s="222" t="s">
        <v>904</v>
      </c>
      <c r="C188" s="162" t="s">
        <v>2304</v>
      </c>
      <c r="D188" s="162" t="s">
        <v>2305</v>
      </c>
      <c r="E188" s="162" t="s">
        <v>2306</v>
      </c>
      <c r="F188" s="162" t="s">
        <v>2307</v>
      </c>
      <c r="G188" s="196" t="s">
        <v>2308</v>
      </c>
      <c r="H188" s="196" t="s">
        <v>2308</v>
      </c>
      <c r="I188" s="189">
        <v>2.0</v>
      </c>
      <c r="J188" s="193">
        <v>45860.0</v>
      </c>
      <c r="K188" s="191"/>
      <c r="L188" s="191" t="s">
        <v>192</v>
      </c>
      <c r="M188" s="191" t="s">
        <v>2254</v>
      </c>
      <c r="N188" s="191" t="s">
        <v>362</v>
      </c>
      <c r="O188" s="191" t="s">
        <v>2318</v>
      </c>
      <c r="P188" s="191"/>
      <c r="Q188" s="191"/>
    </row>
    <row r="189">
      <c r="A189" s="67"/>
      <c r="B189" s="222" t="s">
        <v>904</v>
      </c>
      <c r="C189" s="319" t="s">
        <v>2320</v>
      </c>
      <c r="D189" s="165" t="s">
        <v>2321</v>
      </c>
      <c r="E189" s="212" t="s">
        <v>1518</v>
      </c>
      <c r="F189" s="212" t="s">
        <v>2322</v>
      </c>
      <c r="G189" s="196" t="s">
        <v>2323</v>
      </c>
      <c r="H189" s="196" t="s">
        <v>2323</v>
      </c>
      <c r="I189" s="183">
        <v>3.86</v>
      </c>
      <c r="J189" s="192">
        <v>45867.0</v>
      </c>
      <c r="K189" s="211" t="s">
        <v>2327</v>
      </c>
      <c r="L189" s="185" t="s">
        <v>192</v>
      </c>
      <c r="M189" s="185" t="s">
        <v>2254</v>
      </c>
      <c r="N189" s="185" t="s">
        <v>362</v>
      </c>
      <c r="O189" s="185" t="s">
        <v>2329</v>
      </c>
      <c r="P189" s="185"/>
      <c r="Q189" s="185"/>
    </row>
    <row r="190">
      <c r="A190" s="67"/>
      <c r="B190" s="222" t="s">
        <v>904</v>
      </c>
      <c r="C190" s="320" t="s">
        <v>2331</v>
      </c>
      <c r="D190" s="162" t="s">
        <v>2332</v>
      </c>
      <c r="E190" s="162" t="s">
        <v>2333</v>
      </c>
      <c r="F190" s="162" t="s">
        <v>2334</v>
      </c>
      <c r="G190" s="196" t="s">
        <v>2335</v>
      </c>
      <c r="H190" s="196" t="s">
        <v>2335</v>
      </c>
      <c r="I190" s="189">
        <v>4.0</v>
      </c>
      <c r="J190" s="193">
        <v>45874.0</v>
      </c>
      <c r="K190" s="191"/>
      <c r="L190" s="191" t="s">
        <v>192</v>
      </c>
      <c r="M190" s="191" t="s">
        <v>2254</v>
      </c>
      <c r="N190" s="191" t="s">
        <v>362</v>
      </c>
      <c r="O190" s="191" t="s">
        <v>2340</v>
      </c>
      <c r="P190" s="191"/>
      <c r="Q190" s="191"/>
    </row>
    <row r="191">
      <c r="A191" s="67"/>
      <c r="B191" s="213" t="s">
        <v>904</v>
      </c>
      <c r="C191" s="319" t="s">
        <v>421</v>
      </c>
      <c r="D191" s="165" t="s">
        <v>2341</v>
      </c>
      <c r="E191" s="165" t="s">
        <v>1039</v>
      </c>
      <c r="F191" s="165" t="s">
        <v>2342</v>
      </c>
      <c r="G191" s="196" t="s">
        <v>2345</v>
      </c>
      <c r="H191" s="196" t="s">
        <v>2345</v>
      </c>
      <c r="I191" s="183">
        <v>3.86</v>
      </c>
      <c r="J191" s="192">
        <v>45881.0</v>
      </c>
      <c r="K191" s="185"/>
      <c r="L191" s="185" t="s">
        <v>192</v>
      </c>
      <c r="M191" s="185" t="s">
        <v>276</v>
      </c>
      <c r="N191" s="185" t="s">
        <v>284</v>
      </c>
      <c r="O191" s="185" t="s">
        <v>2353</v>
      </c>
      <c r="P191" s="185"/>
      <c r="Q191" s="185"/>
    </row>
    <row r="192">
      <c r="A192" s="67"/>
      <c r="B192" s="222" t="s">
        <v>904</v>
      </c>
      <c r="C192" s="162" t="s">
        <v>422</v>
      </c>
      <c r="D192" s="320" t="s">
        <v>2354</v>
      </c>
      <c r="E192" s="320" t="s">
        <v>317</v>
      </c>
      <c r="F192" s="320" t="s">
        <v>2355</v>
      </c>
      <c r="G192" s="196" t="s">
        <v>2356</v>
      </c>
      <c r="H192" s="196" t="s">
        <v>2356</v>
      </c>
      <c r="I192" s="199">
        <v>2.0</v>
      </c>
      <c r="J192" s="193">
        <v>45888.0</v>
      </c>
      <c r="K192" s="191"/>
      <c r="L192" s="191" t="s">
        <v>192</v>
      </c>
      <c r="M192" s="191" t="s">
        <v>350</v>
      </c>
      <c r="N192" s="191" t="s">
        <v>600</v>
      </c>
      <c r="O192" s="191" t="s">
        <v>2368</v>
      </c>
      <c r="P192" s="191"/>
      <c r="Q192" s="191"/>
    </row>
    <row r="193">
      <c r="A193" s="67"/>
      <c r="B193" s="213" t="s">
        <v>904</v>
      </c>
      <c r="C193" s="165" t="s">
        <v>423</v>
      </c>
      <c r="D193" s="165" t="s">
        <v>2370</v>
      </c>
      <c r="E193" s="165" t="s">
        <v>317</v>
      </c>
      <c r="F193" s="165" t="s">
        <v>2371</v>
      </c>
      <c r="G193" s="196" t="s">
        <v>2372</v>
      </c>
      <c r="H193" s="196" t="s">
        <v>2372</v>
      </c>
      <c r="I193" s="183">
        <v>2.0</v>
      </c>
      <c r="J193" s="192">
        <v>45895.0</v>
      </c>
      <c r="K193" s="185"/>
      <c r="L193" s="185" t="s">
        <v>192</v>
      </c>
      <c r="M193" s="185" t="s">
        <v>276</v>
      </c>
      <c r="N193" s="185" t="s">
        <v>284</v>
      </c>
      <c r="O193" s="185" t="s">
        <v>2376</v>
      </c>
      <c r="P193" s="185"/>
      <c r="Q193" s="185"/>
    </row>
    <row r="194">
      <c r="A194" s="67"/>
      <c r="B194" s="213" t="s">
        <v>904</v>
      </c>
      <c r="C194" s="162" t="s">
        <v>425</v>
      </c>
      <c r="D194" s="162" t="s">
        <v>2377</v>
      </c>
      <c r="E194" s="162" t="s">
        <v>1039</v>
      </c>
      <c r="F194" s="162" t="s">
        <v>2378</v>
      </c>
      <c r="G194" s="196" t="s">
        <v>2379</v>
      </c>
      <c r="H194" s="196" t="s">
        <v>2379</v>
      </c>
      <c r="I194" s="189">
        <v>2.0</v>
      </c>
      <c r="J194" s="193">
        <v>45902.0</v>
      </c>
      <c r="K194" s="191"/>
      <c r="L194" s="191" t="s">
        <v>485</v>
      </c>
      <c r="M194" s="191" t="s">
        <v>486</v>
      </c>
      <c r="N194" s="191" t="s">
        <v>493</v>
      </c>
      <c r="O194" s="191" t="s">
        <v>2389</v>
      </c>
      <c r="P194" s="191"/>
      <c r="Q194" s="191"/>
    </row>
    <row r="195">
      <c r="A195" s="67"/>
      <c r="B195" s="213" t="s">
        <v>904</v>
      </c>
      <c r="C195" s="165" t="s">
        <v>427</v>
      </c>
      <c r="D195" s="165" t="s">
        <v>2392</v>
      </c>
      <c r="E195" s="165" t="s">
        <v>2393</v>
      </c>
      <c r="F195" s="165" t="s">
        <v>183</v>
      </c>
      <c r="G195" s="196" t="s">
        <v>2394</v>
      </c>
      <c r="H195" s="196" t="s">
        <v>2394</v>
      </c>
      <c r="I195" s="183">
        <v>1.0</v>
      </c>
      <c r="J195" s="192">
        <v>45909.0</v>
      </c>
      <c r="K195" s="185"/>
      <c r="L195" s="185" t="s">
        <v>461</v>
      </c>
      <c r="M195" s="185" t="s">
        <v>462</v>
      </c>
      <c r="N195" s="185" t="s">
        <v>886</v>
      </c>
      <c r="O195" s="185" t="s">
        <v>2398</v>
      </c>
      <c r="P195" s="185"/>
      <c r="Q195" s="185"/>
    </row>
    <row r="196">
      <c r="A196" s="67"/>
      <c r="B196" s="213" t="s">
        <v>904</v>
      </c>
      <c r="C196" s="162" t="s">
        <v>429</v>
      </c>
      <c r="D196" s="162" t="s">
        <v>2402</v>
      </c>
      <c r="E196" s="162" t="s">
        <v>2404</v>
      </c>
      <c r="F196" s="162" t="s">
        <v>2405</v>
      </c>
      <c r="G196" s="196" t="s">
        <v>2406</v>
      </c>
      <c r="H196" s="196" t="s">
        <v>2406</v>
      </c>
      <c r="I196" s="189">
        <v>1.0</v>
      </c>
      <c r="J196" s="193">
        <v>45916.0</v>
      </c>
      <c r="K196" s="191"/>
      <c r="L196" s="191" t="s">
        <v>461</v>
      </c>
      <c r="M196" s="191" t="s">
        <v>2414</v>
      </c>
      <c r="N196" s="191"/>
      <c r="O196" s="191"/>
      <c r="P196" s="191"/>
      <c r="Q196" s="191"/>
    </row>
    <row r="197">
      <c r="A197" s="67"/>
      <c r="B197" s="213" t="s">
        <v>904</v>
      </c>
      <c r="C197" s="165" t="s">
        <v>430</v>
      </c>
      <c r="D197" s="165" t="s">
        <v>2415</v>
      </c>
      <c r="E197" s="165" t="s">
        <v>317</v>
      </c>
      <c r="F197" s="165" t="s">
        <v>2416</v>
      </c>
      <c r="G197" s="196" t="s">
        <v>2417</v>
      </c>
      <c r="H197" s="196" t="s">
        <v>2417</v>
      </c>
      <c r="I197" s="183">
        <v>0.0</v>
      </c>
      <c r="J197" s="192">
        <v>45923.0</v>
      </c>
      <c r="K197" s="211" t="s">
        <v>2424</v>
      </c>
      <c r="L197" s="185" t="s">
        <v>461</v>
      </c>
      <c r="M197" s="185" t="s">
        <v>2414</v>
      </c>
      <c r="N197" s="185"/>
      <c r="O197" s="185" t="s">
        <v>2430</v>
      </c>
      <c r="P197" s="185"/>
      <c r="Q197" s="185"/>
    </row>
    <row r="198">
      <c r="A198" s="67"/>
      <c r="B198" s="213" t="s">
        <v>904</v>
      </c>
      <c r="C198" s="162" t="s">
        <v>431</v>
      </c>
      <c r="D198" s="162" t="s">
        <v>2432</v>
      </c>
      <c r="E198" s="162" t="s">
        <v>1325</v>
      </c>
      <c r="F198" s="244" t="s">
        <v>2433</v>
      </c>
      <c r="G198" s="196" t="s">
        <v>2435</v>
      </c>
      <c r="H198" s="196" t="s">
        <v>2435</v>
      </c>
      <c r="I198" s="189">
        <v>2.0</v>
      </c>
      <c r="J198" s="193">
        <v>45930.0</v>
      </c>
      <c r="K198" s="191"/>
      <c r="L198" s="191" t="s">
        <v>461</v>
      </c>
      <c r="M198" s="191" t="s">
        <v>530</v>
      </c>
      <c r="N198" s="191" t="s">
        <v>867</v>
      </c>
      <c r="O198" s="191" t="s">
        <v>2439</v>
      </c>
      <c r="P198" s="191"/>
      <c r="Q198" s="191"/>
    </row>
    <row r="199">
      <c r="A199" s="67"/>
      <c r="B199" s="213" t="s">
        <v>904</v>
      </c>
      <c r="C199" s="165" t="s">
        <v>433</v>
      </c>
      <c r="D199" s="165" t="s">
        <v>2442</v>
      </c>
      <c r="E199" s="165" t="s">
        <v>2443</v>
      </c>
      <c r="F199" s="165" t="s">
        <v>1894</v>
      </c>
      <c r="G199" s="196" t="s">
        <v>2445</v>
      </c>
      <c r="H199" s="196" t="s">
        <v>2445</v>
      </c>
      <c r="I199" s="199">
        <v>2.0</v>
      </c>
      <c r="J199" s="193">
        <v>45937.0</v>
      </c>
      <c r="K199" s="191"/>
      <c r="L199" s="191" t="s">
        <v>192</v>
      </c>
      <c r="M199" s="191" t="s">
        <v>195</v>
      </c>
      <c r="N199" s="191" t="s">
        <v>362</v>
      </c>
      <c r="O199" s="191" t="s">
        <v>2453</v>
      </c>
      <c r="P199" s="191"/>
      <c r="Q199" s="191"/>
    </row>
    <row r="200">
      <c r="A200" s="67"/>
      <c r="B200" s="213" t="s">
        <v>904</v>
      </c>
      <c r="C200" s="162" t="s">
        <v>435</v>
      </c>
      <c r="D200" s="162" t="s">
        <v>2454</v>
      </c>
      <c r="E200" s="162" t="s">
        <v>2455</v>
      </c>
      <c r="F200" s="162" t="s">
        <v>2456</v>
      </c>
      <c r="G200" s="196" t="s">
        <v>2457</v>
      </c>
      <c r="H200" s="196" t="s">
        <v>2457</v>
      </c>
      <c r="I200" s="183">
        <v>4.71</v>
      </c>
      <c r="J200" s="184">
        <v>45944.0</v>
      </c>
      <c r="K200" s="211" t="s">
        <v>2461</v>
      </c>
      <c r="L200" s="185" t="s">
        <v>192</v>
      </c>
      <c r="M200" s="185" t="s">
        <v>2254</v>
      </c>
      <c r="N200" s="185" t="s">
        <v>257</v>
      </c>
      <c r="O200" s="185" t="s">
        <v>2465</v>
      </c>
      <c r="P200" s="185"/>
      <c r="Q200" s="185"/>
    </row>
    <row r="201">
      <c r="A201" s="67"/>
      <c r="B201" s="213" t="s">
        <v>904</v>
      </c>
      <c r="C201" s="165" t="s">
        <v>438</v>
      </c>
      <c r="D201" s="165" t="s">
        <v>2466</v>
      </c>
      <c r="E201" s="165" t="s">
        <v>213</v>
      </c>
      <c r="F201" s="165" t="s">
        <v>2468</v>
      </c>
      <c r="G201" s="196" t="s">
        <v>2469</v>
      </c>
      <c r="H201" s="196" t="s">
        <v>2469</v>
      </c>
      <c r="I201" s="324">
        <v>4.36</v>
      </c>
      <c r="J201" s="325">
        <v>45951.0</v>
      </c>
      <c r="K201" s="326"/>
      <c r="L201" s="326" t="s">
        <v>485</v>
      </c>
      <c r="M201" s="326" t="s">
        <v>448</v>
      </c>
      <c r="N201" s="326" t="s">
        <v>449</v>
      </c>
      <c r="O201" s="326" t="s">
        <v>2476</v>
      </c>
      <c r="P201" s="326"/>
      <c r="Q201" s="326"/>
    </row>
    <row r="202">
      <c r="A202" s="67"/>
      <c r="B202" s="213" t="s">
        <v>904</v>
      </c>
      <c r="C202" s="162" t="s">
        <v>2477</v>
      </c>
      <c r="D202" s="162" t="s">
        <v>2478</v>
      </c>
      <c r="E202" s="162" t="s">
        <v>2479</v>
      </c>
      <c r="F202" s="162" t="s">
        <v>2043</v>
      </c>
      <c r="G202" s="196" t="s">
        <v>2480</v>
      </c>
      <c r="H202" s="196" t="s">
        <v>2480</v>
      </c>
      <c r="I202" s="324">
        <v>2.0</v>
      </c>
      <c r="J202" s="325">
        <v>45958.0</v>
      </c>
      <c r="K202" s="326"/>
      <c r="L202" s="326" t="s">
        <v>485</v>
      </c>
      <c r="M202" s="326" t="s">
        <v>486</v>
      </c>
      <c r="N202" s="326" t="s">
        <v>482</v>
      </c>
      <c r="O202" s="326" t="s">
        <v>2485</v>
      </c>
      <c r="P202" s="326"/>
      <c r="Q202" s="326"/>
    </row>
    <row r="203">
      <c r="A203" s="67"/>
      <c r="B203" s="213" t="s">
        <v>904</v>
      </c>
      <c r="C203" s="165" t="s">
        <v>2486</v>
      </c>
      <c r="D203" s="165" t="s">
        <v>2488</v>
      </c>
      <c r="E203" s="165" t="s">
        <v>317</v>
      </c>
      <c r="F203" s="165" t="s">
        <v>2489</v>
      </c>
      <c r="G203" s="196" t="s">
        <v>2491</v>
      </c>
      <c r="H203" s="196" t="s">
        <v>2491</v>
      </c>
      <c r="I203" s="324">
        <v>1.0</v>
      </c>
      <c r="J203" s="327">
        <v>45965.0</v>
      </c>
      <c r="K203" s="326"/>
      <c r="L203" s="326" t="s">
        <v>192</v>
      </c>
      <c r="M203" s="326" t="s">
        <v>195</v>
      </c>
      <c r="N203" s="326" t="s">
        <v>897</v>
      </c>
      <c r="O203" s="326" t="s">
        <v>2498</v>
      </c>
      <c r="P203" s="326"/>
      <c r="Q203" s="326"/>
    </row>
    <row r="204">
      <c r="A204" s="67"/>
      <c r="B204" s="213" t="s">
        <v>904</v>
      </c>
      <c r="C204" s="162" t="s">
        <v>2499</v>
      </c>
      <c r="D204" s="162" t="s">
        <v>2500</v>
      </c>
      <c r="E204" s="162" t="s">
        <v>2501</v>
      </c>
      <c r="F204" s="162" t="s">
        <v>2502</v>
      </c>
      <c r="G204" s="196" t="s">
        <v>2503</v>
      </c>
      <c r="H204" s="196" t="s">
        <v>2503</v>
      </c>
      <c r="I204" s="324">
        <v>3.57</v>
      </c>
      <c r="J204" s="325">
        <v>45972.0</v>
      </c>
      <c r="K204" s="326"/>
      <c r="L204" s="326" t="s">
        <v>485</v>
      </c>
      <c r="M204" s="326" t="s">
        <v>486</v>
      </c>
      <c r="N204" s="326" t="s">
        <v>482</v>
      </c>
      <c r="O204" s="326" t="s">
        <v>2507</v>
      </c>
      <c r="P204" s="326"/>
      <c r="Q204" s="326"/>
    </row>
    <row r="205">
      <c r="A205" s="67"/>
      <c r="B205" s="213" t="s">
        <v>904</v>
      </c>
      <c r="C205" s="165" t="s">
        <v>2508</v>
      </c>
      <c r="D205" s="165" t="s">
        <v>2509</v>
      </c>
      <c r="E205" s="165" t="s">
        <v>2510</v>
      </c>
      <c r="F205" s="165" t="s">
        <v>2095</v>
      </c>
      <c r="G205" s="196" t="s">
        <v>2511</v>
      </c>
      <c r="H205" s="196" t="s">
        <v>2511</v>
      </c>
      <c r="I205" s="324">
        <v>1.0</v>
      </c>
      <c r="J205" s="325">
        <v>45979.0</v>
      </c>
      <c r="K205" s="328" t="s">
        <v>2515</v>
      </c>
      <c r="L205" s="326" t="s">
        <v>192</v>
      </c>
      <c r="M205" s="326" t="s">
        <v>276</v>
      </c>
      <c r="N205" s="326" t="s">
        <v>469</v>
      </c>
      <c r="O205" s="326" t="s">
        <v>2517</v>
      </c>
      <c r="P205" s="326"/>
      <c r="Q205" s="326"/>
    </row>
    <row r="206">
      <c r="A206" s="67"/>
      <c r="B206" s="213" t="s">
        <v>904</v>
      </c>
      <c r="C206" s="162" t="s">
        <v>2519</v>
      </c>
      <c r="D206" s="162" t="s">
        <v>212</v>
      </c>
      <c r="E206" s="210" t="s">
        <v>213</v>
      </c>
      <c r="F206" s="210" t="s">
        <v>215</v>
      </c>
      <c r="G206" s="196" t="s">
        <v>2520</v>
      </c>
      <c r="H206" s="196" t="s">
        <v>2520</v>
      </c>
      <c r="I206" s="324">
        <v>5.0</v>
      </c>
      <c r="J206" s="325">
        <v>45986.0</v>
      </c>
      <c r="K206" s="328" t="s">
        <v>216</v>
      </c>
      <c r="L206" s="326" t="s">
        <v>485</v>
      </c>
      <c r="M206" s="326" t="s">
        <v>486</v>
      </c>
      <c r="N206" s="326" t="s">
        <v>1372</v>
      </c>
      <c r="O206" s="326" t="s">
        <v>2522</v>
      </c>
      <c r="P206" s="326"/>
      <c r="Q206" s="326"/>
    </row>
    <row r="207">
      <c r="A207" s="67"/>
      <c r="B207" s="213" t="s">
        <v>904</v>
      </c>
      <c r="C207" s="165" t="s">
        <v>2523</v>
      </c>
      <c r="D207" s="165" t="s">
        <v>2524</v>
      </c>
      <c r="E207" s="212" t="s">
        <v>2525</v>
      </c>
      <c r="F207" s="212" t="s">
        <v>957</v>
      </c>
      <c r="G207" s="196" t="s">
        <v>2526</v>
      </c>
      <c r="H207" s="196" t="s">
        <v>2526</v>
      </c>
      <c r="I207" s="324">
        <v>4.57</v>
      </c>
      <c r="J207" s="327">
        <v>45993.0</v>
      </c>
      <c r="K207" s="326"/>
      <c r="L207" s="326" t="s">
        <v>461</v>
      </c>
      <c r="M207" s="326" t="s">
        <v>462</v>
      </c>
      <c r="N207" s="326" t="s">
        <v>886</v>
      </c>
      <c r="O207" s="326" t="s">
        <v>2534</v>
      </c>
      <c r="P207" s="326"/>
      <c r="Q207" s="326"/>
    </row>
    <row r="208">
      <c r="A208" s="67"/>
      <c r="B208" s="213" t="s">
        <v>904</v>
      </c>
      <c r="C208" s="162" t="s">
        <v>2535</v>
      </c>
      <c r="D208" s="162" t="s">
        <v>2537</v>
      </c>
      <c r="E208" s="210" t="s">
        <v>2538</v>
      </c>
      <c r="F208" s="227"/>
      <c r="G208" s="196" t="s">
        <v>2541</v>
      </c>
      <c r="H208" s="196" t="s">
        <v>2541</v>
      </c>
      <c r="I208" s="324">
        <v>2.0</v>
      </c>
      <c r="J208" s="327">
        <v>46000.0</v>
      </c>
      <c r="K208" s="326"/>
      <c r="L208" s="326" t="s">
        <v>192</v>
      </c>
      <c r="M208" s="326" t="s">
        <v>276</v>
      </c>
      <c r="N208" s="326" t="s">
        <v>1667</v>
      </c>
      <c r="O208" s="326" t="s">
        <v>2545</v>
      </c>
      <c r="P208" s="326"/>
      <c r="Q208" s="326"/>
    </row>
    <row r="209">
      <c r="A209" s="67"/>
      <c r="B209" s="213" t="s">
        <v>904</v>
      </c>
      <c r="C209" s="212" t="s">
        <v>2546</v>
      </c>
      <c r="D209" s="212" t="s">
        <v>2547</v>
      </c>
      <c r="E209" s="212" t="s">
        <v>436</v>
      </c>
      <c r="F209" s="212" t="s">
        <v>2548</v>
      </c>
      <c r="G209" s="196" t="s">
        <v>2549</v>
      </c>
      <c r="H209" s="196" t="s">
        <v>2549</v>
      </c>
      <c r="I209" s="324">
        <v>2.0</v>
      </c>
      <c r="J209" s="325">
        <v>46007.0</v>
      </c>
      <c r="K209" s="328" t="s">
        <v>2550</v>
      </c>
      <c r="L209" s="326" t="s">
        <v>461</v>
      </c>
      <c r="M209" s="326" t="s">
        <v>462</v>
      </c>
      <c r="N209" s="326" t="s">
        <v>886</v>
      </c>
      <c r="O209" s="326" t="s">
        <v>2557</v>
      </c>
      <c r="P209" s="326"/>
      <c r="Q209" s="326"/>
    </row>
    <row r="210">
      <c r="A210" s="67"/>
      <c r="B210" s="164" t="s">
        <v>904</v>
      </c>
      <c r="C210" s="210" t="s">
        <v>2558</v>
      </c>
      <c r="D210" s="210" t="s">
        <v>2559</v>
      </c>
      <c r="E210" s="210" t="s">
        <v>1283</v>
      </c>
      <c r="F210" s="210" t="s">
        <v>684</v>
      </c>
      <c r="G210" s="196" t="s">
        <v>2560</v>
      </c>
      <c r="H210" s="196" t="s">
        <v>2560</v>
      </c>
      <c r="I210" s="134">
        <v>2.0</v>
      </c>
      <c r="J210" s="177">
        <v>46014.0</v>
      </c>
      <c r="K210" s="333"/>
      <c r="L210" s="136" t="s">
        <v>192</v>
      </c>
      <c r="M210" s="136" t="s">
        <v>195</v>
      </c>
      <c r="N210" s="136" t="s">
        <v>257</v>
      </c>
      <c r="O210" s="136" t="s">
        <v>2567</v>
      </c>
      <c r="P210" s="333"/>
      <c r="Q210" s="333"/>
    </row>
    <row r="211">
      <c r="A211" s="67"/>
      <c r="B211" s="164" t="s">
        <v>904</v>
      </c>
      <c r="C211" s="212" t="s">
        <v>2568</v>
      </c>
      <c r="D211" s="212" t="s">
        <v>2569</v>
      </c>
      <c r="E211" s="212" t="s">
        <v>2570</v>
      </c>
      <c r="F211" s="212" t="s">
        <v>2571</v>
      </c>
      <c r="G211" s="196" t="s">
        <v>2573</v>
      </c>
      <c r="H211" s="196" t="s">
        <v>2573</v>
      </c>
      <c r="I211" s="126">
        <v>2.0</v>
      </c>
      <c r="J211" s="178">
        <v>46021.0</v>
      </c>
      <c r="K211" s="337"/>
      <c r="L211" s="127" t="s">
        <v>485</v>
      </c>
      <c r="M211" s="127" t="s">
        <v>486</v>
      </c>
      <c r="N211" s="127" t="s">
        <v>1372</v>
      </c>
      <c r="O211" s="127" t="s">
        <v>2588</v>
      </c>
      <c r="P211" s="337"/>
      <c r="Q211" s="337"/>
    </row>
    <row r="212">
      <c r="A212" s="116"/>
      <c r="B212" s="182" t="s">
        <v>904</v>
      </c>
      <c r="C212" s="210" t="s">
        <v>1966</v>
      </c>
      <c r="D212" s="210" t="s">
        <v>212</v>
      </c>
      <c r="E212" s="210" t="s">
        <v>317</v>
      </c>
      <c r="F212" s="210" t="s">
        <v>215</v>
      </c>
      <c r="G212" s="338" t="s">
        <v>1967</v>
      </c>
      <c r="H212" s="338" t="s">
        <v>1967</v>
      </c>
      <c r="I212" s="339">
        <v>5.0</v>
      </c>
      <c r="J212" s="341">
        <v>46028.0</v>
      </c>
      <c r="K212" s="343" t="s">
        <v>216</v>
      </c>
      <c r="L212" s="343" t="s">
        <v>192</v>
      </c>
      <c r="M212" s="343" t="s">
        <v>195</v>
      </c>
      <c r="N212" s="343" t="s">
        <v>257</v>
      </c>
      <c r="O212" s="343" t="s">
        <v>2595</v>
      </c>
      <c r="P212" s="345"/>
      <c r="Q212" s="345"/>
    </row>
    <row r="213">
      <c r="A213" s="116"/>
      <c r="B213" s="182" t="s">
        <v>904</v>
      </c>
      <c r="C213" s="212" t="s">
        <v>2597</v>
      </c>
      <c r="D213" s="212" t="s">
        <v>2598</v>
      </c>
      <c r="E213" s="212" t="s">
        <v>1039</v>
      </c>
      <c r="F213" s="212" t="s">
        <v>2599</v>
      </c>
      <c r="G213" s="350" t="s">
        <v>2600</v>
      </c>
      <c r="H213" s="350" t="s">
        <v>2600</v>
      </c>
      <c r="I213" s="352">
        <v>4.71</v>
      </c>
      <c r="J213" s="354">
        <v>46035.0</v>
      </c>
      <c r="K213" s="358" t="s">
        <v>2611</v>
      </c>
      <c r="L213" s="358" t="s">
        <v>485</v>
      </c>
      <c r="M213" s="358" t="s">
        <v>486</v>
      </c>
      <c r="N213" s="358" t="s">
        <v>1372</v>
      </c>
      <c r="O213" s="358" t="s">
        <v>2619</v>
      </c>
      <c r="P213" s="345"/>
      <c r="Q213" s="345"/>
    </row>
    <row r="214">
      <c r="A214" s="116"/>
      <c r="B214" s="182" t="s">
        <v>904</v>
      </c>
      <c r="C214" s="210" t="s">
        <v>2621</v>
      </c>
      <c r="D214" s="210" t="s">
        <v>2622</v>
      </c>
      <c r="E214" s="210" t="s">
        <v>2623</v>
      </c>
      <c r="F214" s="210" t="s">
        <v>215</v>
      </c>
      <c r="G214" s="338" t="s">
        <v>2624</v>
      </c>
      <c r="H214" s="338" t="s">
        <v>2624</v>
      </c>
      <c r="I214" s="339">
        <v>4.71</v>
      </c>
      <c r="J214" s="341">
        <v>46042.0</v>
      </c>
      <c r="K214" s="343" t="s">
        <v>1805</v>
      </c>
      <c r="L214" s="343" t="s">
        <v>461</v>
      </c>
      <c r="M214" s="343" t="s">
        <v>2637</v>
      </c>
      <c r="N214" s="343" t="s">
        <v>778</v>
      </c>
      <c r="O214" s="343" t="s">
        <v>2638</v>
      </c>
      <c r="P214" s="345"/>
      <c r="Q214" s="345"/>
    </row>
    <row r="215">
      <c r="A215" s="116"/>
      <c r="B215" s="182" t="s">
        <v>904</v>
      </c>
      <c r="C215" s="212" t="s">
        <v>2639</v>
      </c>
      <c r="D215" s="212" t="s">
        <v>2640</v>
      </c>
      <c r="E215" s="212" t="s">
        <v>317</v>
      </c>
      <c r="F215" s="212" t="s">
        <v>2165</v>
      </c>
      <c r="G215" s="366" t="s">
        <v>2643</v>
      </c>
      <c r="H215" s="366" t="s">
        <v>2643</v>
      </c>
      <c r="I215" s="352">
        <v>3.0</v>
      </c>
      <c r="J215" s="354">
        <v>46049.0</v>
      </c>
      <c r="K215" s="358" t="s">
        <v>2653</v>
      </c>
      <c r="L215" s="358" t="s">
        <v>192</v>
      </c>
      <c r="M215" s="358" t="s">
        <v>195</v>
      </c>
      <c r="N215" s="358" t="s">
        <v>208</v>
      </c>
      <c r="O215" s="358" t="s">
        <v>2657</v>
      </c>
      <c r="P215" s="345"/>
      <c r="Q215" s="345"/>
    </row>
    <row r="216">
      <c r="A216" s="370"/>
      <c r="B216" s="182" t="s">
        <v>904</v>
      </c>
      <c r="C216" s="210" t="s">
        <v>2666</v>
      </c>
      <c r="D216" s="210" t="s">
        <v>2667</v>
      </c>
      <c r="E216" s="210" t="s">
        <v>2668</v>
      </c>
      <c r="F216" s="210" t="s">
        <v>2669</v>
      </c>
      <c r="G216" s="338" t="s">
        <v>2670</v>
      </c>
      <c r="H216" s="338" t="s">
        <v>2670</v>
      </c>
      <c r="I216" s="117">
        <v>1.0</v>
      </c>
      <c r="J216" s="101">
        <v>46056.0</v>
      </c>
      <c r="K216" s="371" t="s">
        <v>2684</v>
      </c>
      <c r="L216" s="372" t="s">
        <v>224</v>
      </c>
      <c r="M216" s="373" t="s">
        <v>324</v>
      </c>
      <c r="N216" s="373" t="s">
        <v>660</v>
      </c>
      <c r="O216" s="373" t="s">
        <v>2689</v>
      </c>
      <c r="P216" s="374"/>
      <c r="Q216" s="374"/>
    </row>
    <row r="217">
      <c r="A217" s="370"/>
      <c r="B217" s="182" t="s">
        <v>904</v>
      </c>
      <c r="C217" s="212" t="s">
        <v>2699</v>
      </c>
      <c r="D217" s="212" t="s">
        <v>2700</v>
      </c>
      <c r="E217" s="212" t="s">
        <v>1351</v>
      </c>
      <c r="F217" s="212" t="s">
        <v>2701</v>
      </c>
      <c r="G217" s="350" t="s">
        <v>2702</v>
      </c>
      <c r="H217" s="350" t="s">
        <v>2702</v>
      </c>
      <c r="I217" s="117">
        <v>2.0</v>
      </c>
      <c r="J217" s="101">
        <v>46063.0</v>
      </c>
      <c r="K217" s="371" t="s">
        <v>2714</v>
      </c>
      <c r="L217" s="372" t="s">
        <v>192</v>
      </c>
      <c r="M217" s="373" t="s">
        <v>195</v>
      </c>
      <c r="N217" s="373" t="s">
        <v>257</v>
      </c>
      <c r="O217" s="373" t="s">
        <v>2722</v>
      </c>
      <c r="P217" s="374"/>
      <c r="Q217" s="374"/>
    </row>
    <row r="218">
      <c r="A218" s="370"/>
      <c r="B218" s="182" t="s">
        <v>904</v>
      </c>
      <c r="C218" s="210" t="s">
        <v>2725</v>
      </c>
      <c r="D218" s="210" t="s">
        <v>2726</v>
      </c>
      <c r="E218" s="210" t="s">
        <v>2082</v>
      </c>
      <c r="F218" s="210" t="s">
        <v>2727</v>
      </c>
      <c r="G218" s="338" t="s">
        <v>2728</v>
      </c>
      <c r="H218" s="338" t="s">
        <v>2728</v>
      </c>
      <c r="I218" s="379" t="s">
        <v>1806</v>
      </c>
      <c r="J218" s="380"/>
      <c r="K218" s="371" t="s">
        <v>2737</v>
      </c>
      <c r="L218" s="372" t="s">
        <v>192</v>
      </c>
      <c r="M218" s="373" t="s">
        <v>195</v>
      </c>
      <c r="N218" s="373" t="s">
        <v>352</v>
      </c>
      <c r="O218" s="373" t="s">
        <v>2744</v>
      </c>
      <c r="P218" s="374"/>
      <c r="Q218" s="374"/>
    </row>
    <row r="219">
      <c r="A219" s="370"/>
      <c r="B219" s="182" t="s">
        <v>904</v>
      </c>
      <c r="C219" s="212" t="s">
        <v>2745</v>
      </c>
      <c r="D219" s="212" t="s">
        <v>2746</v>
      </c>
      <c r="E219" s="212" t="s">
        <v>317</v>
      </c>
      <c r="F219" s="212" t="s">
        <v>2747</v>
      </c>
      <c r="G219" s="366" t="s">
        <v>2748</v>
      </c>
      <c r="H219" s="366" t="s">
        <v>2748</v>
      </c>
      <c r="I219" s="379" t="s">
        <v>2527</v>
      </c>
      <c r="J219" s="380"/>
      <c r="K219" s="371" t="s">
        <v>2756</v>
      </c>
      <c r="L219" s="372" t="s">
        <v>192</v>
      </c>
      <c r="M219" s="373" t="s">
        <v>195</v>
      </c>
      <c r="N219" s="373" t="s">
        <v>257</v>
      </c>
      <c r="O219" s="373" t="s">
        <v>2761</v>
      </c>
      <c r="P219" s="374"/>
      <c r="Q219" s="374"/>
    </row>
    <row r="220">
      <c r="A220" s="370"/>
      <c r="B220" s="182" t="s">
        <v>904</v>
      </c>
      <c r="C220" s="210" t="s">
        <v>2763</v>
      </c>
      <c r="D220" s="210" t="s">
        <v>2764</v>
      </c>
      <c r="E220" s="210" t="s">
        <v>1039</v>
      </c>
      <c r="F220" s="210" t="s">
        <v>2765</v>
      </c>
      <c r="G220" s="338" t="s">
        <v>2766</v>
      </c>
      <c r="H220" s="338" t="s">
        <v>2766</v>
      </c>
      <c r="I220" s="379" t="s">
        <v>2772</v>
      </c>
      <c r="J220" s="380"/>
      <c r="K220" s="371" t="s">
        <v>2775</v>
      </c>
      <c r="L220" s="372" t="s">
        <v>485</v>
      </c>
      <c r="M220" s="373" t="s">
        <v>2781</v>
      </c>
      <c r="N220" s="373" t="s">
        <v>1159</v>
      </c>
      <c r="O220" s="373" t="s">
        <v>2783</v>
      </c>
      <c r="P220" s="374"/>
      <c r="Q220" s="374"/>
    </row>
    <row r="221">
      <c r="A221" s="370"/>
      <c r="B221" s="182" t="s">
        <v>904</v>
      </c>
      <c r="C221" s="212" t="s">
        <v>2785</v>
      </c>
      <c r="D221" s="212" t="s">
        <v>2788</v>
      </c>
      <c r="E221" s="212" t="s">
        <v>2789</v>
      </c>
      <c r="F221" s="212" t="s">
        <v>2791</v>
      </c>
      <c r="G221" s="366" t="s">
        <v>2792</v>
      </c>
      <c r="H221" s="366" t="s">
        <v>2792</v>
      </c>
      <c r="I221" s="379" t="s">
        <v>1806</v>
      </c>
      <c r="J221" s="380"/>
      <c r="K221" s="371" t="s">
        <v>2797</v>
      </c>
      <c r="L221" s="372" t="s">
        <v>461</v>
      </c>
      <c r="M221" s="373" t="s">
        <v>2637</v>
      </c>
      <c r="N221" s="373" t="s">
        <v>778</v>
      </c>
      <c r="O221" s="373" t="s">
        <v>2804</v>
      </c>
      <c r="P221" s="374"/>
      <c r="Q221" s="374"/>
    </row>
    <row r="222">
      <c r="A222" s="370"/>
      <c r="B222" s="182" t="s">
        <v>904</v>
      </c>
      <c r="C222" s="210" t="s">
        <v>2805</v>
      </c>
      <c r="D222" s="210" t="s">
        <v>2806</v>
      </c>
      <c r="E222" s="210" t="s">
        <v>1039</v>
      </c>
      <c r="F222" s="391" t="s">
        <v>2808</v>
      </c>
      <c r="G222" s="338" t="s">
        <v>2813</v>
      </c>
      <c r="H222" s="338" t="s">
        <v>2813</v>
      </c>
      <c r="I222" s="379" t="s">
        <v>1806</v>
      </c>
      <c r="J222" s="380"/>
      <c r="K222" s="371" t="s">
        <v>2823</v>
      </c>
      <c r="L222" s="372" t="s">
        <v>485</v>
      </c>
      <c r="M222" s="373" t="s">
        <v>486</v>
      </c>
      <c r="N222" s="373" t="s">
        <v>482</v>
      </c>
      <c r="O222" s="373" t="s">
        <v>2830</v>
      </c>
      <c r="P222" s="374"/>
      <c r="Q222" s="374"/>
    </row>
    <row r="223">
      <c r="A223" s="392"/>
      <c r="B223" s="182" t="s">
        <v>904</v>
      </c>
      <c r="C223" s="393" t="s">
        <v>2834</v>
      </c>
      <c r="D223" s="237" t="s">
        <v>2837</v>
      </c>
      <c r="E223" s="194" t="s">
        <v>2838</v>
      </c>
      <c r="F223" s="394"/>
      <c r="G223" s="397" t="s">
        <v>2840</v>
      </c>
      <c r="H223" s="398" t="s">
        <v>2840</v>
      </c>
      <c r="I223" s="379" t="s">
        <v>2772</v>
      </c>
      <c r="J223" s="7"/>
      <c r="K223" s="399" t="s">
        <v>2855</v>
      </c>
      <c r="L223" s="400" t="s">
        <v>224</v>
      </c>
      <c r="M223" s="402" t="s">
        <v>324</v>
      </c>
      <c r="N223" s="403" t="s">
        <v>660</v>
      </c>
      <c r="O223" s="404" t="s">
        <v>2857</v>
      </c>
      <c r="P223" s="405"/>
      <c r="Q223" s="271"/>
    </row>
    <row r="224">
      <c r="A224" s="67"/>
      <c r="B224" s="182" t="s">
        <v>904</v>
      </c>
      <c r="C224" s="210" t="s">
        <v>2861</v>
      </c>
      <c r="D224" s="210" t="s">
        <v>2862</v>
      </c>
      <c r="E224" s="406" t="s">
        <v>1039</v>
      </c>
      <c r="F224" s="407" t="s">
        <v>2865</v>
      </c>
      <c r="G224" s="408" t="s">
        <v>2866</v>
      </c>
      <c r="H224" s="409" t="s">
        <v>2866</v>
      </c>
      <c r="I224" s="77">
        <v>4.14</v>
      </c>
      <c r="K224" s="399" t="s">
        <v>2879</v>
      </c>
      <c r="L224" s="400" t="s">
        <v>485</v>
      </c>
      <c r="M224" s="412" t="s">
        <v>386</v>
      </c>
      <c r="N224" s="414" t="s">
        <v>1182</v>
      </c>
      <c r="O224" s="414" t="s">
        <v>2857</v>
      </c>
      <c r="P224" s="416"/>
      <c r="Q224" s="417"/>
    </row>
    <row r="225">
      <c r="A225" s="67"/>
      <c r="B225" s="182" t="s">
        <v>904</v>
      </c>
      <c r="C225" s="212" t="s">
        <v>2889</v>
      </c>
      <c r="D225" s="212" t="s">
        <v>1902</v>
      </c>
      <c r="E225" s="212" t="s">
        <v>2890</v>
      </c>
      <c r="F225" s="420" t="s">
        <v>1905</v>
      </c>
      <c r="G225" s="422" t="s">
        <v>2893</v>
      </c>
      <c r="H225" s="422" t="s">
        <v>2893</v>
      </c>
      <c r="I225" s="424">
        <v>4.0</v>
      </c>
      <c r="J225" s="345"/>
      <c r="K225" s="425" t="s">
        <v>1911</v>
      </c>
      <c r="L225" s="426" t="s">
        <v>192</v>
      </c>
      <c r="M225" s="136" t="s">
        <v>195</v>
      </c>
      <c r="N225" s="136" t="s">
        <v>257</v>
      </c>
      <c r="O225" s="136" t="s">
        <v>2903</v>
      </c>
      <c r="P225" s="333"/>
      <c r="Q225" s="333"/>
    </row>
    <row r="226">
      <c r="A226" s="67"/>
      <c r="B226" s="182" t="s">
        <v>904</v>
      </c>
      <c r="C226" s="210" t="s">
        <v>2906</v>
      </c>
      <c r="D226" s="210" t="s">
        <v>2907</v>
      </c>
      <c r="E226" s="210" t="s">
        <v>317</v>
      </c>
      <c r="F226" s="428" t="s">
        <v>2908</v>
      </c>
      <c r="G226" s="429" t="s">
        <v>2909</v>
      </c>
      <c r="H226" s="430" t="s">
        <v>2909</v>
      </c>
      <c r="I226" s="424">
        <v>4.14</v>
      </c>
      <c r="J226" s="345"/>
      <c r="K226" s="425" t="s">
        <v>2922</v>
      </c>
      <c r="L226" s="426" t="s">
        <v>192</v>
      </c>
      <c r="M226" s="127" t="s">
        <v>195</v>
      </c>
      <c r="N226" s="127" t="s">
        <v>362</v>
      </c>
      <c r="O226" s="127" t="s">
        <v>2930</v>
      </c>
      <c r="P226" s="337"/>
      <c r="Q226" s="337"/>
    </row>
    <row r="227">
      <c r="A227" s="67"/>
      <c r="B227" s="182" t="s">
        <v>904</v>
      </c>
      <c r="C227" s="212" t="s">
        <v>2931</v>
      </c>
      <c r="D227" s="212" t="s">
        <v>2932</v>
      </c>
      <c r="E227" s="432" t="s">
        <v>2933</v>
      </c>
      <c r="F227" s="433" t="s">
        <v>2934</v>
      </c>
      <c r="G227" s="436" t="s">
        <v>2939</v>
      </c>
      <c r="H227" s="437" t="s">
        <v>2939</v>
      </c>
      <c r="I227" s="438">
        <v>3.14</v>
      </c>
      <c r="J227" s="439"/>
      <c r="K227" s="441"/>
      <c r="L227" s="345"/>
      <c r="M227" s="333"/>
      <c r="N227" s="333"/>
      <c r="O227" s="333"/>
      <c r="P227" s="333"/>
      <c r="Q227" s="333"/>
    </row>
    <row r="228">
      <c r="A228" s="67"/>
      <c r="B228" s="182" t="s">
        <v>904</v>
      </c>
      <c r="C228" s="237" t="s">
        <v>2952</v>
      </c>
      <c r="D228" s="39" t="s">
        <v>2953</v>
      </c>
      <c r="E228" s="442" t="s">
        <v>2955</v>
      </c>
      <c r="F228" s="443" t="s">
        <v>2958</v>
      </c>
      <c r="G228" s="445" t="s">
        <v>2963</v>
      </c>
      <c r="H228" s="445" t="s">
        <v>2963</v>
      </c>
      <c r="I228" s="126">
        <v>4.36</v>
      </c>
      <c r="J228" s="337"/>
      <c r="K228" s="146" t="s">
        <v>2970</v>
      </c>
      <c r="L228" s="127" t="s">
        <v>192</v>
      </c>
      <c r="M228" s="127" t="s">
        <v>195</v>
      </c>
      <c r="N228" s="127" t="s">
        <v>257</v>
      </c>
      <c r="O228" s="127" t="s">
        <v>2980</v>
      </c>
      <c r="P228" s="337"/>
      <c r="Q228" s="337"/>
    </row>
    <row r="229">
      <c r="A229" s="67"/>
      <c r="B229" s="182" t="s">
        <v>904</v>
      </c>
      <c r="C229" s="212" t="s">
        <v>2983</v>
      </c>
      <c r="D229" s="212" t="s">
        <v>2984</v>
      </c>
      <c r="E229" s="432" t="s">
        <v>1812</v>
      </c>
      <c r="F229" s="433" t="s">
        <v>2985</v>
      </c>
      <c r="G229" s="436" t="s">
        <v>2986</v>
      </c>
      <c r="H229" s="437" t="s">
        <v>2986</v>
      </c>
      <c r="I229" s="77">
        <v>4.0</v>
      </c>
      <c r="K229" s="399" t="s">
        <v>2996</v>
      </c>
      <c r="L229" s="136" t="s">
        <v>461</v>
      </c>
      <c r="M229" s="136" t="s">
        <v>462</v>
      </c>
      <c r="N229" s="136" t="s">
        <v>880</v>
      </c>
      <c r="O229" s="333"/>
      <c r="P229" s="333"/>
      <c r="Q229" s="333"/>
    </row>
    <row r="230">
      <c r="A230" s="67"/>
      <c r="B230" s="182" t="s">
        <v>904</v>
      </c>
      <c r="C230" s="237" t="s">
        <v>3008</v>
      </c>
      <c r="D230" s="39" t="s">
        <v>3009</v>
      </c>
      <c r="E230" s="442" t="s">
        <v>3010</v>
      </c>
      <c r="F230" s="443" t="s">
        <v>3011</v>
      </c>
      <c r="G230" s="456" t="s">
        <v>3012</v>
      </c>
      <c r="H230" s="457" t="s">
        <v>3012</v>
      </c>
      <c r="I230" s="140">
        <v>3.5</v>
      </c>
      <c r="J230" s="337"/>
      <c r="K230" s="127" t="s">
        <v>3027</v>
      </c>
      <c r="L230" s="127" t="s">
        <v>192</v>
      </c>
      <c r="M230" s="127" t="s">
        <v>276</v>
      </c>
      <c r="N230" s="127" t="s">
        <v>1372</v>
      </c>
      <c r="O230" s="337"/>
      <c r="P230" s="337"/>
      <c r="Q230" s="337"/>
    </row>
    <row r="231">
      <c r="A231" s="67"/>
      <c r="B231" s="182" t="s">
        <v>904</v>
      </c>
      <c r="C231" s="212" t="s">
        <v>3029</v>
      </c>
      <c r="D231" s="212" t="s">
        <v>2137</v>
      </c>
      <c r="E231" s="432" t="s">
        <v>436</v>
      </c>
      <c r="F231" s="433" t="s">
        <v>3031</v>
      </c>
      <c r="G231" s="366" t="s">
        <v>3034</v>
      </c>
      <c r="H231" s="457" t="s">
        <v>3034</v>
      </c>
      <c r="I231" s="134">
        <v>4.07</v>
      </c>
      <c r="J231" s="333"/>
      <c r="K231" s="154" t="s">
        <v>2148</v>
      </c>
      <c r="L231" s="136" t="s">
        <v>192</v>
      </c>
      <c r="M231" s="136" t="s">
        <v>195</v>
      </c>
      <c r="N231" s="136" t="s">
        <v>362</v>
      </c>
      <c r="O231" s="333"/>
      <c r="P231" s="333"/>
      <c r="Q231" s="333"/>
    </row>
    <row r="232">
      <c r="A232" s="67"/>
      <c r="B232" s="182" t="s">
        <v>904</v>
      </c>
      <c r="C232" s="210" t="s">
        <v>3047</v>
      </c>
      <c r="D232" s="210" t="s">
        <v>1902</v>
      </c>
      <c r="E232" s="406" t="s">
        <v>2890</v>
      </c>
      <c r="F232" s="407" t="s">
        <v>1905</v>
      </c>
      <c r="G232" s="466" t="s">
        <v>3048</v>
      </c>
      <c r="H232" s="399" t="s">
        <v>3048</v>
      </c>
      <c r="I232" s="466">
        <v>3.79</v>
      </c>
      <c r="J232" s="467"/>
      <c r="K232" s="468" t="s">
        <v>1911</v>
      </c>
      <c r="L232" s="400" t="s">
        <v>192</v>
      </c>
      <c r="M232" s="469" t="s">
        <v>276</v>
      </c>
      <c r="N232" s="127" t="s">
        <v>996</v>
      </c>
      <c r="O232" s="337"/>
      <c r="P232" s="337"/>
      <c r="Q232" s="337"/>
    </row>
    <row r="233">
      <c r="A233" s="67"/>
      <c r="B233" s="182" t="s">
        <v>904</v>
      </c>
      <c r="C233" s="237" t="s">
        <v>3066</v>
      </c>
      <c r="D233" s="212" t="s">
        <v>3067</v>
      </c>
      <c r="E233" s="432" t="s">
        <v>3068</v>
      </c>
      <c r="F233" s="433" t="s">
        <v>3070</v>
      </c>
      <c r="G233" s="475" t="s">
        <v>3072</v>
      </c>
      <c r="H233" s="476" t="s">
        <v>3072</v>
      </c>
      <c r="I233" s="477">
        <v>3.79</v>
      </c>
      <c r="J233" s="467"/>
      <c r="K233" s="468" t="s">
        <v>3073</v>
      </c>
      <c r="L233" s="400" t="s">
        <v>224</v>
      </c>
      <c r="M233" s="469" t="s">
        <v>440</v>
      </c>
      <c r="N233" s="136" t="s">
        <v>616</v>
      </c>
      <c r="O233" s="333"/>
      <c r="P233" s="333"/>
      <c r="Q233" s="333"/>
    </row>
    <row r="234">
      <c r="A234" s="67"/>
      <c r="B234" s="182" t="s">
        <v>904</v>
      </c>
      <c r="C234" s="210" t="s">
        <v>3074</v>
      </c>
      <c r="D234" s="210" t="s">
        <v>3075</v>
      </c>
      <c r="E234" s="406" t="s">
        <v>3076</v>
      </c>
      <c r="F234" s="407" t="s">
        <v>3077</v>
      </c>
      <c r="G234" s="466" t="s">
        <v>3078</v>
      </c>
      <c r="H234" s="399" t="s">
        <v>3078</v>
      </c>
      <c r="I234" s="466">
        <v>4.07</v>
      </c>
      <c r="J234" s="467"/>
      <c r="K234" s="468" t="s">
        <v>3084</v>
      </c>
      <c r="L234" s="400" t="s">
        <v>192</v>
      </c>
      <c r="M234" s="469" t="s">
        <v>195</v>
      </c>
      <c r="N234" s="127" t="s">
        <v>257</v>
      </c>
      <c r="O234" s="337"/>
      <c r="P234" s="337"/>
      <c r="Q234" s="337"/>
    </row>
    <row r="235">
      <c r="A235" s="67"/>
      <c r="B235" s="182" t="s">
        <v>904</v>
      </c>
      <c r="C235" s="212" t="s">
        <v>3086</v>
      </c>
      <c r="D235" s="212" t="s">
        <v>3087</v>
      </c>
      <c r="E235" s="432" t="s">
        <v>3088</v>
      </c>
      <c r="F235" s="433" t="s">
        <v>1905</v>
      </c>
      <c r="G235" s="466" t="s">
        <v>3089</v>
      </c>
      <c r="H235" s="290"/>
      <c r="I235" s="77">
        <v>3.43</v>
      </c>
      <c r="J235" s="480"/>
      <c r="K235" s="399" t="s">
        <v>3099</v>
      </c>
      <c r="L235" s="127" t="s">
        <v>192</v>
      </c>
      <c r="M235" s="127" t="s">
        <v>195</v>
      </c>
      <c r="N235" s="127" t="s">
        <v>257</v>
      </c>
      <c r="O235" s="337"/>
      <c r="P235" s="337"/>
      <c r="Q235" s="337"/>
    </row>
    <row r="236">
      <c r="A236" s="67"/>
      <c r="B236" s="182" t="s">
        <v>904</v>
      </c>
      <c r="C236" s="237" t="s">
        <v>3109</v>
      </c>
      <c r="D236" s="39" t="s">
        <v>3110</v>
      </c>
      <c r="E236" s="442" t="s">
        <v>3111</v>
      </c>
      <c r="F236" s="443" t="s">
        <v>692</v>
      </c>
      <c r="G236" s="486" t="s">
        <v>3113</v>
      </c>
      <c r="H236" s="457" t="s">
        <v>3113</v>
      </c>
      <c r="I236" s="134">
        <v>4.21</v>
      </c>
      <c r="J236" s="333"/>
      <c r="K236" s="154" t="s">
        <v>3119</v>
      </c>
      <c r="L236" s="136" t="s">
        <v>461</v>
      </c>
      <c r="M236" s="136" t="s">
        <v>462</v>
      </c>
      <c r="N236" s="136" t="s">
        <v>3125</v>
      </c>
      <c r="O236" s="333"/>
      <c r="P236" s="333"/>
      <c r="Q236" s="333"/>
    </row>
    <row r="237">
      <c r="A237" s="67"/>
      <c r="B237" s="182" t="s">
        <v>904</v>
      </c>
      <c r="C237" s="487" t="s">
        <v>3130</v>
      </c>
      <c r="D237" s="488" t="s">
        <v>3132</v>
      </c>
      <c r="E237" s="489" t="s">
        <v>3133</v>
      </c>
      <c r="F237" s="490" t="s">
        <v>3134</v>
      </c>
      <c r="G237" s="493" t="s">
        <v>3135</v>
      </c>
      <c r="H237" s="490"/>
      <c r="I237" s="490">
        <v>4.21</v>
      </c>
      <c r="J237" s="490"/>
      <c r="K237" s="399" t="s">
        <v>3139</v>
      </c>
      <c r="L237" s="127" t="s">
        <v>461</v>
      </c>
      <c r="M237" s="127" t="s">
        <v>462</v>
      </c>
      <c r="N237" s="127" t="s">
        <v>778</v>
      </c>
      <c r="O237" s="337"/>
      <c r="P237" s="337"/>
      <c r="Q237" s="337"/>
    </row>
    <row r="238">
      <c r="A238" s="67"/>
      <c r="B238" s="182" t="s">
        <v>904</v>
      </c>
      <c r="C238" s="210" t="s">
        <v>3147</v>
      </c>
      <c r="D238" s="210" t="s">
        <v>3149</v>
      </c>
      <c r="E238" s="210" t="s">
        <v>2186</v>
      </c>
      <c r="F238" s="428" t="s">
        <v>3150</v>
      </c>
      <c r="G238" s="350" t="s">
        <v>3151</v>
      </c>
      <c r="H238" s="498"/>
      <c r="I238" s="205">
        <v>3.43</v>
      </c>
      <c r="J238" s="499"/>
      <c r="K238" s="154" t="s">
        <v>3160</v>
      </c>
      <c r="L238" s="136" t="s">
        <v>461</v>
      </c>
      <c r="M238" s="136" t="s">
        <v>462</v>
      </c>
      <c r="N238" s="136" t="s">
        <v>778</v>
      </c>
      <c r="O238" s="333"/>
      <c r="P238" s="333"/>
      <c r="Q238" s="333"/>
    </row>
    <row r="239">
      <c r="A239" s="67"/>
      <c r="B239" s="164" t="s">
        <v>904</v>
      </c>
      <c r="C239" s="212" t="s">
        <v>3167</v>
      </c>
      <c r="D239" s="212" t="s">
        <v>3168</v>
      </c>
      <c r="E239" s="212" t="s">
        <v>436</v>
      </c>
      <c r="F239" s="420" t="s">
        <v>3170</v>
      </c>
      <c r="G239" s="350" t="s">
        <v>3171</v>
      </c>
      <c r="H239" s="498"/>
      <c r="I239" s="213">
        <v>3.79</v>
      </c>
      <c r="J239" s="504"/>
      <c r="K239" s="146" t="s">
        <v>2364</v>
      </c>
      <c r="L239" s="127" t="s">
        <v>192</v>
      </c>
      <c r="M239" s="127" t="s">
        <v>2254</v>
      </c>
      <c r="N239" s="127" t="s">
        <v>362</v>
      </c>
      <c r="O239" s="337"/>
      <c r="P239" s="337"/>
      <c r="Q239" s="337"/>
    </row>
    <row r="240">
      <c r="A240" s="67"/>
      <c r="B240" s="164" t="s">
        <v>904</v>
      </c>
      <c r="C240" s="237" t="s">
        <v>3181</v>
      </c>
      <c r="D240" s="39" t="s">
        <v>3182</v>
      </c>
      <c r="E240" s="39" t="s">
        <v>317</v>
      </c>
      <c r="F240" s="506" t="s">
        <v>3184</v>
      </c>
      <c r="G240" s="509" t="s">
        <v>3187</v>
      </c>
      <c r="H240" s="510"/>
      <c r="I240" s="134">
        <v>4.07</v>
      </c>
      <c r="J240" s="333"/>
      <c r="K240" s="154" t="s">
        <v>3199</v>
      </c>
      <c r="L240" s="136" t="s">
        <v>485</v>
      </c>
      <c r="M240" s="136" t="s">
        <v>486</v>
      </c>
      <c r="N240" s="136" t="s">
        <v>493</v>
      </c>
      <c r="O240" s="333"/>
      <c r="P240" s="333"/>
      <c r="Q240" s="333"/>
    </row>
    <row r="241">
      <c r="A241" s="67"/>
      <c r="B241" s="164" t="s">
        <v>904</v>
      </c>
      <c r="C241" s="212" t="s">
        <v>3206</v>
      </c>
      <c r="D241" s="212" t="s">
        <v>1458</v>
      </c>
      <c r="E241" s="212" t="s">
        <v>317</v>
      </c>
      <c r="F241" s="420" t="s">
        <v>1459</v>
      </c>
      <c r="G241" s="517" t="s">
        <v>3207</v>
      </c>
      <c r="H241" s="510"/>
      <c r="I241" s="140">
        <v>3.57</v>
      </c>
      <c r="J241" s="337"/>
      <c r="K241" s="146" t="s">
        <v>1463</v>
      </c>
      <c r="L241" s="127" t="s">
        <v>192</v>
      </c>
      <c r="M241" s="127" t="s">
        <v>195</v>
      </c>
      <c r="N241" s="127" t="s">
        <v>897</v>
      </c>
      <c r="O241" s="337"/>
      <c r="P241" s="337"/>
      <c r="Q241" s="337"/>
    </row>
    <row r="242">
      <c r="A242" s="67"/>
      <c r="B242" s="164" t="s">
        <v>904</v>
      </c>
      <c r="C242" s="518" t="s">
        <v>3219</v>
      </c>
      <c r="D242" s="518" t="s">
        <v>1458</v>
      </c>
      <c r="E242" s="519" t="s">
        <v>317</v>
      </c>
      <c r="F242" s="520" t="s">
        <v>1459</v>
      </c>
      <c r="G242" s="525" t="s">
        <v>3221</v>
      </c>
      <c r="H242" s="510"/>
      <c r="I242" s="134">
        <v>4.07</v>
      </c>
      <c r="J242" s="333"/>
      <c r="K242" s="154" t="s">
        <v>1463</v>
      </c>
      <c r="L242" s="136" t="s">
        <v>192</v>
      </c>
      <c r="M242" s="136" t="s">
        <v>195</v>
      </c>
      <c r="N242" s="136" t="s">
        <v>897</v>
      </c>
      <c r="O242" s="333"/>
      <c r="P242" s="333"/>
      <c r="Q242" s="333"/>
    </row>
    <row r="243">
      <c r="A243" s="67"/>
      <c r="B243" s="164" t="s">
        <v>904</v>
      </c>
      <c r="C243" s="212" t="s">
        <v>3230</v>
      </c>
      <c r="D243" s="212" t="s">
        <v>1458</v>
      </c>
      <c r="E243" s="432" t="s">
        <v>317</v>
      </c>
      <c r="F243" s="433" t="s">
        <v>1459</v>
      </c>
      <c r="G243" s="531" t="s">
        <v>3232</v>
      </c>
      <c r="H243" s="510"/>
      <c r="I243" s="140">
        <v>4.07</v>
      </c>
      <c r="J243" s="337"/>
      <c r="K243" s="146" t="s">
        <v>1463</v>
      </c>
      <c r="L243" s="127" t="s">
        <v>192</v>
      </c>
      <c r="M243" s="127" t="s">
        <v>195</v>
      </c>
      <c r="N243" s="127" t="s">
        <v>897</v>
      </c>
      <c r="O243" s="337"/>
      <c r="P243" s="337"/>
      <c r="Q243" s="337"/>
    </row>
    <row r="244">
      <c r="A244" s="67"/>
      <c r="B244" s="164" t="s">
        <v>904</v>
      </c>
      <c r="C244" s="210" t="s">
        <v>3243</v>
      </c>
      <c r="D244" s="210" t="s">
        <v>1458</v>
      </c>
      <c r="E244" s="210" t="s">
        <v>317</v>
      </c>
      <c r="F244" s="428" t="s">
        <v>1459</v>
      </c>
      <c r="G244" s="517" t="s">
        <v>3244</v>
      </c>
      <c r="H244" s="510"/>
      <c r="I244" s="134">
        <v>3.57</v>
      </c>
      <c r="J244" s="333"/>
      <c r="K244" s="154" t="s">
        <v>1463</v>
      </c>
      <c r="L244" s="136" t="s">
        <v>192</v>
      </c>
      <c r="M244" s="136" t="s">
        <v>195</v>
      </c>
      <c r="N244" s="136" t="s">
        <v>897</v>
      </c>
      <c r="O244" s="333"/>
      <c r="P244" s="333"/>
      <c r="Q244" s="333"/>
    </row>
    <row r="245">
      <c r="A245" s="67"/>
      <c r="B245" s="164" t="s">
        <v>904</v>
      </c>
      <c r="C245" s="539" t="s">
        <v>3256</v>
      </c>
      <c r="D245" s="539" t="s">
        <v>3260</v>
      </c>
      <c r="E245" s="541" t="s">
        <v>410</v>
      </c>
      <c r="F245" s="543" t="s">
        <v>3262</v>
      </c>
      <c r="G245" s="525" t="s">
        <v>3263</v>
      </c>
      <c r="H245" s="510"/>
      <c r="I245" s="140">
        <v>3.43</v>
      </c>
      <c r="J245" s="337"/>
      <c r="K245" s="146" t="s">
        <v>3274</v>
      </c>
      <c r="L245" s="127" t="s">
        <v>192</v>
      </c>
      <c r="M245" s="127" t="s">
        <v>195</v>
      </c>
      <c r="N245" s="127" t="s">
        <v>897</v>
      </c>
      <c r="O245" s="337"/>
      <c r="P245" s="337"/>
      <c r="Q245" s="337"/>
    </row>
    <row r="246">
      <c r="A246" s="67"/>
      <c r="B246" s="164" t="s">
        <v>904</v>
      </c>
      <c r="C246" s="518" t="s">
        <v>3278</v>
      </c>
      <c r="D246" s="518" t="s">
        <v>3279</v>
      </c>
      <c r="E246" s="519" t="s">
        <v>3280</v>
      </c>
      <c r="F246" s="520" t="s">
        <v>3281</v>
      </c>
      <c r="G246" s="525" t="s">
        <v>3282</v>
      </c>
      <c r="H246" s="510"/>
      <c r="I246" s="134">
        <v>3.29</v>
      </c>
      <c r="J246" s="333"/>
      <c r="K246" s="154" t="s">
        <v>3290</v>
      </c>
      <c r="L246" s="136" t="s">
        <v>192</v>
      </c>
      <c r="M246" s="136" t="s">
        <v>386</v>
      </c>
      <c r="N246" s="136" t="s">
        <v>387</v>
      </c>
      <c r="O246" s="333"/>
      <c r="P246" s="333"/>
      <c r="Q246" s="333"/>
    </row>
    <row r="247">
      <c r="A247" s="67"/>
      <c r="B247" s="164" t="s">
        <v>904</v>
      </c>
      <c r="C247" s="539" t="s">
        <v>3298</v>
      </c>
      <c r="D247" s="539" t="s">
        <v>3299</v>
      </c>
      <c r="E247" s="541" t="s">
        <v>3300</v>
      </c>
      <c r="F247" s="547" t="s">
        <v>2322</v>
      </c>
      <c r="G247" s="525" t="s">
        <v>3307</v>
      </c>
      <c r="H247" s="510"/>
      <c r="I247" s="126">
        <v>3.29</v>
      </c>
      <c r="J247" s="337"/>
      <c r="K247" s="127" t="s">
        <v>3313</v>
      </c>
      <c r="L247" s="127" t="s">
        <v>224</v>
      </c>
      <c r="M247" s="127" t="s">
        <v>324</v>
      </c>
      <c r="N247" s="127" t="s">
        <v>1096</v>
      </c>
      <c r="O247" s="337"/>
      <c r="P247" s="337"/>
      <c r="Q247" s="337"/>
    </row>
    <row r="248">
      <c r="A248" s="67"/>
      <c r="B248" s="164" t="s">
        <v>904</v>
      </c>
      <c r="C248" s="237" t="s">
        <v>3317</v>
      </c>
      <c r="D248" s="39" t="s">
        <v>3050</v>
      </c>
      <c r="E248" s="442" t="s">
        <v>317</v>
      </c>
      <c r="F248" s="554" t="s">
        <v>3051</v>
      </c>
      <c r="G248" s="559" t="s">
        <v>3319</v>
      </c>
      <c r="H248" s="510"/>
      <c r="I248" s="134">
        <v>3.79</v>
      </c>
      <c r="J248" s="333"/>
      <c r="K248" s="154" t="s">
        <v>3052</v>
      </c>
      <c r="L248" s="136" t="s">
        <v>224</v>
      </c>
      <c r="M248" s="136" t="s">
        <v>440</v>
      </c>
      <c r="N248" s="333"/>
      <c r="O248" s="333"/>
      <c r="P248" s="333"/>
      <c r="Q248" s="333"/>
    </row>
    <row r="249">
      <c r="A249" s="67"/>
      <c r="B249" s="164" t="s">
        <v>904</v>
      </c>
      <c r="C249" s="212" t="s">
        <v>3332</v>
      </c>
      <c r="D249" s="563" t="s">
        <v>701</v>
      </c>
      <c r="E249" s="564" t="s">
        <v>2128</v>
      </c>
      <c r="F249" s="565" t="s">
        <v>704</v>
      </c>
      <c r="G249" s="559" t="s">
        <v>3336</v>
      </c>
      <c r="H249" s="510"/>
      <c r="I249" s="140">
        <v>3.57</v>
      </c>
      <c r="J249" s="337"/>
      <c r="K249" s="146" t="s">
        <v>705</v>
      </c>
      <c r="L249" s="127" t="s">
        <v>224</v>
      </c>
      <c r="M249" s="127" t="s">
        <v>226</v>
      </c>
      <c r="N249" s="127" t="s">
        <v>3347</v>
      </c>
      <c r="O249" s="337"/>
      <c r="P249" s="337"/>
      <c r="Q249" s="337"/>
    </row>
    <row r="250">
      <c r="A250" s="67"/>
      <c r="B250" s="164" t="s">
        <v>904</v>
      </c>
      <c r="C250" s="237" t="s">
        <v>3348</v>
      </c>
      <c r="D250" s="39" t="s">
        <v>1098</v>
      </c>
      <c r="E250" s="442" t="s">
        <v>3350</v>
      </c>
      <c r="F250" s="554" t="s">
        <v>3352</v>
      </c>
      <c r="G250" s="559" t="s">
        <v>3353</v>
      </c>
      <c r="H250" s="510"/>
      <c r="I250" s="134">
        <v>3.07</v>
      </c>
      <c r="J250" s="333"/>
      <c r="K250" s="154" t="s">
        <v>1101</v>
      </c>
      <c r="L250" s="136" t="s">
        <v>485</v>
      </c>
      <c r="M250" s="136" t="s">
        <v>486</v>
      </c>
      <c r="N250" s="136" t="s">
        <v>1372</v>
      </c>
      <c r="O250" s="333"/>
      <c r="P250" s="333"/>
      <c r="Q250" s="333"/>
    </row>
    <row r="251">
      <c r="A251" s="67"/>
      <c r="B251" s="164" t="s">
        <v>904</v>
      </c>
      <c r="C251" s="237" t="s">
        <v>3367</v>
      </c>
      <c r="D251" s="39" t="s">
        <v>3149</v>
      </c>
      <c r="E251" s="442" t="s">
        <v>1812</v>
      </c>
      <c r="F251" s="554" t="s">
        <v>3368</v>
      </c>
      <c r="G251" s="399" t="s">
        <v>3369</v>
      </c>
      <c r="H251" s="509" t="s">
        <v>3369</v>
      </c>
      <c r="I251" s="140"/>
      <c r="J251" s="337"/>
      <c r="K251" s="559" t="s">
        <v>3160</v>
      </c>
      <c r="L251" s="572" t="s">
        <v>192</v>
      </c>
      <c r="M251" s="574" t="s">
        <v>350</v>
      </c>
      <c r="N251" s="127" t="s">
        <v>600</v>
      </c>
      <c r="O251" s="337"/>
      <c r="P251" s="337"/>
      <c r="Q251" s="337"/>
    </row>
    <row r="252">
      <c r="A252" s="67"/>
      <c r="B252" s="164" t="s">
        <v>904</v>
      </c>
      <c r="C252" s="575"/>
      <c r="D252" s="576"/>
      <c r="E252" s="576"/>
      <c r="F252" s="576"/>
      <c r="G252" s="577"/>
      <c r="H252" s="577"/>
      <c r="I252" s="580"/>
      <c r="J252" s="333"/>
      <c r="K252" s="333"/>
      <c r="L252" s="333"/>
      <c r="M252" s="333"/>
      <c r="N252" s="333"/>
      <c r="O252" s="333"/>
      <c r="P252" s="333"/>
      <c r="Q252" s="333"/>
    </row>
    <row r="253">
      <c r="A253" s="67"/>
      <c r="B253" s="164" t="s">
        <v>904</v>
      </c>
      <c r="C253" s="575"/>
      <c r="D253" s="576"/>
      <c r="E253" s="576"/>
      <c r="F253" s="576"/>
      <c r="G253" s="577"/>
      <c r="H253" s="577"/>
      <c r="I253" s="585"/>
      <c r="J253" s="337"/>
      <c r="K253" s="337"/>
      <c r="L253" s="337"/>
      <c r="M253" s="337"/>
      <c r="N253" s="337"/>
      <c r="O253" s="337"/>
      <c r="P253" s="337"/>
      <c r="Q253" s="337"/>
    </row>
    <row r="254">
      <c r="A254" s="67"/>
      <c r="B254" s="164" t="s">
        <v>904</v>
      </c>
      <c r="C254" s="575"/>
      <c r="D254" s="576"/>
      <c r="E254" s="576"/>
      <c r="F254" s="576"/>
      <c r="G254" s="577"/>
      <c r="H254" s="577"/>
      <c r="I254" s="587"/>
      <c r="J254" s="337"/>
      <c r="K254" s="337"/>
      <c r="L254" s="337"/>
      <c r="M254" s="337"/>
      <c r="N254" s="337"/>
      <c r="O254" s="337"/>
      <c r="P254" s="337"/>
      <c r="Q254" s="337"/>
    </row>
    <row r="255">
      <c r="A255" s="67"/>
      <c r="B255" s="164" t="s">
        <v>904</v>
      </c>
      <c r="C255" s="575"/>
      <c r="D255" s="576"/>
      <c r="E255" s="576"/>
      <c r="F255" s="576"/>
      <c r="G255" s="577"/>
      <c r="H255" s="577"/>
      <c r="I255" s="580"/>
      <c r="J255" s="333"/>
      <c r="K255" s="333"/>
      <c r="L255" s="333"/>
      <c r="M255" s="333"/>
      <c r="N255" s="333"/>
      <c r="O255" s="333"/>
      <c r="P255" s="333"/>
      <c r="Q255" s="333"/>
    </row>
    <row r="256">
      <c r="A256" s="67"/>
      <c r="B256" s="164" t="s">
        <v>904</v>
      </c>
      <c r="C256" s="575"/>
      <c r="D256" s="576"/>
      <c r="E256" s="576"/>
      <c r="F256" s="576"/>
      <c r="G256" s="577"/>
      <c r="H256" s="577"/>
      <c r="I256" s="585"/>
      <c r="J256" s="337"/>
      <c r="K256" s="337"/>
      <c r="L256" s="337"/>
      <c r="M256" s="337"/>
      <c r="N256" s="337"/>
      <c r="O256" s="337"/>
      <c r="P256" s="337"/>
      <c r="Q256" s="337"/>
    </row>
    <row r="257">
      <c r="A257" s="67"/>
      <c r="B257" s="164" t="s">
        <v>904</v>
      </c>
      <c r="C257" s="575"/>
      <c r="D257" s="576"/>
      <c r="E257" s="576"/>
      <c r="F257" s="576"/>
      <c r="G257" s="577"/>
      <c r="H257" s="577"/>
      <c r="I257" s="580"/>
      <c r="J257" s="333"/>
      <c r="K257" s="333"/>
      <c r="L257" s="333"/>
      <c r="M257" s="333"/>
      <c r="N257" s="333"/>
      <c r="O257" s="333"/>
      <c r="P257" s="333"/>
      <c r="Q257" s="333"/>
    </row>
    <row r="258">
      <c r="A258" s="67"/>
      <c r="B258" s="164" t="s">
        <v>904</v>
      </c>
      <c r="C258" s="575"/>
      <c r="D258" s="576"/>
      <c r="E258" s="576"/>
      <c r="F258" s="576"/>
      <c r="G258" s="577"/>
      <c r="H258" s="577"/>
      <c r="I258" s="594"/>
      <c r="J258" s="594"/>
      <c r="K258" s="594"/>
      <c r="L258" s="594"/>
      <c r="M258" s="594"/>
      <c r="N258" s="594"/>
      <c r="O258" s="594"/>
      <c r="P258" s="594"/>
      <c r="Q258" s="594"/>
    </row>
    <row r="259">
      <c r="A259" s="67"/>
      <c r="B259" s="164" t="s">
        <v>904</v>
      </c>
      <c r="C259" s="575"/>
      <c r="D259" s="576"/>
      <c r="E259" s="576"/>
      <c r="F259" s="576"/>
      <c r="G259" s="577"/>
      <c r="H259" s="577"/>
      <c r="I259" s="594"/>
      <c r="J259" s="594"/>
      <c r="K259" s="594"/>
      <c r="L259" s="594"/>
      <c r="M259" s="594"/>
      <c r="N259" s="594"/>
      <c r="O259" s="594"/>
      <c r="P259" s="594"/>
      <c r="Q259" s="594"/>
    </row>
    <row r="260">
      <c r="A260" s="67"/>
      <c r="B260" s="164" t="s">
        <v>904</v>
      </c>
      <c r="C260" s="575"/>
      <c r="D260" s="576"/>
      <c r="E260" s="576"/>
      <c r="F260" s="576"/>
      <c r="G260" s="577"/>
      <c r="H260" s="577"/>
      <c r="I260" s="594"/>
      <c r="J260" s="594"/>
      <c r="K260" s="594"/>
      <c r="L260" s="594"/>
      <c r="M260" s="594"/>
      <c r="N260" s="594"/>
      <c r="O260" s="594"/>
      <c r="P260" s="594"/>
      <c r="Q260" s="594"/>
    </row>
    <row r="261">
      <c r="A261" s="67"/>
      <c r="B261" s="164" t="s">
        <v>904</v>
      </c>
      <c r="C261" s="575"/>
      <c r="D261" s="576"/>
      <c r="E261" s="576"/>
      <c r="F261" s="576"/>
      <c r="G261" s="577"/>
      <c r="H261" s="577"/>
      <c r="I261" s="594"/>
      <c r="J261" s="594"/>
      <c r="K261" s="594"/>
      <c r="L261" s="594"/>
      <c r="M261" s="594"/>
      <c r="N261" s="594"/>
      <c r="O261" s="594"/>
      <c r="P261" s="594"/>
      <c r="Q261" s="594"/>
    </row>
    <row r="262">
      <c r="A262" s="67"/>
      <c r="B262" s="164" t="s">
        <v>904</v>
      </c>
      <c r="C262" s="575"/>
      <c r="D262" s="576"/>
      <c r="E262" s="576"/>
      <c r="F262" s="576"/>
      <c r="G262" s="577"/>
      <c r="H262" s="577"/>
      <c r="I262" s="594"/>
      <c r="J262" s="594"/>
      <c r="K262" s="594"/>
      <c r="L262" s="594"/>
      <c r="M262" s="594"/>
      <c r="N262" s="594"/>
      <c r="O262" s="594"/>
      <c r="P262" s="594"/>
      <c r="Q262" s="594"/>
    </row>
    <row r="263">
      <c r="A263" s="67"/>
      <c r="B263" s="164" t="s">
        <v>904</v>
      </c>
      <c r="C263" s="575"/>
      <c r="D263" s="576"/>
      <c r="E263" s="576"/>
      <c r="F263" s="576"/>
      <c r="G263" s="577"/>
      <c r="H263" s="577"/>
      <c r="I263" s="594"/>
      <c r="J263" s="594"/>
      <c r="K263" s="594"/>
      <c r="L263" s="594"/>
      <c r="M263" s="594"/>
      <c r="N263" s="594"/>
      <c r="O263" s="594"/>
      <c r="P263" s="594"/>
      <c r="Q263" s="594"/>
    </row>
    <row r="264">
      <c r="A264" s="67"/>
      <c r="B264" s="598"/>
      <c r="C264" s="575"/>
      <c r="D264" s="576"/>
      <c r="E264" s="576"/>
      <c r="F264" s="576"/>
      <c r="G264" s="577"/>
      <c r="H264" s="577"/>
      <c r="I264" s="594"/>
      <c r="J264" s="594"/>
      <c r="K264" s="594"/>
      <c r="L264" s="594"/>
      <c r="M264" s="594"/>
      <c r="N264" s="594"/>
      <c r="O264" s="594"/>
      <c r="P264" s="594"/>
      <c r="Q264" s="594"/>
    </row>
    <row r="265">
      <c r="A265" s="67"/>
      <c r="B265" s="598"/>
      <c r="C265" s="575"/>
      <c r="D265" s="576"/>
      <c r="E265" s="576"/>
      <c r="F265" s="576"/>
      <c r="G265" s="577"/>
      <c r="H265" s="577"/>
      <c r="I265" s="594"/>
      <c r="J265" s="594"/>
      <c r="K265" s="594"/>
      <c r="L265" s="594"/>
      <c r="M265" s="594"/>
      <c r="N265" s="594"/>
      <c r="O265" s="594"/>
      <c r="P265" s="594"/>
      <c r="Q265" s="594"/>
    </row>
    <row r="266">
      <c r="A266" s="67"/>
      <c r="B266" s="598"/>
      <c r="C266" s="575"/>
      <c r="D266" s="576"/>
      <c r="E266" s="576"/>
      <c r="F266" s="576"/>
      <c r="G266" s="577"/>
      <c r="H266" s="577"/>
      <c r="I266" s="594"/>
      <c r="J266" s="594"/>
      <c r="K266" s="594"/>
      <c r="L266" s="594"/>
      <c r="M266" s="594"/>
      <c r="N266" s="594"/>
      <c r="O266" s="594"/>
      <c r="P266" s="594"/>
      <c r="Q266" s="594"/>
    </row>
    <row r="267">
      <c r="A267" s="67"/>
      <c r="B267" s="598"/>
      <c r="C267" s="575"/>
      <c r="D267" s="576"/>
      <c r="E267" s="576"/>
      <c r="F267" s="576"/>
      <c r="G267" s="577"/>
      <c r="H267" s="577"/>
      <c r="I267" s="594"/>
      <c r="J267" s="594"/>
      <c r="K267" s="594"/>
      <c r="L267" s="594"/>
      <c r="M267" s="594"/>
      <c r="N267" s="594"/>
      <c r="O267" s="594"/>
      <c r="P267" s="594"/>
      <c r="Q267" s="594"/>
    </row>
    <row r="268">
      <c r="A268" s="67"/>
      <c r="B268" s="598"/>
      <c r="C268" s="575"/>
      <c r="D268" s="576"/>
      <c r="E268" s="576"/>
      <c r="F268" s="576"/>
      <c r="G268" s="577"/>
      <c r="H268" s="577"/>
      <c r="I268" s="594"/>
      <c r="J268" s="594"/>
      <c r="K268" s="594"/>
      <c r="L268" s="594"/>
      <c r="M268" s="594"/>
      <c r="N268" s="594"/>
      <c r="O268" s="594"/>
      <c r="P268" s="594"/>
      <c r="Q268" s="594"/>
    </row>
    <row r="269">
      <c r="A269" s="67"/>
      <c r="B269" s="598"/>
      <c r="C269" s="575"/>
      <c r="D269" s="576"/>
      <c r="E269" s="576"/>
      <c r="F269" s="576"/>
      <c r="G269" s="577"/>
      <c r="H269" s="577"/>
      <c r="I269" s="594"/>
      <c r="J269" s="594"/>
      <c r="K269" s="594"/>
      <c r="L269" s="594"/>
      <c r="M269" s="594"/>
      <c r="N269" s="594"/>
      <c r="O269" s="594"/>
      <c r="P269" s="594"/>
      <c r="Q269" s="594"/>
    </row>
    <row r="270">
      <c r="A270" s="67"/>
      <c r="B270" s="598"/>
      <c r="C270" s="575"/>
      <c r="D270" s="576"/>
      <c r="E270" s="576"/>
      <c r="F270" s="576"/>
      <c r="G270" s="577"/>
      <c r="H270" s="577"/>
      <c r="I270" s="594"/>
      <c r="J270" s="594"/>
      <c r="K270" s="594"/>
      <c r="L270" s="594"/>
      <c r="M270" s="594"/>
      <c r="N270" s="594"/>
      <c r="O270" s="594"/>
      <c r="P270" s="594"/>
      <c r="Q270" s="594"/>
    </row>
    <row r="271">
      <c r="A271" s="67"/>
      <c r="B271" s="598"/>
      <c r="C271" s="575"/>
      <c r="D271" s="576"/>
      <c r="E271" s="576"/>
      <c r="F271" s="576"/>
      <c r="G271" s="577"/>
      <c r="H271" s="577"/>
      <c r="I271" s="594"/>
      <c r="J271" s="594"/>
      <c r="K271" s="594"/>
      <c r="L271" s="594"/>
      <c r="M271" s="594"/>
      <c r="N271" s="594"/>
      <c r="O271" s="594"/>
      <c r="P271" s="594"/>
      <c r="Q271" s="594"/>
    </row>
    <row r="272">
      <c r="A272" s="67"/>
      <c r="B272" s="598"/>
      <c r="C272" s="575"/>
      <c r="D272" s="576"/>
      <c r="E272" s="576"/>
      <c r="F272" s="576"/>
      <c r="G272" s="577"/>
      <c r="H272" s="577"/>
      <c r="I272" s="594"/>
      <c r="J272" s="594"/>
      <c r="K272" s="594"/>
      <c r="L272" s="594"/>
      <c r="M272" s="594"/>
      <c r="N272" s="594"/>
      <c r="O272" s="594"/>
      <c r="P272" s="594"/>
      <c r="Q272" s="594"/>
    </row>
    <row r="273">
      <c r="A273" s="67"/>
      <c r="B273" s="598"/>
      <c r="C273" s="575"/>
      <c r="D273" s="576"/>
      <c r="E273" s="576"/>
      <c r="F273" s="576"/>
      <c r="G273" s="577"/>
      <c r="H273" s="577"/>
      <c r="I273" s="594"/>
      <c r="J273" s="594"/>
      <c r="K273" s="594"/>
      <c r="L273" s="594"/>
      <c r="M273" s="594"/>
      <c r="N273" s="594"/>
      <c r="O273" s="594"/>
      <c r="P273" s="594"/>
      <c r="Q273" s="594"/>
    </row>
    <row r="274">
      <c r="A274" s="67"/>
      <c r="B274" s="598"/>
      <c r="C274" s="575"/>
      <c r="D274" s="576"/>
      <c r="E274" s="576"/>
      <c r="F274" s="576"/>
      <c r="G274" s="577"/>
      <c r="H274" s="577"/>
      <c r="I274" s="594"/>
      <c r="J274" s="594"/>
      <c r="K274" s="594"/>
      <c r="L274" s="594"/>
      <c r="M274" s="594"/>
      <c r="N274" s="594"/>
      <c r="O274" s="594"/>
      <c r="P274" s="594"/>
      <c r="Q274" s="594"/>
    </row>
    <row r="275">
      <c r="A275" s="67"/>
      <c r="B275" s="598"/>
      <c r="C275" s="575"/>
      <c r="D275" s="576"/>
      <c r="E275" s="576"/>
      <c r="F275" s="576"/>
      <c r="G275" s="577"/>
      <c r="H275" s="577"/>
      <c r="I275" s="594"/>
      <c r="J275" s="594"/>
      <c r="K275" s="594"/>
      <c r="L275" s="594"/>
      <c r="M275" s="594"/>
      <c r="N275" s="594"/>
      <c r="O275" s="594"/>
      <c r="P275" s="594"/>
      <c r="Q275" s="594"/>
    </row>
    <row r="276">
      <c r="A276" s="67"/>
      <c r="B276" s="598"/>
      <c r="C276" s="575"/>
      <c r="D276" s="576"/>
      <c r="E276" s="576"/>
      <c r="F276" s="576"/>
      <c r="G276" s="577"/>
      <c r="H276" s="577"/>
      <c r="I276" s="594"/>
      <c r="J276" s="594"/>
      <c r="K276" s="594"/>
      <c r="L276" s="594"/>
      <c r="M276" s="594"/>
      <c r="N276" s="594"/>
      <c r="O276" s="594"/>
      <c r="P276" s="594"/>
      <c r="Q276" s="594"/>
    </row>
    <row r="277">
      <c r="A277" s="67"/>
      <c r="B277" s="598"/>
      <c r="C277" s="575"/>
      <c r="D277" s="576"/>
      <c r="E277" s="576"/>
      <c r="F277" s="576"/>
      <c r="G277" s="577"/>
      <c r="H277" s="577"/>
      <c r="I277" s="594"/>
      <c r="J277" s="594"/>
      <c r="K277" s="594"/>
      <c r="L277" s="594"/>
      <c r="M277" s="594"/>
      <c r="N277" s="594"/>
      <c r="O277" s="594"/>
      <c r="P277" s="594"/>
      <c r="Q277" s="594"/>
    </row>
    <row r="278">
      <c r="A278" s="67"/>
      <c r="B278" s="598"/>
      <c r="C278" s="575"/>
      <c r="D278" s="576"/>
      <c r="E278" s="576"/>
      <c r="F278" s="576"/>
      <c r="G278" s="577"/>
      <c r="H278" s="577"/>
      <c r="I278" s="594"/>
      <c r="J278" s="594"/>
      <c r="K278" s="594"/>
      <c r="L278" s="594"/>
      <c r="M278" s="594"/>
      <c r="N278" s="594"/>
      <c r="O278" s="594"/>
      <c r="P278" s="594"/>
      <c r="Q278" s="594"/>
    </row>
    <row r="279">
      <c r="A279" s="67"/>
      <c r="B279" s="598"/>
      <c r="C279" s="575"/>
      <c r="D279" s="576"/>
      <c r="E279" s="576"/>
      <c r="F279" s="576"/>
      <c r="G279" s="577"/>
      <c r="H279" s="577"/>
      <c r="I279" s="594"/>
      <c r="J279" s="594"/>
      <c r="K279" s="594"/>
      <c r="L279" s="594"/>
      <c r="M279" s="594"/>
      <c r="N279" s="594"/>
      <c r="O279" s="594"/>
      <c r="P279" s="594"/>
      <c r="Q279" s="594"/>
    </row>
    <row r="280">
      <c r="A280" s="67"/>
      <c r="B280" s="598"/>
      <c r="C280" s="575"/>
      <c r="D280" s="576"/>
      <c r="E280" s="576"/>
      <c r="F280" s="576"/>
      <c r="G280" s="577"/>
      <c r="H280" s="577"/>
      <c r="I280" s="594"/>
      <c r="J280" s="594"/>
      <c r="K280" s="594"/>
      <c r="L280" s="594"/>
      <c r="M280" s="594"/>
      <c r="N280" s="594"/>
      <c r="O280" s="594"/>
      <c r="P280" s="594"/>
      <c r="Q280" s="594"/>
    </row>
    <row r="281">
      <c r="A281" s="67"/>
      <c r="B281" s="598"/>
      <c r="C281" s="575"/>
      <c r="D281" s="576"/>
      <c r="E281" s="576"/>
      <c r="F281" s="576"/>
      <c r="G281" s="577"/>
      <c r="H281" s="577"/>
      <c r="I281" s="594"/>
      <c r="J281" s="594"/>
      <c r="K281" s="594"/>
      <c r="L281" s="594"/>
      <c r="M281" s="594"/>
      <c r="N281" s="594"/>
      <c r="O281" s="594"/>
      <c r="P281" s="594"/>
      <c r="Q281" s="594"/>
    </row>
    <row r="282">
      <c r="A282" s="67"/>
      <c r="B282" s="598"/>
      <c r="C282" s="575"/>
      <c r="D282" s="576"/>
      <c r="E282" s="576"/>
      <c r="F282" s="576"/>
      <c r="G282" s="577"/>
      <c r="H282" s="577"/>
      <c r="I282" s="594"/>
      <c r="J282" s="594"/>
      <c r="K282" s="594"/>
      <c r="L282" s="594"/>
      <c r="M282" s="594"/>
      <c r="N282" s="594"/>
      <c r="O282" s="594"/>
      <c r="P282" s="594"/>
      <c r="Q282" s="594"/>
    </row>
    <row r="283">
      <c r="A283" s="67"/>
      <c r="B283" s="598"/>
      <c r="C283" s="575"/>
      <c r="D283" s="576"/>
      <c r="E283" s="576"/>
      <c r="F283" s="576"/>
      <c r="G283" s="577"/>
      <c r="H283" s="577"/>
      <c r="I283" s="594"/>
      <c r="J283" s="594"/>
      <c r="K283" s="594"/>
      <c r="L283" s="594"/>
      <c r="M283" s="594"/>
      <c r="N283" s="594"/>
      <c r="O283" s="594"/>
      <c r="P283" s="594"/>
      <c r="Q283" s="594"/>
    </row>
    <row r="284">
      <c r="A284" s="67"/>
      <c r="B284" s="598"/>
      <c r="C284" s="575"/>
      <c r="D284" s="576"/>
      <c r="E284" s="576"/>
      <c r="F284" s="576"/>
      <c r="G284" s="577"/>
      <c r="H284" s="577"/>
      <c r="I284" s="594"/>
      <c r="J284" s="594"/>
      <c r="K284" s="594"/>
      <c r="L284" s="594"/>
      <c r="M284" s="594"/>
      <c r="N284" s="594"/>
      <c r="O284" s="594"/>
      <c r="P284" s="594"/>
      <c r="Q284" s="594"/>
    </row>
    <row r="285">
      <c r="A285" s="67"/>
      <c r="B285" s="598"/>
      <c r="C285" s="575"/>
      <c r="D285" s="576"/>
      <c r="E285" s="576"/>
      <c r="F285" s="576"/>
      <c r="G285" s="577"/>
      <c r="H285" s="577"/>
      <c r="I285" s="594"/>
      <c r="J285" s="594"/>
      <c r="K285" s="594"/>
      <c r="L285" s="594"/>
      <c r="M285" s="594"/>
      <c r="N285" s="594"/>
      <c r="O285" s="594"/>
      <c r="P285" s="594"/>
      <c r="Q285" s="594"/>
    </row>
    <row r="286">
      <c r="A286" s="67"/>
      <c r="B286" s="598"/>
      <c r="C286" s="575"/>
      <c r="D286" s="576"/>
      <c r="E286" s="576"/>
      <c r="F286" s="576"/>
      <c r="G286" s="577"/>
      <c r="H286" s="577"/>
      <c r="I286" s="594"/>
      <c r="J286" s="594"/>
      <c r="K286" s="594"/>
      <c r="L286" s="594"/>
      <c r="M286" s="594"/>
      <c r="N286" s="594"/>
      <c r="O286" s="594"/>
      <c r="P286" s="594"/>
      <c r="Q286" s="594"/>
    </row>
    <row r="287">
      <c r="A287" s="67"/>
      <c r="B287" s="598"/>
      <c r="C287" s="575"/>
      <c r="D287" s="576"/>
      <c r="E287" s="576"/>
      <c r="F287" s="576"/>
      <c r="G287" s="577"/>
      <c r="H287" s="577"/>
      <c r="I287" s="594"/>
      <c r="J287" s="594"/>
      <c r="K287" s="594"/>
      <c r="L287" s="594"/>
      <c r="M287" s="594"/>
      <c r="N287" s="594"/>
      <c r="O287" s="594"/>
      <c r="P287" s="594"/>
      <c r="Q287" s="594"/>
    </row>
    <row r="288">
      <c r="A288" s="67"/>
      <c r="B288" s="598"/>
      <c r="C288" s="575"/>
      <c r="D288" s="576"/>
      <c r="E288" s="576"/>
      <c r="F288" s="576"/>
      <c r="G288" s="577"/>
      <c r="H288" s="577"/>
      <c r="I288" s="594"/>
      <c r="J288" s="594"/>
      <c r="K288" s="594"/>
      <c r="L288" s="594"/>
      <c r="M288" s="594"/>
      <c r="N288" s="594"/>
      <c r="O288" s="594"/>
      <c r="P288" s="594"/>
      <c r="Q288" s="594"/>
    </row>
    <row r="289">
      <c r="A289" s="67"/>
      <c r="B289" s="598"/>
      <c r="C289" s="575"/>
      <c r="D289" s="576"/>
      <c r="E289" s="576"/>
      <c r="F289" s="576"/>
      <c r="G289" s="577"/>
      <c r="H289" s="577"/>
      <c r="I289" s="594"/>
      <c r="J289" s="594"/>
      <c r="K289" s="594"/>
      <c r="L289" s="594"/>
      <c r="M289" s="594"/>
      <c r="N289" s="594"/>
      <c r="O289" s="594"/>
      <c r="P289" s="594"/>
      <c r="Q289" s="594"/>
    </row>
    <row r="290">
      <c r="A290" s="67"/>
      <c r="B290" s="598"/>
      <c r="C290" s="575"/>
      <c r="D290" s="576"/>
      <c r="E290" s="576"/>
      <c r="F290" s="576"/>
      <c r="G290" s="577"/>
      <c r="H290" s="577"/>
      <c r="I290" s="594"/>
      <c r="J290" s="594"/>
      <c r="K290" s="594"/>
      <c r="L290" s="594"/>
      <c r="M290" s="594"/>
      <c r="N290" s="594"/>
      <c r="O290" s="594"/>
      <c r="P290" s="594"/>
      <c r="Q290" s="594"/>
    </row>
    <row r="291">
      <c r="A291" s="67"/>
      <c r="B291" s="598"/>
      <c r="C291" s="575"/>
      <c r="D291" s="576"/>
      <c r="E291" s="576"/>
      <c r="F291" s="576"/>
      <c r="G291" s="577"/>
      <c r="H291" s="577"/>
      <c r="I291" s="594"/>
      <c r="J291" s="594"/>
      <c r="K291" s="594"/>
      <c r="L291" s="594"/>
      <c r="M291" s="594"/>
      <c r="N291" s="594"/>
      <c r="O291" s="594"/>
      <c r="P291" s="594"/>
      <c r="Q291" s="594"/>
    </row>
    <row r="292">
      <c r="A292" s="67"/>
      <c r="B292" s="598"/>
      <c r="C292" s="575"/>
      <c r="D292" s="576"/>
      <c r="E292" s="576"/>
      <c r="F292" s="576"/>
      <c r="G292" s="577"/>
      <c r="H292" s="577"/>
      <c r="I292" s="594"/>
      <c r="J292" s="594"/>
      <c r="K292" s="594"/>
      <c r="L292" s="594"/>
      <c r="M292" s="594"/>
      <c r="N292" s="594"/>
      <c r="O292" s="594"/>
      <c r="P292" s="594"/>
      <c r="Q292" s="594"/>
    </row>
    <row r="293">
      <c r="A293" s="67"/>
      <c r="B293" s="598"/>
      <c r="C293" s="575"/>
      <c r="D293" s="576"/>
      <c r="E293" s="576"/>
      <c r="F293" s="576"/>
      <c r="G293" s="577"/>
      <c r="H293" s="577"/>
      <c r="I293" s="594"/>
      <c r="J293" s="594"/>
      <c r="K293" s="594"/>
      <c r="L293" s="594"/>
      <c r="M293" s="594"/>
      <c r="N293" s="594"/>
      <c r="O293" s="594"/>
      <c r="P293" s="594"/>
      <c r="Q293" s="594"/>
    </row>
    <row r="294">
      <c r="A294" s="67"/>
      <c r="B294" s="598"/>
      <c r="C294" s="575"/>
      <c r="D294" s="576"/>
      <c r="E294" s="576"/>
      <c r="F294" s="576"/>
      <c r="G294" s="577"/>
      <c r="H294" s="577"/>
      <c r="I294" s="594"/>
      <c r="J294" s="594"/>
      <c r="K294" s="594"/>
      <c r="L294" s="594"/>
      <c r="M294" s="594"/>
      <c r="N294" s="594"/>
      <c r="O294" s="594"/>
      <c r="P294" s="594"/>
      <c r="Q294" s="594"/>
    </row>
    <row r="295">
      <c r="A295" s="67"/>
      <c r="B295" s="598"/>
      <c r="C295" s="575"/>
      <c r="D295" s="576"/>
      <c r="E295" s="576"/>
      <c r="F295" s="576"/>
      <c r="G295" s="577"/>
      <c r="H295" s="577"/>
      <c r="I295" s="594"/>
      <c r="J295" s="594"/>
      <c r="K295" s="594"/>
      <c r="L295" s="594"/>
      <c r="M295" s="594"/>
      <c r="N295" s="594"/>
      <c r="O295" s="594"/>
      <c r="P295" s="594"/>
      <c r="Q295" s="594"/>
    </row>
    <row r="296">
      <c r="A296" s="67"/>
      <c r="B296" s="598"/>
      <c r="C296" s="575"/>
      <c r="D296" s="576"/>
      <c r="E296" s="576"/>
      <c r="F296" s="576"/>
      <c r="G296" s="577"/>
      <c r="H296" s="577"/>
      <c r="I296" s="594"/>
      <c r="J296" s="594"/>
      <c r="K296" s="594"/>
      <c r="L296" s="594"/>
      <c r="M296" s="594"/>
      <c r="N296" s="594"/>
      <c r="O296" s="594"/>
      <c r="P296" s="594"/>
      <c r="Q296" s="594"/>
    </row>
    <row r="297">
      <c r="A297" s="67"/>
      <c r="B297" s="598"/>
      <c r="C297" s="575"/>
      <c r="D297" s="576"/>
      <c r="E297" s="576"/>
      <c r="F297" s="576"/>
      <c r="G297" s="577"/>
      <c r="H297" s="577"/>
      <c r="I297" s="594"/>
      <c r="J297" s="594"/>
      <c r="K297" s="594"/>
      <c r="L297" s="594"/>
      <c r="M297" s="594"/>
      <c r="N297" s="594"/>
      <c r="O297" s="594"/>
      <c r="P297" s="594"/>
      <c r="Q297" s="594"/>
    </row>
    <row r="298">
      <c r="A298" s="67"/>
      <c r="B298" s="598"/>
      <c r="C298" s="575"/>
      <c r="D298" s="576"/>
      <c r="E298" s="576"/>
      <c r="F298" s="576"/>
      <c r="G298" s="577"/>
      <c r="H298" s="577"/>
      <c r="I298" s="594"/>
      <c r="J298" s="594"/>
      <c r="K298" s="594"/>
      <c r="L298" s="594"/>
      <c r="M298" s="594"/>
      <c r="N298" s="594"/>
      <c r="O298" s="594"/>
      <c r="P298" s="594"/>
      <c r="Q298" s="594"/>
    </row>
    <row r="299">
      <c r="A299" s="67"/>
      <c r="B299" s="598"/>
      <c r="C299" s="575"/>
      <c r="D299" s="576"/>
      <c r="E299" s="576"/>
      <c r="F299" s="576"/>
      <c r="G299" s="577"/>
      <c r="H299" s="577"/>
      <c r="I299" s="594"/>
      <c r="J299" s="594"/>
      <c r="K299" s="594"/>
      <c r="L299" s="594"/>
      <c r="M299" s="594"/>
      <c r="N299" s="594"/>
      <c r="O299" s="594"/>
      <c r="P299" s="594"/>
      <c r="Q299" s="594"/>
    </row>
    <row r="300">
      <c r="A300" s="67"/>
      <c r="B300" s="598"/>
      <c r="C300" s="575"/>
      <c r="D300" s="576"/>
      <c r="E300" s="576"/>
      <c r="F300" s="576"/>
      <c r="G300" s="577"/>
      <c r="H300" s="577"/>
      <c r="I300" s="594"/>
      <c r="J300" s="594"/>
      <c r="K300" s="594"/>
      <c r="L300" s="594"/>
      <c r="M300" s="594"/>
      <c r="N300" s="594"/>
      <c r="O300" s="594"/>
      <c r="P300" s="594"/>
      <c r="Q300" s="594"/>
    </row>
    <row r="301">
      <c r="A301" s="67"/>
      <c r="B301" s="598"/>
      <c r="C301" s="575"/>
      <c r="D301" s="576"/>
      <c r="E301" s="576"/>
      <c r="F301" s="576"/>
      <c r="G301" s="577"/>
      <c r="H301" s="577"/>
      <c r="I301" s="594"/>
      <c r="J301" s="594"/>
      <c r="K301" s="594"/>
      <c r="L301" s="594"/>
      <c r="M301" s="594"/>
      <c r="N301" s="594"/>
      <c r="O301" s="594"/>
      <c r="P301" s="594"/>
      <c r="Q301" s="594"/>
    </row>
    <row r="302">
      <c r="A302" s="67"/>
      <c r="B302" s="598"/>
      <c r="C302" s="575"/>
      <c r="D302" s="576"/>
      <c r="E302" s="576"/>
      <c r="F302" s="576"/>
      <c r="G302" s="577"/>
      <c r="H302" s="577"/>
      <c r="I302" s="594"/>
      <c r="J302" s="594"/>
      <c r="K302" s="594"/>
      <c r="L302" s="594"/>
      <c r="M302" s="594"/>
      <c r="N302" s="594"/>
      <c r="O302" s="594"/>
      <c r="P302" s="594"/>
      <c r="Q302" s="594"/>
    </row>
    <row r="303">
      <c r="A303" s="67"/>
      <c r="B303" s="598"/>
      <c r="C303" s="575"/>
      <c r="D303" s="576"/>
      <c r="E303" s="576"/>
      <c r="F303" s="576"/>
      <c r="G303" s="577"/>
      <c r="H303" s="577"/>
      <c r="I303" s="594"/>
      <c r="J303" s="594"/>
      <c r="K303" s="594"/>
      <c r="L303" s="594"/>
      <c r="M303" s="594"/>
      <c r="N303" s="594"/>
      <c r="O303" s="594"/>
      <c r="P303" s="594"/>
      <c r="Q303" s="594"/>
    </row>
    <row r="304">
      <c r="A304" s="67"/>
      <c r="B304" s="598"/>
      <c r="C304" s="575"/>
      <c r="D304" s="576"/>
      <c r="E304" s="576"/>
      <c r="F304" s="576"/>
      <c r="G304" s="577"/>
      <c r="H304" s="577"/>
      <c r="I304" s="594"/>
      <c r="J304" s="594"/>
      <c r="K304" s="594"/>
      <c r="L304" s="594"/>
      <c r="M304" s="594"/>
      <c r="N304" s="594"/>
      <c r="O304" s="594"/>
      <c r="P304" s="594"/>
      <c r="Q304" s="594"/>
    </row>
    <row r="305">
      <c r="A305" s="67"/>
      <c r="B305" s="598"/>
      <c r="C305" s="575"/>
      <c r="D305" s="576"/>
      <c r="E305" s="576"/>
      <c r="F305" s="576"/>
      <c r="G305" s="577"/>
      <c r="H305" s="577"/>
      <c r="I305" s="594"/>
      <c r="J305" s="594"/>
      <c r="K305" s="594"/>
      <c r="L305" s="594"/>
      <c r="M305" s="594"/>
      <c r="N305" s="594"/>
      <c r="O305" s="594"/>
      <c r="P305" s="594"/>
      <c r="Q305" s="594"/>
    </row>
    <row r="306">
      <c r="A306" s="67"/>
      <c r="B306" s="598"/>
      <c r="C306" s="575"/>
      <c r="D306" s="576"/>
      <c r="E306" s="576"/>
      <c r="F306" s="576"/>
      <c r="G306" s="577"/>
      <c r="H306" s="577"/>
      <c r="I306" s="594"/>
      <c r="J306" s="594"/>
      <c r="K306" s="594"/>
      <c r="L306" s="594"/>
      <c r="M306" s="594"/>
      <c r="N306" s="594"/>
      <c r="O306" s="594"/>
      <c r="P306" s="594"/>
      <c r="Q306" s="594"/>
    </row>
    <row r="307">
      <c r="A307" s="67"/>
      <c r="B307" s="598"/>
      <c r="C307" s="575"/>
      <c r="D307" s="576"/>
      <c r="E307" s="576"/>
      <c r="F307" s="576"/>
      <c r="G307" s="577"/>
      <c r="H307" s="577"/>
      <c r="I307" s="594"/>
      <c r="J307" s="594"/>
      <c r="K307" s="594"/>
      <c r="L307" s="594"/>
      <c r="M307" s="594"/>
      <c r="N307" s="594"/>
      <c r="O307" s="594"/>
      <c r="P307" s="594"/>
      <c r="Q307" s="594"/>
    </row>
    <row r="308">
      <c r="A308" s="67"/>
      <c r="B308" s="598"/>
      <c r="C308" s="575"/>
      <c r="D308" s="576"/>
      <c r="E308" s="576"/>
      <c r="F308" s="576"/>
      <c r="G308" s="577"/>
      <c r="H308" s="577"/>
      <c r="I308" s="594"/>
      <c r="J308" s="594"/>
      <c r="K308" s="594"/>
      <c r="L308" s="594"/>
      <c r="M308" s="594"/>
      <c r="N308" s="594"/>
      <c r="O308" s="594"/>
      <c r="P308" s="594"/>
      <c r="Q308" s="594"/>
    </row>
    <row r="309">
      <c r="A309" s="67"/>
      <c r="B309" s="598"/>
      <c r="C309" s="575"/>
      <c r="D309" s="576"/>
      <c r="E309" s="576"/>
      <c r="F309" s="576"/>
      <c r="G309" s="577"/>
      <c r="H309" s="577"/>
      <c r="I309" s="594"/>
      <c r="J309" s="594"/>
      <c r="K309" s="594"/>
      <c r="L309" s="594"/>
      <c r="M309" s="594"/>
      <c r="N309" s="594"/>
      <c r="O309" s="594"/>
      <c r="P309" s="594"/>
      <c r="Q309" s="594"/>
    </row>
    <row r="310">
      <c r="A310" s="67"/>
      <c r="B310" s="598"/>
      <c r="C310" s="575"/>
      <c r="D310" s="576"/>
      <c r="E310" s="576"/>
      <c r="F310" s="576"/>
      <c r="G310" s="577"/>
      <c r="H310" s="577"/>
      <c r="I310" s="594"/>
      <c r="J310" s="594"/>
      <c r="K310" s="594"/>
      <c r="L310" s="594"/>
      <c r="M310" s="594"/>
      <c r="N310" s="594"/>
      <c r="O310" s="594"/>
      <c r="P310" s="594"/>
      <c r="Q310" s="594"/>
    </row>
    <row r="311">
      <c r="A311" s="67"/>
      <c r="B311" s="598"/>
      <c r="C311" s="575"/>
      <c r="D311" s="576"/>
      <c r="E311" s="576"/>
      <c r="F311" s="576"/>
      <c r="G311" s="577"/>
      <c r="H311" s="577"/>
      <c r="I311" s="594"/>
      <c r="J311" s="594"/>
      <c r="K311" s="594"/>
      <c r="L311" s="594"/>
      <c r="M311" s="594"/>
      <c r="N311" s="594"/>
      <c r="O311" s="594"/>
      <c r="P311" s="594"/>
      <c r="Q311" s="594"/>
    </row>
    <row r="312">
      <c r="A312" s="67"/>
      <c r="B312" s="598"/>
      <c r="C312" s="575"/>
      <c r="D312" s="576"/>
      <c r="E312" s="576"/>
      <c r="F312" s="576"/>
      <c r="G312" s="577"/>
      <c r="H312" s="577"/>
      <c r="I312" s="594"/>
      <c r="J312" s="594"/>
      <c r="K312" s="594"/>
      <c r="L312" s="594"/>
      <c r="M312" s="594"/>
      <c r="N312" s="594"/>
      <c r="O312" s="594"/>
      <c r="P312" s="594"/>
      <c r="Q312" s="594"/>
    </row>
    <row r="313">
      <c r="A313" s="67"/>
      <c r="B313" s="598"/>
      <c r="C313" s="575"/>
      <c r="D313" s="576"/>
      <c r="E313" s="576"/>
      <c r="F313" s="576"/>
      <c r="G313" s="577"/>
      <c r="H313" s="577"/>
      <c r="I313" s="594"/>
      <c r="J313" s="594"/>
      <c r="K313" s="594"/>
      <c r="L313" s="594"/>
      <c r="M313" s="594"/>
      <c r="N313" s="594"/>
      <c r="O313" s="594"/>
      <c r="P313" s="594"/>
      <c r="Q313" s="594"/>
    </row>
    <row r="314">
      <c r="A314" s="67"/>
      <c r="B314" s="598"/>
      <c r="C314" s="575"/>
      <c r="D314" s="576"/>
      <c r="E314" s="576"/>
      <c r="F314" s="576"/>
      <c r="G314" s="577"/>
      <c r="H314" s="577"/>
      <c r="I314" s="594"/>
      <c r="J314" s="594"/>
      <c r="K314" s="594"/>
      <c r="L314" s="594"/>
      <c r="M314" s="594"/>
      <c r="N314" s="594"/>
      <c r="O314" s="594"/>
      <c r="P314" s="594"/>
      <c r="Q314" s="594"/>
    </row>
    <row r="315">
      <c r="A315" s="67"/>
      <c r="B315" s="598"/>
      <c r="C315" s="575"/>
      <c r="D315" s="576"/>
      <c r="E315" s="576"/>
      <c r="F315" s="576"/>
      <c r="G315" s="577"/>
      <c r="H315" s="577"/>
      <c r="I315" s="594"/>
      <c r="J315" s="594"/>
      <c r="K315" s="594"/>
      <c r="L315" s="594"/>
      <c r="M315" s="594"/>
      <c r="N315" s="594"/>
      <c r="O315" s="594"/>
      <c r="P315" s="594"/>
      <c r="Q315" s="594"/>
    </row>
    <row r="316">
      <c r="A316" s="67"/>
      <c r="B316" s="598"/>
      <c r="C316" s="575"/>
      <c r="D316" s="576"/>
      <c r="E316" s="576"/>
      <c r="F316" s="576"/>
      <c r="G316" s="577"/>
      <c r="H316" s="577"/>
      <c r="I316" s="594"/>
      <c r="J316" s="594"/>
      <c r="K316" s="594"/>
      <c r="L316" s="594"/>
      <c r="M316" s="594"/>
      <c r="N316" s="594"/>
      <c r="O316" s="594"/>
      <c r="P316" s="594"/>
      <c r="Q316" s="594"/>
    </row>
    <row r="317">
      <c r="A317" s="67"/>
      <c r="B317" s="598"/>
      <c r="C317" s="575"/>
      <c r="D317" s="576"/>
      <c r="E317" s="576"/>
      <c r="F317" s="576"/>
      <c r="G317" s="577"/>
      <c r="H317" s="577"/>
      <c r="I317" s="594"/>
      <c r="J317" s="594"/>
      <c r="K317" s="594"/>
      <c r="L317" s="594"/>
      <c r="M317" s="594"/>
      <c r="N317" s="594"/>
      <c r="O317" s="594"/>
      <c r="P317" s="594"/>
      <c r="Q317" s="594"/>
    </row>
    <row r="318">
      <c r="A318" s="67"/>
      <c r="B318" s="598"/>
      <c r="C318" s="575"/>
      <c r="D318" s="576"/>
      <c r="E318" s="576"/>
      <c r="F318" s="576"/>
      <c r="G318" s="577"/>
      <c r="H318" s="577"/>
      <c r="I318" s="594"/>
      <c r="J318" s="594"/>
      <c r="K318" s="594"/>
      <c r="L318" s="594"/>
      <c r="M318" s="594"/>
      <c r="N318" s="594"/>
      <c r="O318" s="594"/>
      <c r="P318" s="594"/>
      <c r="Q318" s="594"/>
    </row>
    <row r="319">
      <c r="A319" s="67"/>
      <c r="B319" s="598"/>
      <c r="C319" s="575"/>
      <c r="D319" s="576"/>
      <c r="E319" s="576"/>
      <c r="F319" s="576"/>
      <c r="G319" s="577"/>
      <c r="H319" s="577"/>
      <c r="I319" s="594"/>
      <c r="J319" s="594"/>
      <c r="K319" s="594"/>
      <c r="L319" s="594"/>
      <c r="M319" s="594"/>
      <c r="N319" s="594"/>
      <c r="O319" s="594"/>
      <c r="P319" s="594"/>
      <c r="Q319" s="594"/>
    </row>
    <row r="320">
      <c r="A320" s="67"/>
      <c r="B320" s="598"/>
      <c r="C320" s="575"/>
      <c r="D320" s="576"/>
      <c r="E320" s="576"/>
      <c r="F320" s="576"/>
      <c r="G320" s="577"/>
      <c r="H320" s="577"/>
      <c r="I320" s="594"/>
      <c r="J320" s="594"/>
      <c r="K320" s="594"/>
      <c r="L320" s="594"/>
      <c r="M320" s="594"/>
      <c r="N320" s="594"/>
      <c r="O320" s="594"/>
      <c r="P320" s="594"/>
      <c r="Q320" s="594"/>
    </row>
    <row r="321">
      <c r="A321" s="67"/>
      <c r="B321" s="598"/>
      <c r="C321" s="575"/>
      <c r="D321" s="576"/>
      <c r="E321" s="576"/>
      <c r="F321" s="576"/>
      <c r="G321" s="577"/>
      <c r="H321" s="577"/>
      <c r="I321" s="594"/>
      <c r="J321" s="594"/>
      <c r="K321" s="594"/>
      <c r="L321" s="594"/>
      <c r="M321" s="594"/>
      <c r="N321" s="594"/>
      <c r="O321" s="594"/>
      <c r="P321" s="594"/>
      <c r="Q321" s="594"/>
    </row>
    <row r="322">
      <c r="A322" s="67"/>
      <c r="B322" s="598"/>
      <c r="C322" s="575"/>
      <c r="D322" s="576"/>
      <c r="E322" s="576"/>
      <c r="F322" s="576"/>
      <c r="G322" s="577"/>
      <c r="H322" s="577"/>
      <c r="I322" s="594"/>
      <c r="J322" s="594"/>
      <c r="K322" s="594"/>
      <c r="L322" s="594"/>
      <c r="M322" s="594"/>
      <c r="N322" s="594"/>
      <c r="O322" s="594"/>
      <c r="P322" s="594"/>
      <c r="Q322" s="594"/>
    </row>
    <row r="323">
      <c r="A323" s="67"/>
      <c r="B323" s="598"/>
      <c r="C323" s="575"/>
      <c r="D323" s="576"/>
      <c r="E323" s="576"/>
      <c r="F323" s="576"/>
      <c r="G323" s="577"/>
      <c r="H323" s="577"/>
      <c r="I323" s="594"/>
      <c r="J323" s="594"/>
      <c r="K323" s="594"/>
      <c r="L323" s="594"/>
      <c r="M323" s="594"/>
      <c r="N323" s="594"/>
      <c r="O323" s="594"/>
      <c r="P323" s="594"/>
      <c r="Q323" s="594"/>
    </row>
    <row r="324">
      <c r="A324" s="67"/>
      <c r="B324" s="598"/>
      <c r="C324" s="575"/>
      <c r="D324" s="576"/>
      <c r="E324" s="576"/>
      <c r="F324" s="576"/>
      <c r="G324" s="577"/>
      <c r="H324" s="577"/>
      <c r="I324" s="594"/>
      <c r="J324" s="594"/>
      <c r="K324" s="594"/>
      <c r="L324" s="594"/>
      <c r="M324" s="594"/>
      <c r="N324" s="594"/>
      <c r="O324" s="594"/>
      <c r="P324" s="594"/>
      <c r="Q324" s="594"/>
    </row>
    <row r="325">
      <c r="A325" s="67"/>
      <c r="B325" s="598"/>
      <c r="C325" s="575"/>
      <c r="D325" s="576"/>
      <c r="E325" s="576"/>
      <c r="F325" s="576"/>
      <c r="G325" s="577"/>
      <c r="H325" s="577"/>
      <c r="I325" s="594"/>
      <c r="J325" s="594"/>
      <c r="K325" s="594"/>
      <c r="L325" s="594"/>
      <c r="M325" s="594"/>
      <c r="N325" s="594"/>
      <c r="O325" s="594"/>
      <c r="P325" s="594"/>
      <c r="Q325" s="594"/>
    </row>
    <row r="326">
      <c r="A326" s="67"/>
      <c r="B326" s="598"/>
      <c r="C326" s="575"/>
      <c r="D326" s="576"/>
      <c r="E326" s="576"/>
      <c r="F326" s="576"/>
      <c r="G326" s="577"/>
      <c r="H326" s="577"/>
      <c r="I326" s="594"/>
      <c r="J326" s="594"/>
      <c r="K326" s="594"/>
      <c r="L326" s="594"/>
      <c r="M326" s="594"/>
      <c r="N326" s="594"/>
      <c r="O326" s="594"/>
      <c r="P326" s="594"/>
      <c r="Q326" s="594"/>
    </row>
    <row r="327">
      <c r="A327" s="67"/>
      <c r="B327" s="598"/>
      <c r="C327" s="575"/>
      <c r="D327" s="576"/>
      <c r="E327" s="576"/>
      <c r="F327" s="576"/>
      <c r="G327" s="577"/>
      <c r="H327" s="577"/>
      <c r="I327" s="594"/>
      <c r="J327" s="594"/>
      <c r="K327" s="594"/>
      <c r="L327" s="594"/>
      <c r="M327" s="594"/>
      <c r="N327" s="594"/>
      <c r="O327" s="594"/>
      <c r="P327" s="594"/>
      <c r="Q327" s="594"/>
    </row>
    <row r="328">
      <c r="A328" s="67"/>
      <c r="B328" s="598"/>
      <c r="C328" s="575"/>
      <c r="D328" s="576"/>
      <c r="E328" s="576"/>
      <c r="F328" s="576"/>
      <c r="G328" s="577"/>
      <c r="H328" s="577"/>
      <c r="I328" s="594"/>
      <c r="J328" s="594"/>
      <c r="K328" s="594"/>
      <c r="L328" s="594"/>
      <c r="M328" s="594"/>
      <c r="N328" s="594"/>
      <c r="O328" s="594"/>
      <c r="P328" s="594"/>
      <c r="Q328" s="594"/>
    </row>
    <row r="329">
      <c r="A329" s="67"/>
      <c r="B329" s="624"/>
      <c r="C329" s="575"/>
      <c r="D329" s="576"/>
      <c r="E329" s="576"/>
      <c r="F329" s="576"/>
      <c r="G329" s="577"/>
      <c r="H329" s="577"/>
      <c r="I329" s="594"/>
      <c r="J329" s="594"/>
      <c r="K329" s="594"/>
      <c r="L329" s="594"/>
      <c r="M329" s="594"/>
      <c r="N329" s="594"/>
      <c r="O329" s="594"/>
      <c r="P329" s="594"/>
      <c r="Q329" s="594"/>
    </row>
    <row r="330">
      <c r="A330" s="67"/>
      <c r="B330" s="624"/>
      <c r="C330" s="575"/>
      <c r="D330" s="576"/>
      <c r="E330" s="576"/>
      <c r="F330" s="576"/>
      <c r="G330" s="577"/>
      <c r="H330" s="577"/>
      <c r="I330" s="594"/>
      <c r="J330" s="594"/>
      <c r="K330" s="594"/>
      <c r="L330" s="594"/>
      <c r="M330" s="594"/>
      <c r="N330" s="594"/>
      <c r="O330" s="594"/>
      <c r="P330" s="594"/>
      <c r="Q330" s="594"/>
    </row>
    <row r="331">
      <c r="A331" s="67"/>
      <c r="B331" s="624"/>
      <c r="C331" s="575"/>
      <c r="D331" s="576"/>
      <c r="E331" s="576"/>
      <c r="F331" s="576"/>
      <c r="G331" s="577"/>
      <c r="H331" s="577"/>
      <c r="I331" s="594"/>
      <c r="J331" s="594"/>
      <c r="K331" s="594"/>
      <c r="L331" s="594"/>
      <c r="M331" s="594"/>
      <c r="N331" s="594"/>
      <c r="O331" s="594"/>
      <c r="P331" s="594"/>
      <c r="Q331" s="594"/>
    </row>
    <row r="332">
      <c r="A332" s="67"/>
      <c r="B332" s="624"/>
      <c r="C332" s="575"/>
      <c r="D332" s="576"/>
      <c r="E332" s="576"/>
      <c r="F332" s="576"/>
      <c r="G332" s="577"/>
      <c r="H332" s="577"/>
      <c r="I332" s="594"/>
      <c r="J332" s="594"/>
      <c r="K332" s="594"/>
      <c r="L332" s="594"/>
      <c r="M332" s="594"/>
      <c r="N332" s="594"/>
      <c r="O332" s="594"/>
      <c r="P332" s="594"/>
      <c r="Q332" s="594"/>
    </row>
    <row r="333">
      <c r="A333" s="67"/>
      <c r="B333" s="624"/>
      <c r="C333" s="575"/>
      <c r="D333" s="576"/>
      <c r="E333" s="576"/>
      <c r="F333" s="576"/>
      <c r="G333" s="577"/>
      <c r="H333" s="577"/>
      <c r="I333" s="594"/>
      <c r="J333" s="594"/>
      <c r="K333" s="594"/>
      <c r="L333" s="594"/>
      <c r="M333" s="594"/>
      <c r="N333" s="594"/>
      <c r="O333" s="594"/>
      <c r="P333" s="594"/>
      <c r="Q333" s="594"/>
    </row>
    <row r="334">
      <c r="A334" s="67"/>
      <c r="B334" s="624"/>
      <c r="C334" s="575"/>
      <c r="D334" s="576"/>
      <c r="E334" s="576"/>
      <c r="F334" s="576"/>
      <c r="G334" s="577"/>
      <c r="H334" s="577"/>
      <c r="I334" s="594"/>
      <c r="J334" s="594"/>
      <c r="K334" s="594"/>
      <c r="L334" s="594"/>
      <c r="M334" s="594"/>
      <c r="N334" s="594"/>
      <c r="O334" s="594"/>
      <c r="P334" s="594"/>
      <c r="Q334" s="594"/>
    </row>
    <row r="335">
      <c r="A335" s="67"/>
      <c r="B335" s="624"/>
      <c r="C335" s="575"/>
      <c r="D335" s="576"/>
      <c r="E335" s="576"/>
      <c r="F335" s="576"/>
      <c r="G335" s="577"/>
      <c r="H335" s="577"/>
      <c r="I335" s="594"/>
      <c r="J335" s="594"/>
      <c r="K335" s="594"/>
      <c r="L335" s="594"/>
      <c r="M335" s="594"/>
      <c r="N335" s="594"/>
      <c r="O335" s="594"/>
      <c r="P335" s="594"/>
      <c r="Q335" s="594"/>
    </row>
    <row r="336">
      <c r="A336" s="67"/>
      <c r="B336" s="624"/>
      <c r="C336" s="575"/>
      <c r="D336" s="576"/>
      <c r="E336" s="576"/>
      <c r="F336" s="576"/>
      <c r="G336" s="577"/>
      <c r="H336" s="577"/>
      <c r="I336" s="594"/>
      <c r="J336" s="594"/>
      <c r="K336" s="594"/>
      <c r="L336" s="594"/>
      <c r="M336" s="594"/>
      <c r="N336" s="594"/>
      <c r="O336" s="594"/>
      <c r="P336" s="594"/>
      <c r="Q336" s="594"/>
    </row>
    <row r="337">
      <c r="A337" s="67"/>
      <c r="B337" s="624"/>
      <c r="C337" s="575"/>
      <c r="D337" s="576"/>
      <c r="E337" s="576"/>
      <c r="F337" s="576"/>
      <c r="G337" s="577"/>
      <c r="H337" s="577"/>
      <c r="I337" s="594"/>
      <c r="J337" s="594"/>
      <c r="K337" s="594"/>
      <c r="L337" s="594"/>
      <c r="M337" s="594"/>
      <c r="N337" s="594"/>
      <c r="O337" s="594"/>
      <c r="P337" s="594"/>
      <c r="Q337" s="594"/>
    </row>
    <row r="338">
      <c r="A338" s="67"/>
      <c r="B338" s="624"/>
      <c r="C338" s="575"/>
      <c r="D338" s="576"/>
      <c r="E338" s="576"/>
      <c r="F338" s="576"/>
      <c r="G338" s="577"/>
      <c r="H338" s="577"/>
      <c r="I338" s="594"/>
      <c r="J338" s="594"/>
      <c r="K338" s="594"/>
      <c r="L338" s="594"/>
      <c r="M338" s="594"/>
      <c r="N338" s="594"/>
      <c r="O338" s="594"/>
      <c r="P338" s="594"/>
      <c r="Q338" s="594"/>
    </row>
    <row r="339">
      <c r="A339" s="67"/>
      <c r="B339" s="624"/>
      <c r="C339" s="575"/>
      <c r="D339" s="576"/>
      <c r="E339" s="576"/>
      <c r="F339" s="576"/>
      <c r="G339" s="577"/>
      <c r="H339" s="577"/>
      <c r="I339" s="594"/>
      <c r="J339" s="594"/>
      <c r="K339" s="594"/>
      <c r="L339" s="594"/>
      <c r="M339" s="594"/>
      <c r="N339" s="594"/>
      <c r="O339" s="594"/>
      <c r="P339" s="594"/>
      <c r="Q339" s="594"/>
    </row>
    <row r="340">
      <c r="A340" s="67"/>
      <c r="B340" s="624"/>
      <c r="C340" s="575"/>
      <c r="D340" s="576"/>
      <c r="E340" s="576"/>
      <c r="F340" s="576"/>
      <c r="G340" s="577"/>
      <c r="H340" s="577"/>
      <c r="I340" s="594"/>
      <c r="J340" s="594"/>
      <c r="K340" s="594"/>
      <c r="L340" s="594"/>
      <c r="M340" s="594"/>
      <c r="N340" s="594"/>
      <c r="O340" s="594"/>
      <c r="P340" s="594"/>
      <c r="Q340" s="594"/>
    </row>
    <row r="341">
      <c r="A341" s="67"/>
      <c r="B341" s="624"/>
      <c r="C341" s="575"/>
      <c r="D341" s="576"/>
      <c r="E341" s="576"/>
      <c r="F341" s="576"/>
      <c r="G341" s="577"/>
      <c r="H341" s="577"/>
      <c r="I341" s="594"/>
      <c r="J341" s="594"/>
      <c r="K341" s="594"/>
      <c r="L341" s="594"/>
      <c r="M341" s="594"/>
      <c r="N341" s="594"/>
      <c r="O341" s="594"/>
      <c r="P341" s="594"/>
      <c r="Q341" s="594"/>
    </row>
    <row r="342">
      <c r="A342" s="67"/>
      <c r="B342" s="624"/>
      <c r="C342" s="575"/>
      <c r="D342" s="576"/>
      <c r="E342" s="576"/>
      <c r="F342" s="576"/>
      <c r="G342" s="577"/>
      <c r="H342" s="577"/>
      <c r="I342" s="594"/>
      <c r="J342" s="594"/>
      <c r="K342" s="594"/>
      <c r="L342" s="594"/>
      <c r="M342" s="594"/>
      <c r="N342" s="594"/>
      <c r="O342" s="594"/>
      <c r="P342" s="594"/>
      <c r="Q342" s="594"/>
    </row>
    <row r="343">
      <c r="A343" s="67"/>
      <c r="B343" s="624"/>
      <c r="C343" s="575"/>
      <c r="D343" s="576"/>
      <c r="E343" s="576"/>
      <c r="F343" s="576"/>
      <c r="G343" s="577"/>
      <c r="H343" s="577"/>
      <c r="I343" s="594"/>
      <c r="J343" s="594"/>
      <c r="K343" s="594"/>
      <c r="L343" s="594"/>
      <c r="M343" s="594"/>
      <c r="N343" s="594"/>
      <c r="O343" s="594"/>
      <c r="P343" s="594"/>
      <c r="Q343" s="594"/>
    </row>
    <row r="344">
      <c r="A344" s="67"/>
      <c r="B344" s="624"/>
      <c r="C344" s="575"/>
      <c r="D344" s="576"/>
      <c r="E344" s="576"/>
      <c r="F344" s="576"/>
      <c r="G344" s="577"/>
      <c r="H344" s="577"/>
      <c r="I344" s="594"/>
      <c r="J344" s="594"/>
      <c r="K344" s="594"/>
      <c r="L344" s="594"/>
      <c r="M344" s="594"/>
      <c r="N344" s="594"/>
      <c r="O344" s="594"/>
      <c r="P344" s="594"/>
      <c r="Q344" s="594"/>
    </row>
    <row r="345">
      <c r="A345" s="67"/>
      <c r="B345" s="624"/>
      <c r="C345" s="575"/>
      <c r="D345" s="576"/>
      <c r="E345" s="576"/>
      <c r="F345" s="576"/>
      <c r="G345" s="577"/>
      <c r="H345" s="577"/>
      <c r="I345" s="594"/>
      <c r="J345" s="594"/>
      <c r="K345" s="594"/>
      <c r="L345" s="594"/>
      <c r="M345" s="594"/>
      <c r="N345" s="594"/>
      <c r="O345" s="594"/>
      <c r="P345" s="594"/>
      <c r="Q345" s="594"/>
    </row>
    <row r="346">
      <c r="A346" s="67"/>
      <c r="B346" s="624"/>
      <c r="C346" s="575"/>
      <c r="D346" s="576"/>
      <c r="E346" s="576"/>
      <c r="F346" s="576"/>
      <c r="G346" s="577"/>
      <c r="H346" s="577"/>
      <c r="I346" s="594"/>
      <c r="J346" s="594"/>
      <c r="K346" s="594"/>
      <c r="L346" s="594"/>
      <c r="M346" s="594"/>
      <c r="N346" s="594"/>
      <c r="O346" s="594"/>
      <c r="P346" s="594"/>
      <c r="Q346" s="594"/>
    </row>
    <row r="347">
      <c r="A347" s="67"/>
      <c r="B347" s="624"/>
      <c r="C347" s="575"/>
      <c r="D347" s="576"/>
      <c r="E347" s="576"/>
      <c r="F347" s="576"/>
      <c r="G347" s="577"/>
      <c r="H347" s="577"/>
      <c r="I347" s="594"/>
      <c r="J347" s="594"/>
      <c r="K347" s="594"/>
      <c r="L347" s="594"/>
      <c r="M347" s="594"/>
      <c r="N347" s="594"/>
      <c r="O347" s="594"/>
      <c r="P347" s="594"/>
      <c r="Q347" s="594"/>
    </row>
    <row r="348">
      <c r="A348" s="67"/>
      <c r="B348" s="624"/>
      <c r="C348" s="575"/>
      <c r="D348" s="576"/>
      <c r="E348" s="576"/>
      <c r="F348" s="576"/>
      <c r="G348" s="577"/>
      <c r="H348" s="577"/>
      <c r="I348" s="594"/>
      <c r="J348" s="594"/>
      <c r="K348" s="594"/>
      <c r="L348" s="594"/>
      <c r="M348" s="594"/>
      <c r="N348" s="594"/>
      <c r="O348" s="594"/>
      <c r="P348" s="594"/>
      <c r="Q348" s="594"/>
    </row>
    <row r="349">
      <c r="A349" s="67"/>
      <c r="B349" s="624"/>
      <c r="C349" s="575"/>
      <c r="D349" s="576"/>
      <c r="E349" s="576"/>
      <c r="F349" s="576"/>
      <c r="G349" s="577"/>
      <c r="H349" s="577"/>
      <c r="I349" s="594"/>
      <c r="J349" s="594"/>
      <c r="K349" s="594"/>
      <c r="L349" s="594"/>
      <c r="M349" s="594"/>
      <c r="N349" s="594"/>
      <c r="O349" s="594"/>
      <c r="P349" s="594"/>
      <c r="Q349" s="594"/>
    </row>
    <row r="350">
      <c r="A350" s="67"/>
      <c r="B350" s="624"/>
      <c r="C350" s="575"/>
      <c r="D350" s="576"/>
      <c r="E350" s="576"/>
      <c r="F350" s="576"/>
      <c r="G350" s="577"/>
      <c r="H350" s="577"/>
      <c r="I350" s="594"/>
      <c r="J350" s="594"/>
      <c r="K350" s="594"/>
      <c r="L350" s="594"/>
      <c r="M350" s="594"/>
      <c r="N350" s="594"/>
      <c r="O350" s="594"/>
      <c r="P350" s="594"/>
      <c r="Q350" s="594"/>
    </row>
    <row r="351">
      <c r="A351" s="67"/>
      <c r="B351" s="624"/>
      <c r="C351" s="575"/>
      <c r="D351" s="576"/>
      <c r="E351" s="576"/>
      <c r="F351" s="576"/>
      <c r="G351" s="577"/>
      <c r="H351" s="577"/>
      <c r="I351" s="594"/>
      <c r="J351" s="594"/>
      <c r="K351" s="594"/>
      <c r="L351" s="594"/>
      <c r="M351" s="594"/>
      <c r="N351" s="594"/>
      <c r="O351" s="594"/>
      <c r="P351" s="594"/>
      <c r="Q351" s="594"/>
    </row>
    <row r="352">
      <c r="A352" s="67"/>
      <c r="B352" s="624"/>
      <c r="C352" s="575"/>
      <c r="D352" s="576"/>
      <c r="E352" s="576"/>
      <c r="F352" s="576"/>
      <c r="G352" s="577"/>
      <c r="H352" s="577"/>
      <c r="I352" s="594"/>
      <c r="J352" s="594"/>
      <c r="K352" s="594"/>
      <c r="L352" s="594"/>
      <c r="M352" s="594"/>
      <c r="N352" s="594"/>
      <c r="O352" s="594"/>
      <c r="P352" s="594"/>
      <c r="Q352" s="594"/>
    </row>
    <row r="353">
      <c r="A353" s="67"/>
      <c r="B353" s="624"/>
      <c r="C353" s="575"/>
      <c r="D353" s="576"/>
      <c r="E353" s="576"/>
      <c r="F353" s="576"/>
      <c r="G353" s="577"/>
      <c r="H353" s="577"/>
      <c r="I353" s="594"/>
      <c r="J353" s="594"/>
      <c r="K353" s="594"/>
      <c r="L353" s="594"/>
      <c r="M353" s="594"/>
      <c r="N353" s="594"/>
      <c r="O353" s="594"/>
      <c r="P353" s="594"/>
      <c r="Q353" s="594"/>
    </row>
    <row r="354">
      <c r="A354" s="67"/>
      <c r="B354" s="624"/>
      <c r="C354" s="575"/>
      <c r="D354" s="576"/>
      <c r="E354" s="576"/>
      <c r="F354" s="576"/>
      <c r="G354" s="577"/>
      <c r="H354" s="577"/>
      <c r="I354" s="594"/>
      <c r="J354" s="594"/>
      <c r="K354" s="594"/>
      <c r="L354" s="594"/>
      <c r="M354" s="594"/>
      <c r="N354" s="594"/>
      <c r="O354" s="594"/>
      <c r="P354" s="594"/>
      <c r="Q354" s="594"/>
    </row>
    <row r="355">
      <c r="A355" s="67"/>
      <c r="B355" s="624"/>
      <c r="C355" s="575"/>
      <c r="D355" s="576"/>
      <c r="E355" s="576"/>
      <c r="F355" s="576"/>
      <c r="G355" s="577"/>
      <c r="H355" s="577"/>
      <c r="I355" s="594"/>
      <c r="J355" s="594"/>
      <c r="K355" s="594"/>
      <c r="L355" s="594"/>
      <c r="M355" s="594"/>
      <c r="N355" s="594"/>
      <c r="O355" s="594"/>
      <c r="P355" s="594"/>
      <c r="Q355" s="594"/>
    </row>
    <row r="356">
      <c r="A356" s="67"/>
      <c r="B356" s="624"/>
      <c r="C356" s="575"/>
      <c r="D356" s="576"/>
      <c r="E356" s="576"/>
      <c r="F356" s="576"/>
      <c r="G356" s="577"/>
      <c r="H356" s="577"/>
      <c r="I356" s="594"/>
      <c r="J356" s="594"/>
      <c r="K356" s="594"/>
      <c r="L356" s="594"/>
      <c r="M356" s="594"/>
      <c r="N356" s="594"/>
      <c r="O356" s="594"/>
      <c r="P356" s="594"/>
      <c r="Q356" s="594"/>
    </row>
    <row r="357">
      <c r="A357" s="67"/>
      <c r="B357" s="624"/>
      <c r="C357" s="575"/>
      <c r="D357" s="576"/>
      <c r="E357" s="576"/>
      <c r="F357" s="576"/>
      <c r="G357" s="577"/>
      <c r="H357" s="577"/>
      <c r="I357" s="594"/>
      <c r="J357" s="594"/>
      <c r="K357" s="594"/>
      <c r="L357" s="594"/>
      <c r="M357" s="594"/>
      <c r="N357" s="594"/>
      <c r="O357" s="594"/>
      <c r="P357" s="594"/>
      <c r="Q357" s="594"/>
    </row>
    <row r="358">
      <c r="A358" s="67"/>
      <c r="B358" s="624"/>
      <c r="C358" s="575"/>
      <c r="D358" s="576"/>
      <c r="E358" s="576"/>
      <c r="F358" s="576"/>
      <c r="G358" s="577"/>
      <c r="H358" s="577"/>
      <c r="I358" s="594"/>
      <c r="J358" s="594"/>
      <c r="K358" s="594"/>
      <c r="L358" s="594"/>
      <c r="M358" s="594"/>
      <c r="N358" s="594"/>
      <c r="O358" s="594"/>
      <c r="P358" s="594"/>
      <c r="Q358" s="594"/>
    </row>
    <row r="359">
      <c r="A359" s="67"/>
      <c r="B359" s="624"/>
      <c r="C359" s="575"/>
      <c r="D359" s="576"/>
      <c r="E359" s="576"/>
      <c r="F359" s="576"/>
      <c r="G359" s="577"/>
      <c r="H359" s="577"/>
      <c r="I359" s="594"/>
      <c r="J359" s="594"/>
      <c r="K359" s="594"/>
      <c r="L359" s="594"/>
      <c r="M359" s="594"/>
      <c r="N359" s="594"/>
      <c r="O359" s="594"/>
      <c r="P359" s="594"/>
      <c r="Q359" s="594"/>
    </row>
    <row r="360">
      <c r="A360" s="67"/>
      <c r="B360" s="624"/>
      <c r="C360" s="575"/>
      <c r="D360" s="576"/>
      <c r="E360" s="576"/>
      <c r="F360" s="576"/>
      <c r="G360" s="577"/>
      <c r="H360" s="577"/>
      <c r="I360" s="594"/>
      <c r="J360" s="594"/>
      <c r="K360" s="594"/>
      <c r="L360" s="594"/>
      <c r="M360" s="594"/>
      <c r="N360" s="594"/>
      <c r="O360" s="594"/>
      <c r="P360" s="594"/>
      <c r="Q360" s="594"/>
    </row>
    <row r="361">
      <c r="A361" s="67"/>
      <c r="B361" s="624"/>
      <c r="C361" s="575"/>
      <c r="D361" s="576"/>
      <c r="E361" s="576"/>
      <c r="F361" s="576"/>
      <c r="G361" s="577"/>
      <c r="H361" s="577"/>
      <c r="I361" s="594"/>
      <c r="J361" s="594"/>
      <c r="K361" s="594"/>
      <c r="L361" s="594"/>
      <c r="M361" s="594"/>
      <c r="N361" s="594"/>
      <c r="O361" s="594"/>
      <c r="P361" s="594"/>
      <c r="Q361" s="594"/>
    </row>
    <row r="362">
      <c r="A362" s="67"/>
      <c r="B362" s="624"/>
      <c r="C362" s="575"/>
      <c r="D362" s="576"/>
      <c r="E362" s="576"/>
      <c r="F362" s="576"/>
      <c r="G362" s="577"/>
      <c r="H362" s="577"/>
      <c r="I362" s="594"/>
      <c r="J362" s="594"/>
      <c r="K362" s="594"/>
      <c r="L362" s="594"/>
      <c r="M362" s="594"/>
      <c r="N362" s="594"/>
      <c r="O362" s="594"/>
      <c r="P362" s="594"/>
      <c r="Q362" s="594"/>
    </row>
    <row r="363">
      <c r="A363" s="67"/>
      <c r="B363" s="624"/>
      <c r="C363" s="575"/>
      <c r="D363" s="576"/>
      <c r="E363" s="576"/>
      <c r="F363" s="576"/>
      <c r="G363" s="577"/>
      <c r="H363" s="577"/>
      <c r="I363" s="594"/>
      <c r="J363" s="594"/>
      <c r="K363" s="594"/>
      <c r="L363" s="594"/>
      <c r="M363" s="594"/>
      <c r="N363" s="594"/>
      <c r="O363" s="594"/>
      <c r="P363" s="594"/>
      <c r="Q363" s="594"/>
    </row>
    <row r="364">
      <c r="A364" s="67"/>
      <c r="B364" s="624"/>
      <c r="C364" s="575"/>
      <c r="D364" s="576"/>
      <c r="E364" s="576"/>
      <c r="F364" s="576"/>
      <c r="G364" s="577"/>
      <c r="H364" s="577"/>
      <c r="I364" s="594"/>
      <c r="J364" s="594"/>
      <c r="K364" s="594"/>
      <c r="L364" s="594"/>
      <c r="M364" s="594"/>
      <c r="N364" s="594"/>
      <c r="O364" s="594"/>
      <c r="P364" s="594"/>
      <c r="Q364" s="594"/>
    </row>
    <row r="365">
      <c r="A365" s="67"/>
      <c r="B365" s="624"/>
      <c r="C365" s="575"/>
      <c r="D365" s="576"/>
      <c r="E365" s="576"/>
      <c r="F365" s="576"/>
      <c r="G365" s="577"/>
      <c r="H365" s="577"/>
      <c r="I365" s="594"/>
      <c r="J365" s="594"/>
      <c r="K365" s="594"/>
      <c r="L365" s="594"/>
      <c r="M365" s="594"/>
      <c r="N365" s="594"/>
      <c r="O365" s="594"/>
      <c r="P365" s="594"/>
      <c r="Q365" s="594"/>
    </row>
    <row r="366">
      <c r="A366" s="67"/>
      <c r="B366" s="624"/>
      <c r="C366" s="575"/>
      <c r="D366" s="576"/>
      <c r="E366" s="576"/>
      <c r="F366" s="576"/>
      <c r="G366" s="577"/>
      <c r="H366" s="577"/>
      <c r="I366" s="594"/>
      <c r="J366" s="594"/>
      <c r="K366" s="594"/>
      <c r="L366" s="594"/>
      <c r="M366" s="594"/>
      <c r="N366" s="594"/>
      <c r="O366" s="594"/>
      <c r="P366" s="594"/>
      <c r="Q366" s="594"/>
    </row>
    <row r="367">
      <c r="A367" s="67"/>
      <c r="B367" s="624"/>
      <c r="C367" s="575"/>
      <c r="D367" s="576"/>
      <c r="E367" s="576"/>
      <c r="F367" s="576"/>
      <c r="G367" s="577"/>
      <c r="H367" s="577"/>
      <c r="I367" s="594"/>
      <c r="J367" s="594"/>
      <c r="K367" s="594"/>
      <c r="L367" s="594"/>
      <c r="M367" s="594"/>
      <c r="N367" s="594"/>
      <c r="O367" s="594"/>
      <c r="P367" s="594"/>
      <c r="Q367" s="594"/>
    </row>
    <row r="368">
      <c r="A368" s="67"/>
      <c r="B368" s="624"/>
      <c r="C368" s="575"/>
      <c r="D368" s="576"/>
      <c r="E368" s="576"/>
      <c r="F368" s="576"/>
      <c r="G368" s="577"/>
      <c r="H368" s="577"/>
      <c r="I368" s="594"/>
      <c r="J368" s="594"/>
      <c r="K368" s="594"/>
      <c r="L368" s="594"/>
      <c r="M368" s="594"/>
      <c r="N368" s="594"/>
      <c r="O368" s="594"/>
      <c r="P368" s="594"/>
      <c r="Q368" s="594"/>
    </row>
    <row r="369">
      <c r="A369" s="67"/>
      <c r="B369" s="624"/>
      <c r="C369" s="575"/>
      <c r="D369" s="576"/>
      <c r="E369" s="576"/>
      <c r="F369" s="576"/>
      <c r="G369" s="577"/>
      <c r="H369" s="577"/>
      <c r="I369" s="594"/>
      <c r="J369" s="594"/>
      <c r="K369" s="594"/>
      <c r="L369" s="594"/>
      <c r="M369" s="594"/>
      <c r="N369" s="594"/>
      <c r="O369" s="594"/>
      <c r="P369" s="594"/>
      <c r="Q369" s="594"/>
    </row>
    <row r="370">
      <c r="A370" s="67"/>
      <c r="B370" s="624"/>
      <c r="C370" s="575"/>
      <c r="D370" s="576"/>
      <c r="E370" s="576"/>
      <c r="F370" s="576"/>
      <c r="G370" s="577"/>
      <c r="H370" s="577"/>
      <c r="I370" s="594"/>
      <c r="J370" s="594"/>
      <c r="K370" s="594"/>
      <c r="L370" s="594"/>
      <c r="M370" s="594"/>
      <c r="N370" s="594"/>
      <c r="O370" s="594"/>
      <c r="P370" s="594"/>
      <c r="Q370" s="594"/>
    </row>
    <row r="371">
      <c r="A371" s="67"/>
      <c r="B371" s="624"/>
      <c r="C371" s="575"/>
      <c r="D371" s="576"/>
      <c r="E371" s="576"/>
      <c r="F371" s="576"/>
      <c r="G371" s="577"/>
      <c r="H371" s="577"/>
      <c r="I371" s="594"/>
      <c r="J371" s="594"/>
      <c r="K371" s="594"/>
      <c r="L371" s="594"/>
      <c r="M371" s="594"/>
      <c r="N371" s="594"/>
      <c r="O371" s="594"/>
      <c r="P371" s="594"/>
      <c r="Q371" s="594"/>
    </row>
    <row r="372">
      <c r="A372" s="67"/>
      <c r="B372" s="624"/>
      <c r="C372" s="575"/>
      <c r="D372" s="576"/>
      <c r="E372" s="576"/>
      <c r="F372" s="576"/>
      <c r="G372" s="577"/>
      <c r="H372" s="577"/>
      <c r="I372" s="594"/>
      <c r="J372" s="594"/>
      <c r="K372" s="594"/>
      <c r="L372" s="594"/>
      <c r="M372" s="594"/>
      <c r="N372" s="594"/>
      <c r="O372" s="594"/>
      <c r="P372" s="594"/>
      <c r="Q372" s="594"/>
    </row>
    <row r="373">
      <c r="A373" s="67"/>
      <c r="B373" s="624"/>
      <c r="C373" s="575"/>
      <c r="D373" s="576"/>
      <c r="E373" s="576"/>
      <c r="F373" s="576"/>
      <c r="G373" s="577"/>
      <c r="H373" s="577"/>
      <c r="I373" s="594"/>
      <c r="J373" s="594"/>
      <c r="K373" s="594"/>
      <c r="L373" s="594"/>
      <c r="M373" s="594"/>
      <c r="N373" s="594"/>
      <c r="O373" s="594"/>
      <c r="P373" s="594"/>
      <c r="Q373" s="594"/>
    </row>
    <row r="374">
      <c r="A374" s="67"/>
      <c r="B374" s="624"/>
      <c r="C374" s="575"/>
      <c r="D374" s="576"/>
      <c r="E374" s="576"/>
      <c r="F374" s="576"/>
      <c r="G374" s="577"/>
      <c r="H374" s="577"/>
      <c r="I374" s="594"/>
      <c r="J374" s="594"/>
      <c r="K374" s="594"/>
      <c r="L374" s="594"/>
      <c r="M374" s="594"/>
      <c r="N374" s="594"/>
      <c r="O374" s="594"/>
      <c r="P374" s="594"/>
      <c r="Q374" s="594"/>
    </row>
    <row r="375">
      <c r="A375" s="67"/>
      <c r="B375" s="624"/>
      <c r="C375" s="575"/>
      <c r="D375" s="576"/>
      <c r="E375" s="576"/>
      <c r="F375" s="576"/>
      <c r="G375" s="577"/>
      <c r="H375" s="577"/>
      <c r="I375" s="594"/>
      <c r="J375" s="594"/>
      <c r="K375" s="594"/>
      <c r="L375" s="594"/>
      <c r="M375" s="594"/>
      <c r="N375" s="594"/>
      <c r="O375" s="594"/>
      <c r="P375" s="594"/>
      <c r="Q375" s="594"/>
    </row>
    <row r="376">
      <c r="A376" s="67"/>
      <c r="B376" s="624"/>
      <c r="C376" s="575"/>
      <c r="D376" s="576"/>
      <c r="E376" s="576"/>
      <c r="F376" s="576"/>
      <c r="G376" s="577"/>
      <c r="H376" s="577"/>
      <c r="I376" s="594"/>
      <c r="J376" s="594"/>
      <c r="K376" s="594"/>
      <c r="L376" s="594"/>
      <c r="M376" s="594"/>
      <c r="N376" s="594"/>
      <c r="O376" s="594"/>
      <c r="P376" s="594"/>
      <c r="Q376" s="594"/>
    </row>
    <row r="377">
      <c r="A377" s="67"/>
      <c r="B377" s="624"/>
      <c r="C377" s="575"/>
      <c r="D377" s="576"/>
      <c r="E377" s="576"/>
      <c r="F377" s="576"/>
      <c r="G377" s="577"/>
      <c r="H377" s="577"/>
      <c r="I377" s="594"/>
      <c r="J377" s="594"/>
      <c r="K377" s="594"/>
      <c r="L377" s="594"/>
      <c r="M377" s="594"/>
      <c r="N377" s="594"/>
      <c r="O377" s="594"/>
      <c r="P377" s="594"/>
      <c r="Q377" s="594"/>
    </row>
    <row r="378">
      <c r="A378" s="67"/>
      <c r="B378" s="624"/>
      <c r="C378" s="575"/>
      <c r="D378" s="576"/>
      <c r="E378" s="576"/>
      <c r="F378" s="576"/>
      <c r="G378" s="577"/>
      <c r="H378" s="577"/>
      <c r="I378" s="594"/>
      <c r="J378" s="594"/>
      <c r="K378" s="594"/>
      <c r="L378" s="594"/>
      <c r="M378" s="594"/>
      <c r="N378" s="594"/>
      <c r="O378" s="594"/>
      <c r="P378" s="594"/>
      <c r="Q378" s="594"/>
    </row>
    <row r="379">
      <c r="A379" s="67"/>
      <c r="B379" s="624"/>
      <c r="C379" s="575"/>
      <c r="D379" s="576"/>
      <c r="E379" s="576"/>
      <c r="F379" s="576"/>
      <c r="G379" s="577"/>
      <c r="H379" s="577"/>
      <c r="I379" s="594"/>
      <c r="J379" s="594"/>
      <c r="K379" s="594"/>
      <c r="L379" s="594"/>
      <c r="M379" s="594"/>
      <c r="N379" s="594"/>
      <c r="O379" s="594"/>
      <c r="P379" s="594"/>
      <c r="Q379" s="594"/>
    </row>
    <row r="380">
      <c r="A380" s="67"/>
      <c r="B380" s="624"/>
      <c r="C380" s="575"/>
      <c r="D380" s="576"/>
      <c r="E380" s="576"/>
      <c r="F380" s="576"/>
      <c r="G380" s="577"/>
      <c r="H380" s="577"/>
      <c r="I380" s="594"/>
      <c r="J380" s="594"/>
      <c r="K380" s="594"/>
      <c r="L380" s="594"/>
      <c r="M380" s="594"/>
      <c r="N380" s="594"/>
      <c r="O380" s="594"/>
      <c r="P380" s="594"/>
      <c r="Q380" s="594"/>
    </row>
    <row r="381">
      <c r="A381" s="67"/>
      <c r="B381" s="624"/>
      <c r="C381" s="575"/>
      <c r="D381" s="576"/>
      <c r="E381" s="576"/>
      <c r="F381" s="576"/>
      <c r="G381" s="577"/>
      <c r="H381" s="577"/>
      <c r="I381" s="594"/>
      <c r="J381" s="594"/>
      <c r="K381" s="594"/>
      <c r="L381" s="594"/>
      <c r="M381" s="594"/>
      <c r="N381" s="594"/>
      <c r="O381" s="594"/>
      <c r="P381" s="594"/>
      <c r="Q381" s="594"/>
    </row>
    <row r="382">
      <c r="A382" s="67"/>
      <c r="B382" s="624"/>
      <c r="C382" s="575"/>
      <c r="D382" s="576"/>
      <c r="E382" s="576"/>
      <c r="F382" s="576"/>
      <c r="G382" s="577"/>
      <c r="H382" s="577"/>
      <c r="I382" s="594"/>
      <c r="J382" s="594"/>
      <c r="K382" s="594"/>
      <c r="L382" s="594"/>
      <c r="M382" s="594"/>
      <c r="N382" s="594"/>
      <c r="O382" s="594"/>
      <c r="P382" s="594"/>
      <c r="Q382" s="594"/>
    </row>
    <row r="383">
      <c r="A383" s="67"/>
      <c r="B383" s="624"/>
      <c r="C383" s="575"/>
      <c r="D383" s="576"/>
      <c r="E383" s="576"/>
      <c r="F383" s="576"/>
      <c r="G383" s="577"/>
      <c r="H383" s="577"/>
      <c r="I383" s="594"/>
      <c r="J383" s="594"/>
      <c r="K383" s="594"/>
      <c r="L383" s="594"/>
      <c r="M383" s="594"/>
      <c r="N383" s="594"/>
      <c r="O383" s="594"/>
      <c r="P383" s="594"/>
      <c r="Q383" s="594"/>
    </row>
    <row r="384">
      <c r="A384" s="67"/>
      <c r="B384" s="624"/>
      <c r="C384" s="575"/>
      <c r="D384" s="576"/>
      <c r="E384" s="576"/>
      <c r="F384" s="576"/>
      <c r="G384" s="577"/>
      <c r="H384" s="577"/>
      <c r="I384" s="594"/>
      <c r="J384" s="594"/>
      <c r="K384" s="594"/>
      <c r="L384" s="594"/>
      <c r="M384" s="594"/>
      <c r="N384" s="594"/>
      <c r="O384" s="594"/>
      <c r="P384" s="594"/>
      <c r="Q384" s="594"/>
    </row>
    <row r="385">
      <c r="A385" s="67"/>
      <c r="B385" s="624"/>
      <c r="C385" s="575"/>
      <c r="D385" s="576"/>
      <c r="E385" s="576"/>
      <c r="F385" s="576"/>
      <c r="G385" s="577"/>
      <c r="H385" s="577"/>
      <c r="I385" s="594"/>
      <c r="J385" s="594"/>
      <c r="K385" s="594"/>
      <c r="L385" s="594"/>
      <c r="M385" s="594"/>
      <c r="N385" s="594"/>
      <c r="O385" s="594"/>
      <c r="P385" s="594"/>
      <c r="Q385" s="594"/>
    </row>
    <row r="386">
      <c r="A386" s="67"/>
      <c r="B386" s="624"/>
      <c r="C386" s="575"/>
      <c r="D386" s="576"/>
      <c r="E386" s="576"/>
      <c r="F386" s="576"/>
      <c r="G386" s="577"/>
      <c r="H386" s="577"/>
      <c r="I386" s="594"/>
      <c r="J386" s="594"/>
      <c r="K386" s="594"/>
      <c r="L386" s="594"/>
      <c r="M386" s="594"/>
      <c r="N386" s="594"/>
      <c r="O386" s="594"/>
      <c r="P386" s="594"/>
      <c r="Q386" s="594"/>
    </row>
    <row r="387">
      <c r="A387" s="67"/>
      <c r="B387" s="624"/>
      <c r="C387" s="575"/>
      <c r="D387" s="576"/>
      <c r="E387" s="576"/>
      <c r="F387" s="576"/>
      <c r="G387" s="577"/>
      <c r="H387" s="577"/>
      <c r="I387" s="594"/>
      <c r="J387" s="594"/>
      <c r="K387" s="594"/>
      <c r="L387" s="594"/>
      <c r="M387" s="594"/>
      <c r="N387" s="594"/>
      <c r="O387" s="594"/>
      <c r="P387" s="594"/>
      <c r="Q387" s="594"/>
    </row>
    <row r="388">
      <c r="A388" s="67"/>
      <c r="B388" s="624"/>
      <c r="C388" s="575"/>
      <c r="D388" s="576"/>
      <c r="E388" s="576"/>
      <c r="F388" s="576"/>
      <c r="G388" s="577"/>
      <c r="H388" s="577"/>
      <c r="I388" s="594"/>
      <c r="J388" s="594"/>
      <c r="K388" s="594"/>
      <c r="L388" s="594"/>
      <c r="M388" s="594"/>
      <c r="N388" s="594"/>
      <c r="O388" s="594"/>
      <c r="P388" s="594"/>
      <c r="Q388" s="594"/>
    </row>
    <row r="389">
      <c r="A389" s="67"/>
      <c r="B389" s="624"/>
      <c r="C389" s="575"/>
      <c r="D389" s="576"/>
      <c r="E389" s="576"/>
      <c r="F389" s="576"/>
      <c r="G389" s="577"/>
      <c r="H389" s="577"/>
      <c r="I389" s="594"/>
      <c r="J389" s="594"/>
      <c r="K389" s="594"/>
      <c r="L389" s="594"/>
      <c r="M389" s="594"/>
      <c r="N389" s="594"/>
      <c r="O389" s="594"/>
      <c r="P389" s="594"/>
      <c r="Q389" s="594"/>
    </row>
    <row r="390">
      <c r="A390" s="67"/>
      <c r="B390" s="624"/>
      <c r="C390" s="575"/>
      <c r="D390" s="576"/>
      <c r="E390" s="576"/>
      <c r="F390" s="576"/>
      <c r="G390" s="577"/>
      <c r="H390" s="577"/>
      <c r="I390" s="594"/>
      <c r="J390" s="594"/>
      <c r="K390" s="594"/>
      <c r="L390" s="594"/>
      <c r="M390" s="594"/>
      <c r="N390" s="594"/>
      <c r="O390" s="594"/>
      <c r="P390" s="594"/>
      <c r="Q390" s="594"/>
    </row>
    <row r="391">
      <c r="A391" s="67"/>
      <c r="B391" s="624"/>
      <c r="C391" s="575"/>
      <c r="D391" s="576"/>
      <c r="E391" s="576"/>
      <c r="F391" s="576"/>
      <c r="G391" s="577"/>
      <c r="H391" s="577"/>
      <c r="I391" s="594"/>
      <c r="J391" s="594"/>
      <c r="K391" s="594"/>
      <c r="L391" s="594"/>
      <c r="M391" s="594"/>
      <c r="N391" s="594"/>
      <c r="O391" s="594"/>
      <c r="P391" s="594"/>
      <c r="Q391" s="594"/>
    </row>
    <row r="392">
      <c r="A392" s="67"/>
      <c r="B392" s="624"/>
      <c r="C392" s="575"/>
      <c r="D392" s="576"/>
      <c r="E392" s="576"/>
      <c r="F392" s="576"/>
      <c r="G392" s="577"/>
      <c r="H392" s="577"/>
      <c r="I392" s="594"/>
      <c r="J392" s="594"/>
      <c r="K392" s="594"/>
      <c r="L392" s="594"/>
      <c r="M392" s="594"/>
      <c r="N392" s="594"/>
      <c r="O392" s="594"/>
      <c r="P392" s="594"/>
      <c r="Q392" s="594"/>
    </row>
    <row r="393">
      <c r="A393" s="67"/>
      <c r="B393" s="624"/>
      <c r="C393" s="575"/>
      <c r="D393" s="576"/>
      <c r="E393" s="576"/>
      <c r="F393" s="576"/>
      <c r="G393" s="577"/>
      <c r="H393" s="577"/>
      <c r="I393" s="594"/>
      <c r="J393" s="594"/>
      <c r="K393" s="594"/>
      <c r="L393" s="594"/>
      <c r="M393" s="594"/>
      <c r="N393" s="594"/>
      <c r="O393" s="594"/>
      <c r="P393" s="594"/>
      <c r="Q393" s="594"/>
    </row>
    <row r="394">
      <c r="A394" s="67"/>
      <c r="B394" s="624"/>
      <c r="C394" s="575"/>
      <c r="D394" s="576"/>
      <c r="E394" s="576"/>
      <c r="F394" s="576"/>
      <c r="G394" s="577"/>
      <c r="H394" s="577"/>
      <c r="I394" s="594"/>
      <c r="J394" s="594"/>
      <c r="K394" s="594"/>
      <c r="L394" s="594"/>
      <c r="M394" s="594"/>
      <c r="N394" s="594"/>
      <c r="O394" s="594"/>
      <c r="P394" s="594"/>
      <c r="Q394" s="594"/>
    </row>
    <row r="395">
      <c r="A395" s="67"/>
      <c r="B395" s="624"/>
      <c r="C395" s="575"/>
      <c r="D395" s="576"/>
      <c r="E395" s="576"/>
      <c r="F395" s="576"/>
      <c r="G395" s="577"/>
      <c r="H395" s="577"/>
      <c r="I395" s="594"/>
      <c r="J395" s="594"/>
      <c r="K395" s="594"/>
      <c r="L395" s="594"/>
      <c r="M395" s="594"/>
      <c r="N395" s="594"/>
      <c r="O395" s="594"/>
      <c r="P395" s="594"/>
      <c r="Q395" s="594"/>
    </row>
    <row r="396">
      <c r="A396" s="67"/>
      <c r="B396" s="624"/>
      <c r="C396" s="575"/>
      <c r="D396" s="576"/>
      <c r="E396" s="576"/>
      <c r="F396" s="576"/>
      <c r="G396" s="577"/>
      <c r="H396" s="577"/>
      <c r="I396" s="594"/>
      <c r="J396" s="594"/>
      <c r="K396" s="594"/>
      <c r="L396" s="594"/>
      <c r="M396" s="594"/>
      <c r="N396" s="594"/>
      <c r="O396" s="594"/>
      <c r="P396" s="594"/>
      <c r="Q396" s="594"/>
    </row>
    <row r="397">
      <c r="A397" s="67"/>
      <c r="B397" s="624"/>
      <c r="C397" s="575"/>
      <c r="D397" s="576"/>
      <c r="E397" s="576"/>
      <c r="F397" s="576"/>
      <c r="G397" s="577"/>
      <c r="H397" s="577"/>
      <c r="I397" s="594"/>
      <c r="J397" s="594"/>
      <c r="K397" s="594"/>
      <c r="L397" s="594"/>
      <c r="M397" s="594"/>
      <c r="N397" s="594"/>
      <c r="O397" s="594"/>
      <c r="P397" s="594"/>
      <c r="Q397" s="594"/>
    </row>
    <row r="398">
      <c r="A398" s="67"/>
      <c r="B398" s="624"/>
      <c r="C398" s="575"/>
      <c r="D398" s="576"/>
      <c r="E398" s="576"/>
      <c r="F398" s="576"/>
      <c r="G398" s="577"/>
      <c r="H398" s="577"/>
      <c r="I398" s="594"/>
      <c r="J398" s="594"/>
      <c r="K398" s="594"/>
      <c r="L398" s="594"/>
      <c r="M398" s="594"/>
      <c r="N398" s="594"/>
      <c r="O398" s="594"/>
      <c r="P398" s="594"/>
      <c r="Q398" s="594"/>
    </row>
    <row r="399">
      <c r="A399" s="67"/>
      <c r="B399" s="624"/>
      <c r="C399" s="575"/>
      <c r="D399" s="576"/>
      <c r="E399" s="576"/>
      <c r="F399" s="576"/>
      <c r="G399" s="577"/>
      <c r="H399" s="577"/>
      <c r="I399" s="594"/>
      <c r="J399" s="594"/>
      <c r="K399" s="594"/>
      <c r="L399" s="594"/>
      <c r="M399" s="594"/>
      <c r="N399" s="594"/>
      <c r="O399" s="594"/>
      <c r="P399" s="594"/>
      <c r="Q399" s="594"/>
    </row>
    <row r="400">
      <c r="A400" s="67"/>
      <c r="B400" s="624"/>
      <c r="C400" s="575"/>
      <c r="D400" s="576"/>
      <c r="E400" s="576"/>
      <c r="F400" s="576"/>
      <c r="G400" s="577"/>
      <c r="H400" s="577"/>
      <c r="I400" s="594"/>
      <c r="J400" s="594"/>
      <c r="K400" s="594"/>
      <c r="L400" s="594"/>
      <c r="M400" s="594"/>
      <c r="N400" s="594"/>
      <c r="O400" s="594"/>
      <c r="P400" s="594"/>
      <c r="Q400" s="594"/>
    </row>
    <row r="401">
      <c r="A401" s="67"/>
      <c r="B401" s="624"/>
      <c r="C401" s="575"/>
      <c r="D401" s="576"/>
      <c r="E401" s="576"/>
      <c r="F401" s="576"/>
      <c r="G401" s="577"/>
      <c r="H401" s="577"/>
      <c r="I401" s="594"/>
      <c r="J401" s="594"/>
      <c r="K401" s="594"/>
      <c r="L401" s="594"/>
      <c r="M401" s="594"/>
      <c r="N401" s="594"/>
      <c r="O401" s="594"/>
      <c r="P401" s="594"/>
      <c r="Q401" s="594"/>
    </row>
    <row r="402">
      <c r="A402" s="67"/>
      <c r="B402" s="624"/>
      <c r="C402" s="575"/>
      <c r="D402" s="576"/>
      <c r="E402" s="576"/>
      <c r="F402" s="576"/>
      <c r="G402" s="577"/>
      <c r="H402" s="577"/>
      <c r="I402" s="594"/>
      <c r="J402" s="594"/>
      <c r="K402" s="594"/>
      <c r="L402" s="594"/>
      <c r="M402" s="594"/>
      <c r="N402" s="594"/>
      <c r="O402" s="594"/>
      <c r="P402" s="594"/>
      <c r="Q402" s="594"/>
    </row>
    <row r="403">
      <c r="A403" s="67"/>
      <c r="B403" s="624"/>
      <c r="C403" s="575"/>
      <c r="D403" s="576"/>
      <c r="E403" s="576"/>
      <c r="F403" s="576"/>
      <c r="G403" s="577"/>
      <c r="H403" s="577"/>
      <c r="I403" s="594"/>
      <c r="J403" s="594"/>
      <c r="K403" s="594"/>
      <c r="L403" s="594"/>
      <c r="M403" s="594"/>
      <c r="N403" s="594"/>
      <c r="O403" s="594"/>
      <c r="P403" s="594"/>
      <c r="Q403" s="594"/>
    </row>
    <row r="404">
      <c r="A404" s="67"/>
      <c r="B404" s="624"/>
      <c r="C404" s="575"/>
      <c r="D404" s="576"/>
      <c r="E404" s="576"/>
      <c r="F404" s="576"/>
      <c r="G404" s="577"/>
      <c r="H404" s="577"/>
      <c r="I404" s="594"/>
      <c r="J404" s="594"/>
      <c r="K404" s="594"/>
      <c r="L404" s="594"/>
      <c r="M404" s="594"/>
      <c r="N404" s="594"/>
      <c r="O404" s="594"/>
      <c r="P404" s="594"/>
      <c r="Q404" s="594"/>
    </row>
    <row r="405">
      <c r="A405" s="67"/>
      <c r="B405" s="624"/>
      <c r="C405" s="575"/>
      <c r="D405" s="576"/>
      <c r="E405" s="576"/>
      <c r="F405" s="576"/>
      <c r="G405" s="577"/>
      <c r="H405" s="577"/>
      <c r="I405" s="594"/>
      <c r="J405" s="594"/>
      <c r="K405" s="594"/>
      <c r="L405" s="594"/>
      <c r="M405" s="594"/>
      <c r="N405" s="594"/>
      <c r="O405" s="594"/>
      <c r="P405" s="594"/>
      <c r="Q405" s="594"/>
    </row>
    <row r="406">
      <c r="A406" s="67"/>
      <c r="B406" s="624"/>
      <c r="C406" s="575"/>
      <c r="D406" s="576"/>
      <c r="E406" s="576"/>
      <c r="F406" s="576"/>
      <c r="G406" s="577"/>
      <c r="H406" s="577"/>
      <c r="I406" s="594"/>
      <c r="J406" s="594"/>
      <c r="K406" s="594"/>
      <c r="L406" s="594"/>
      <c r="M406" s="594"/>
      <c r="N406" s="594"/>
      <c r="O406" s="594"/>
      <c r="P406" s="594"/>
      <c r="Q406" s="594"/>
    </row>
    <row r="407">
      <c r="A407" s="67"/>
      <c r="B407" s="624"/>
      <c r="C407" s="575"/>
      <c r="D407" s="576"/>
      <c r="E407" s="576"/>
      <c r="F407" s="576"/>
      <c r="G407" s="577"/>
      <c r="H407" s="577"/>
      <c r="I407" s="594"/>
      <c r="J407" s="594"/>
      <c r="K407" s="594"/>
      <c r="L407" s="594"/>
      <c r="M407" s="594"/>
      <c r="N407" s="594"/>
      <c r="O407" s="594"/>
      <c r="P407" s="594"/>
      <c r="Q407" s="594"/>
    </row>
    <row r="408">
      <c r="A408" s="67"/>
      <c r="B408" s="624"/>
      <c r="C408" s="575"/>
      <c r="D408" s="576"/>
      <c r="E408" s="576"/>
      <c r="F408" s="576"/>
      <c r="G408" s="577"/>
      <c r="H408" s="577"/>
      <c r="I408" s="594"/>
      <c r="J408" s="594"/>
      <c r="K408" s="594"/>
      <c r="L408" s="594"/>
      <c r="M408" s="594"/>
      <c r="N408" s="594"/>
      <c r="O408" s="594"/>
      <c r="P408" s="594"/>
      <c r="Q408" s="594"/>
    </row>
    <row r="409">
      <c r="A409" s="67"/>
      <c r="B409" s="624"/>
      <c r="C409" s="575"/>
      <c r="D409" s="576"/>
      <c r="E409" s="576"/>
      <c r="F409" s="576"/>
      <c r="G409" s="577"/>
      <c r="H409" s="577"/>
      <c r="I409" s="594"/>
      <c r="J409" s="594"/>
      <c r="K409" s="594"/>
      <c r="L409" s="594"/>
      <c r="M409" s="594"/>
      <c r="N409" s="594"/>
      <c r="O409" s="594"/>
      <c r="P409" s="594"/>
      <c r="Q409" s="594"/>
    </row>
    <row r="410">
      <c r="A410" s="67"/>
      <c r="B410" s="624"/>
      <c r="C410" s="575"/>
      <c r="D410" s="576"/>
      <c r="E410" s="576"/>
      <c r="F410" s="576"/>
      <c r="G410" s="577"/>
      <c r="H410" s="577"/>
      <c r="I410" s="594"/>
      <c r="J410" s="594"/>
      <c r="K410" s="594"/>
      <c r="L410" s="594"/>
      <c r="M410" s="594"/>
      <c r="N410" s="594"/>
      <c r="O410" s="594"/>
      <c r="P410" s="594"/>
      <c r="Q410" s="594"/>
    </row>
    <row r="411">
      <c r="A411" s="67"/>
      <c r="B411" s="624"/>
      <c r="C411" s="575"/>
      <c r="D411" s="576"/>
      <c r="E411" s="576"/>
      <c r="F411" s="576"/>
      <c r="G411" s="577"/>
      <c r="H411" s="577"/>
      <c r="I411" s="594"/>
      <c r="J411" s="594"/>
      <c r="K411" s="594"/>
      <c r="L411" s="594"/>
      <c r="M411" s="594"/>
      <c r="N411" s="594"/>
      <c r="O411" s="594"/>
      <c r="P411" s="594"/>
      <c r="Q411" s="594"/>
    </row>
    <row r="412">
      <c r="A412" s="67"/>
      <c r="B412" s="624"/>
      <c r="C412" s="575"/>
      <c r="D412" s="576"/>
      <c r="E412" s="576"/>
      <c r="F412" s="576"/>
      <c r="G412" s="577"/>
      <c r="H412" s="577"/>
      <c r="I412" s="594"/>
      <c r="J412" s="594"/>
      <c r="K412" s="594"/>
      <c r="L412" s="594"/>
      <c r="M412" s="594"/>
      <c r="N412" s="594"/>
      <c r="O412" s="594"/>
      <c r="P412" s="594"/>
      <c r="Q412" s="594"/>
    </row>
    <row r="413">
      <c r="A413" s="67"/>
      <c r="B413" s="624"/>
      <c r="C413" s="575"/>
      <c r="D413" s="576"/>
      <c r="E413" s="576"/>
      <c r="F413" s="576"/>
      <c r="G413" s="577"/>
      <c r="H413" s="577"/>
      <c r="I413" s="594"/>
      <c r="J413" s="594"/>
      <c r="K413" s="594"/>
      <c r="L413" s="594"/>
      <c r="M413" s="594"/>
      <c r="N413" s="594"/>
      <c r="O413" s="594"/>
      <c r="P413" s="594"/>
      <c r="Q413" s="594"/>
    </row>
    <row r="414">
      <c r="A414" s="67"/>
      <c r="B414" s="624"/>
      <c r="C414" s="575"/>
      <c r="D414" s="576"/>
      <c r="E414" s="576"/>
      <c r="F414" s="576"/>
      <c r="G414" s="577"/>
      <c r="H414" s="577"/>
      <c r="I414" s="594"/>
      <c r="J414" s="594"/>
      <c r="K414" s="594"/>
      <c r="L414" s="594"/>
      <c r="M414" s="594"/>
      <c r="N414" s="594"/>
      <c r="O414" s="594"/>
      <c r="P414" s="594"/>
      <c r="Q414" s="594"/>
    </row>
    <row r="415">
      <c r="A415" s="67"/>
      <c r="B415" s="624"/>
      <c r="C415" s="575"/>
      <c r="D415" s="576"/>
      <c r="E415" s="576"/>
      <c r="F415" s="576"/>
      <c r="G415" s="577"/>
      <c r="H415" s="577"/>
      <c r="I415" s="594"/>
      <c r="J415" s="594"/>
      <c r="K415" s="594"/>
      <c r="L415" s="594"/>
      <c r="M415" s="594"/>
      <c r="N415" s="594"/>
      <c r="O415" s="594"/>
      <c r="P415" s="594"/>
      <c r="Q415" s="594"/>
    </row>
    <row r="416">
      <c r="A416" s="67"/>
      <c r="B416" s="624"/>
      <c r="C416" s="575"/>
      <c r="D416" s="576"/>
      <c r="E416" s="576"/>
      <c r="F416" s="576"/>
      <c r="G416" s="577"/>
      <c r="H416" s="577"/>
      <c r="I416" s="594"/>
      <c r="J416" s="594"/>
      <c r="K416" s="594"/>
      <c r="L416" s="594"/>
      <c r="M416" s="594"/>
      <c r="N416" s="594"/>
      <c r="O416" s="594"/>
      <c r="P416" s="594"/>
      <c r="Q416" s="594"/>
    </row>
    <row r="417">
      <c r="A417" s="67"/>
      <c r="B417" s="624"/>
      <c r="C417" s="575"/>
      <c r="D417" s="576"/>
      <c r="E417" s="576"/>
      <c r="F417" s="576"/>
      <c r="G417" s="577"/>
      <c r="H417" s="577"/>
      <c r="I417" s="594"/>
      <c r="J417" s="594"/>
      <c r="K417" s="594"/>
      <c r="L417" s="594"/>
      <c r="M417" s="594"/>
      <c r="N417" s="594"/>
      <c r="O417" s="594"/>
      <c r="P417" s="594"/>
      <c r="Q417" s="594"/>
    </row>
    <row r="418">
      <c r="A418" s="67"/>
      <c r="B418" s="624"/>
      <c r="C418" s="575"/>
      <c r="D418" s="576"/>
      <c r="E418" s="576"/>
      <c r="F418" s="576"/>
      <c r="G418" s="577"/>
      <c r="H418" s="577"/>
      <c r="I418" s="594"/>
      <c r="J418" s="594"/>
      <c r="K418" s="594"/>
      <c r="L418" s="594"/>
      <c r="M418" s="594"/>
      <c r="N418" s="594"/>
      <c r="O418" s="594"/>
      <c r="P418" s="594"/>
      <c r="Q418" s="594"/>
    </row>
    <row r="419">
      <c r="A419" s="67"/>
      <c r="B419" s="624"/>
      <c r="C419" s="575"/>
      <c r="D419" s="576"/>
      <c r="E419" s="576"/>
      <c r="F419" s="576"/>
      <c r="G419" s="577"/>
      <c r="H419" s="577"/>
      <c r="I419" s="594"/>
      <c r="J419" s="594"/>
      <c r="K419" s="594"/>
      <c r="L419" s="594"/>
      <c r="M419" s="594"/>
      <c r="N419" s="594"/>
      <c r="O419" s="594"/>
      <c r="P419" s="594"/>
      <c r="Q419" s="594"/>
    </row>
    <row r="420">
      <c r="A420" s="67"/>
      <c r="B420" s="624"/>
      <c r="C420" s="575"/>
      <c r="D420" s="576"/>
      <c r="E420" s="576"/>
      <c r="F420" s="576"/>
      <c r="G420" s="577"/>
      <c r="H420" s="577"/>
      <c r="I420" s="594"/>
      <c r="J420" s="594"/>
      <c r="K420" s="594"/>
      <c r="L420" s="594"/>
      <c r="M420" s="594"/>
      <c r="N420" s="594"/>
      <c r="O420" s="594"/>
      <c r="P420" s="594"/>
      <c r="Q420" s="594"/>
    </row>
    <row r="421">
      <c r="A421" s="67"/>
      <c r="B421" s="624"/>
      <c r="C421" s="575"/>
      <c r="D421" s="576"/>
      <c r="E421" s="576"/>
      <c r="F421" s="576"/>
      <c r="G421" s="577"/>
      <c r="H421" s="577"/>
      <c r="I421" s="594"/>
      <c r="J421" s="594"/>
      <c r="K421" s="594"/>
      <c r="L421" s="594"/>
      <c r="M421" s="594"/>
      <c r="N421" s="594"/>
      <c r="O421" s="594"/>
      <c r="P421" s="594"/>
      <c r="Q421" s="594"/>
    </row>
    <row r="422">
      <c r="A422" s="67"/>
      <c r="B422" s="624"/>
      <c r="C422" s="575"/>
      <c r="D422" s="576"/>
      <c r="E422" s="576"/>
      <c r="F422" s="576"/>
      <c r="G422" s="577"/>
      <c r="H422" s="577"/>
      <c r="I422" s="594"/>
      <c r="J422" s="594"/>
      <c r="K422" s="594"/>
      <c r="L422" s="594"/>
      <c r="M422" s="594"/>
      <c r="N422" s="594"/>
      <c r="O422" s="594"/>
      <c r="P422" s="594"/>
      <c r="Q422" s="594"/>
    </row>
    <row r="423">
      <c r="A423" s="67"/>
      <c r="B423" s="624"/>
      <c r="C423" s="575"/>
      <c r="D423" s="576"/>
      <c r="E423" s="576"/>
      <c r="F423" s="576"/>
      <c r="G423" s="577"/>
      <c r="H423" s="577"/>
      <c r="I423" s="594"/>
      <c r="J423" s="594"/>
      <c r="K423" s="594"/>
      <c r="L423" s="594"/>
      <c r="M423" s="594"/>
      <c r="N423" s="594"/>
      <c r="O423" s="594"/>
      <c r="P423" s="594"/>
      <c r="Q423" s="594"/>
    </row>
    <row r="424">
      <c r="A424" s="67"/>
      <c r="B424" s="624"/>
      <c r="C424" s="575"/>
      <c r="D424" s="576"/>
      <c r="E424" s="576"/>
      <c r="F424" s="576"/>
      <c r="G424" s="577"/>
      <c r="H424" s="577"/>
      <c r="I424" s="594"/>
      <c r="J424" s="594"/>
      <c r="K424" s="594"/>
      <c r="L424" s="594"/>
      <c r="M424" s="594"/>
      <c r="N424" s="594"/>
      <c r="O424" s="594"/>
      <c r="P424" s="594"/>
      <c r="Q424" s="594"/>
    </row>
    <row r="425">
      <c r="A425" s="67"/>
      <c r="B425" s="624"/>
      <c r="C425" s="575"/>
      <c r="D425" s="576"/>
      <c r="E425" s="576"/>
      <c r="F425" s="576"/>
      <c r="G425" s="577"/>
      <c r="H425" s="577"/>
      <c r="I425" s="594"/>
      <c r="J425" s="594"/>
      <c r="K425" s="594"/>
      <c r="L425" s="594"/>
      <c r="M425" s="594"/>
      <c r="N425" s="594"/>
      <c r="O425" s="594"/>
      <c r="P425" s="594"/>
      <c r="Q425" s="594"/>
    </row>
    <row r="426">
      <c r="A426" s="67"/>
      <c r="B426" s="624"/>
      <c r="C426" s="575"/>
      <c r="D426" s="576"/>
      <c r="E426" s="576"/>
      <c r="F426" s="576"/>
      <c r="G426" s="577"/>
      <c r="H426" s="577"/>
      <c r="I426" s="594"/>
      <c r="J426" s="594"/>
      <c r="K426" s="594"/>
      <c r="L426" s="594"/>
      <c r="M426" s="594"/>
      <c r="N426" s="594"/>
      <c r="O426" s="594"/>
      <c r="P426" s="594"/>
      <c r="Q426" s="594"/>
    </row>
    <row r="427">
      <c r="A427" s="67"/>
      <c r="B427" s="624"/>
      <c r="C427" s="575"/>
      <c r="D427" s="576"/>
      <c r="E427" s="576"/>
      <c r="F427" s="576"/>
      <c r="G427" s="577"/>
      <c r="H427" s="577"/>
      <c r="I427" s="594"/>
      <c r="J427" s="594"/>
      <c r="K427" s="594"/>
      <c r="L427" s="594"/>
      <c r="M427" s="594"/>
      <c r="N427" s="594"/>
      <c r="O427" s="594"/>
      <c r="P427" s="594"/>
      <c r="Q427" s="594"/>
    </row>
    <row r="428">
      <c r="A428" s="67"/>
      <c r="B428" s="624"/>
      <c r="C428" s="575"/>
      <c r="D428" s="576"/>
      <c r="E428" s="576"/>
      <c r="F428" s="576"/>
      <c r="G428" s="577"/>
      <c r="H428" s="577"/>
      <c r="I428" s="594"/>
      <c r="J428" s="594"/>
      <c r="K428" s="594"/>
      <c r="L428" s="594"/>
      <c r="M428" s="594"/>
      <c r="N428" s="594"/>
      <c r="O428" s="594"/>
      <c r="P428" s="594"/>
      <c r="Q428" s="594"/>
    </row>
    <row r="429">
      <c r="A429" s="67"/>
      <c r="B429" s="624"/>
      <c r="C429" s="575"/>
      <c r="D429" s="576"/>
      <c r="E429" s="576"/>
      <c r="F429" s="576"/>
      <c r="G429" s="577"/>
      <c r="H429" s="577"/>
      <c r="I429" s="594"/>
      <c r="J429" s="594"/>
      <c r="K429" s="594"/>
      <c r="L429" s="594"/>
      <c r="M429" s="594"/>
      <c r="N429" s="594"/>
      <c r="O429" s="594"/>
      <c r="P429" s="594"/>
      <c r="Q429" s="594"/>
    </row>
    <row r="430">
      <c r="A430" s="67"/>
      <c r="B430" s="624"/>
      <c r="C430" s="575"/>
      <c r="D430" s="576"/>
      <c r="E430" s="576"/>
      <c r="F430" s="576"/>
      <c r="G430" s="577"/>
      <c r="H430" s="577"/>
      <c r="I430" s="594"/>
      <c r="J430" s="594"/>
      <c r="K430" s="594"/>
      <c r="L430" s="594"/>
      <c r="M430" s="594"/>
      <c r="N430" s="594"/>
      <c r="O430" s="594"/>
      <c r="P430" s="594"/>
      <c r="Q430" s="594"/>
    </row>
    <row r="431">
      <c r="A431" s="67"/>
      <c r="B431" s="624"/>
      <c r="C431" s="575"/>
      <c r="D431" s="576"/>
      <c r="E431" s="576"/>
      <c r="F431" s="576"/>
      <c r="G431" s="577"/>
      <c r="H431" s="577"/>
      <c r="I431" s="594"/>
      <c r="J431" s="594"/>
      <c r="K431" s="594"/>
      <c r="L431" s="594"/>
      <c r="M431" s="594"/>
      <c r="N431" s="594"/>
      <c r="O431" s="594"/>
      <c r="P431" s="594"/>
      <c r="Q431" s="594"/>
    </row>
    <row r="432">
      <c r="A432" s="67"/>
      <c r="B432" s="624"/>
      <c r="C432" s="575"/>
      <c r="D432" s="576"/>
      <c r="E432" s="576"/>
      <c r="F432" s="576"/>
      <c r="G432" s="577"/>
      <c r="H432" s="577"/>
      <c r="I432" s="594"/>
      <c r="J432" s="594"/>
      <c r="K432" s="594"/>
      <c r="L432" s="594"/>
      <c r="M432" s="594"/>
      <c r="N432" s="594"/>
      <c r="O432" s="594"/>
      <c r="P432" s="594"/>
      <c r="Q432" s="594"/>
    </row>
    <row r="433">
      <c r="A433" s="67"/>
      <c r="B433" s="624"/>
      <c r="C433" s="575"/>
      <c r="D433" s="576"/>
      <c r="E433" s="576"/>
      <c r="F433" s="576"/>
      <c r="G433" s="577"/>
      <c r="H433" s="577"/>
      <c r="I433" s="594"/>
      <c r="J433" s="594"/>
      <c r="K433" s="594"/>
      <c r="L433" s="594"/>
      <c r="M433" s="594"/>
      <c r="N433" s="594"/>
      <c r="O433" s="594"/>
      <c r="P433" s="594"/>
      <c r="Q433" s="594"/>
    </row>
    <row r="434">
      <c r="A434" s="67"/>
      <c r="B434" s="624"/>
      <c r="C434" s="575"/>
      <c r="D434" s="576"/>
      <c r="E434" s="576"/>
      <c r="F434" s="576"/>
      <c r="G434" s="577"/>
      <c r="H434" s="577"/>
      <c r="I434" s="594"/>
      <c r="J434" s="594"/>
      <c r="K434" s="594"/>
      <c r="L434" s="594"/>
      <c r="M434" s="594"/>
      <c r="N434" s="594"/>
      <c r="O434" s="594"/>
      <c r="P434" s="594"/>
      <c r="Q434" s="594"/>
    </row>
    <row r="435">
      <c r="A435" s="67"/>
      <c r="B435" s="624"/>
      <c r="C435" s="575"/>
      <c r="D435" s="576"/>
      <c r="E435" s="576"/>
      <c r="F435" s="576"/>
      <c r="G435" s="577"/>
      <c r="H435" s="577"/>
      <c r="I435" s="594"/>
      <c r="J435" s="594"/>
      <c r="K435" s="594"/>
      <c r="L435" s="594"/>
      <c r="M435" s="594"/>
      <c r="N435" s="594"/>
      <c r="O435" s="594"/>
      <c r="P435" s="594"/>
      <c r="Q435" s="594"/>
    </row>
    <row r="436">
      <c r="A436" s="67"/>
      <c r="B436" s="624"/>
      <c r="C436" s="575"/>
      <c r="D436" s="576"/>
      <c r="E436" s="576"/>
      <c r="F436" s="576"/>
      <c r="G436" s="577"/>
      <c r="H436" s="577"/>
      <c r="I436" s="594"/>
      <c r="J436" s="594"/>
      <c r="K436" s="594"/>
      <c r="L436" s="594"/>
      <c r="M436" s="594"/>
      <c r="N436" s="594"/>
      <c r="O436" s="594"/>
      <c r="P436" s="594"/>
      <c r="Q436" s="594"/>
    </row>
    <row r="437">
      <c r="A437" s="67"/>
      <c r="B437" s="624"/>
      <c r="C437" s="575"/>
      <c r="D437" s="576"/>
      <c r="E437" s="576"/>
      <c r="F437" s="576"/>
      <c r="G437" s="577"/>
      <c r="H437" s="577"/>
      <c r="I437" s="594"/>
      <c r="J437" s="594"/>
      <c r="K437" s="594"/>
      <c r="L437" s="594"/>
      <c r="M437" s="594"/>
      <c r="N437" s="594"/>
      <c r="O437" s="594"/>
      <c r="P437" s="594"/>
      <c r="Q437" s="594"/>
    </row>
    <row r="438">
      <c r="A438" s="67"/>
      <c r="B438" s="624"/>
      <c r="C438" s="575"/>
      <c r="D438" s="576"/>
      <c r="E438" s="576"/>
      <c r="F438" s="576"/>
      <c r="G438" s="577"/>
      <c r="H438" s="577"/>
      <c r="I438" s="594"/>
      <c r="J438" s="594"/>
      <c r="K438" s="594"/>
      <c r="L438" s="594"/>
      <c r="M438" s="594"/>
      <c r="N438" s="594"/>
      <c r="O438" s="594"/>
      <c r="P438" s="594"/>
      <c r="Q438" s="594"/>
    </row>
    <row r="439">
      <c r="A439" s="67"/>
      <c r="B439" s="624"/>
      <c r="C439" s="575"/>
      <c r="D439" s="576"/>
      <c r="E439" s="576"/>
      <c r="F439" s="576"/>
      <c r="G439" s="577"/>
      <c r="H439" s="577"/>
      <c r="I439" s="594"/>
      <c r="J439" s="594"/>
      <c r="K439" s="594"/>
      <c r="L439" s="594"/>
      <c r="M439" s="594"/>
      <c r="N439" s="594"/>
      <c r="O439" s="594"/>
      <c r="P439" s="594"/>
      <c r="Q439" s="594"/>
    </row>
    <row r="440">
      <c r="A440" s="67"/>
      <c r="B440" s="624"/>
      <c r="C440" s="575"/>
      <c r="D440" s="576"/>
      <c r="E440" s="576"/>
      <c r="F440" s="576"/>
      <c r="G440" s="577"/>
      <c r="H440" s="577"/>
      <c r="I440" s="594"/>
      <c r="J440" s="594"/>
      <c r="K440" s="594"/>
      <c r="L440" s="594"/>
      <c r="M440" s="594"/>
      <c r="N440" s="594"/>
      <c r="O440" s="594"/>
      <c r="P440" s="594"/>
      <c r="Q440" s="594"/>
    </row>
    <row r="441">
      <c r="A441" s="67"/>
      <c r="B441" s="624"/>
      <c r="C441" s="575"/>
      <c r="D441" s="576"/>
      <c r="E441" s="576"/>
      <c r="F441" s="576"/>
      <c r="G441" s="577"/>
      <c r="H441" s="577"/>
      <c r="I441" s="594"/>
      <c r="J441" s="594"/>
      <c r="K441" s="594"/>
      <c r="L441" s="594"/>
      <c r="M441" s="594"/>
      <c r="N441" s="594"/>
      <c r="O441" s="594"/>
      <c r="P441" s="594"/>
      <c r="Q441" s="594"/>
    </row>
    <row r="442">
      <c r="A442" s="67"/>
      <c r="B442" s="624"/>
      <c r="C442" s="575"/>
      <c r="D442" s="576"/>
      <c r="E442" s="576"/>
      <c r="F442" s="576"/>
      <c r="G442" s="577"/>
      <c r="H442" s="577"/>
      <c r="I442" s="594"/>
      <c r="J442" s="594"/>
      <c r="K442" s="594"/>
      <c r="L442" s="594"/>
      <c r="M442" s="594"/>
      <c r="N442" s="594"/>
      <c r="O442" s="594"/>
      <c r="P442" s="594"/>
      <c r="Q442" s="594"/>
    </row>
    <row r="443">
      <c r="A443" s="67"/>
      <c r="B443" s="624"/>
      <c r="C443" s="575"/>
      <c r="D443" s="576"/>
      <c r="E443" s="576"/>
      <c r="F443" s="576"/>
      <c r="G443" s="577"/>
      <c r="H443" s="577"/>
      <c r="I443" s="594"/>
      <c r="J443" s="594"/>
      <c r="K443" s="594"/>
      <c r="L443" s="594"/>
      <c r="M443" s="594"/>
      <c r="N443" s="594"/>
      <c r="O443" s="594"/>
      <c r="P443" s="594"/>
      <c r="Q443" s="594"/>
    </row>
    <row r="444">
      <c r="A444" s="67"/>
      <c r="B444" s="624"/>
      <c r="C444" s="575"/>
      <c r="D444" s="576"/>
      <c r="E444" s="576"/>
      <c r="F444" s="576"/>
      <c r="G444" s="577"/>
      <c r="H444" s="577"/>
      <c r="I444" s="594"/>
      <c r="J444" s="594"/>
      <c r="K444" s="594"/>
      <c r="L444" s="594"/>
      <c r="M444" s="594"/>
      <c r="N444" s="594"/>
      <c r="O444" s="594"/>
      <c r="P444" s="594"/>
      <c r="Q444" s="594"/>
    </row>
    <row r="445">
      <c r="A445" s="67"/>
      <c r="B445" s="624"/>
      <c r="C445" s="575"/>
      <c r="D445" s="576"/>
      <c r="E445" s="576"/>
      <c r="F445" s="576"/>
      <c r="G445" s="577"/>
      <c r="H445" s="577"/>
      <c r="I445" s="594"/>
      <c r="J445" s="594"/>
      <c r="K445" s="594"/>
      <c r="L445" s="594"/>
      <c r="M445" s="594"/>
      <c r="N445" s="594"/>
      <c r="O445" s="594"/>
      <c r="P445" s="594"/>
      <c r="Q445" s="594"/>
    </row>
    <row r="446">
      <c r="A446" s="67"/>
      <c r="B446" s="624"/>
      <c r="C446" s="575"/>
      <c r="D446" s="576"/>
      <c r="E446" s="576"/>
      <c r="F446" s="576"/>
      <c r="G446" s="577"/>
      <c r="H446" s="577"/>
      <c r="I446" s="594"/>
      <c r="J446" s="594"/>
      <c r="K446" s="594"/>
      <c r="L446" s="594"/>
      <c r="M446" s="594"/>
      <c r="N446" s="594"/>
      <c r="O446" s="594"/>
      <c r="P446" s="594"/>
      <c r="Q446" s="594"/>
    </row>
    <row r="447">
      <c r="A447" s="67"/>
      <c r="B447" s="624"/>
      <c r="C447" s="575"/>
      <c r="D447" s="576"/>
      <c r="E447" s="576"/>
      <c r="F447" s="576"/>
      <c r="G447" s="577"/>
      <c r="H447" s="577"/>
      <c r="I447" s="594"/>
      <c r="J447" s="594"/>
      <c r="K447" s="594"/>
      <c r="L447" s="594"/>
      <c r="M447" s="594"/>
      <c r="N447" s="594"/>
      <c r="O447" s="594"/>
      <c r="P447" s="594"/>
      <c r="Q447" s="594"/>
    </row>
    <row r="448">
      <c r="A448" s="67"/>
      <c r="B448" s="624"/>
      <c r="C448" s="575"/>
      <c r="D448" s="576"/>
      <c r="E448" s="576"/>
      <c r="F448" s="576"/>
      <c r="G448" s="577"/>
      <c r="H448" s="577"/>
      <c r="I448" s="594"/>
      <c r="J448" s="594"/>
      <c r="K448" s="594"/>
      <c r="L448" s="594"/>
      <c r="M448" s="594"/>
      <c r="N448" s="594"/>
      <c r="O448" s="594"/>
      <c r="P448" s="594"/>
      <c r="Q448" s="594"/>
    </row>
    <row r="449">
      <c r="A449" s="67"/>
      <c r="B449" s="624"/>
      <c r="C449" s="575"/>
      <c r="D449" s="576"/>
      <c r="E449" s="576"/>
      <c r="F449" s="576"/>
      <c r="G449" s="577"/>
      <c r="H449" s="577"/>
      <c r="I449" s="594"/>
      <c r="J449" s="594"/>
      <c r="K449" s="594"/>
      <c r="L449" s="594"/>
      <c r="M449" s="594"/>
      <c r="N449" s="594"/>
      <c r="O449" s="594"/>
      <c r="P449" s="594"/>
      <c r="Q449" s="594"/>
    </row>
    <row r="450">
      <c r="A450" s="67"/>
      <c r="B450" s="624"/>
      <c r="C450" s="575"/>
      <c r="D450" s="576"/>
      <c r="E450" s="576"/>
      <c r="F450" s="576"/>
      <c r="G450" s="577"/>
      <c r="H450" s="577"/>
      <c r="I450" s="594"/>
      <c r="J450" s="594"/>
      <c r="K450" s="594"/>
      <c r="L450" s="594"/>
      <c r="M450" s="594"/>
      <c r="N450" s="594"/>
      <c r="O450" s="594"/>
      <c r="P450" s="594"/>
      <c r="Q450" s="594"/>
    </row>
    <row r="451">
      <c r="A451" s="67"/>
      <c r="B451" s="624"/>
      <c r="C451" s="575"/>
      <c r="D451" s="576"/>
      <c r="E451" s="576"/>
      <c r="F451" s="576"/>
      <c r="G451" s="577"/>
      <c r="H451" s="577"/>
      <c r="I451" s="594"/>
      <c r="J451" s="594"/>
      <c r="K451" s="594"/>
      <c r="L451" s="594"/>
      <c r="M451" s="594"/>
      <c r="N451" s="594"/>
      <c r="O451" s="594"/>
      <c r="P451" s="594"/>
      <c r="Q451" s="594"/>
    </row>
    <row r="452">
      <c r="A452" s="67"/>
      <c r="B452" s="624"/>
      <c r="C452" s="575"/>
      <c r="D452" s="576"/>
      <c r="E452" s="576"/>
      <c r="F452" s="576"/>
      <c r="G452" s="577"/>
      <c r="H452" s="577"/>
      <c r="I452" s="594"/>
      <c r="J452" s="594"/>
      <c r="K452" s="594"/>
      <c r="L452" s="594"/>
      <c r="M452" s="594"/>
      <c r="N452" s="594"/>
      <c r="O452" s="594"/>
      <c r="P452" s="594"/>
      <c r="Q452" s="594"/>
    </row>
    <row r="453">
      <c r="A453" s="67"/>
      <c r="B453" s="624"/>
      <c r="C453" s="575"/>
      <c r="D453" s="576"/>
      <c r="E453" s="576"/>
      <c r="F453" s="576"/>
      <c r="G453" s="577"/>
      <c r="H453" s="577"/>
      <c r="I453" s="594"/>
      <c r="J453" s="594"/>
      <c r="K453" s="594"/>
      <c r="L453" s="594"/>
      <c r="M453" s="594"/>
      <c r="N453" s="594"/>
      <c r="O453" s="594"/>
      <c r="P453" s="594"/>
      <c r="Q453" s="594"/>
    </row>
    <row r="454">
      <c r="A454" s="67"/>
      <c r="B454" s="624"/>
      <c r="C454" s="575"/>
      <c r="D454" s="576"/>
      <c r="E454" s="576"/>
      <c r="F454" s="576"/>
      <c r="G454" s="577"/>
      <c r="H454" s="577"/>
      <c r="I454" s="594"/>
      <c r="J454" s="594"/>
      <c r="K454" s="594"/>
      <c r="L454" s="594"/>
      <c r="M454" s="594"/>
      <c r="N454" s="594"/>
      <c r="O454" s="594"/>
      <c r="P454" s="594"/>
      <c r="Q454" s="594"/>
    </row>
    <row r="455">
      <c r="A455" s="67"/>
      <c r="B455" s="624"/>
      <c r="C455" s="575"/>
      <c r="D455" s="576"/>
      <c r="E455" s="576"/>
      <c r="F455" s="576"/>
      <c r="G455" s="577"/>
      <c r="H455" s="577"/>
      <c r="I455" s="594"/>
      <c r="J455" s="594"/>
      <c r="K455" s="594"/>
      <c r="L455" s="594"/>
      <c r="M455" s="594"/>
      <c r="N455" s="594"/>
      <c r="O455" s="594"/>
      <c r="P455" s="594"/>
      <c r="Q455" s="594"/>
    </row>
    <row r="456">
      <c r="A456" s="67"/>
      <c r="B456" s="624"/>
      <c r="C456" s="575"/>
      <c r="D456" s="576"/>
      <c r="E456" s="576"/>
      <c r="F456" s="576"/>
      <c r="G456" s="577"/>
      <c r="H456" s="577"/>
      <c r="I456" s="594"/>
      <c r="J456" s="594"/>
      <c r="K456" s="594"/>
      <c r="L456" s="594"/>
      <c r="M456" s="594"/>
      <c r="N456" s="594"/>
      <c r="O456" s="594"/>
      <c r="P456" s="594"/>
      <c r="Q456" s="594"/>
    </row>
    <row r="457">
      <c r="A457" s="67"/>
      <c r="B457" s="624"/>
      <c r="C457" s="575"/>
      <c r="D457" s="576"/>
      <c r="E457" s="576"/>
      <c r="F457" s="576"/>
      <c r="G457" s="577"/>
      <c r="H457" s="577"/>
      <c r="I457" s="594"/>
      <c r="J457" s="594"/>
      <c r="K457" s="594"/>
      <c r="L457" s="594"/>
      <c r="M457" s="594"/>
      <c r="N457" s="594"/>
      <c r="O457" s="594"/>
      <c r="P457" s="594"/>
      <c r="Q457" s="594"/>
    </row>
    <row r="458">
      <c r="A458" s="67"/>
      <c r="B458" s="624"/>
      <c r="C458" s="575"/>
      <c r="D458" s="576"/>
      <c r="E458" s="576"/>
      <c r="F458" s="576"/>
      <c r="G458" s="577"/>
      <c r="H458" s="577"/>
      <c r="I458" s="594"/>
      <c r="J458" s="594"/>
      <c r="K458" s="594"/>
      <c r="L458" s="594"/>
      <c r="M458" s="594"/>
      <c r="N458" s="594"/>
      <c r="O458" s="594"/>
      <c r="P458" s="594"/>
      <c r="Q458" s="594"/>
    </row>
    <row r="459">
      <c r="A459" s="67"/>
      <c r="B459" s="624"/>
      <c r="C459" s="575"/>
      <c r="D459" s="576"/>
      <c r="E459" s="576"/>
      <c r="F459" s="576"/>
      <c r="G459" s="577"/>
      <c r="H459" s="577"/>
      <c r="I459" s="594"/>
      <c r="J459" s="594"/>
      <c r="K459" s="594"/>
      <c r="L459" s="594"/>
      <c r="M459" s="594"/>
      <c r="N459" s="594"/>
      <c r="O459" s="594"/>
      <c r="P459" s="594"/>
      <c r="Q459" s="594"/>
    </row>
    <row r="460">
      <c r="A460" s="67"/>
      <c r="B460" s="624"/>
      <c r="C460" s="575"/>
      <c r="D460" s="576"/>
      <c r="E460" s="576"/>
      <c r="F460" s="576"/>
      <c r="G460" s="577"/>
      <c r="H460" s="577"/>
      <c r="I460" s="594"/>
      <c r="J460" s="594"/>
      <c r="K460" s="594"/>
      <c r="L460" s="594"/>
      <c r="M460" s="594"/>
      <c r="N460" s="594"/>
      <c r="O460" s="594"/>
      <c r="P460" s="594"/>
      <c r="Q460" s="594"/>
    </row>
    <row r="461">
      <c r="A461" s="67"/>
      <c r="B461" s="624"/>
      <c r="C461" s="575"/>
      <c r="D461" s="576"/>
      <c r="E461" s="576"/>
      <c r="F461" s="576"/>
      <c r="G461" s="577"/>
      <c r="H461" s="577"/>
      <c r="I461" s="594"/>
      <c r="J461" s="594"/>
      <c r="K461" s="594"/>
      <c r="L461" s="594"/>
      <c r="M461" s="594"/>
      <c r="N461" s="594"/>
      <c r="O461" s="594"/>
      <c r="P461" s="594"/>
      <c r="Q461" s="594"/>
    </row>
    <row r="462">
      <c r="A462" s="67"/>
      <c r="B462" s="624"/>
      <c r="C462" s="575"/>
      <c r="D462" s="576"/>
      <c r="E462" s="576"/>
      <c r="F462" s="576"/>
      <c r="G462" s="577"/>
      <c r="H462" s="577"/>
      <c r="I462" s="594"/>
      <c r="J462" s="594"/>
      <c r="K462" s="594"/>
      <c r="L462" s="594"/>
      <c r="M462" s="594"/>
      <c r="N462" s="594"/>
      <c r="O462" s="594"/>
      <c r="P462" s="594"/>
      <c r="Q462" s="594"/>
    </row>
    <row r="463">
      <c r="A463" s="67"/>
      <c r="B463" s="624"/>
      <c r="C463" s="575"/>
      <c r="D463" s="576"/>
      <c r="E463" s="576"/>
      <c r="F463" s="576"/>
      <c r="G463" s="577"/>
      <c r="H463" s="577"/>
      <c r="I463" s="594"/>
      <c r="J463" s="594"/>
      <c r="K463" s="594"/>
      <c r="L463" s="594"/>
      <c r="M463" s="594"/>
      <c r="N463" s="594"/>
      <c r="O463" s="594"/>
      <c r="P463" s="594"/>
      <c r="Q463" s="594"/>
    </row>
    <row r="464">
      <c r="A464" s="67"/>
      <c r="B464" s="624"/>
      <c r="C464" s="575"/>
      <c r="D464" s="576"/>
      <c r="E464" s="576"/>
      <c r="F464" s="576"/>
      <c r="G464" s="577"/>
      <c r="H464" s="577"/>
      <c r="I464" s="594"/>
      <c r="J464" s="594"/>
      <c r="K464" s="594"/>
      <c r="L464" s="594"/>
      <c r="M464" s="594"/>
      <c r="N464" s="594"/>
      <c r="O464" s="594"/>
      <c r="P464" s="594"/>
      <c r="Q464" s="594"/>
    </row>
    <row r="465">
      <c r="A465" s="67"/>
      <c r="B465" s="624"/>
      <c r="C465" s="575"/>
      <c r="D465" s="576"/>
      <c r="E465" s="576"/>
      <c r="F465" s="576"/>
      <c r="G465" s="577"/>
      <c r="H465" s="577"/>
      <c r="I465" s="594"/>
      <c r="J465" s="594"/>
      <c r="K465" s="594"/>
      <c r="L465" s="594"/>
      <c r="M465" s="594"/>
      <c r="N465" s="594"/>
      <c r="O465" s="594"/>
      <c r="P465" s="594"/>
      <c r="Q465" s="594"/>
    </row>
    <row r="466">
      <c r="A466" s="67"/>
      <c r="B466" s="624"/>
      <c r="C466" s="575"/>
      <c r="D466" s="576"/>
      <c r="E466" s="576"/>
      <c r="F466" s="576"/>
      <c r="G466" s="577"/>
      <c r="H466" s="577"/>
      <c r="I466" s="594"/>
      <c r="J466" s="594"/>
      <c r="K466" s="594"/>
      <c r="L466" s="594"/>
      <c r="M466" s="594"/>
      <c r="N466" s="594"/>
      <c r="O466" s="594"/>
      <c r="P466" s="594"/>
      <c r="Q466" s="594"/>
    </row>
    <row r="467">
      <c r="A467" s="67"/>
      <c r="B467" s="624"/>
      <c r="C467" s="575"/>
      <c r="D467" s="576"/>
      <c r="E467" s="576"/>
      <c r="F467" s="576"/>
      <c r="G467" s="577"/>
      <c r="H467" s="577"/>
      <c r="I467" s="594"/>
      <c r="J467" s="594"/>
      <c r="K467" s="594"/>
      <c r="L467" s="594"/>
      <c r="M467" s="594"/>
      <c r="N467" s="594"/>
      <c r="O467" s="594"/>
      <c r="P467" s="594"/>
      <c r="Q467" s="594"/>
    </row>
    <row r="468">
      <c r="A468" s="67"/>
      <c r="B468" s="624"/>
      <c r="C468" s="575"/>
      <c r="D468" s="576"/>
      <c r="E468" s="576"/>
      <c r="F468" s="576"/>
      <c r="G468" s="577"/>
      <c r="H468" s="577"/>
      <c r="I468" s="594"/>
      <c r="J468" s="594"/>
      <c r="K468" s="594"/>
      <c r="L468" s="594"/>
      <c r="M468" s="594"/>
      <c r="N468" s="594"/>
      <c r="O468" s="594"/>
      <c r="P468" s="594"/>
      <c r="Q468" s="594"/>
    </row>
    <row r="469">
      <c r="A469" s="67"/>
      <c r="B469" s="624"/>
      <c r="C469" s="575"/>
      <c r="D469" s="576"/>
      <c r="E469" s="576"/>
      <c r="F469" s="576"/>
      <c r="G469" s="577"/>
      <c r="H469" s="577"/>
      <c r="I469" s="594"/>
      <c r="J469" s="594"/>
      <c r="K469" s="594"/>
      <c r="L469" s="594"/>
      <c r="M469" s="594"/>
      <c r="N469" s="594"/>
      <c r="O469" s="594"/>
      <c r="P469" s="594"/>
      <c r="Q469" s="594"/>
    </row>
    <row r="470">
      <c r="A470" s="67"/>
      <c r="B470" s="624"/>
      <c r="C470" s="575"/>
      <c r="D470" s="576"/>
      <c r="E470" s="576"/>
      <c r="F470" s="576"/>
      <c r="G470" s="577"/>
      <c r="H470" s="577"/>
      <c r="I470" s="594"/>
      <c r="J470" s="594"/>
      <c r="K470" s="594"/>
      <c r="L470" s="594"/>
      <c r="M470" s="594"/>
      <c r="N470" s="594"/>
      <c r="O470" s="594"/>
      <c r="P470" s="594"/>
      <c r="Q470" s="594"/>
    </row>
    <row r="471">
      <c r="A471" s="67"/>
      <c r="B471" s="624"/>
      <c r="C471" s="575"/>
      <c r="D471" s="576"/>
      <c r="E471" s="576"/>
      <c r="F471" s="576"/>
      <c r="G471" s="577"/>
      <c r="H471" s="577"/>
      <c r="I471" s="594"/>
      <c r="J471" s="594"/>
      <c r="K471" s="594"/>
      <c r="L471" s="594"/>
      <c r="M471" s="594"/>
      <c r="N471" s="594"/>
      <c r="O471" s="594"/>
      <c r="P471" s="594"/>
      <c r="Q471" s="594"/>
    </row>
    <row r="472">
      <c r="A472" s="67"/>
      <c r="B472" s="624"/>
      <c r="C472" s="575"/>
      <c r="D472" s="576"/>
      <c r="E472" s="576"/>
      <c r="F472" s="576"/>
      <c r="G472" s="577"/>
      <c r="H472" s="577"/>
      <c r="I472" s="594"/>
      <c r="J472" s="594"/>
      <c r="K472" s="594"/>
      <c r="L472" s="594"/>
      <c r="M472" s="594"/>
      <c r="N472" s="594"/>
      <c r="O472" s="594"/>
      <c r="P472" s="594"/>
      <c r="Q472" s="594"/>
    </row>
    <row r="473">
      <c r="A473" s="67"/>
      <c r="B473" s="624"/>
      <c r="C473" s="575"/>
      <c r="D473" s="576"/>
      <c r="E473" s="576"/>
      <c r="F473" s="576"/>
      <c r="G473" s="577"/>
      <c r="H473" s="577"/>
      <c r="I473" s="594"/>
      <c r="J473" s="594"/>
      <c r="K473" s="594"/>
      <c r="L473" s="594"/>
      <c r="M473" s="594"/>
      <c r="N473" s="594"/>
      <c r="O473" s="594"/>
      <c r="P473" s="594"/>
      <c r="Q473" s="594"/>
    </row>
    <row r="474">
      <c r="A474" s="67"/>
      <c r="B474" s="624"/>
      <c r="C474" s="575"/>
      <c r="D474" s="576"/>
      <c r="E474" s="576"/>
      <c r="F474" s="576"/>
      <c r="G474" s="577"/>
      <c r="H474" s="577"/>
      <c r="I474" s="594"/>
      <c r="J474" s="594"/>
      <c r="K474" s="594"/>
      <c r="L474" s="594"/>
      <c r="M474" s="594"/>
      <c r="N474" s="594"/>
      <c r="O474" s="594"/>
      <c r="P474" s="594"/>
      <c r="Q474" s="594"/>
    </row>
    <row r="475">
      <c r="A475" s="67"/>
      <c r="B475" s="624"/>
      <c r="C475" s="575"/>
      <c r="D475" s="576"/>
      <c r="E475" s="576"/>
      <c r="F475" s="576"/>
      <c r="G475" s="577"/>
      <c r="H475" s="577"/>
      <c r="I475" s="594"/>
      <c r="J475" s="594"/>
      <c r="K475" s="594"/>
      <c r="L475" s="594"/>
      <c r="M475" s="594"/>
      <c r="N475" s="594"/>
      <c r="O475" s="594"/>
      <c r="P475" s="594"/>
      <c r="Q475" s="594"/>
    </row>
    <row r="476">
      <c r="A476" s="67"/>
      <c r="B476" s="624"/>
      <c r="C476" s="575"/>
      <c r="D476" s="576"/>
      <c r="E476" s="576"/>
      <c r="F476" s="576"/>
      <c r="G476" s="577"/>
      <c r="H476" s="577"/>
      <c r="I476" s="594"/>
      <c r="J476" s="594"/>
      <c r="K476" s="594"/>
      <c r="L476" s="594"/>
      <c r="M476" s="594"/>
      <c r="N476" s="594"/>
      <c r="O476" s="594"/>
      <c r="P476" s="594"/>
      <c r="Q476" s="594"/>
    </row>
    <row r="477">
      <c r="A477" s="67"/>
      <c r="B477" s="624"/>
      <c r="C477" s="575"/>
      <c r="D477" s="576"/>
      <c r="E477" s="576"/>
      <c r="F477" s="576"/>
      <c r="G477" s="577"/>
      <c r="H477" s="577"/>
      <c r="I477" s="594"/>
      <c r="J477" s="594"/>
      <c r="K477" s="594"/>
      <c r="L477" s="594"/>
      <c r="M477" s="594"/>
      <c r="N477" s="594"/>
      <c r="O477" s="594"/>
      <c r="P477" s="594"/>
      <c r="Q477" s="594"/>
    </row>
    <row r="478">
      <c r="A478" s="67"/>
      <c r="B478" s="624"/>
      <c r="C478" s="575"/>
      <c r="D478" s="576"/>
      <c r="E478" s="576"/>
      <c r="F478" s="576"/>
      <c r="G478" s="577"/>
      <c r="H478" s="577"/>
      <c r="I478" s="594"/>
      <c r="J478" s="594"/>
      <c r="K478" s="594"/>
      <c r="L478" s="594"/>
      <c r="M478" s="594"/>
      <c r="N478" s="594"/>
      <c r="O478" s="594"/>
      <c r="P478" s="594"/>
      <c r="Q478" s="594"/>
    </row>
    <row r="479">
      <c r="A479" s="67"/>
      <c r="B479" s="624"/>
      <c r="C479" s="575"/>
      <c r="D479" s="576"/>
      <c r="E479" s="576"/>
      <c r="F479" s="576"/>
      <c r="G479" s="577"/>
      <c r="H479" s="577"/>
      <c r="I479" s="594"/>
      <c r="J479" s="594"/>
      <c r="K479" s="594"/>
      <c r="L479" s="594"/>
      <c r="M479" s="594"/>
      <c r="N479" s="594"/>
      <c r="O479" s="594"/>
      <c r="P479" s="594"/>
      <c r="Q479" s="594"/>
    </row>
    <row r="480">
      <c r="A480" s="67"/>
      <c r="B480" s="624"/>
      <c r="C480" s="575"/>
      <c r="D480" s="576"/>
      <c r="E480" s="576"/>
      <c r="F480" s="576"/>
      <c r="G480" s="577"/>
      <c r="H480" s="577"/>
      <c r="I480" s="594"/>
      <c r="J480" s="594"/>
      <c r="K480" s="594"/>
      <c r="L480" s="594"/>
      <c r="M480" s="594"/>
      <c r="N480" s="594"/>
      <c r="O480" s="594"/>
      <c r="P480" s="594"/>
      <c r="Q480" s="594"/>
    </row>
    <row r="481">
      <c r="A481" s="67"/>
      <c r="B481" s="624"/>
      <c r="C481" s="575"/>
      <c r="D481" s="576"/>
      <c r="E481" s="576"/>
      <c r="F481" s="576"/>
      <c r="G481" s="577"/>
      <c r="H481" s="577"/>
      <c r="I481" s="594"/>
      <c r="J481" s="594"/>
      <c r="K481" s="594"/>
      <c r="L481" s="594"/>
      <c r="M481" s="594"/>
      <c r="N481" s="594"/>
      <c r="O481" s="594"/>
      <c r="P481" s="594"/>
      <c r="Q481" s="594"/>
    </row>
    <row r="482">
      <c r="A482" s="67"/>
      <c r="B482" s="624"/>
      <c r="C482" s="575"/>
      <c r="D482" s="576"/>
      <c r="E482" s="576"/>
      <c r="F482" s="576"/>
      <c r="G482" s="577"/>
      <c r="H482" s="577"/>
      <c r="I482" s="594"/>
      <c r="J482" s="594"/>
      <c r="K482" s="594"/>
      <c r="L482" s="594"/>
      <c r="M482" s="594"/>
      <c r="N482" s="594"/>
      <c r="O482" s="594"/>
      <c r="P482" s="594"/>
      <c r="Q482" s="594"/>
    </row>
    <row r="483">
      <c r="A483" s="67"/>
      <c r="B483" s="624"/>
      <c r="C483" s="575"/>
      <c r="D483" s="576"/>
      <c r="E483" s="576"/>
      <c r="F483" s="576"/>
      <c r="G483" s="577"/>
      <c r="H483" s="577"/>
      <c r="I483" s="594"/>
      <c r="J483" s="594"/>
      <c r="K483" s="594"/>
      <c r="L483" s="594"/>
      <c r="M483" s="594"/>
      <c r="N483" s="594"/>
      <c r="O483" s="594"/>
      <c r="P483" s="594"/>
      <c r="Q483" s="594"/>
    </row>
    <row r="484">
      <c r="A484" s="67"/>
      <c r="B484" s="624"/>
      <c r="C484" s="575"/>
      <c r="D484" s="576"/>
      <c r="E484" s="576"/>
      <c r="F484" s="576"/>
      <c r="G484" s="577"/>
      <c r="H484" s="577"/>
      <c r="I484" s="594"/>
      <c r="J484" s="594"/>
      <c r="K484" s="594"/>
      <c r="L484" s="594"/>
      <c r="M484" s="594"/>
      <c r="N484" s="594"/>
      <c r="O484" s="594"/>
      <c r="P484" s="594"/>
      <c r="Q484" s="594"/>
    </row>
    <row r="485">
      <c r="A485" s="67"/>
      <c r="B485" s="624"/>
      <c r="C485" s="575"/>
      <c r="D485" s="576"/>
      <c r="E485" s="576"/>
      <c r="F485" s="576"/>
      <c r="G485" s="577"/>
      <c r="H485" s="577"/>
      <c r="I485" s="594"/>
      <c r="J485" s="594"/>
      <c r="K485" s="594"/>
      <c r="L485" s="594"/>
      <c r="M485" s="594"/>
      <c r="N485" s="594"/>
      <c r="O485" s="594"/>
      <c r="P485" s="594"/>
      <c r="Q485" s="594"/>
    </row>
    <row r="486">
      <c r="A486" s="67"/>
      <c r="B486" s="624"/>
      <c r="C486" s="575"/>
      <c r="D486" s="576"/>
      <c r="E486" s="576"/>
      <c r="F486" s="576"/>
      <c r="G486" s="577"/>
      <c r="H486" s="577"/>
      <c r="I486" s="594"/>
      <c r="J486" s="594"/>
      <c r="K486" s="594"/>
      <c r="L486" s="594"/>
      <c r="M486" s="594"/>
      <c r="N486" s="594"/>
      <c r="O486" s="594"/>
      <c r="P486" s="594"/>
      <c r="Q486" s="594"/>
    </row>
    <row r="487">
      <c r="A487" s="67"/>
      <c r="B487" s="624"/>
      <c r="C487" s="575"/>
      <c r="D487" s="576"/>
      <c r="E487" s="576"/>
      <c r="F487" s="576"/>
      <c r="G487" s="577"/>
      <c r="H487" s="577"/>
      <c r="I487" s="594"/>
      <c r="J487" s="594"/>
      <c r="K487" s="594"/>
      <c r="L487" s="594"/>
      <c r="M487" s="594"/>
      <c r="N487" s="594"/>
      <c r="O487" s="594"/>
      <c r="P487" s="594"/>
      <c r="Q487" s="594"/>
    </row>
    <row r="488">
      <c r="A488" s="67"/>
      <c r="B488" s="624"/>
      <c r="C488" s="575"/>
      <c r="D488" s="576"/>
      <c r="E488" s="576"/>
      <c r="F488" s="576"/>
      <c r="G488" s="577"/>
      <c r="H488" s="577"/>
      <c r="I488" s="594"/>
      <c r="J488" s="594"/>
      <c r="K488" s="594"/>
      <c r="L488" s="594"/>
      <c r="M488" s="594"/>
      <c r="N488" s="594"/>
      <c r="O488" s="594"/>
      <c r="P488" s="594"/>
      <c r="Q488" s="594"/>
    </row>
    <row r="489">
      <c r="A489" s="67"/>
      <c r="B489" s="624"/>
      <c r="C489" s="575"/>
      <c r="D489" s="576"/>
      <c r="E489" s="576"/>
      <c r="F489" s="576"/>
      <c r="G489" s="577"/>
      <c r="H489" s="577"/>
      <c r="I489" s="594"/>
      <c r="J489" s="594"/>
      <c r="K489" s="594"/>
      <c r="L489" s="594"/>
      <c r="M489" s="594"/>
      <c r="N489" s="594"/>
      <c r="O489" s="594"/>
      <c r="P489" s="594"/>
      <c r="Q489" s="594"/>
    </row>
    <row r="490">
      <c r="A490" s="67"/>
      <c r="B490" s="624"/>
      <c r="C490" s="575"/>
      <c r="D490" s="576"/>
      <c r="E490" s="576"/>
      <c r="F490" s="576"/>
      <c r="G490" s="577"/>
      <c r="H490" s="577"/>
      <c r="I490" s="594"/>
      <c r="J490" s="594"/>
      <c r="K490" s="594"/>
      <c r="L490" s="594"/>
      <c r="M490" s="594"/>
      <c r="N490" s="594"/>
      <c r="O490" s="594"/>
      <c r="P490" s="594"/>
      <c r="Q490" s="594"/>
    </row>
    <row r="491">
      <c r="A491" s="67"/>
      <c r="B491" s="624"/>
      <c r="C491" s="575"/>
      <c r="D491" s="576"/>
      <c r="E491" s="576"/>
      <c r="F491" s="576"/>
      <c r="G491" s="577"/>
      <c r="H491" s="577"/>
      <c r="I491" s="594"/>
      <c r="J491" s="594"/>
      <c r="K491" s="594"/>
      <c r="L491" s="594"/>
      <c r="M491" s="594"/>
      <c r="N491" s="594"/>
      <c r="O491" s="594"/>
      <c r="P491" s="594"/>
      <c r="Q491" s="594"/>
    </row>
    <row r="492">
      <c r="A492" s="67"/>
      <c r="B492" s="624"/>
      <c r="C492" s="575"/>
      <c r="D492" s="576"/>
      <c r="E492" s="576"/>
      <c r="F492" s="576"/>
      <c r="G492" s="577"/>
      <c r="H492" s="577"/>
      <c r="I492" s="594"/>
      <c r="J492" s="594"/>
      <c r="K492" s="594"/>
      <c r="L492" s="594"/>
      <c r="M492" s="594"/>
      <c r="N492" s="594"/>
      <c r="O492" s="594"/>
      <c r="P492" s="594"/>
      <c r="Q492" s="594"/>
    </row>
    <row r="493">
      <c r="A493" s="67"/>
      <c r="B493" s="624"/>
      <c r="C493" s="575"/>
      <c r="D493" s="576"/>
      <c r="E493" s="576"/>
      <c r="F493" s="576"/>
      <c r="G493" s="577"/>
      <c r="H493" s="577"/>
      <c r="I493" s="594"/>
      <c r="J493" s="594"/>
      <c r="K493" s="594"/>
      <c r="L493" s="594"/>
      <c r="M493" s="594"/>
      <c r="N493" s="594"/>
      <c r="O493" s="594"/>
      <c r="P493" s="594"/>
      <c r="Q493" s="594"/>
    </row>
    <row r="494">
      <c r="A494" s="67"/>
      <c r="B494" s="624"/>
      <c r="C494" s="575"/>
      <c r="D494" s="576"/>
      <c r="E494" s="576"/>
      <c r="F494" s="576"/>
      <c r="G494" s="577"/>
      <c r="H494" s="577"/>
      <c r="I494" s="594"/>
      <c r="J494" s="594"/>
      <c r="K494" s="594"/>
      <c r="L494" s="594"/>
      <c r="M494" s="594"/>
      <c r="N494" s="594"/>
      <c r="O494" s="594"/>
      <c r="P494" s="594"/>
      <c r="Q494" s="594"/>
    </row>
    <row r="495">
      <c r="A495" s="67"/>
      <c r="B495" s="624"/>
      <c r="C495" s="575"/>
      <c r="D495" s="576"/>
      <c r="E495" s="576"/>
      <c r="F495" s="576"/>
      <c r="G495" s="577"/>
      <c r="H495" s="577"/>
      <c r="I495" s="594"/>
      <c r="J495" s="594"/>
      <c r="K495" s="594"/>
      <c r="L495" s="594"/>
      <c r="M495" s="594"/>
      <c r="N495" s="594"/>
      <c r="O495" s="594"/>
      <c r="P495" s="594"/>
      <c r="Q495" s="594"/>
    </row>
    <row r="496">
      <c r="A496" s="67"/>
      <c r="B496" s="624"/>
      <c r="C496" s="575"/>
      <c r="D496" s="576"/>
      <c r="E496" s="576"/>
      <c r="F496" s="576"/>
      <c r="G496" s="577"/>
      <c r="H496" s="577"/>
      <c r="I496" s="594"/>
      <c r="J496" s="594"/>
      <c r="K496" s="594"/>
      <c r="L496" s="594"/>
      <c r="M496" s="594"/>
      <c r="N496" s="594"/>
      <c r="O496" s="594"/>
      <c r="P496" s="594"/>
      <c r="Q496" s="594"/>
    </row>
    <row r="497">
      <c r="A497" s="67"/>
      <c r="B497" s="624"/>
      <c r="C497" s="575"/>
      <c r="D497" s="576"/>
      <c r="E497" s="576"/>
      <c r="F497" s="576"/>
      <c r="G497" s="577"/>
      <c r="H497" s="577"/>
      <c r="I497" s="594"/>
      <c r="J497" s="594"/>
      <c r="K497" s="594"/>
      <c r="L497" s="594"/>
      <c r="M497" s="594"/>
      <c r="N497" s="594"/>
      <c r="O497" s="594"/>
      <c r="P497" s="594"/>
      <c r="Q497" s="594"/>
    </row>
    <row r="498">
      <c r="A498" s="67"/>
      <c r="B498" s="624"/>
      <c r="C498" s="575"/>
      <c r="D498" s="576"/>
      <c r="E498" s="576"/>
      <c r="F498" s="576"/>
      <c r="G498" s="577"/>
      <c r="H498" s="577"/>
      <c r="I498" s="594"/>
      <c r="J498" s="594"/>
      <c r="K498" s="594"/>
      <c r="L498" s="594"/>
      <c r="M498" s="594"/>
      <c r="N498" s="594"/>
      <c r="O498" s="594"/>
      <c r="P498" s="594"/>
      <c r="Q498" s="594"/>
    </row>
    <row r="499">
      <c r="A499" s="67"/>
      <c r="B499" s="624"/>
      <c r="C499" s="575"/>
      <c r="D499" s="576"/>
      <c r="E499" s="576"/>
      <c r="F499" s="576"/>
      <c r="G499" s="577"/>
      <c r="H499" s="577"/>
      <c r="I499" s="594"/>
      <c r="J499" s="594"/>
      <c r="K499" s="594"/>
      <c r="L499" s="594"/>
      <c r="M499" s="594"/>
      <c r="N499" s="594"/>
      <c r="O499" s="594"/>
      <c r="P499" s="594"/>
      <c r="Q499" s="594"/>
    </row>
    <row r="500">
      <c r="A500" s="67"/>
      <c r="B500" s="624"/>
      <c r="C500" s="575"/>
      <c r="D500" s="576"/>
      <c r="E500" s="576"/>
      <c r="F500" s="576"/>
      <c r="G500" s="577"/>
      <c r="H500" s="577"/>
      <c r="I500" s="594"/>
      <c r="J500" s="594"/>
      <c r="K500" s="594"/>
      <c r="L500" s="594"/>
      <c r="M500" s="594"/>
      <c r="N500" s="594"/>
      <c r="O500" s="594"/>
      <c r="P500" s="594"/>
      <c r="Q500" s="594"/>
    </row>
    <row r="501">
      <c r="A501" s="67"/>
      <c r="B501" s="624"/>
      <c r="C501" s="575"/>
      <c r="D501" s="576"/>
      <c r="E501" s="576"/>
      <c r="F501" s="576"/>
      <c r="G501" s="577"/>
      <c r="H501" s="577"/>
      <c r="I501" s="594"/>
      <c r="J501" s="594"/>
      <c r="K501" s="594"/>
      <c r="L501" s="594"/>
      <c r="M501" s="594"/>
      <c r="N501" s="594"/>
      <c r="O501" s="594"/>
      <c r="P501" s="594"/>
      <c r="Q501" s="594"/>
    </row>
    <row r="502">
      <c r="A502" s="67"/>
      <c r="B502" s="624"/>
      <c r="C502" s="575"/>
      <c r="D502" s="576"/>
      <c r="E502" s="576"/>
      <c r="F502" s="576"/>
      <c r="G502" s="577"/>
      <c r="H502" s="577"/>
      <c r="I502" s="594"/>
      <c r="J502" s="594"/>
      <c r="K502" s="594"/>
      <c r="L502" s="594"/>
      <c r="M502" s="594"/>
      <c r="N502" s="594"/>
      <c r="O502" s="594"/>
      <c r="P502" s="594"/>
      <c r="Q502" s="594"/>
    </row>
    <row r="503">
      <c r="A503" s="67"/>
      <c r="B503" s="624"/>
      <c r="C503" s="575"/>
      <c r="D503" s="576"/>
      <c r="E503" s="576"/>
      <c r="F503" s="576"/>
      <c r="G503" s="577"/>
      <c r="H503" s="577"/>
      <c r="I503" s="594"/>
      <c r="J503" s="594"/>
      <c r="K503" s="594"/>
      <c r="L503" s="594"/>
      <c r="M503" s="594"/>
      <c r="N503" s="594"/>
      <c r="O503" s="594"/>
      <c r="P503" s="594"/>
      <c r="Q503" s="594"/>
    </row>
    <row r="504">
      <c r="A504" s="67"/>
      <c r="B504" s="624"/>
      <c r="C504" s="575"/>
      <c r="D504" s="576"/>
      <c r="E504" s="576"/>
      <c r="F504" s="576"/>
      <c r="G504" s="577"/>
      <c r="H504" s="577"/>
      <c r="I504" s="594"/>
      <c r="J504" s="594"/>
      <c r="K504" s="594"/>
      <c r="L504" s="594"/>
      <c r="M504" s="594"/>
      <c r="N504" s="594"/>
      <c r="O504" s="594"/>
      <c r="P504" s="594"/>
      <c r="Q504" s="594"/>
    </row>
    <row r="505">
      <c r="A505" s="67"/>
      <c r="B505" s="624"/>
      <c r="C505" s="575"/>
      <c r="D505" s="576"/>
      <c r="E505" s="576"/>
      <c r="F505" s="576"/>
      <c r="G505" s="577"/>
      <c r="H505" s="577"/>
      <c r="I505" s="594"/>
      <c r="J505" s="594"/>
      <c r="K505" s="594"/>
      <c r="L505" s="594"/>
      <c r="M505" s="594"/>
      <c r="N505" s="594"/>
      <c r="O505" s="594"/>
      <c r="P505" s="594"/>
      <c r="Q505" s="594"/>
    </row>
    <row r="506">
      <c r="A506" s="67"/>
      <c r="B506" s="624"/>
      <c r="C506" s="575"/>
      <c r="D506" s="576"/>
      <c r="E506" s="576"/>
      <c r="F506" s="576"/>
      <c r="G506" s="577"/>
      <c r="H506" s="577"/>
      <c r="I506" s="594"/>
      <c r="J506" s="594"/>
      <c r="K506" s="594"/>
      <c r="L506" s="594"/>
      <c r="M506" s="594"/>
      <c r="N506" s="594"/>
      <c r="O506" s="594"/>
      <c r="P506" s="594"/>
      <c r="Q506" s="594"/>
    </row>
    <row r="507">
      <c r="A507" s="67"/>
      <c r="B507" s="624"/>
      <c r="C507" s="575"/>
      <c r="D507" s="576"/>
      <c r="E507" s="576"/>
      <c r="F507" s="576"/>
      <c r="G507" s="577"/>
      <c r="H507" s="577"/>
      <c r="I507" s="594"/>
      <c r="J507" s="594"/>
      <c r="K507" s="594"/>
      <c r="L507" s="594"/>
      <c r="M507" s="594"/>
      <c r="N507" s="594"/>
      <c r="O507" s="594"/>
      <c r="P507" s="594"/>
      <c r="Q507" s="594"/>
    </row>
    <row r="508">
      <c r="A508" s="67"/>
      <c r="B508" s="624"/>
      <c r="C508" s="575"/>
      <c r="D508" s="576"/>
      <c r="E508" s="576"/>
      <c r="F508" s="576"/>
      <c r="G508" s="577"/>
      <c r="H508" s="577"/>
      <c r="I508" s="594"/>
      <c r="J508" s="594"/>
      <c r="K508" s="594"/>
      <c r="L508" s="594"/>
      <c r="M508" s="594"/>
      <c r="N508" s="594"/>
      <c r="O508" s="594"/>
      <c r="P508" s="594"/>
      <c r="Q508" s="594"/>
    </row>
    <row r="509">
      <c r="A509" s="67"/>
      <c r="B509" s="624"/>
      <c r="C509" s="575"/>
      <c r="D509" s="576"/>
      <c r="E509" s="576"/>
      <c r="F509" s="576"/>
      <c r="G509" s="577"/>
      <c r="H509" s="577"/>
      <c r="I509" s="594"/>
      <c r="J509" s="594"/>
      <c r="K509" s="594"/>
      <c r="L509" s="594"/>
      <c r="M509" s="594"/>
      <c r="N509" s="594"/>
      <c r="O509" s="594"/>
      <c r="P509" s="594"/>
      <c r="Q509" s="594"/>
    </row>
    <row r="510">
      <c r="A510" s="67"/>
      <c r="B510" s="624"/>
      <c r="C510" s="575"/>
      <c r="D510" s="576"/>
      <c r="E510" s="576"/>
      <c r="F510" s="576"/>
      <c r="G510" s="577"/>
      <c r="H510" s="577"/>
      <c r="I510" s="594"/>
      <c r="J510" s="594"/>
      <c r="K510" s="594"/>
      <c r="L510" s="594"/>
      <c r="M510" s="594"/>
      <c r="N510" s="594"/>
      <c r="O510" s="594"/>
      <c r="P510" s="594"/>
      <c r="Q510" s="594"/>
    </row>
    <row r="511">
      <c r="A511" s="67"/>
      <c r="B511" s="624"/>
      <c r="C511" s="575"/>
      <c r="D511" s="576"/>
      <c r="E511" s="576"/>
      <c r="F511" s="576"/>
      <c r="G511" s="577"/>
      <c r="H511" s="577"/>
      <c r="I511" s="594"/>
      <c r="J511" s="594"/>
      <c r="K511" s="594"/>
      <c r="L511" s="594"/>
      <c r="M511" s="594"/>
      <c r="N511" s="594"/>
      <c r="O511" s="594"/>
      <c r="P511" s="594"/>
      <c r="Q511" s="594"/>
    </row>
    <row r="512">
      <c r="A512" s="67"/>
      <c r="B512" s="624"/>
      <c r="C512" s="575"/>
      <c r="D512" s="576"/>
      <c r="E512" s="576"/>
      <c r="F512" s="576"/>
      <c r="G512" s="577"/>
      <c r="H512" s="577"/>
      <c r="I512" s="594"/>
      <c r="J512" s="594"/>
      <c r="K512" s="594"/>
      <c r="L512" s="594"/>
      <c r="M512" s="594"/>
      <c r="N512" s="594"/>
      <c r="O512" s="594"/>
      <c r="P512" s="594"/>
      <c r="Q512" s="594"/>
    </row>
    <row r="513">
      <c r="A513" s="67"/>
      <c r="B513" s="624"/>
      <c r="C513" s="575"/>
      <c r="D513" s="576"/>
      <c r="E513" s="576"/>
      <c r="F513" s="576"/>
      <c r="G513" s="577"/>
      <c r="H513" s="577"/>
      <c r="I513" s="594"/>
      <c r="J513" s="594"/>
      <c r="K513" s="594"/>
      <c r="L513" s="594"/>
      <c r="M513" s="594"/>
      <c r="N513" s="594"/>
      <c r="O513" s="594"/>
      <c r="P513" s="594"/>
      <c r="Q513" s="594"/>
    </row>
    <row r="514">
      <c r="A514" s="67"/>
      <c r="B514" s="624"/>
      <c r="C514" s="575"/>
      <c r="D514" s="576"/>
      <c r="E514" s="576"/>
      <c r="F514" s="576"/>
      <c r="G514" s="577"/>
      <c r="H514" s="577"/>
      <c r="I514" s="594"/>
      <c r="J514" s="594"/>
      <c r="K514" s="594"/>
      <c r="L514" s="594"/>
      <c r="M514" s="594"/>
      <c r="N514" s="594"/>
      <c r="O514" s="594"/>
      <c r="P514" s="594"/>
      <c r="Q514" s="594"/>
    </row>
    <row r="515">
      <c r="A515" s="67"/>
      <c r="B515" s="624"/>
      <c r="C515" s="575"/>
      <c r="D515" s="576"/>
      <c r="E515" s="576"/>
      <c r="F515" s="576"/>
      <c r="G515" s="577"/>
      <c r="H515" s="577"/>
      <c r="I515" s="594"/>
      <c r="J515" s="594"/>
      <c r="K515" s="594"/>
      <c r="L515" s="594"/>
      <c r="M515" s="594"/>
      <c r="N515" s="594"/>
      <c r="O515" s="594"/>
      <c r="P515" s="594"/>
      <c r="Q515" s="594"/>
    </row>
    <row r="516">
      <c r="A516" s="67"/>
      <c r="B516" s="624"/>
      <c r="C516" s="575"/>
      <c r="D516" s="576"/>
      <c r="E516" s="576"/>
      <c r="F516" s="576"/>
      <c r="G516" s="577"/>
      <c r="H516" s="577"/>
      <c r="I516" s="594"/>
      <c r="J516" s="594"/>
      <c r="K516" s="594"/>
      <c r="L516" s="594"/>
      <c r="M516" s="594"/>
      <c r="N516" s="594"/>
      <c r="O516" s="594"/>
      <c r="P516" s="594"/>
      <c r="Q516" s="594"/>
    </row>
    <row r="517">
      <c r="A517" s="67"/>
      <c r="B517" s="624"/>
      <c r="C517" s="575"/>
      <c r="D517" s="576"/>
      <c r="E517" s="576"/>
      <c r="F517" s="576"/>
      <c r="G517" s="577"/>
      <c r="H517" s="577"/>
      <c r="I517" s="594"/>
      <c r="J517" s="594"/>
      <c r="K517" s="594"/>
      <c r="L517" s="594"/>
      <c r="M517" s="594"/>
      <c r="N517" s="594"/>
      <c r="O517" s="594"/>
      <c r="P517" s="594"/>
      <c r="Q517" s="594"/>
    </row>
    <row r="518">
      <c r="A518" s="67"/>
      <c r="B518" s="624"/>
      <c r="C518" s="575"/>
      <c r="D518" s="576"/>
      <c r="E518" s="576"/>
      <c r="F518" s="576"/>
      <c r="G518" s="577"/>
      <c r="H518" s="577"/>
      <c r="I518" s="594"/>
      <c r="J518" s="594"/>
      <c r="K518" s="594"/>
      <c r="L518" s="594"/>
      <c r="M518" s="594"/>
      <c r="N518" s="594"/>
      <c r="O518" s="594"/>
      <c r="P518" s="594"/>
      <c r="Q518" s="594"/>
    </row>
    <row r="519">
      <c r="A519" s="67"/>
      <c r="B519" s="624"/>
      <c r="C519" s="575"/>
      <c r="D519" s="576"/>
      <c r="E519" s="576"/>
      <c r="F519" s="576"/>
      <c r="G519" s="577"/>
      <c r="H519" s="577"/>
      <c r="I519" s="594"/>
      <c r="J519" s="594"/>
      <c r="K519" s="594"/>
      <c r="L519" s="594"/>
      <c r="M519" s="594"/>
      <c r="N519" s="594"/>
      <c r="O519" s="594"/>
      <c r="P519" s="594"/>
      <c r="Q519" s="594"/>
    </row>
    <row r="520">
      <c r="A520" s="67"/>
      <c r="B520" s="624"/>
      <c r="C520" s="575"/>
      <c r="D520" s="576"/>
      <c r="E520" s="576"/>
      <c r="F520" s="576"/>
      <c r="G520" s="577"/>
      <c r="H520" s="577"/>
      <c r="I520" s="594"/>
      <c r="J520" s="594"/>
      <c r="K520" s="594"/>
      <c r="L520" s="594"/>
      <c r="M520" s="594"/>
      <c r="N520" s="594"/>
      <c r="O520" s="594"/>
      <c r="P520" s="594"/>
      <c r="Q520" s="594"/>
    </row>
    <row r="521">
      <c r="A521" s="67"/>
      <c r="B521" s="624"/>
      <c r="C521" s="575"/>
      <c r="D521" s="576"/>
      <c r="E521" s="576"/>
      <c r="F521" s="576"/>
      <c r="G521" s="577"/>
      <c r="H521" s="577"/>
      <c r="I521" s="594"/>
      <c r="J521" s="594"/>
      <c r="K521" s="594"/>
      <c r="L521" s="594"/>
      <c r="M521" s="594"/>
      <c r="N521" s="594"/>
      <c r="O521" s="594"/>
      <c r="P521" s="594"/>
      <c r="Q521" s="594"/>
    </row>
    <row r="522">
      <c r="A522" s="67"/>
      <c r="B522" s="624"/>
      <c r="C522" s="575"/>
      <c r="D522" s="576"/>
      <c r="E522" s="576"/>
      <c r="F522" s="576"/>
      <c r="G522" s="577"/>
      <c r="H522" s="577"/>
      <c r="I522" s="594"/>
      <c r="J522" s="594"/>
      <c r="K522" s="594"/>
      <c r="L522" s="594"/>
      <c r="M522" s="594"/>
      <c r="N522" s="594"/>
      <c r="O522" s="594"/>
      <c r="P522" s="594"/>
      <c r="Q522" s="594"/>
    </row>
    <row r="523">
      <c r="A523" s="67"/>
      <c r="B523" s="624"/>
      <c r="C523" s="575"/>
      <c r="D523" s="576"/>
      <c r="E523" s="576"/>
      <c r="F523" s="576"/>
      <c r="G523" s="577"/>
      <c r="H523" s="577"/>
      <c r="I523" s="594"/>
      <c r="J523" s="594"/>
      <c r="K523" s="594"/>
      <c r="L523" s="594"/>
      <c r="M523" s="594"/>
      <c r="N523" s="594"/>
      <c r="O523" s="594"/>
      <c r="P523" s="594"/>
      <c r="Q523" s="594"/>
    </row>
    <row r="524">
      <c r="A524" s="67"/>
      <c r="B524" s="624"/>
      <c r="C524" s="575"/>
      <c r="D524" s="576"/>
      <c r="E524" s="576"/>
      <c r="F524" s="576"/>
      <c r="G524" s="577"/>
      <c r="H524" s="577"/>
      <c r="I524" s="594"/>
      <c r="J524" s="594"/>
      <c r="K524" s="594"/>
      <c r="L524" s="594"/>
      <c r="M524" s="594"/>
      <c r="N524" s="594"/>
      <c r="O524" s="594"/>
      <c r="P524" s="594"/>
      <c r="Q524" s="594"/>
    </row>
    <row r="525">
      <c r="A525" s="67"/>
      <c r="B525" s="624"/>
      <c r="C525" s="575"/>
      <c r="D525" s="576"/>
      <c r="E525" s="576"/>
      <c r="F525" s="576"/>
      <c r="G525" s="577"/>
      <c r="H525" s="577"/>
      <c r="I525" s="594"/>
      <c r="J525" s="594"/>
      <c r="K525" s="594"/>
      <c r="L525" s="594"/>
      <c r="M525" s="594"/>
      <c r="N525" s="594"/>
      <c r="O525" s="594"/>
      <c r="P525" s="594"/>
      <c r="Q525" s="594"/>
    </row>
    <row r="526">
      <c r="A526" s="67"/>
      <c r="B526" s="624"/>
      <c r="C526" s="575"/>
      <c r="D526" s="576"/>
      <c r="E526" s="576"/>
      <c r="F526" s="576"/>
      <c r="G526" s="577"/>
      <c r="H526" s="577"/>
      <c r="I526" s="594"/>
      <c r="J526" s="594"/>
      <c r="K526" s="594"/>
      <c r="L526" s="594"/>
      <c r="M526" s="594"/>
      <c r="N526" s="594"/>
      <c r="O526" s="594"/>
      <c r="P526" s="594"/>
      <c r="Q526" s="594"/>
    </row>
    <row r="527">
      <c r="A527" s="67"/>
      <c r="B527" s="624"/>
      <c r="C527" s="575"/>
      <c r="D527" s="576"/>
      <c r="E527" s="576"/>
      <c r="F527" s="576"/>
      <c r="G527" s="577"/>
      <c r="H527" s="577"/>
      <c r="I527" s="594"/>
      <c r="J527" s="594"/>
      <c r="K527" s="594"/>
      <c r="L527" s="594"/>
      <c r="M527" s="594"/>
      <c r="N527" s="594"/>
      <c r="O527" s="594"/>
      <c r="P527" s="594"/>
      <c r="Q527" s="594"/>
    </row>
    <row r="528">
      <c r="A528" s="67"/>
      <c r="B528" s="624"/>
      <c r="C528" s="575"/>
      <c r="D528" s="576"/>
      <c r="E528" s="576"/>
      <c r="F528" s="576"/>
      <c r="G528" s="577"/>
      <c r="H528" s="577"/>
      <c r="I528" s="594"/>
      <c r="J528" s="594"/>
      <c r="K528" s="594"/>
      <c r="L528" s="594"/>
      <c r="M528" s="594"/>
      <c r="N528" s="594"/>
      <c r="O528" s="594"/>
      <c r="P528" s="594"/>
      <c r="Q528" s="594"/>
    </row>
    <row r="529">
      <c r="A529" s="67"/>
      <c r="B529" s="624"/>
      <c r="C529" s="575"/>
      <c r="D529" s="576"/>
      <c r="E529" s="576"/>
      <c r="F529" s="576"/>
      <c r="G529" s="577"/>
      <c r="H529" s="577"/>
      <c r="I529" s="594"/>
      <c r="J529" s="594"/>
      <c r="K529" s="594"/>
      <c r="L529" s="594"/>
      <c r="M529" s="594"/>
      <c r="N529" s="594"/>
      <c r="O529" s="594"/>
      <c r="P529" s="594"/>
      <c r="Q529" s="594"/>
    </row>
    <row r="530">
      <c r="A530" s="67"/>
      <c r="B530" s="624"/>
      <c r="C530" s="575"/>
      <c r="D530" s="576"/>
      <c r="E530" s="576"/>
      <c r="F530" s="576"/>
      <c r="G530" s="577"/>
      <c r="H530" s="577"/>
      <c r="I530" s="594"/>
      <c r="J530" s="594"/>
      <c r="K530" s="594"/>
      <c r="L530" s="594"/>
      <c r="M530" s="594"/>
      <c r="N530" s="594"/>
      <c r="O530" s="594"/>
      <c r="P530" s="594"/>
      <c r="Q530" s="594"/>
    </row>
    <row r="531">
      <c r="A531" s="67"/>
      <c r="B531" s="624"/>
      <c r="C531" s="575"/>
      <c r="D531" s="576"/>
      <c r="E531" s="576"/>
      <c r="F531" s="576"/>
      <c r="G531" s="577"/>
      <c r="H531" s="577"/>
      <c r="I531" s="594"/>
      <c r="J531" s="594"/>
      <c r="K531" s="594"/>
      <c r="L531" s="594"/>
      <c r="M531" s="594"/>
      <c r="N531" s="594"/>
      <c r="O531" s="594"/>
      <c r="P531" s="594"/>
      <c r="Q531" s="594"/>
    </row>
    <row r="532">
      <c r="A532" s="67"/>
      <c r="B532" s="624"/>
      <c r="C532" s="575"/>
      <c r="D532" s="576"/>
      <c r="E532" s="576"/>
      <c r="F532" s="576"/>
      <c r="G532" s="577"/>
      <c r="H532" s="577"/>
      <c r="I532" s="594"/>
      <c r="J532" s="594"/>
      <c r="K532" s="594"/>
      <c r="L532" s="594"/>
      <c r="M532" s="594"/>
      <c r="N532" s="594"/>
      <c r="O532" s="594"/>
      <c r="P532" s="594"/>
      <c r="Q532" s="594"/>
    </row>
    <row r="533">
      <c r="A533" s="67"/>
      <c r="B533" s="624"/>
      <c r="C533" s="575"/>
      <c r="D533" s="576"/>
      <c r="E533" s="576"/>
      <c r="F533" s="576"/>
      <c r="G533" s="577"/>
      <c r="H533" s="577"/>
      <c r="I533" s="594"/>
      <c r="J533" s="594"/>
      <c r="K533" s="594"/>
      <c r="L533" s="594"/>
      <c r="M533" s="594"/>
      <c r="N533" s="594"/>
      <c r="O533" s="594"/>
      <c r="P533" s="594"/>
      <c r="Q533" s="594"/>
    </row>
    <row r="534">
      <c r="A534" s="67"/>
      <c r="B534" s="624"/>
      <c r="C534" s="575"/>
      <c r="D534" s="576"/>
      <c r="E534" s="576"/>
      <c r="F534" s="576"/>
      <c r="G534" s="577"/>
      <c r="H534" s="577"/>
      <c r="I534" s="594"/>
      <c r="J534" s="594"/>
      <c r="K534" s="594"/>
      <c r="L534" s="594"/>
      <c r="M534" s="594"/>
      <c r="N534" s="594"/>
      <c r="O534" s="594"/>
      <c r="P534" s="594"/>
      <c r="Q534" s="594"/>
    </row>
    <row r="535">
      <c r="A535" s="67"/>
      <c r="B535" s="624"/>
      <c r="C535" s="575"/>
      <c r="D535" s="576"/>
      <c r="E535" s="576"/>
      <c r="F535" s="576"/>
      <c r="G535" s="577"/>
      <c r="H535" s="577"/>
      <c r="I535" s="594"/>
      <c r="J535" s="594"/>
      <c r="K535" s="594"/>
      <c r="L535" s="594"/>
      <c r="M535" s="594"/>
      <c r="N535" s="594"/>
      <c r="O535" s="594"/>
      <c r="P535" s="594"/>
      <c r="Q535" s="594"/>
    </row>
    <row r="536">
      <c r="A536" s="67"/>
      <c r="B536" s="624"/>
      <c r="C536" s="575"/>
      <c r="D536" s="576"/>
      <c r="E536" s="576"/>
      <c r="F536" s="576"/>
      <c r="G536" s="577"/>
      <c r="H536" s="577"/>
      <c r="I536" s="594"/>
      <c r="J536" s="594"/>
      <c r="K536" s="594"/>
      <c r="L536" s="594"/>
      <c r="M536" s="594"/>
      <c r="N536" s="594"/>
      <c r="O536" s="594"/>
      <c r="P536" s="594"/>
      <c r="Q536" s="594"/>
    </row>
    <row r="537">
      <c r="A537" s="67"/>
      <c r="B537" s="624"/>
      <c r="C537" s="575"/>
      <c r="D537" s="576"/>
      <c r="E537" s="576"/>
      <c r="F537" s="576"/>
      <c r="G537" s="577"/>
      <c r="H537" s="577"/>
      <c r="I537" s="594"/>
      <c r="J537" s="594"/>
      <c r="K537" s="594"/>
      <c r="L537" s="594"/>
      <c r="M537" s="594"/>
      <c r="N537" s="594"/>
      <c r="O537" s="594"/>
      <c r="P537" s="594"/>
      <c r="Q537" s="594"/>
    </row>
    <row r="538">
      <c r="A538" s="67"/>
      <c r="B538" s="624"/>
      <c r="C538" s="575"/>
      <c r="D538" s="576"/>
      <c r="E538" s="576"/>
      <c r="F538" s="576"/>
      <c r="G538" s="577"/>
      <c r="H538" s="577"/>
      <c r="I538" s="594"/>
      <c r="J538" s="594"/>
      <c r="K538" s="594"/>
      <c r="L538" s="594"/>
      <c r="M538" s="594"/>
      <c r="N538" s="594"/>
      <c r="O538" s="594"/>
      <c r="P538" s="594"/>
      <c r="Q538" s="594"/>
    </row>
    <row r="539">
      <c r="A539" s="67"/>
      <c r="B539" s="624"/>
      <c r="C539" s="575"/>
      <c r="D539" s="576"/>
      <c r="E539" s="576"/>
      <c r="F539" s="576"/>
      <c r="G539" s="577"/>
      <c r="H539" s="577"/>
      <c r="I539" s="594"/>
      <c r="J539" s="594"/>
      <c r="K539" s="594"/>
      <c r="L539" s="594"/>
      <c r="M539" s="594"/>
      <c r="N539" s="594"/>
      <c r="O539" s="594"/>
      <c r="P539" s="594"/>
      <c r="Q539" s="594"/>
    </row>
    <row r="540">
      <c r="A540" s="67"/>
      <c r="B540" s="624"/>
      <c r="C540" s="575"/>
      <c r="D540" s="576"/>
      <c r="E540" s="576"/>
      <c r="F540" s="576"/>
      <c r="G540" s="577"/>
      <c r="H540" s="577"/>
      <c r="I540" s="594"/>
      <c r="J540" s="594"/>
      <c r="K540" s="594"/>
      <c r="L540" s="594"/>
      <c r="M540" s="594"/>
      <c r="N540" s="594"/>
      <c r="O540" s="594"/>
      <c r="P540" s="594"/>
      <c r="Q540" s="594"/>
    </row>
    <row r="541">
      <c r="A541" s="67"/>
      <c r="B541" s="624"/>
      <c r="C541" s="575"/>
      <c r="D541" s="576"/>
      <c r="E541" s="576"/>
      <c r="F541" s="576"/>
      <c r="G541" s="577"/>
      <c r="H541" s="577"/>
      <c r="I541" s="594"/>
      <c r="J541" s="594"/>
      <c r="K541" s="594"/>
      <c r="L541" s="594"/>
      <c r="M541" s="594"/>
      <c r="N541" s="594"/>
      <c r="O541" s="594"/>
      <c r="P541" s="594"/>
      <c r="Q541" s="594"/>
    </row>
    <row r="542">
      <c r="A542" s="67"/>
      <c r="B542" s="624"/>
      <c r="C542" s="575"/>
      <c r="D542" s="576"/>
      <c r="E542" s="576"/>
      <c r="F542" s="576"/>
      <c r="G542" s="577"/>
      <c r="H542" s="577"/>
      <c r="I542" s="594"/>
      <c r="J542" s="594"/>
      <c r="K542" s="594"/>
      <c r="L542" s="594"/>
      <c r="M542" s="594"/>
      <c r="N542" s="594"/>
      <c r="O542" s="594"/>
      <c r="P542" s="594"/>
      <c r="Q542" s="594"/>
    </row>
    <row r="543">
      <c r="A543" s="67"/>
      <c r="B543" s="624"/>
      <c r="C543" s="575"/>
      <c r="D543" s="576"/>
      <c r="E543" s="576"/>
      <c r="F543" s="576"/>
      <c r="G543" s="577"/>
      <c r="H543" s="577"/>
      <c r="I543" s="594"/>
      <c r="J543" s="594"/>
      <c r="K543" s="594"/>
      <c r="L543" s="594"/>
      <c r="M543" s="594"/>
      <c r="N543" s="594"/>
      <c r="O543" s="594"/>
      <c r="P543" s="594"/>
      <c r="Q543" s="594"/>
    </row>
    <row r="544">
      <c r="A544" s="67"/>
      <c r="B544" s="624"/>
      <c r="C544" s="575"/>
      <c r="D544" s="576"/>
      <c r="E544" s="576"/>
      <c r="F544" s="576"/>
      <c r="G544" s="577"/>
      <c r="H544" s="577"/>
      <c r="I544" s="594"/>
      <c r="J544" s="594"/>
      <c r="K544" s="594"/>
      <c r="L544" s="594"/>
      <c r="M544" s="594"/>
      <c r="N544" s="594"/>
      <c r="O544" s="594"/>
      <c r="P544" s="594"/>
      <c r="Q544" s="594"/>
    </row>
    <row r="545">
      <c r="A545" s="67"/>
      <c r="B545" s="624"/>
      <c r="C545" s="575"/>
      <c r="D545" s="576"/>
      <c r="E545" s="576"/>
      <c r="F545" s="576"/>
      <c r="G545" s="577"/>
      <c r="H545" s="577"/>
      <c r="I545" s="594"/>
      <c r="J545" s="594"/>
      <c r="K545" s="594"/>
      <c r="L545" s="594"/>
      <c r="M545" s="594"/>
      <c r="N545" s="594"/>
      <c r="O545" s="594"/>
      <c r="P545" s="594"/>
      <c r="Q545" s="594"/>
    </row>
    <row r="546">
      <c r="A546" s="67"/>
      <c r="B546" s="624"/>
      <c r="C546" s="575"/>
      <c r="D546" s="576"/>
      <c r="E546" s="576"/>
      <c r="F546" s="576"/>
      <c r="G546" s="577"/>
      <c r="H546" s="577"/>
      <c r="I546" s="594"/>
      <c r="J546" s="594"/>
      <c r="K546" s="594"/>
      <c r="L546" s="594"/>
      <c r="M546" s="594"/>
      <c r="N546" s="594"/>
      <c r="O546" s="594"/>
      <c r="P546" s="594"/>
      <c r="Q546" s="594"/>
    </row>
    <row r="547">
      <c r="A547" s="67"/>
      <c r="B547" s="624"/>
      <c r="C547" s="575"/>
      <c r="D547" s="576"/>
      <c r="E547" s="576"/>
      <c r="F547" s="576"/>
      <c r="G547" s="577"/>
      <c r="H547" s="577"/>
      <c r="I547" s="594"/>
      <c r="J547" s="594"/>
      <c r="K547" s="594"/>
      <c r="L547" s="594"/>
      <c r="M547" s="594"/>
      <c r="N547" s="594"/>
      <c r="O547" s="594"/>
      <c r="P547" s="594"/>
      <c r="Q547" s="594"/>
    </row>
    <row r="548">
      <c r="A548" s="67"/>
      <c r="B548" s="624"/>
      <c r="C548" s="575"/>
      <c r="D548" s="576"/>
      <c r="E548" s="576"/>
      <c r="F548" s="576"/>
      <c r="G548" s="577"/>
      <c r="H548" s="577"/>
      <c r="I548" s="594"/>
      <c r="J548" s="594"/>
      <c r="K548" s="594"/>
      <c r="L548" s="594"/>
      <c r="M548" s="594"/>
      <c r="N548" s="594"/>
      <c r="O548" s="594"/>
      <c r="P548" s="594"/>
      <c r="Q548" s="594"/>
    </row>
    <row r="549">
      <c r="A549" s="67"/>
      <c r="B549" s="624"/>
      <c r="C549" s="575"/>
      <c r="D549" s="576"/>
      <c r="E549" s="576"/>
      <c r="F549" s="576"/>
      <c r="G549" s="577"/>
      <c r="H549" s="577"/>
      <c r="I549" s="594"/>
      <c r="J549" s="594"/>
      <c r="K549" s="594"/>
      <c r="L549" s="594"/>
      <c r="M549" s="594"/>
      <c r="N549" s="594"/>
      <c r="O549" s="594"/>
      <c r="P549" s="594"/>
      <c r="Q549" s="594"/>
    </row>
    <row r="550">
      <c r="A550" s="67"/>
      <c r="B550" s="624"/>
      <c r="C550" s="575"/>
      <c r="D550" s="576"/>
      <c r="E550" s="576"/>
      <c r="F550" s="576"/>
      <c r="G550" s="577"/>
      <c r="H550" s="577"/>
      <c r="I550" s="594"/>
      <c r="J550" s="594"/>
      <c r="K550" s="594"/>
      <c r="L550" s="594"/>
      <c r="M550" s="594"/>
      <c r="N550" s="594"/>
      <c r="O550" s="594"/>
      <c r="P550" s="594"/>
      <c r="Q550" s="594"/>
    </row>
    <row r="551">
      <c r="A551" s="67"/>
      <c r="B551" s="624"/>
      <c r="C551" s="575"/>
      <c r="D551" s="576"/>
      <c r="E551" s="576"/>
      <c r="F551" s="576"/>
      <c r="G551" s="577"/>
      <c r="H551" s="577"/>
      <c r="I551" s="594"/>
      <c r="J551" s="594"/>
      <c r="K551" s="594"/>
      <c r="L551" s="594"/>
      <c r="M551" s="594"/>
      <c r="N551" s="594"/>
      <c r="O551" s="594"/>
      <c r="P551" s="594"/>
      <c r="Q551" s="594"/>
    </row>
    <row r="552">
      <c r="A552" s="67"/>
      <c r="B552" s="624"/>
      <c r="C552" s="575"/>
      <c r="D552" s="576"/>
      <c r="E552" s="576"/>
      <c r="F552" s="576"/>
      <c r="G552" s="577"/>
      <c r="H552" s="577"/>
      <c r="I552" s="594"/>
      <c r="J552" s="594"/>
      <c r="K552" s="594"/>
      <c r="L552" s="594"/>
      <c r="M552" s="594"/>
      <c r="N552" s="594"/>
      <c r="O552" s="594"/>
      <c r="P552" s="594"/>
      <c r="Q552" s="594"/>
    </row>
    <row r="553">
      <c r="A553" s="67"/>
      <c r="B553" s="624"/>
      <c r="C553" s="575"/>
      <c r="D553" s="576"/>
      <c r="E553" s="576"/>
      <c r="F553" s="576"/>
      <c r="G553" s="577"/>
      <c r="H553" s="577"/>
      <c r="I553" s="594"/>
      <c r="J553" s="594"/>
      <c r="K553" s="594"/>
      <c r="L553" s="594"/>
      <c r="M553" s="594"/>
      <c r="N553" s="594"/>
      <c r="O553" s="594"/>
      <c r="P553" s="594"/>
      <c r="Q553" s="594"/>
    </row>
    <row r="554">
      <c r="A554" s="67"/>
      <c r="B554" s="624"/>
      <c r="C554" s="575"/>
      <c r="D554" s="576"/>
      <c r="E554" s="576"/>
      <c r="F554" s="576"/>
      <c r="G554" s="577"/>
      <c r="H554" s="577"/>
      <c r="I554" s="594"/>
      <c r="J554" s="594"/>
      <c r="K554" s="594"/>
      <c r="L554" s="594"/>
      <c r="M554" s="594"/>
      <c r="N554" s="594"/>
      <c r="O554" s="594"/>
      <c r="P554" s="594"/>
      <c r="Q554" s="594"/>
    </row>
    <row r="555">
      <c r="A555" s="67"/>
      <c r="B555" s="624"/>
      <c r="C555" s="575"/>
      <c r="D555" s="576"/>
      <c r="E555" s="576"/>
      <c r="F555" s="576"/>
      <c r="G555" s="577"/>
      <c r="H555" s="577"/>
      <c r="I555" s="594"/>
      <c r="J555" s="594"/>
      <c r="K555" s="594"/>
      <c r="L555" s="594"/>
      <c r="M555" s="594"/>
      <c r="N555" s="594"/>
      <c r="O555" s="594"/>
      <c r="P555" s="594"/>
      <c r="Q555" s="594"/>
    </row>
    <row r="556">
      <c r="A556" s="67"/>
      <c r="B556" s="624"/>
      <c r="C556" s="575"/>
      <c r="D556" s="576"/>
      <c r="E556" s="576"/>
      <c r="F556" s="576"/>
      <c r="G556" s="577"/>
      <c r="H556" s="577"/>
      <c r="I556" s="594"/>
      <c r="J556" s="594"/>
      <c r="K556" s="594"/>
      <c r="L556" s="594"/>
      <c r="M556" s="594"/>
      <c r="N556" s="594"/>
      <c r="O556" s="594"/>
      <c r="P556" s="594"/>
      <c r="Q556" s="594"/>
    </row>
    <row r="557">
      <c r="A557" s="67"/>
      <c r="B557" s="624"/>
      <c r="C557" s="575"/>
      <c r="D557" s="576"/>
      <c r="E557" s="576"/>
      <c r="F557" s="576"/>
      <c r="G557" s="577"/>
      <c r="H557" s="577"/>
      <c r="I557" s="594"/>
      <c r="J557" s="594"/>
      <c r="K557" s="594"/>
      <c r="L557" s="594"/>
      <c r="M557" s="594"/>
      <c r="N557" s="594"/>
      <c r="O557" s="594"/>
      <c r="P557" s="594"/>
      <c r="Q557" s="594"/>
    </row>
    <row r="558">
      <c r="A558" s="67"/>
      <c r="B558" s="624"/>
      <c r="C558" s="575"/>
      <c r="D558" s="576"/>
      <c r="E558" s="576"/>
      <c r="F558" s="576"/>
      <c r="G558" s="577"/>
      <c r="H558" s="577"/>
      <c r="I558" s="594"/>
      <c r="J558" s="594"/>
      <c r="K558" s="594"/>
      <c r="L558" s="594"/>
      <c r="M558" s="594"/>
      <c r="N558" s="594"/>
      <c r="O558" s="594"/>
      <c r="P558" s="594"/>
      <c r="Q558" s="594"/>
    </row>
    <row r="559">
      <c r="A559" s="67"/>
      <c r="B559" s="624"/>
      <c r="C559" s="575"/>
      <c r="D559" s="576"/>
      <c r="E559" s="576"/>
      <c r="F559" s="576"/>
      <c r="G559" s="577"/>
      <c r="H559" s="577"/>
      <c r="I559" s="594"/>
      <c r="J559" s="594"/>
      <c r="K559" s="594"/>
      <c r="L559" s="594"/>
      <c r="M559" s="594"/>
      <c r="N559" s="594"/>
      <c r="O559" s="594"/>
      <c r="P559" s="594"/>
      <c r="Q559" s="594"/>
    </row>
    <row r="560">
      <c r="A560" s="67"/>
      <c r="B560" s="624"/>
      <c r="C560" s="575"/>
      <c r="D560" s="576"/>
      <c r="E560" s="576"/>
      <c r="F560" s="576"/>
      <c r="G560" s="577"/>
      <c r="H560" s="577"/>
      <c r="I560" s="594"/>
      <c r="J560" s="594"/>
      <c r="K560" s="594"/>
      <c r="L560" s="594"/>
      <c r="M560" s="594"/>
      <c r="N560" s="594"/>
      <c r="O560" s="594"/>
      <c r="P560" s="594"/>
      <c r="Q560" s="594"/>
    </row>
    <row r="561">
      <c r="A561" s="67"/>
      <c r="B561" s="624"/>
      <c r="C561" s="575"/>
      <c r="D561" s="576"/>
      <c r="E561" s="576"/>
      <c r="F561" s="576"/>
      <c r="G561" s="577"/>
      <c r="H561" s="577"/>
      <c r="I561" s="594"/>
      <c r="J561" s="594"/>
      <c r="K561" s="594"/>
      <c r="L561" s="594"/>
      <c r="M561" s="594"/>
      <c r="N561" s="594"/>
      <c r="O561" s="594"/>
      <c r="P561" s="594"/>
      <c r="Q561" s="594"/>
    </row>
    <row r="562">
      <c r="A562" s="67"/>
      <c r="B562" s="624"/>
      <c r="C562" s="575"/>
      <c r="D562" s="576"/>
      <c r="E562" s="576"/>
      <c r="F562" s="576"/>
      <c r="G562" s="577"/>
      <c r="H562" s="577"/>
      <c r="I562" s="594"/>
      <c r="J562" s="594"/>
      <c r="K562" s="594"/>
      <c r="L562" s="594"/>
      <c r="M562" s="594"/>
      <c r="N562" s="594"/>
      <c r="O562" s="594"/>
      <c r="P562" s="594"/>
      <c r="Q562" s="594"/>
    </row>
    <row r="563">
      <c r="A563" s="67"/>
      <c r="B563" s="624"/>
      <c r="C563" s="575"/>
      <c r="D563" s="576"/>
      <c r="E563" s="576"/>
      <c r="F563" s="576"/>
      <c r="G563" s="577"/>
      <c r="H563" s="577"/>
      <c r="I563" s="594"/>
      <c r="J563" s="594"/>
      <c r="K563" s="594"/>
      <c r="L563" s="594"/>
      <c r="M563" s="594"/>
      <c r="N563" s="594"/>
      <c r="O563" s="594"/>
      <c r="P563" s="594"/>
      <c r="Q563" s="594"/>
    </row>
    <row r="564">
      <c r="A564" s="67"/>
      <c r="B564" s="624"/>
      <c r="C564" s="575"/>
      <c r="D564" s="576"/>
      <c r="E564" s="576"/>
      <c r="F564" s="576"/>
      <c r="G564" s="577"/>
      <c r="H564" s="577"/>
      <c r="I564" s="594"/>
      <c r="J564" s="594"/>
      <c r="K564" s="594"/>
      <c r="L564" s="594"/>
      <c r="M564" s="594"/>
      <c r="N564" s="594"/>
      <c r="O564" s="594"/>
      <c r="P564" s="594"/>
      <c r="Q564" s="594"/>
    </row>
    <row r="565">
      <c r="A565" s="67"/>
      <c r="B565" s="624"/>
      <c r="C565" s="575"/>
      <c r="D565" s="576"/>
      <c r="E565" s="576"/>
      <c r="F565" s="576"/>
      <c r="G565" s="577"/>
      <c r="H565" s="577"/>
      <c r="I565" s="594"/>
      <c r="J565" s="594"/>
      <c r="K565" s="594"/>
      <c r="L565" s="594"/>
      <c r="M565" s="594"/>
      <c r="N565" s="594"/>
      <c r="O565" s="594"/>
      <c r="P565" s="594"/>
      <c r="Q565" s="594"/>
    </row>
    <row r="566">
      <c r="A566" s="67"/>
      <c r="B566" s="624"/>
      <c r="C566" s="575"/>
      <c r="D566" s="576"/>
      <c r="E566" s="576"/>
      <c r="F566" s="576"/>
      <c r="G566" s="577"/>
      <c r="H566" s="577"/>
      <c r="I566" s="594"/>
      <c r="J566" s="594"/>
      <c r="K566" s="594"/>
      <c r="L566" s="594"/>
      <c r="M566" s="594"/>
      <c r="N566" s="594"/>
      <c r="O566" s="594"/>
      <c r="P566" s="594"/>
      <c r="Q566" s="594"/>
    </row>
    <row r="567">
      <c r="A567" s="67"/>
      <c r="B567" s="624"/>
      <c r="C567" s="575"/>
      <c r="D567" s="576"/>
      <c r="E567" s="576"/>
      <c r="F567" s="576"/>
      <c r="G567" s="577"/>
      <c r="H567" s="577"/>
      <c r="I567" s="594"/>
      <c r="J567" s="594"/>
      <c r="K567" s="594"/>
      <c r="L567" s="594"/>
      <c r="M567" s="594"/>
      <c r="N567" s="594"/>
      <c r="O567" s="594"/>
      <c r="P567" s="594"/>
      <c r="Q567" s="594"/>
    </row>
    <row r="568">
      <c r="A568" s="67"/>
      <c r="B568" s="624"/>
      <c r="C568" s="575"/>
      <c r="D568" s="576"/>
      <c r="E568" s="576"/>
      <c r="F568" s="576"/>
      <c r="G568" s="577"/>
      <c r="H568" s="577"/>
      <c r="I568" s="594"/>
      <c r="J568" s="594"/>
      <c r="K568" s="594"/>
      <c r="L568" s="594"/>
      <c r="M568" s="594"/>
      <c r="N568" s="594"/>
      <c r="O568" s="594"/>
      <c r="P568" s="594"/>
      <c r="Q568" s="594"/>
    </row>
    <row r="569">
      <c r="A569" s="67"/>
      <c r="B569" s="624"/>
      <c r="C569" s="575"/>
      <c r="D569" s="576"/>
      <c r="E569" s="576"/>
      <c r="F569" s="576"/>
      <c r="G569" s="577"/>
      <c r="H569" s="577"/>
      <c r="I569" s="594"/>
      <c r="J569" s="594"/>
      <c r="K569" s="594"/>
      <c r="L569" s="594"/>
      <c r="M569" s="594"/>
      <c r="N569" s="594"/>
      <c r="O569" s="594"/>
      <c r="P569" s="594"/>
      <c r="Q569" s="594"/>
    </row>
    <row r="570">
      <c r="A570" s="67"/>
      <c r="B570" s="624"/>
      <c r="C570" s="575"/>
      <c r="D570" s="576"/>
      <c r="E570" s="576"/>
      <c r="F570" s="576"/>
      <c r="G570" s="577"/>
      <c r="H570" s="577"/>
      <c r="I570" s="594"/>
      <c r="J570" s="594"/>
      <c r="K570" s="594"/>
      <c r="L570" s="594"/>
      <c r="M570" s="594"/>
      <c r="N570" s="594"/>
      <c r="O570" s="594"/>
      <c r="P570" s="594"/>
      <c r="Q570" s="594"/>
    </row>
    <row r="571">
      <c r="A571" s="67"/>
      <c r="B571" s="624"/>
      <c r="C571" s="575"/>
      <c r="D571" s="576"/>
      <c r="E571" s="576"/>
      <c r="F571" s="576"/>
      <c r="G571" s="577"/>
      <c r="H571" s="577"/>
      <c r="I571" s="594"/>
      <c r="J571" s="594"/>
      <c r="K571" s="594"/>
      <c r="L571" s="594"/>
      <c r="M571" s="594"/>
      <c r="N571" s="594"/>
      <c r="O571" s="594"/>
      <c r="P571" s="594"/>
      <c r="Q571" s="594"/>
    </row>
    <row r="572">
      <c r="A572" s="67"/>
      <c r="B572" s="624"/>
      <c r="C572" s="575"/>
      <c r="D572" s="576"/>
      <c r="E572" s="576"/>
      <c r="F572" s="576"/>
      <c r="G572" s="577"/>
      <c r="H572" s="577"/>
      <c r="I572" s="594"/>
      <c r="J572" s="594"/>
      <c r="K572" s="594"/>
      <c r="L572" s="594"/>
      <c r="M572" s="594"/>
      <c r="N572" s="594"/>
      <c r="O572" s="594"/>
      <c r="P572" s="594"/>
      <c r="Q572" s="594"/>
    </row>
    <row r="573">
      <c r="A573" s="67"/>
      <c r="B573" s="624"/>
      <c r="C573" s="575"/>
      <c r="D573" s="576"/>
      <c r="E573" s="576"/>
      <c r="F573" s="576"/>
      <c r="G573" s="577"/>
      <c r="H573" s="577"/>
      <c r="I573" s="594"/>
      <c r="J573" s="594"/>
      <c r="K573" s="594"/>
      <c r="L573" s="594"/>
      <c r="M573" s="594"/>
      <c r="N573" s="594"/>
      <c r="O573" s="594"/>
      <c r="P573" s="594"/>
      <c r="Q573" s="594"/>
    </row>
    <row r="574">
      <c r="A574" s="67"/>
      <c r="B574" s="624"/>
      <c r="C574" s="575"/>
      <c r="D574" s="576"/>
      <c r="E574" s="576"/>
      <c r="F574" s="576"/>
      <c r="G574" s="577"/>
      <c r="H574" s="577"/>
      <c r="I574" s="594"/>
      <c r="J574" s="594"/>
      <c r="K574" s="594"/>
      <c r="L574" s="594"/>
      <c r="M574" s="594"/>
      <c r="N574" s="594"/>
      <c r="O574" s="594"/>
      <c r="P574" s="594"/>
      <c r="Q574" s="594"/>
    </row>
    <row r="575">
      <c r="A575" s="67"/>
      <c r="B575" s="624"/>
      <c r="C575" s="575"/>
      <c r="D575" s="576"/>
      <c r="E575" s="576"/>
      <c r="F575" s="576"/>
      <c r="G575" s="577"/>
      <c r="H575" s="577"/>
      <c r="I575" s="594"/>
      <c r="J575" s="594"/>
      <c r="K575" s="594"/>
      <c r="L575" s="594"/>
      <c r="M575" s="594"/>
      <c r="N575" s="594"/>
      <c r="O575" s="594"/>
      <c r="P575" s="594"/>
      <c r="Q575" s="594"/>
    </row>
    <row r="576">
      <c r="A576" s="67"/>
      <c r="B576" s="624"/>
      <c r="C576" s="575"/>
      <c r="D576" s="576"/>
      <c r="E576" s="576"/>
      <c r="F576" s="576"/>
      <c r="G576" s="577"/>
      <c r="H576" s="577"/>
      <c r="I576" s="594"/>
      <c r="J576" s="594"/>
      <c r="K576" s="594"/>
      <c r="L576" s="594"/>
      <c r="M576" s="594"/>
      <c r="N576" s="594"/>
      <c r="O576" s="594"/>
      <c r="P576" s="594"/>
      <c r="Q576" s="594"/>
    </row>
    <row r="577">
      <c r="A577" s="67"/>
      <c r="B577" s="624"/>
      <c r="C577" s="575"/>
      <c r="D577" s="576"/>
      <c r="E577" s="576"/>
      <c r="F577" s="576"/>
      <c r="G577" s="577"/>
      <c r="H577" s="577"/>
      <c r="I577" s="594"/>
      <c r="J577" s="594"/>
      <c r="K577" s="594"/>
      <c r="L577" s="594"/>
      <c r="M577" s="594"/>
      <c r="N577" s="594"/>
      <c r="O577" s="594"/>
      <c r="P577" s="594"/>
      <c r="Q577" s="594"/>
    </row>
    <row r="578">
      <c r="A578" s="67"/>
      <c r="B578" s="624"/>
      <c r="C578" s="575"/>
      <c r="D578" s="576"/>
      <c r="E578" s="576"/>
      <c r="F578" s="576"/>
      <c r="G578" s="577"/>
      <c r="H578" s="577"/>
      <c r="I578" s="594"/>
      <c r="J578" s="594"/>
      <c r="K578" s="594"/>
      <c r="L578" s="594"/>
      <c r="M578" s="594"/>
      <c r="N578" s="594"/>
      <c r="O578" s="594"/>
      <c r="P578" s="594"/>
      <c r="Q578" s="594"/>
    </row>
    <row r="579">
      <c r="A579" s="67"/>
      <c r="B579" s="624"/>
      <c r="C579" s="575"/>
      <c r="D579" s="576"/>
      <c r="E579" s="576"/>
      <c r="F579" s="576"/>
      <c r="G579" s="577"/>
      <c r="H579" s="577"/>
      <c r="I579" s="594"/>
      <c r="J579" s="594"/>
      <c r="K579" s="594"/>
      <c r="L579" s="594"/>
      <c r="M579" s="594"/>
      <c r="N579" s="594"/>
      <c r="O579" s="594"/>
      <c r="P579" s="594"/>
      <c r="Q579" s="594"/>
    </row>
    <row r="580">
      <c r="A580" s="67"/>
      <c r="B580" s="624"/>
      <c r="C580" s="575"/>
      <c r="D580" s="576"/>
      <c r="E580" s="576"/>
      <c r="F580" s="576"/>
      <c r="G580" s="577"/>
      <c r="H580" s="577"/>
      <c r="I580" s="594"/>
      <c r="J580" s="594"/>
      <c r="K580" s="594"/>
      <c r="L580" s="594"/>
      <c r="M580" s="594"/>
      <c r="N580" s="594"/>
      <c r="O580" s="594"/>
      <c r="P580" s="594"/>
      <c r="Q580" s="594"/>
    </row>
    <row r="581">
      <c r="A581" s="67"/>
      <c r="B581" s="624"/>
      <c r="C581" s="575"/>
      <c r="D581" s="576"/>
      <c r="E581" s="576"/>
      <c r="F581" s="576"/>
      <c r="G581" s="577"/>
      <c r="H581" s="577"/>
      <c r="I581" s="594"/>
      <c r="J581" s="594"/>
      <c r="K581" s="594"/>
      <c r="L581" s="594"/>
      <c r="M581" s="594"/>
      <c r="N581" s="594"/>
      <c r="O581" s="594"/>
      <c r="P581" s="594"/>
      <c r="Q581" s="594"/>
    </row>
    <row r="582">
      <c r="A582" s="67"/>
      <c r="B582" s="624"/>
      <c r="C582" s="575"/>
      <c r="D582" s="576"/>
      <c r="E582" s="576"/>
      <c r="F582" s="576"/>
      <c r="G582" s="577"/>
      <c r="H582" s="577"/>
      <c r="I582" s="594"/>
      <c r="J582" s="594"/>
      <c r="K582" s="594"/>
      <c r="L582" s="594"/>
      <c r="M582" s="594"/>
      <c r="N582" s="594"/>
      <c r="O582" s="594"/>
      <c r="P582" s="594"/>
      <c r="Q582" s="594"/>
    </row>
    <row r="583">
      <c r="A583" s="67"/>
      <c r="B583" s="624"/>
      <c r="C583" s="575"/>
      <c r="D583" s="576"/>
      <c r="E583" s="576"/>
      <c r="F583" s="576"/>
      <c r="G583" s="577"/>
      <c r="H583" s="577"/>
      <c r="I583" s="594"/>
      <c r="J583" s="594"/>
      <c r="K583" s="594"/>
      <c r="L583" s="594"/>
      <c r="M583" s="594"/>
      <c r="N583" s="594"/>
      <c r="O583" s="594"/>
      <c r="P583" s="594"/>
      <c r="Q583" s="594"/>
    </row>
    <row r="584">
      <c r="A584" s="67"/>
      <c r="B584" s="624"/>
      <c r="C584" s="575"/>
      <c r="D584" s="576"/>
      <c r="E584" s="576"/>
      <c r="F584" s="576"/>
      <c r="G584" s="577"/>
      <c r="H584" s="577"/>
      <c r="I584" s="594"/>
      <c r="J584" s="594"/>
      <c r="K584" s="594"/>
      <c r="L584" s="594"/>
      <c r="M584" s="594"/>
      <c r="N584" s="594"/>
      <c r="O584" s="594"/>
      <c r="P584" s="594"/>
      <c r="Q584" s="594"/>
    </row>
    <row r="585">
      <c r="A585" s="67"/>
      <c r="B585" s="624"/>
      <c r="C585" s="575"/>
      <c r="D585" s="576"/>
      <c r="E585" s="576"/>
      <c r="F585" s="576"/>
      <c r="G585" s="577"/>
      <c r="H585" s="577"/>
      <c r="I585" s="594"/>
      <c r="J585" s="594"/>
      <c r="K585" s="594"/>
      <c r="L585" s="594"/>
      <c r="M585" s="594"/>
      <c r="N585" s="594"/>
      <c r="O585" s="594"/>
      <c r="P585" s="594"/>
      <c r="Q585" s="594"/>
    </row>
    <row r="586">
      <c r="A586" s="67"/>
      <c r="B586" s="624"/>
      <c r="C586" s="575"/>
      <c r="D586" s="576"/>
      <c r="E586" s="576"/>
      <c r="F586" s="576"/>
      <c r="G586" s="577"/>
      <c r="H586" s="577"/>
      <c r="I586" s="594"/>
      <c r="J586" s="594"/>
      <c r="K586" s="594"/>
      <c r="L586" s="594"/>
      <c r="M586" s="594"/>
      <c r="N586" s="594"/>
      <c r="O586" s="594"/>
      <c r="P586" s="594"/>
      <c r="Q586" s="594"/>
    </row>
    <row r="587">
      <c r="A587" s="67"/>
      <c r="B587" s="624"/>
      <c r="C587" s="575"/>
      <c r="D587" s="576"/>
      <c r="E587" s="576"/>
      <c r="F587" s="576"/>
      <c r="G587" s="577"/>
      <c r="H587" s="577"/>
      <c r="I587" s="594"/>
      <c r="J587" s="594"/>
      <c r="K587" s="594"/>
      <c r="L587" s="594"/>
      <c r="M587" s="594"/>
      <c r="N587" s="594"/>
      <c r="O587" s="594"/>
      <c r="P587" s="594"/>
      <c r="Q587" s="594"/>
    </row>
    <row r="588">
      <c r="A588" s="67"/>
      <c r="B588" s="624"/>
      <c r="C588" s="575"/>
      <c r="D588" s="576"/>
      <c r="E588" s="576"/>
      <c r="F588" s="576"/>
      <c r="G588" s="577"/>
      <c r="H588" s="577"/>
      <c r="I588" s="594"/>
      <c r="J588" s="594"/>
      <c r="K588" s="594"/>
      <c r="L588" s="594"/>
      <c r="M588" s="594"/>
      <c r="N588" s="594"/>
      <c r="O588" s="594"/>
      <c r="P588" s="594"/>
      <c r="Q588" s="594"/>
    </row>
    <row r="589">
      <c r="A589" s="67"/>
      <c r="B589" s="624"/>
      <c r="C589" s="575"/>
      <c r="D589" s="576"/>
      <c r="E589" s="576"/>
      <c r="F589" s="576"/>
      <c r="G589" s="577"/>
      <c r="H589" s="577"/>
      <c r="I589" s="594"/>
      <c r="J589" s="594"/>
      <c r="K589" s="594"/>
      <c r="L589" s="594"/>
      <c r="M589" s="594"/>
      <c r="N589" s="594"/>
      <c r="O589" s="594"/>
      <c r="P589" s="594"/>
      <c r="Q589" s="594"/>
    </row>
    <row r="590">
      <c r="A590" s="67"/>
      <c r="B590" s="624"/>
      <c r="C590" s="575"/>
      <c r="D590" s="576"/>
      <c r="E590" s="576"/>
      <c r="F590" s="576"/>
      <c r="G590" s="577"/>
      <c r="H590" s="577"/>
      <c r="I590" s="594"/>
      <c r="J590" s="594"/>
      <c r="K590" s="594"/>
      <c r="L590" s="594"/>
      <c r="M590" s="594"/>
      <c r="N590" s="594"/>
      <c r="O590" s="594"/>
      <c r="P590" s="594"/>
      <c r="Q590" s="594"/>
    </row>
    <row r="591">
      <c r="A591" s="67"/>
      <c r="B591" s="624"/>
      <c r="C591" s="575"/>
      <c r="D591" s="576"/>
      <c r="E591" s="576"/>
      <c r="F591" s="576"/>
      <c r="G591" s="577"/>
      <c r="H591" s="577"/>
      <c r="I591" s="594"/>
      <c r="J591" s="594"/>
      <c r="K591" s="594"/>
      <c r="L591" s="594"/>
      <c r="M591" s="594"/>
      <c r="N591" s="594"/>
      <c r="O591" s="594"/>
      <c r="P591" s="594"/>
      <c r="Q591" s="594"/>
    </row>
    <row r="592">
      <c r="A592" s="67"/>
      <c r="B592" s="624"/>
      <c r="C592" s="575"/>
      <c r="D592" s="576"/>
      <c r="E592" s="576"/>
      <c r="F592" s="576"/>
      <c r="G592" s="577"/>
      <c r="H592" s="577"/>
      <c r="I592" s="594"/>
      <c r="J592" s="594"/>
      <c r="K592" s="594"/>
      <c r="L592" s="594"/>
      <c r="M592" s="594"/>
      <c r="N592" s="594"/>
      <c r="O592" s="594"/>
      <c r="P592" s="594"/>
      <c r="Q592" s="594"/>
    </row>
    <row r="593">
      <c r="A593" s="67"/>
      <c r="B593" s="624"/>
      <c r="C593" s="575"/>
      <c r="D593" s="576"/>
      <c r="E593" s="576"/>
      <c r="F593" s="576"/>
      <c r="G593" s="577"/>
      <c r="H593" s="577"/>
      <c r="I593" s="594"/>
      <c r="J593" s="594"/>
      <c r="K593" s="594"/>
      <c r="L593" s="594"/>
      <c r="M593" s="594"/>
      <c r="N593" s="594"/>
      <c r="O593" s="594"/>
      <c r="P593" s="594"/>
      <c r="Q593" s="594"/>
    </row>
    <row r="594">
      <c r="A594" s="67"/>
      <c r="B594" s="624"/>
      <c r="C594" s="575"/>
      <c r="D594" s="576"/>
      <c r="E594" s="576"/>
      <c r="F594" s="576"/>
      <c r="G594" s="577"/>
      <c r="H594" s="577"/>
      <c r="I594" s="594"/>
      <c r="J594" s="594"/>
      <c r="K594" s="594"/>
      <c r="L594" s="594"/>
      <c r="M594" s="594"/>
      <c r="N594" s="594"/>
      <c r="O594" s="594"/>
      <c r="P594" s="594"/>
      <c r="Q594" s="594"/>
    </row>
    <row r="595">
      <c r="A595" s="67"/>
      <c r="B595" s="624"/>
      <c r="C595" s="575"/>
      <c r="D595" s="576"/>
      <c r="E595" s="576"/>
      <c r="F595" s="576"/>
      <c r="G595" s="577"/>
      <c r="H595" s="577"/>
      <c r="I595" s="594"/>
      <c r="J595" s="594"/>
      <c r="K595" s="594"/>
      <c r="L595" s="594"/>
      <c r="M595" s="594"/>
      <c r="N595" s="594"/>
      <c r="O595" s="594"/>
      <c r="P595" s="594"/>
      <c r="Q595" s="594"/>
    </row>
    <row r="596">
      <c r="A596" s="67"/>
      <c r="B596" s="624"/>
      <c r="C596" s="575"/>
      <c r="D596" s="576"/>
      <c r="E596" s="576"/>
      <c r="F596" s="576"/>
      <c r="G596" s="577"/>
      <c r="H596" s="577"/>
      <c r="I596" s="594"/>
      <c r="J596" s="594"/>
      <c r="K596" s="594"/>
      <c r="L596" s="594"/>
      <c r="M596" s="594"/>
      <c r="N596" s="594"/>
      <c r="O596" s="594"/>
      <c r="P596" s="594"/>
      <c r="Q596" s="594"/>
    </row>
    <row r="597">
      <c r="A597" s="67"/>
      <c r="B597" s="624"/>
      <c r="C597" s="575"/>
      <c r="D597" s="576"/>
      <c r="E597" s="576"/>
      <c r="F597" s="576"/>
      <c r="G597" s="577"/>
      <c r="H597" s="577"/>
      <c r="I597" s="594"/>
      <c r="J597" s="594"/>
      <c r="K597" s="594"/>
      <c r="L597" s="594"/>
      <c r="M597" s="594"/>
      <c r="N597" s="594"/>
      <c r="O597" s="594"/>
      <c r="P597" s="594"/>
      <c r="Q597" s="594"/>
    </row>
    <row r="598">
      <c r="A598" s="67"/>
      <c r="B598" s="624"/>
      <c r="C598" s="575"/>
      <c r="D598" s="576"/>
      <c r="E598" s="576"/>
      <c r="F598" s="576"/>
      <c r="G598" s="577"/>
      <c r="H598" s="577"/>
      <c r="I598" s="594"/>
      <c r="J598" s="594"/>
      <c r="K598" s="594"/>
      <c r="L598" s="594"/>
      <c r="M598" s="594"/>
      <c r="N598" s="594"/>
      <c r="O598" s="594"/>
      <c r="P598" s="594"/>
      <c r="Q598" s="594"/>
    </row>
    <row r="599">
      <c r="A599" s="67"/>
      <c r="B599" s="624"/>
      <c r="C599" s="575"/>
      <c r="D599" s="576"/>
      <c r="E599" s="576"/>
      <c r="F599" s="576"/>
      <c r="G599" s="577"/>
      <c r="H599" s="577"/>
      <c r="I599" s="594"/>
      <c r="J599" s="594"/>
      <c r="K599" s="594"/>
      <c r="L599" s="594"/>
      <c r="M599" s="594"/>
      <c r="N599" s="594"/>
      <c r="O599" s="594"/>
      <c r="P599" s="594"/>
      <c r="Q599" s="594"/>
    </row>
    <row r="600">
      <c r="A600" s="67"/>
      <c r="B600" s="624"/>
      <c r="C600" s="575"/>
      <c r="D600" s="576"/>
      <c r="E600" s="576"/>
      <c r="F600" s="576"/>
      <c r="G600" s="577"/>
      <c r="H600" s="577"/>
      <c r="I600" s="594"/>
      <c r="J600" s="594"/>
      <c r="K600" s="594"/>
      <c r="L600" s="594"/>
      <c r="M600" s="594"/>
      <c r="N600" s="594"/>
      <c r="O600" s="594"/>
      <c r="P600" s="594"/>
      <c r="Q600" s="594"/>
    </row>
    <row r="601">
      <c r="A601" s="67"/>
      <c r="B601" s="624"/>
      <c r="C601" s="575"/>
      <c r="D601" s="576"/>
      <c r="E601" s="576"/>
      <c r="F601" s="576"/>
      <c r="G601" s="577"/>
      <c r="H601" s="577"/>
      <c r="I601" s="594"/>
      <c r="J601" s="594"/>
      <c r="K601" s="594"/>
      <c r="L601" s="594"/>
      <c r="M601" s="594"/>
      <c r="N601" s="594"/>
      <c r="O601" s="594"/>
      <c r="P601" s="594"/>
      <c r="Q601" s="594"/>
    </row>
    <row r="602">
      <c r="A602" s="67"/>
      <c r="B602" s="624"/>
      <c r="C602" s="575"/>
      <c r="D602" s="576"/>
      <c r="E602" s="576"/>
      <c r="F602" s="576"/>
      <c r="G602" s="577"/>
      <c r="H602" s="577"/>
      <c r="I602" s="594"/>
      <c r="J602" s="594"/>
      <c r="K602" s="594"/>
      <c r="L602" s="594"/>
      <c r="M602" s="594"/>
      <c r="N602" s="594"/>
      <c r="O602" s="594"/>
      <c r="P602" s="594"/>
      <c r="Q602" s="594"/>
    </row>
    <row r="603">
      <c r="A603" s="67"/>
      <c r="B603" s="624"/>
      <c r="C603" s="575"/>
      <c r="D603" s="576"/>
      <c r="E603" s="576"/>
      <c r="F603" s="576"/>
      <c r="G603" s="577"/>
      <c r="H603" s="577"/>
      <c r="I603" s="594"/>
      <c r="J603" s="594"/>
      <c r="K603" s="594"/>
      <c r="L603" s="594"/>
      <c r="M603" s="594"/>
      <c r="N603" s="594"/>
      <c r="O603" s="594"/>
      <c r="P603" s="594"/>
      <c r="Q603" s="594"/>
    </row>
    <row r="604">
      <c r="A604" s="67"/>
      <c r="B604" s="624"/>
      <c r="C604" s="575"/>
      <c r="D604" s="576"/>
      <c r="E604" s="576"/>
      <c r="F604" s="576"/>
      <c r="G604" s="577"/>
      <c r="H604" s="577"/>
      <c r="I604" s="594"/>
      <c r="J604" s="594"/>
      <c r="K604" s="594"/>
      <c r="L604" s="594"/>
      <c r="M604" s="594"/>
      <c r="N604" s="594"/>
      <c r="O604" s="594"/>
      <c r="P604" s="594"/>
      <c r="Q604" s="594"/>
    </row>
    <row r="605">
      <c r="A605" s="67"/>
      <c r="B605" s="624"/>
      <c r="C605" s="575"/>
      <c r="D605" s="576"/>
      <c r="E605" s="576"/>
      <c r="F605" s="576"/>
      <c r="G605" s="577"/>
      <c r="H605" s="577"/>
      <c r="I605" s="594"/>
      <c r="J605" s="594"/>
      <c r="K605" s="594"/>
      <c r="L605" s="594"/>
      <c r="M605" s="594"/>
      <c r="N605" s="594"/>
      <c r="O605" s="594"/>
      <c r="P605" s="594"/>
      <c r="Q605" s="594"/>
    </row>
    <row r="606">
      <c r="A606" s="67"/>
      <c r="B606" s="624"/>
      <c r="C606" s="575"/>
      <c r="D606" s="576"/>
      <c r="E606" s="576"/>
      <c r="F606" s="576"/>
      <c r="G606" s="577"/>
      <c r="H606" s="577"/>
      <c r="I606" s="594"/>
      <c r="J606" s="594"/>
      <c r="K606" s="594"/>
      <c r="L606" s="594"/>
      <c r="M606" s="594"/>
      <c r="N606" s="594"/>
      <c r="O606" s="594"/>
      <c r="P606" s="594"/>
      <c r="Q606" s="594"/>
    </row>
    <row r="607">
      <c r="A607" s="67"/>
      <c r="B607" s="624"/>
      <c r="C607" s="575"/>
      <c r="D607" s="576"/>
      <c r="E607" s="576"/>
      <c r="F607" s="576"/>
      <c r="G607" s="577"/>
      <c r="H607" s="577"/>
      <c r="I607" s="594"/>
      <c r="J607" s="594"/>
      <c r="K607" s="594"/>
      <c r="L607" s="594"/>
      <c r="M607" s="594"/>
      <c r="N607" s="594"/>
      <c r="O607" s="594"/>
      <c r="P607" s="594"/>
      <c r="Q607" s="594"/>
    </row>
    <row r="608">
      <c r="A608" s="67"/>
      <c r="B608" s="624"/>
      <c r="C608" s="575"/>
      <c r="D608" s="576"/>
      <c r="E608" s="576"/>
      <c r="F608" s="576"/>
      <c r="G608" s="577"/>
      <c r="H608" s="577"/>
      <c r="I608" s="594"/>
      <c r="J608" s="594"/>
      <c r="K608" s="594"/>
      <c r="L608" s="594"/>
      <c r="M608" s="594"/>
      <c r="N608" s="594"/>
      <c r="O608" s="594"/>
      <c r="P608" s="594"/>
      <c r="Q608" s="594"/>
    </row>
    <row r="609">
      <c r="A609" s="67"/>
      <c r="B609" s="624"/>
      <c r="C609" s="575"/>
      <c r="D609" s="576"/>
      <c r="E609" s="576"/>
      <c r="F609" s="576"/>
      <c r="G609" s="577"/>
      <c r="H609" s="577"/>
      <c r="I609" s="594"/>
      <c r="J609" s="594"/>
      <c r="K609" s="594"/>
      <c r="L609" s="594"/>
      <c r="M609" s="594"/>
      <c r="N609" s="594"/>
      <c r="O609" s="594"/>
      <c r="P609" s="594"/>
      <c r="Q609" s="594"/>
    </row>
    <row r="610">
      <c r="A610" s="67"/>
      <c r="B610" s="624"/>
      <c r="C610" s="575"/>
      <c r="D610" s="576"/>
      <c r="E610" s="576"/>
      <c r="F610" s="576"/>
      <c r="G610" s="577"/>
      <c r="H610" s="577"/>
      <c r="I610" s="594"/>
      <c r="J610" s="594"/>
      <c r="K610" s="594"/>
      <c r="L610" s="594"/>
      <c r="M610" s="594"/>
      <c r="N610" s="594"/>
      <c r="O610" s="594"/>
      <c r="P610" s="594"/>
      <c r="Q610" s="594"/>
    </row>
    <row r="611">
      <c r="A611" s="67"/>
      <c r="B611" s="624"/>
      <c r="C611" s="575"/>
      <c r="D611" s="576"/>
      <c r="E611" s="576"/>
      <c r="F611" s="576"/>
      <c r="G611" s="577"/>
      <c r="H611" s="577"/>
      <c r="I611" s="594"/>
      <c r="J611" s="594"/>
      <c r="K611" s="594"/>
      <c r="L611" s="594"/>
      <c r="M611" s="594"/>
      <c r="N611" s="594"/>
      <c r="O611" s="594"/>
      <c r="P611" s="594"/>
      <c r="Q611" s="594"/>
    </row>
    <row r="612">
      <c r="A612" s="67"/>
      <c r="B612" s="624"/>
      <c r="C612" s="575"/>
      <c r="D612" s="576"/>
      <c r="E612" s="576"/>
      <c r="F612" s="576"/>
      <c r="G612" s="577"/>
      <c r="H612" s="577"/>
      <c r="I612" s="594"/>
      <c r="J612" s="594"/>
      <c r="K612" s="594"/>
      <c r="L612" s="594"/>
      <c r="M612" s="594"/>
      <c r="N612" s="594"/>
      <c r="O612" s="594"/>
      <c r="P612" s="594"/>
      <c r="Q612" s="594"/>
    </row>
    <row r="613">
      <c r="A613" s="67"/>
      <c r="B613" s="624"/>
      <c r="C613" s="575"/>
      <c r="D613" s="576"/>
      <c r="E613" s="576"/>
      <c r="F613" s="576"/>
      <c r="G613" s="577"/>
      <c r="H613" s="577"/>
      <c r="I613" s="594"/>
      <c r="J613" s="594"/>
      <c r="K613" s="594"/>
      <c r="L613" s="594"/>
      <c r="M613" s="594"/>
      <c r="N613" s="594"/>
      <c r="O613" s="594"/>
      <c r="P613" s="594"/>
      <c r="Q613" s="594"/>
    </row>
    <row r="614">
      <c r="A614" s="67"/>
      <c r="B614" s="624"/>
      <c r="C614" s="575"/>
      <c r="D614" s="576"/>
      <c r="E614" s="576"/>
      <c r="F614" s="576"/>
      <c r="G614" s="577"/>
      <c r="H614" s="577"/>
      <c r="I614" s="594"/>
      <c r="J614" s="594"/>
      <c r="K614" s="594"/>
      <c r="L614" s="594"/>
      <c r="M614" s="594"/>
      <c r="N614" s="594"/>
      <c r="O614" s="594"/>
      <c r="P614" s="594"/>
      <c r="Q614" s="594"/>
    </row>
    <row r="615">
      <c r="A615" s="67"/>
      <c r="B615" s="624"/>
      <c r="C615" s="575"/>
      <c r="D615" s="576"/>
      <c r="E615" s="576"/>
      <c r="F615" s="576"/>
      <c r="G615" s="577"/>
      <c r="H615" s="577"/>
      <c r="I615" s="594"/>
      <c r="J615" s="594"/>
      <c r="K615" s="594"/>
      <c r="L615" s="594"/>
      <c r="M615" s="594"/>
      <c r="N615" s="594"/>
      <c r="O615" s="594"/>
      <c r="P615" s="594"/>
      <c r="Q615" s="594"/>
    </row>
    <row r="616">
      <c r="A616" s="67"/>
      <c r="B616" s="624"/>
      <c r="C616" s="575"/>
      <c r="D616" s="576"/>
      <c r="E616" s="576"/>
      <c r="F616" s="576"/>
      <c r="G616" s="577"/>
      <c r="H616" s="577"/>
      <c r="I616" s="594"/>
      <c r="J616" s="594"/>
      <c r="K616" s="594"/>
      <c r="L616" s="594"/>
      <c r="M616" s="594"/>
      <c r="N616" s="594"/>
      <c r="O616" s="594"/>
      <c r="P616" s="594"/>
      <c r="Q616" s="594"/>
    </row>
    <row r="617">
      <c r="A617" s="67"/>
      <c r="B617" s="624"/>
      <c r="C617" s="575"/>
      <c r="D617" s="576"/>
      <c r="E617" s="576"/>
      <c r="F617" s="576"/>
      <c r="G617" s="577"/>
      <c r="H617" s="577"/>
      <c r="I617" s="594"/>
      <c r="J617" s="594"/>
      <c r="K617" s="594"/>
      <c r="L617" s="594"/>
      <c r="M617" s="594"/>
      <c r="N617" s="594"/>
      <c r="O617" s="594"/>
      <c r="P617" s="594"/>
      <c r="Q617" s="594"/>
    </row>
    <row r="618">
      <c r="A618" s="67"/>
      <c r="B618" s="624"/>
      <c r="C618" s="575"/>
      <c r="D618" s="576"/>
      <c r="E618" s="576"/>
      <c r="F618" s="576"/>
      <c r="G618" s="577"/>
      <c r="H618" s="577"/>
      <c r="I618" s="594"/>
      <c r="J618" s="594"/>
      <c r="K618" s="594"/>
      <c r="L618" s="594"/>
      <c r="M618" s="594"/>
      <c r="N618" s="594"/>
      <c r="O618" s="594"/>
      <c r="P618" s="594"/>
      <c r="Q618" s="594"/>
    </row>
    <row r="619">
      <c r="A619" s="67"/>
      <c r="B619" s="624"/>
      <c r="C619" s="575"/>
      <c r="D619" s="576"/>
      <c r="E619" s="576"/>
      <c r="F619" s="576"/>
      <c r="G619" s="577"/>
      <c r="H619" s="577"/>
      <c r="I619" s="594"/>
      <c r="J619" s="594"/>
      <c r="K619" s="594"/>
      <c r="L619" s="594"/>
      <c r="M619" s="594"/>
      <c r="N619" s="594"/>
      <c r="O619" s="594"/>
      <c r="P619" s="594"/>
      <c r="Q619" s="594"/>
    </row>
    <row r="620">
      <c r="A620" s="67"/>
      <c r="B620" s="624"/>
      <c r="C620" s="575"/>
      <c r="D620" s="576"/>
      <c r="E620" s="576"/>
      <c r="F620" s="576"/>
      <c r="G620" s="577"/>
      <c r="H620" s="577"/>
      <c r="I620" s="594"/>
      <c r="J620" s="594"/>
      <c r="K620" s="594"/>
      <c r="L620" s="594"/>
      <c r="M620" s="594"/>
      <c r="N620" s="594"/>
      <c r="O620" s="594"/>
      <c r="P620" s="594"/>
      <c r="Q620" s="594"/>
    </row>
    <row r="621">
      <c r="A621" s="67"/>
      <c r="B621" s="624"/>
      <c r="C621" s="575"/>
      <c r="D621" s="576"/>
      <c r="E621" s="576"/>
      <c r="F621" s="576"/>
      <c r="G621" s="577"/>
      <c r="H621" s="577"/>
      <c r="I621" s="594"/>
      <c r="J621" s="594"/>
      <c r="K621" s="594"/>
      <c r="L621" s="594"/>
      <c r="M621" s="594"/>
      <c r="N621" s="594"/>
      <c r="O621" s="594"/>
      <c r="P621" s="594"/>
      <c r="Q621" s="594"/>
    </row>
    <row r="622">
      <c r="A622" s="67"/>
      <c r="B622" s="624"/>
      <c r="C622" s="575"/>
      <c r="D622" s="576"/>
      <c r="E622" s="576"/>
      <c r="F622" s="576"/>
      <c r="G622" s="577"/>
      <c r="H622" s="577"/>
      <c r="I622" s="594"/>
      <c r="J622" s="594"/>
      <c r="K622" s="594"/>
      <c r="L622" s="594"/>
      <c r="M622" s="594"/>
      <c r="N622" s="594"/>
      <c r="O622" s="594"/>
      <c r="P622" s="594"/>
      <c r="Q622" s="594"/>
    </row>
    <row r="623">
      <c r="A623" s="67"/>
      <c r="B623" s="624"/>
      <c r="C623" s="575"/>
      <c r="D623" s="576"/>
      <c r="E623" s="576"/>
      <c r="F623" s="576"/>
      <c r="G623" s="577"/>
      <c r="H623" s="577"/>
      <c r="I623" s="594"/>
      <c r="J623" s="594"/>
      <c r="K623" s="594"/>
      <c r="L623" s="594"/>
      <c r="M623" s="594"/>
      <c r="N623" s="594"/>
      <c r="O623" s="594"/>
      <c r="P623" s="594"/>
      <c r="Q623" s="594"/>
    </row>
    <row r="624">
      <c r="A624" s="67"/>
      <c r="B624" s="624"/>
      <c r="C624" s="575"/>
      <c r="D624" s="576"/>
      <c r="E624" s="576"/>
      <c r="F624" s="576"/>
      <c r="G624" s="577"/>
      <c r="H624" s="577"/>
      <c r="I624" s="594"/>
      <c r="J624" s="594"/>
      <c r="K624" s="594"/>
      <c r="L624" s="594"/>
      <c r="M624" s="594"/>
      <c r="N624" s="594"/>
      <c r="O624" s="594"/>
      <c r="P624" s="594"/>
      <c r="Q624" s="594"/>
    </row>
    <row r="625">
      <c r="A625" s="67"/>
      <c r="B625" s="624"/>
      <c r="C625" s="575"/>
      <c r="D625" s="576"/>
      <c r="E625" s="576"/>
      <c r="F625" s="576"/>
      <c r="G625" s="577"/>
      <c r="H625" s="577"/>
      <c r="I625" s="594"/>
      <c r="J625" s="594"/>
      <c r="K625" s="594"/>
      <c r="L625" s="594"/>
      <c r="M625" s="594"/>
      <c r="N625" s="594"/>
      <c r="O625" s="594"/>
      <c r="P625" s="594"/>
      <c r="Q625" s="594"/>
    </row>
    <row r="626">
      <c r="A626" s="67"/>
      <c r="B626" s="624"/>
      <c r="C626" s="575"/>
      <c r="D626" s="576"/>
      <c r="E626" s="576"/>
      <c r="F626" s="576"/>
      <c r="G626" s="577"/>
      <c r="H626" s="577"/>
      <c r="I626" s="594"/>
      <c r="J626" s="594"/>
      <c r="K626" s="594"/>
      <c r="L626" s="594"/>
      <c r="M626" s="594"/>
      <c r="N626" s="594"/>
      <c r="O626" s="594"/>
      <c r="P626" s="594"/>
      <c r="Q626" s="594"/>
    </row>
    <row r="627">
      <c r="A627" s="67"/>
      <c r="B627" s="624"/>
      <c r="C627" s="575"/>
      <c r="D627" s="576"/>
      <c r="E627" s="576"/>
      <c r="F627" s="576"/>
      <c r="G627" s="577"/>
      <c r="H627" s="577"/>
      <c r="I627" s="594"/>
      <c r="J627" s="594"/>
      <c r="K627" s="594"/>
      <c r="L627" s="594"/>
      <c r="M627" s="594"/>
      <c r="N627" s="594"/>
      <c r="O627" s="594"/>
      <c r="P627" s="594"/>
      <c r="Q627" s="594"/>
    </row>
    <row r="628">
      <c r="A628" s="67"/>
      <c r="B628" s="624"/>
      <c r="C628" s="575"/>
      <c r="D628" s="576"/>
      <c r="E628" s="576"/>
      <c r="F628" s="576"/>
      <c r="G628" s="577"/>
      <c r="H628" s="577"/>
      <c r="I628" s="594"/>
      <c r="J628" s="594"/>
      <c r="K628" s="594"/>
      <c r="L628" s="594"/>
      <c r="M628" s="594"/>
      <c r="N628" s="594"/>
      <c r="O628" s="594"/>
      <c r="P628" s="594"/>
      <c r="Q628" s="594"/>
    </row>
    <row r="629">
      <c r="A629" s="67"/>
      <c r="B629" s="624"/>
      <c r="C629" s="575"/>
      <c r="D629" s="576"/>
      <c r="E629" s="576"/>
      <c r="F629" s="576"/>
      <c r="G629" s="577"/>
      <c r="H629" s="577"/>
      <c r="I629" s="594"/>
      <c r="J629" s="594"/>
      <c r="K629" s="594"/>
      <c r="L629" s="594"/>
      <c r="M629" s="594"/>
      <c r="N629" s="594"/>
      <c r="O629" s="594"/>
      <c r="P629" s="594"/>
      <c r="Q629" s="594"/>
    </row>
    <row r="630">
      <c r="A630" s="67"/>
      <c r="B630" s="624"/>
      <c r="C630" s="575"/>
      <c r="D630" s="576"/>
      <c r="E630" s="576"/>
      <c r="F630" s="576"/>
      <c r="G630" s="577"/>
      <c r="H630" s="577"/>
      <c r="I630" s="594"/>
      <c r="J630" s="594"/>
      <c r="K630" s="594"/>
      <c r="L630" s="594"/>
      <c r="M630" s="594"/>
      <c r="N630" s="594"/>
      <c r="O630" s="594"/>
      <c r="P630" s="594"/>
      <c r="Q630" s="594"/>
    </row>
    <row r="631">
      <c r="A631" s="67"/>
      <c r="B631" s="624"/>
      <c r="C631" s="575"/>
      <c r="D631" s="576"/>
      <c r="E631" s="576"/>
      <c r="F631" s="576"/>
      <c r="G631" s="577"/>
      <c r="H631" s="577"/>
      <c r="I631" s="594"/>
      <c r="J631" s="594"/>
      <c r="K631" s="594"/>
      <c r="L631" s="594"/>
      <c r="M631" s="594"/>
      <c r="N631" s="594"/>
      <c r="O631" s="594"/>
      <c r="P631" s="594"/>
      <c r="Q631" s="594"/>
    </row>
    <row r="632">
      <c r="A632" s="67"/>
      <c r="B632" s="624"/>
      <c r="C632" s="575"/>
      <c r="D632" s="576"/>
      <c r="E632" s="576"/>
      <c r="F632" s="576"/>
      <c r="G632" s="577"/>
      <c r="H632" s="577"/>
      <c r="I632" s="594"/>
      <c r="J632" s="594"/>
      <c r="K632" s="594"/>
      <c r="L632" s="594"/>
      <c r="M632" s="594"/>
      <c r="N632" s="594"/>
      <c r="O632" s="594"/>
      <c r="P632" s="594"/>
      <c r="Q632" s="594"/>
    </row>
    <row r="633">
      <c r="A633" s="67"/>
      <c r="B633" s="624"/>
      <c r="C633" s="575"/>
      <c r="D633" s="576"/>
      <c r="E633" s="576"/>
      <c r="F633" s="576"/>
      <c r="G633" s="577"/>
      <c r="H633" s="577"/>
      <c r="I633" s="594"/>
      <c r="J633" s="594"/>
      <c r="K633" s="594"/>
      <c r="L633" s="594"/>
      <c r="M633" s="594"/>
      <c r="N633" s="594"/>
      <c r="O633" s="594"/>
      <c r="P633" s="594"/>
      <c r="Q633" s="594"/>
    </row>
    <row r="634">
      <c r="A634" s="67"/>
      <c r="B634" s="624"/>
      <c r="C634" s="575"/>
      <c r="D634" s="576"/>
      <c r="E634" s="576"/>
      <c r="F634" s="576"/>
      <c r="G634" s="577"/>
      <c r="H634" s="577"/>
      <c r="I634" s="594"/>
      <c r="J634" s="594"/>
      <c r="K634" s="594"/>
      <c r="L634" s="594"/>
      <c r="M634" s="594"/>
      <c r="N634" s="594"/>
      <c r="O634" s="594"/>
      <c r="P634" s="594"/>
      <c r="Q634" s="594"/>
    </row>
    <row r="635">
      <c r="A635" s="67"/>
      <c r="B635" s="624"/>
      <c r="C635" s="575"/>
      <c r="D635" s="576"/>
      <c r="E635" s="576"/>
      <c r="F635" s="576"/>
      <c r="G635" s="577"/>
      <c r="H635" s="577"/>
      <c r="I635" s="594"/>
      <c r="J635" s="594"/>
      <c r="K635" s="594"/>
      <c r="L635" s="594"/>
      <c r="M635" s="594"/>
      <c r="N635" s="594"/>
      <c r="O635" s="594"/>
      <c r="P635" s="594"/>
      <c r="Q635" s="594"/>
    </row>
    <row r="636">
      <c r="A636" s="67"/>
      <c r="B636" s="624"/>
      <c r="C636" s="575"/>
      <c r="D636" s="576"/>
      <c r="E636" s="576"/>
      <c r="F636" s="576"/>
      <c r="G636" s="577"/>
      <c r="H636" s="577"/>
      <c r="I636" s="594"/>
      <c r="J636" s="594"/>
      <c r="K636" s="594"/>
      <c r="L636" s="594"/>
      <c r="M636" s="594"/>
      <c r="N636" s="594"/>
      <c r="O636" s="594"/>
      <c r="P636" s="594"/>
      <c r="Q636" s="594"/>
    </row>
    <row r="637">
      <c r="A637" s="67"/>
      <c r="B637" s="624"/>
      <c r="C637" s="575"/>
      <c r="D637" s="576"/>
      <c r="E637" s="576"/>
      <c r="F637" s="576"/>
      <c r="G637" s="577"/>
      <c r="H637" s="577"/>
      <c r="I637" s="594"/>
      <c r="J637" s="594"/>
      <c r="K637" s="594"/>
      <c r="L637" s="594"/>
      <c r="M637" s="594"/>
      <c r="N637" s="594"/>
      <c r="O637" s="594"/>
      <c r="P637" s="594"/>
      <c r="Q637" s="594"/>
    </row>
    <row r="638">
      <c r="A638" s="67"/>
      <c r="B638" s="624"/>
      <c r="C638" s="575"/>
      <c r="D638" s="576"/>
      <c r="E638" s="576"/>
      <c r="F638" s="576"/>
      <c r="G638" s="577"/>
      <c r="H638" s="577"/>
      <c r="I638" s="594"/>
      <c r="J638" s="594"/>
      <c r="K638" s="594"/>
      <c r="L638" s="594"/>
      <c r="M638" s="594"/>
      <c r="N638" s="594"/>
      <c r="O638" s="594"/>
      <c r="P638" s="594"/>
      <c r="Q638" s="594"/>
    </row>
    <row r="639">
      <c r="A639" s="67"/>
      <c r="B639" s="624"/>
      <c r="C639" s="575"/>
      <c r="D639" s="576"/>
      <c r="E639" s="576"/>
      <c r="F639" s="576"/>
      <c r="G639" s="577"/>
      <c r="H639" s="577"/>
      <c r="I639" s="594"/>
      <c r="J639" s="594"/>
      <c r="K639" s="594"/>
      <c r="L639" s="594"/>
      <c r="M639" s="594"/>
      <c r="N639" s="594"/>
      <c r="O639" s="594"/>
      <c r="P639" s="594"/>
      <c r="Q639" s="594"/>
    </row>
    <row r="640">
      <c r="A640" s="67"/>
      <c r="B640" s="624"/>
      <c r="C640" s="575"/>
      <c r="D640" s="576"/>
      <c r="E640" s="576"/>
      <c r="F640" s="576"/>
      <c r="G640" s="577"/>
      <c r="H640" s="577"/>
      <c r="I640" s="594"/>
      <c r="J640" s="594"/>
      <c r="K640" s="594"/>
      <c r="L640" s="594"/>
      <c r="M640" s="594"/>
      <c r="N640" s="594"/>
      <c r="O640" s="594"/>
      <c r="P640" s="594"/>
      <c r="Q640" s="594"/>
    </row>
    <row r="641">
      <c r="A641" s="67"/>
      <c r="B641" s="624"/>
      <c r="C641" s="575"/>
      <c r="D641" s="576"/>
      <c r="E641" s="576"/>
      <c r="F641" s="576"/>
      <c r="G641" s="577"/>
      <c r="H641" s="577"/>
      <c r="I641" s="594"/>
      <c r="J641" s="594"/>
      <c r="K641" s="594"/>
      <c r="L641" s="594"/>
      <c r="M641" s="594"/>
      <c r="N641" s="594"/>
      <c r="O641" s="594"/>
      <c r="P641" s="594"/>
      <c r="Q641" s="594"/>
    </row>
    <row r="642">
      <c r="A642" s="67"/>
      <c r="B642" s="624"/>
      <c r="C642" s="575"/>
      <c r="D642" s="576"/>
      <c r="E642" s="576"/>
      <c r="F642" s="576"/>
      <c r="G642" s="577"/>
      <c r="H642" s="577"/>
      <c r="I642" s="594"/>
      <c r="J642" s="594"/>
      <c r="K642" s="594"/>
      <c r="L642" s="594"/>
      <c r="M642" s="594"/>
      <c r="N642" s="594"/>
      <c r="O642" s="594"/>
      <c r="P642" s="594"/>
      <c r="Q642" s="594"/>
    </row>
    <row r="643">
      <c r="A643" s="67"/>
      <c r="B643" s="624"/>
      <c r="C643" s="575"/>
      <c r="D643" s="576"/>
      <c r="E643" s="576"/>
      <c r="F643" s="576"/>
      <c r="G643" s="577"/>
      <c r="H643" s="577"/>
      <c r="I643" s="594"/>
      <c r="J643" s="594"/>
      <c r="K643" s="594"/>
      <c r="L643" s="594"/>
      <c r="M643" s="594"/>
      <c r="N643" s="594"/>
      <c r="O643" s="594"/>
      <c r="P643" s="594"/>
      <c r="Q643" s="594"/>
    </row>
    <row r="644">
      <c r="A644" s="67"/>
      <c r="B644" s="624"/>
      <c r="C644" s="575"/>
      <c r="D644" s="576"/>
      <c r="E644" s="576"/>
      <c r="F644" s="576"/>
      <c r="G644" s="577"/>
      <c r="H644" s="577"/>
      <c r="I644" s="594"/>
      <c r="J644" s="594"/>
      <c r="K644" s="594"/>
      <c r="L644" s="594"/>
      <c r="M644" s="594"/>
      <c r="N644" s="594"/>
      <c r="O644" s="594"/>
      <c r="P644" s="594"/>
      <c r="Q644" s="594"/>
    </row>
    <row r="645">
      <c r="A645" s="67"/>
      <c r="B645" s="624"/>
      <c r="C645" s="575"/>
      <c r="D645" s="576"/>
      <c r="E645" s="576"/>
      <c r="F645" s="576"/>
      <c r="G645" s="577"/>
      <c r="H645" s="577"/>
      <c r="I645" s="594"/>
      <c r="J645" s="594"/>
      <c r="K645" s="594"/>
      <c r="L645" s="594"/>
      <c r="M645" s="594"/>
      <c r="N645" s="594"/>
      <c r="O645" s="594"/>
      <c r="P645" s="594"/>
      <c r="Q645" s="594"/>
    </row>
    <row r="646">
      <c r="A646" s="67"/>
      <c r="B646" s="624"/>
      <c r="C646" s="575"/>
      <c r="D646" s="576"/>
      <c r="E646" s="576"/>
      <c r="F646" s="576"/>
      <c r="G646" s="577"/>
      <c r="H646" s="577"/>
      <c r="I646" s="594"/>
      <c r="J646" s="594"/>
      <c r="K646" s="594"/>
      <c r="L646" s="594"/>
      <c r="M646" s="594"/>
      <c r="N646" s="594"/>
      <c r="O646" s="594"/>
      <c r="P646" s="594"/>
      <c r="Q646" s="594"/>
    </row>
    <row r="647">
      <c r="A647" s="67"/>
      <c r="B647" s="624"/>
      <c r="C647" s="575"/>
      <c r="D647" s="576"/>
      <c r="E647" s="576"/>
      <c r="F647" s="576"/>
      <c r="G647" s="577"/>
      <c r="H647" s="577"/>
      <c r="I647" s="594"/>
      <c r="J647" s="594"/>
      <c r="K647" s="594"/>
      <c r="L647" s="594"/>
      <c r="M647" s="594"/>
      <c r="N647" s="594"/>
      <c r="O647" s="594"/>
      <c r="P647" s="594"/>
      <c r="Q647" s="594"/>
    </row>
    <row r="648">
      <c r="A648" s="67"/>
      <c r="B648" s="624"/>
      <c r="C648" s="575"/>
      <c r="D648" s="576"/>
      <c r="E648" s="576"/>
      <c r="F648" s="576"/>
      <c r="G648" s="577"/>
      <c r="H648" s="577"/>
      <c r="I648" s="594"/>
      <c r="J648" s="594"/>
      <c r="K648" s="594"/>
      <c r="L648" s="594"/>
      <c r="M648" s="594"/>
      <c r="N648" s="594"/>
      <c r="O648" s="594"/>
      <c r="P648" s="594"/>
      <c r="Q648" s="594"/>
    </row>
    <row r="649">
      <c r="A649" s="67"/>
      <c r="B649" s="624"/>
      <c r="C649" s="575"/>
      <c r="D649" s="576"/>
      <c r="E649" s="576"/>
      <c r="F649" s="576"/>
      <c r="G649" s="577"/>
      <c r="H649" s="577"/>
      <c r="I649" s="594"/>
      <c r="J649" s="594"/>
      <c r="K649" s="594"/>
      <c r="L649" s="594"/>
      <c r="M649" s="594"/>
      <c r="N649" s="594"/>
      <c r="O649" s="594"/>
      <c r="P649" s="594"/>
      <c r="Q649" s="594"/>
    </row>
    <row r="650">
      <c r="A650" s="67"/>
      <c r="B650" s="624"/>
      <c r="C650" s="575"/>
      <c r="D650" s="576"/>
      <c r="E650" s="576"/>
      <c r="F650" s="576"/>
      <c r="G650" s="577"/>
      <c r="H650" s="577"/>
      <c r="I650" s="594"/>
      <c r="J650" s="594"/>
      <c r="K650" s="594"/>
      <c r="L650" s="594"/>
      <c r="M650" s="594"/>
      <c r="N650" s="594"/>
      <c r="O650" s="594"/>
      <c r="P650" s="594"/>
      <c r="Q650" s="594"/>
    </row>
    <row r="651">
      <c r="A651" s="67"/>
      <c r="B651" s="624"/>
      <c r="C651" s="575"/>
      <c r="D651" s="576"/>
      <c r="E651" s="576"/>
      <c r="F651" s="576"/>
      <c r="G651" s="577"/>
      <c r="H651" s="577"/>
      <c r="I651" s="594"/>
      <c r="J651" s="594"/>
      <c r="K651" s="594"/>
      <c r="L651" s="594"/>
      <c r="M651" s="594"/>
      <c r="N651" s="594"/>
      <c r="O651" s="594"/>
      <c r="P651" s="594"/>
      <c r="Q651" s="594"/>
    </row>
    <row r="652">
      <c r="A652" s="67"/>
      <c r="B652" s="624"/>
      <c r="C652" s="575"/>
      <c r="D652" s="576"/>
      <c r="E652" s="576"/>
      <c r="F652" s="576"/>
      <c r="G652" s="577"/>
      <c r="H652" s="577"/>
      <c r="I652" s="594"/>
      <c r="J652" s="594"/>
      <c r="K652" s="594"/>
      <c r="L652" s="594"/>
      <c r="M652" s="594"/>
      <c r="N652" s="594"/>
      <c r="O652" s="594"/>
      <c r="P652" s="594"/>
      <c r="Q652" s="594"/>
    </row>
    <row r="653">
      <c r="A653" s="67"/>
      <c r="B653" s="624"/>
      <c r="C653" s="575"/>
      <c r="D653" s="576"/>
      <c r="E653" s="576"/>
      <c r="F653" s="576"/>
      <c r="G653" s="577"/>
      <c r="H653" s="577"/>
      <c r="I653" s="594"/>
      <c r="J653" s="594"/>
      <c r="K653" s="594"/>
      <c r="L653" s="594"/>
      <c r="M653" s="594"/>
      <c r="N653" s="594"/>
      <c r="O653" s="594"/>
      <c r="P653" s="594"/>
      <c r="Q653" s="594"/>
    </row>
    <row r="654">
      <c r="A654" s="67"/>
      <c r="B654" s="624"/>
      <c r="C654" s="575"/>
      <c r="D654" s="576"/>
      <c r="E654" s="576"/>
      <c r="F654" s="576"/>
      <c r="G654" s="577"/>
      <c r="H654" s="577"/>
      <c r="I654" s="594"/>
      <c r="J654" s="594"/>
      <c r="K654" s="594"/>
      <c r="L654" s="594"/>
      <c r="M654" s="594"/>
      <c r="N654" s="594"/>
      <c r="O654" s="594"/>
      <c r="P654" s="594"/>
      <c r="Q654" s="594"/>
    </row>
    <row r="655">
      <c r="A655" s="67"/>
      <c r="B655" s="624"/>
      <c r="C655" s="575"/>
      <c r="D655" s="576"/>
      <c r="E655" s="576"/>
      <c r="F655" s="576"/>
      <c r="G655" s="577"/>
      <c r="H655" s="577"/>
      <c r="I655" s="594"/>
      <c r="J655" s="594"/>
      <c r="K655" s="594"/>
      <c r="L655" s="594"/>
      <c r="M655" s="594"/>
      <c r="N655" s="594"/>
      <c r="O655" s="594"/>
      <c r="P655" s="594"/>
      <c r="Q655" s="594"/>
    </row>
    <row r="656">
      <c r="A656" s="67"/>
      <c r="B656" s="624"/>
      <c r="C656" s="575"/>
      <c r="D656" s="576"/>
      <c r="E656" s="576"/>
      <c r="F656" s="576"/>
      <c r="G656" s="577"/>
      <c r="H656" s="577"/>
      <c r="I656" s="594"/>
      <c r="J656" s="594"/>
      <c r="K656" s="594"/>
      <c r="L656" s="594"/>
      <c r="M656" s="594"/>
      <c r="N656" s="594"/>
      <c r="O656" s="594"/>
      <c r="P656" s="594"/>
      <c r="Q656" s="594"/>
    </row>
    <row r="657">
      <c r="A657" s="67"/>
      <c r="B657" s="624"/>
      <c r="C657" s="575"/>
      <c r="D657" s="576"/>
      <c r="E657" s="576"/>
      <c r="F657" s="576"/>
      <c r="G657" s="577"/>
      <c r="H657" s="577"/>
      <c r="I657" s="594"/>
      <c r="J657" s="594"/>
      <c r="K657" s="594"/>
      <c r="L657" s="594"/>
      <c r="M657" s="594"/>
      <c r="N657" s="594"/>
      <c r="O657" s="594"/>
      <c r="P657" s="594"/>
      <c r="Q657" s="594"/>
    </row>
    <row r="658">
      <c r="A658" s="67"/>
      <c r="B658" s="624"/>
      <c r="C658" s="575"/>
      <c r="D658" s="576"/>
      <c r="E658" s="576"/>
      <c r="F658" s="576"/>
      <c r="G658" s="577"/>
      <c r="H658" s="577"/>
      <c r="I658" s="594"/>
      <c r="J658" s="594"/>
      <c r="K658" s="594"/>
      <c r="L658" s="594"/>
      <c r="M658" s="594"/>
      <c r="N658" s="594"/>
      <c r="O658" s="594"/>
      <c r="P658" s="594"/>
      <c r="Q658" s="594"/>
    </row>
    <row r="659">
      <c r="A659" s="67"/>
      <c r="B659" s="624"/>
      <c r="C659" s="575"/>
      <c r="D659" s="576"/>
      <c r="E659" s="576"/>
      <c r="F659" s="576"/>
      <c r="G659" s="577"/>
      <c r="H659" s="577"/>
      <c r="I659" s="594"/>
      <c r="J659" s="594"/>
      <c r="K659" s="594"/>
      <c r="L659" s="594"/>
      <c r="M659" s="594"/>
      <c r="N659" s="594"/>
      <c r="O659" s="594"/>
      <c r="P659" s="594"/>
      <c r="Q659" s="594"/>
    </row>
    <row r="660">
      <c r="A660" s="67"/>
      <c r="B660" s="624"/>
      <c r="C660" s="575"/>
      <c r="D660" s="576"/>
      <c r="E660" s="576"/>
      <c r="F660" s="576"/>
      <c r="G660" s="577"/>
      <c r="H660" s="577"/>
      <c r="I660" s="594"/>
      <c r="J660" s="594"/>
      <c r="K660" s="594"/>
      <c r="L660" s="594"/>
      <c r="M660" s="594"/>
      <c r="N660" s="594"/>
      <c r="O660" s="594"/>
      <c r="P660" s="594"/>
      <c r="Q660" s="594"/>
    </row>
    <row r="661">
      <c r="A661" s="67"/>
      <c r="B661" s="624"/>
      <c r="C661" s="575"/>
      <c r="D661" s="576"/>
      <c r="E661" s="576"/>
      <c r="F661" s="576"/>
      <c r="G661" s="577"/>
      <c r="H661" s="577"/>
      <c r="I661" s="594"/>
      <c r="J661" s="594"/>
      <c r="K661" s="594"/>
      <c r="L661" s="594"/>
      <c r="M661" s="594"/>
      <c r="N661" s="594"/>
      <c r="O661" s="594"/>
      <c r="P661" s="594"/>
      <c r="Q661" s="594"/>
    </row>
    <row r="662">
      <c r="A662" s="67"/>
      <c r="B662" s="624"/>
      <c r="C662" s="575"/>
      <c r="D662" s="576"/>
      <c r="E662" s="576"/>
      <c r="F662" s="576"/>
      <c r="G662" s="577"/>
      <c r="H662" s="577"/>
      <c r="I662" s="594"/>
      <c r="J662" s="594"/>
      <c r="K662" s="594"/>
      <c r="L662" s="594"/>
      <c r="M662" s="594"/>
      <c r="N662" s="594"/>
      <c r="O662" s="594"/>
      <c r="P662" s="594"/>
      <c r="Q662" s="594"/>
    </row>
    <row r="663">
      <c r="A663" s="67"/>
      <c r="B663" s="624"/>
      <c r="C663" s="575"/>
      <c r="D663" s="576"/>
      <c r="E663" s="576"/>
      <c r="F663" s="576"/>
      <c r="G663" s="577"/>
      <c r="H663" s="577"/>
      <c r="I663" s="594"/>
      <c r="J663" s="594"/>
      <c r="K663" s="594"/>
      <c r="L663" s="594"/>
      <c r="M663" s="594"/>
      <c r="N663" s="594"/>
      <c r="O663" s="594"/>
      <c r="P663" s="594"/>
      <c r="Q663" s="594"/>
    </row>
    <row r="664">
      <c r="A664" s="67"/>
      <c r="B664" s="624"/>
      <c r="C664" s="575"/>
      <c r="D664" s="576"/>
      <c r="E664" s="576"/>
      <c r="F664" s="576"/>
      <c r="G664" s="577"/>
      <c r="H664" s="577"/>
      <c r="I664" s="594"/>
      <c r="J664" s="594"/>
      <c r="K664" s="594"/>
      <c r="L664" s="594"/>
      <c r="M664" s="594"/>
      <c r="N664" s="594"/>
      <c r="O664" s="594"/>
      <c r="P664" s="594"/>
      <c r="Q664" s="594"/>
    </row>
    <row r="665">
      <c r="A665" s="67"/>
      <c r="B665" s="624"/>
      <c r="C665" s="575"/>
      <c r="D665" s="576"/>
      <c r="E665" s="576"/>
      <c r="F665" s="576"/>
      <c r="G665" s="577"/>
      <c r="H665" s="577"/>
      <c r="I665" s="594"/>
      <c r="J665" s="594"/>
      <c r="K665" s="594"/>
      <c r="L665" s="594"/>
      <c r="M665" s="594"/>
      <c r="N665" s="594"/>
      <c r="O665" s="594"/>
      <c r="P665" s="594"/>
      <c r="Q665" s="594"/>
    </row>
    <row r="666">
      <c r="A666" s="67"/>
      <c r="B666" s="624"/>
      <c r="C666" s="575"/>
      <c r="D666" s="576"/>
      <c r="E666" s="576"/>
      <c r="F666" s="576"/>
      <c r="G666" s="577"/>
      <c r="H666" s="577"/>
      <c r="I666" s="594"/>
      <c r="J666" s="594"/>
      <c r="K666" s="594"/>
      <c r="L666" s="594"/>
      <c r="M666" s="594"/>
      <c r="N666" s="594"/>
      <c r="O666" s="594"/>
      <c r="P666" s="594"/>
      <c r="Q666" s="594"/>
    </row>
    <row r="667">
      <c r="A667" s="67"/>
      <c r="B667" s="624"/>
      <c r="C667" s="575"/>
      <c r="D667" s="576"/>
      <c r="E667" s="576"/>
      <c r="F667" s="576"/>
      <c r="G667" s="577"/>
      <c r="H667" s="577"/>
      <c r="I667" s="594"/>
      <c r="J667" s="594"/>
      <c r="K667" s="594"/>
      <c r="L667" s="594"/>
      <c r="M667" s="594"/>
      <c r="N667" s="594"/>
      <c r="O667" s="594"/>
      <c r="P667" s="594"/>
      <c r="Q667" s="594"/>
    </row>
    <row r="668">
      <c r="A668" s="67"/>
      <c r="B668" s="624"/>
      <c r="C668" s="575"/>
      <c r="D668" s="576"/>
      <c r="E668" s="576"/>
      <c r="F668" s="576"/>
      <c r="G668" s="577"/>
      <c r="H668" s="577"/>
      <c r="I668" s="594"/>
      <c r="J668" s="594"/>
      <c r="K668" s="594"/>
      <c r="L668" s="594"/>
      <c r="M668" s="594"/>
      <c r="N668" s="594"/>
      <c r="O668" s="594"/>
      <c r="P668" s="594"/>
      <c r="Q668" s="594"/>
    </row>
    <row r="669">
      <c r="A669" s="67"/>
      <c r="B669" s="624"/>
      <c r="C669" s="575"/>
      <c r="D669" s="576"/>
      <c r="E669" s="576"/>
      <c r="F669" s="576"/>
      <c r="G669" s="577"/>
      <c r="H669" s="577"/>
      <c r="I669" s="594"/>
      <c r="J669" s="594"/>
      <c r="K669" s="594"/>
      <c r="L669" s="594"/>
      <c r="M669" s="594"/>
      <c r="N669" s="594"/>
      <c r="O669" s="594"/>
      <c r="P669" s="594"/>
      <c r="Q669" s="594"/>
    </row>
    <row r="670">
      <c r="A670" s="67"/>
      <c r="B670" s="624"/>
      <c r="C670" s="575"/>
      <c r="D670" s="576"/>
      <c r="E670" s="576"/>
      <c r="F670" s="576"/>
      <c r="G670" s="577"/>
      <c r="H670" s="577"/>
      <c r="I670" s="594"/>
      <c r="J670" s="594"/>
      <c r="K670" s="594"/>
      <c r="L670" s="594"/>
      <c r="M670" s="594"/>
      <c r="N670" s="594"/>
      <c r="O670" s="594"/>
      <c r="P670" s="594"/>
      <c r="Q670" s="594"/>
    </row>
    <row r="671">
      <c r="A671" s="67"/>
      <c r="B671" s="624"/>
      <c r="C671" s="575"/>
      <c r="D671" s="576"/>
      <c r="E671" s="576"/>
      <c r="F671" s="576"/>
      <c r="G671" s="577"/>
      <c r="H671" s="577"/>
      <c r="I671" s="594"/>
      <c r="J671" s="594"/>
      <c r="K671" s="594"/>
      <c r="L671" s="594"/>
      <c r="M671" s="594"/>
      <c r="N671" s="594"/>
      <c r="O671" s="594"/>
      <c r="P671" s="594"/>
      <c r="Q671" s="594"/>
    </row>
    <row r="672">
      <c r="A672" s="67"/>
      <c r="B672" s="624"/>
      <c r="C672" s="575"/>
      <c r="D672" s="576"/>
      <c r="E672" s="576"/>
      <c r="F672" s="576"/>
      <c r="G672" s="577"/>
      <c r="H672" s="577"/>
      <c r="I672" s="594"/>
      <c r="J672" s="594"/>
      <c r="K672" s="594"/>
      <c r="L672" s="594"/>
      <c r="M672" s="594"/>
      <c r="N672" s="594"/>
      <c r="O672" s="594"/>
      <c r="P672" s="594"/>
      <c r="Q672" s="594"/>
    </row>
    <row r="673">
      <c r="A673" s="67"/>
      <c r="B673" s="624"/>
      <c r="C673" s="575"/>
      <c r="D673" s="576"/>
      <c r="E673" s="576"/>
      <c r="F673" s="576"/>
      <c r="G673" s="577"/>
      <c r="H673" s="577"/>
      <c r="I673" s="594"/>
      <c r="J673" s="594"/>
      <c r="K673" s="594"/>
      <c r="L673" s="594"/>
      <c r="M673" s="594"/>
      <c r="N673" s="594"/>
      <c r="O673" s="594"/>
      <c r="P673" s="594"/>
      <c r="Q673" s="594"/>
    </row>
    <row r="674">
      <c r="A674" s="67"/>
      <c r="B674" s="624"/>
      <c r="C674" s="575"/>
      <c r="D674" s="576"/>
      <c r="E674" s="576"/>
      <c r="F674" s="576"/>
      <c r="G674" s="577"/>
      <c r="H674" s="577"/>
      <c r="I674" s="594"/>
      <c r="J674" s="594"/>
      <c r="K674" s="594"/>
      <c r="L674" s="594"/>
      <c r="M674" s="594"/>
      <c r="N674" s="594"/>
      <c r="O674" s="594"/>
      <c r="P674" s="594"/>
      <c r="Q674" s="594"/>
    </row>
    <row r="675">
      <c r="A675" s="67"/>
      <c r="B675" s="624"/>
      <c r="C675" s="575"/>
      <c r="D675" s="576"/>
      <c r="E675" s="576"/>
      <c r="F675" s="576"/>
      <c r="G675" s="577"/>
      <c r="H675" s="577"/>
      <c r="I675" s="594"/>
      <c r="J675" s="594"/>
      <c r="K675" s="594"/>
      <c r="L675" s="594"/>
      <c r="M675" s="594"/>
      <c r="N675" s="594"/>
      <c r="O675" s="594"/>
      <c r="P675" s="594"/>
      <c r="Q675" s="594"/>
    </row>
    <row r="676">
      <c r="A676" s="67"/>
      <c r="B676" s="624"/>
      <c r="C676" s="575"/>
      <c r="D676" s="576"/>
      <c r="E676" s="576"/>
      <c r="F676" s="576"/>
      <c r="G676" s="577"/>
      <c r="H676" s="577"/>
      <c r="I676" s="594"/>
      <c r="J676" s="594"/>
      <c r="K676" s="594"/>
      <c r="L676" s="594"/>
      <c r="M676" s="594"/>
      <c r="N676" s="594"/>
      <c r="O676" s="594"/>
      <c r="P676" s="594"/>
      <c r="Q676" s="594"/>
    </row>
    <row r="677">
      <c r="A677" s="67"/>
      <c r="B677" s="624"/>
      <c r="C677" s="575"/>
      <c r="D677" s="576"/>
      <c r="E677" s="576"/>
      <c r="F677" s="576"/>
      <c r="G677" s="577"/>
      <c r="H677" s="577"/>
      <c r="I677" s="594"/>
      <c r="J677" s="594"/>
      <c r="K677" s="594"/>
      <c r="L677" s="594"/>
      <c r="M677" s="594"/>
      <c r="N677" s="594"/>
      <c r="O677" s="594"/>
      <c r="P677" s="594"/>
      <c r="Q677" s="594"/>
    </row>
    <row r="678">
      <c r="A678" s="67"/>
      <c r="B678" s="624"/>
      <c r="C678" s="575"/>
      <c r="D678" s="576"/>
      <c r="E678" s="576"/>
      <c r="F678" s="576"/>
      <c r="G678" s="577"/>
      <c r="H678" s="577"/>
      <c r="I678" s="594"/>
      <c r="J678" s="594"/>
      <c r="K678" s="594"/>
      <c r="L678" s="594"/>
      <c r="M678" s="594"/>
      <c r="N678" s="594"/>
      <c r="O678" s="594"/>
      <c r="P678" s="594"/>
      <c r="Q678" s="594"/>
    </row>
    <row r="679">
      <c r="A679" s="67"/>
      <c r="B679" s="624"/>
      <c r="C679" s="575"/>
      <c r="D679" s="576"/>
      <c r="E679" s="576"/>
      <c r="F679" s="576"/>
      <c r="G679" s="577"/>
      <c r="H679" s="577"/>
      <c r="I679" s="594"/>
      <c r="J679" s="594"/>
      <c r="K679" s="594"/>
      <c r="L679" s="594"/>
      <c r="M679" s="594"/>
      <c r="N679" s="594"/>
      <c r="O679" s="594"/>
      <c r="P679" s="594"/>
      <c r="Q679" s="594"/>
    </row>
    <row r="680">
      <c r="A680" s="67"/>
      <c r="B680" s="624"/>
      <c r="C680" s="575"/>
      <c r="D680" s="576"/>
      <c r="E680" s="576"/>
      <c r="F680" s="576"/>
      <c r="G680" s="577"/>
      <c r="H680" s="577"/>
      <c r="I680" s="594"/>
      <c r="J680" s="594"/>
      <c r="K680" s="594"/>
      <c r="L680" s="594"/>
      <c r="M680" s="594"/>
      <c r="N680" s="594"/>
      <c r="O680" s="594"/>
      <c r="P680" s="594"/>
      <c r="Q680" s="594"/>
    </row>
    <row r="681">
      <c r="A681" s="67"/>
      <c r="B681" s="624"/>
      <c r="C681" s="575"/>
      <c r="D681" s="576"/>
      <c r="E681" s="576"/>
      <c r="F681" s="576"/>
      <c r="G681" s="577"/>
      <c r="H681" s="577"/>
      <c r="I681" s="594"/>
      <c r="J681" s="594"/>
      <c r="K681" s="594"/>
      <c r="L681" s="594"/>
      <c r="M681" s="594"/>
      <c r="N681" s="594"/>
      <c r="O681" s="594"/>
      <c r="P681" s="594"/>
      <c r="Q681" s="594"/>
    </row>
    <row r="682">
      <c r="A682" s="67"/>
      <c r="B682" s="624"/>
      <c r="C682" s="575"/>
      <c r="D682" s="576"/>
      <c r="E682" s="576"/>
      <c r="F682" s="576"/>
      <c r="G682" s="577"/>
      <c r="H682" s="577"/>
      <c r="I682" s="594"/>
      <c r="J682" s="594"/>
      <c r="K682" s="594"/>
      <c r="L682" s="594"/>
      <c r="M682" s="594"/>
      <c r="N682" s="594"/>
      <c r="O682" s="594"/>
      <c r="P682" s="594"/>
      <c r="Q682" s="594"/>
    </row>
    <row r="683">
      <c r="A683" s="67"/>
      <c r="B683" s="624"/>
      <c r="C683" s="575"/>
      <c r="D683" s="576"/>
      <c r="E683" s="576"/>
      <c r="F683" s="576"/>
      <c r="G683" s="577"/>
      <c r="H683" s="577"/>
      <c r="I683" s="594"/>
      <c r="J683" s="594"/>
      <c r="K683" s="594"/>
      <c r="L683" s="594"/>
      <c r="M683" s="594"/>
      <c r="N683" s="594"/>
      <c r="O683" s="594"/>
      <c r="P683" s="594"/>
      <c r="Q683" s="594"/>
    </row>
    <row r="684">
      <c r="A684" s="67"/>
      <c r="B684" s="624"/>
      <c r="C684" s="575"/>
      <c r="D684" s="576"/>
      <c r="E684" s="576"/>
      <c r="F684" s="576"/>
      <c r="G684" s="577"/>
      <c r="H684" s="577"/>
      <c r="I684" s="594"/>
      <c r="J684" s="594"/>
      <c r="K684" s="594"/>
      <c r="L684" s="594"/>
      <c r="M684" s="594"/>
      <c r="N684" s="594"/>
      <c r="O684" s="594"/>
      <c r="P684" s="594"/>
      <c r="Q684" s="594"/>
    </row>
    <row r="685">
      <c r="A685" s="67"/>
      <c r="B685" s="624"/>
      <c r="C685" s="575"/>
      <c r="D685" s="576"/>
      <c r="E685" s="576"/>
      <c r="F685" s="576"/>
      <c r="G685" s="577"/>
      <c r="H685" s="577"/>
      <c r="I685" s="594"/>
      <c r="J685" s="594"/>
      <c r="K685" s="594"/>
      <c r="L685" s="594"/>
      <c r="M685" s="594"/>
      <c r="N685" s="594"/>
      <c r="O685" s="594"/>
      <c r="P685" s="594"/>
      <c r="Q685" s="594"/>
    </row>
    <row r="686">
      <c r="A686" s="67"/>
      <c r="B686" s="624"/>
      <c r="C686" s="575"/>
      <c r="D686" s="576"/>
      <c r="E686" s="576"/>
      <c r="F686" s="576"/>
      <c r="G686" s="577"/>
      <c r="H686" s="577"/>
      <c r="I686" s="594"/>
      <c r="J686" s="594"/>
      <c r="K686" s="594"/>
      <c r="L686" s="594"/>
      <c r="M686" s="594"/>
      <c r="N686" s="594"/>
      <c r="O686" s="594"/>
      <c r="P686" s="594"/>
      <c r="Q686" s="594"/>
    </row>
    <row r="687">
      <c r="A687" s="67"/>
      <c r="B687" s="624"/>
      <c r="C687" s="575"/>
      <c r="D687" s="576"/>
      <c r="E687" s="576"/>
      <c r="F687" s="576"/>
      <c r="G687" s="577"/>
      <c r="H687" s="577"/>
      <c r="I687" s="594"/>
      <c r="J687" s="594"/>
      <c r="K687" s="594"/>
      <c r="L687" s="594"/>
      <c r="M687" s="594"/>
      <c r="N687" s="594"/>
      <c r="O687" s="594"/>
      <c r="P687" s="594"/>
      <c r="Q687" s="594"/>
    </row>
    <row r="688">
      <c r="A688" s="67"/>
      <c r="B688" s="624"/>
      <c r="C688" s="575"/>
      <c r="D688" s="576"/>
      <c r="E688" s="576"/>
      <c r="F688" s="576"/>
      <c r="G688" s="577"/>
      <c r="H688" s="577"/>
      <c r="I688" s="594"/>
      <c r="J688" s="594"/>
      <c r="K688" s="594"/>
      <c r="L688" s="594"/>
      <c r="M688" s="594"/>
      <c r="N688" s="594"/>
      <c r="O688" s="594"/>
      <c r="P688" s="594"/>
      <c r="Q688" s="594"/>
    </row>
    <row r="689">
      <c r="A689" s="67"/>
      <c r="B689" s="624"/>
      <c r="C689" s="575"/>
      <c r="D689" s="576"/>
      <c r="E689" s="576"/>
      <c r="F689" s="576"/>
      <c r="G689" s="577"/>
      <c r="H689" s="577"/>
      <c r="I689" s="594"/>
      <c r="J689" s="594"/>
      <c r="K689" s="594"/>
      <c r="L689" s="594"/>
      <c r="M689" s="594"/>
      <c r="N689" s="594"/>
      <c r="O689" s="594"/>
      <c r="P689" s="594"/>
      <c r="Q689" s="594"/>
    </row>
    <row r="690">
      <c r="A690" s="67"/>
      <c r="B690" s="624"/>
      <c r="C690" s="575"/>
      <c r="D690" s="576"/>
      <c r="E690" s="576"/>
      <c r="F690" s="576"/>
      <c r="G690" s="577"/>
      <c r="H690" s="577"/>
      <c r="I690" s="594"/>
      <c r="J690" s="594"/>
      <c r="K690" s="594"/>
      <c r="L690" s="594"/>
      <c r="M690" s="594"/>
      <c r="N690" s="594"/>
      <c r="O690" s="594"/>
      <c r="P690" s="594"/>
      <c r="Q690" s="594"/>
    </row>
    <row r="691">
      <c r="A691" s="67"/>
      <c r="B691" s="624"/>
      <c r="C691" s="575"/>
      <c r="D691" s="576"/>
      <c r="E691" s="576"/>
      <c r="F691" s="576"/>
      <c r="G691" s="577"/>
      <c r="H691" s="577"/>
      <c r="I691" s="594"/>
      <c r="J691" s="594"/>
      <c r="K691" s="594"/>
      <c r="L691" s="594"/>
      <c r="M691" s="594"/>
      <c r="N691" s="594"/>
      <c r="O691" s="594"/>
      <c r="P691" s="594"/>
      <c r="Q691" s="594"/>
    </row>
    <row r="692">
      <c r="A692" s="67"/>
      <c r="B692" s="624"/>
      <c r="C692" s="575"/>
      <c r="D692" s="576"/>
      <c r="E692" s="576"/>
      <c r="F692" s="576"/>
      <c r="G692" s="577"/>
      <c r="H692" s="577"/>
      <c r="I692" s="594"/>
      <c r="J692" s="594"/>
      <c r="K692" s="594"/>
      <c r="L692" s="594"/>
      <c r="M692" s="594"/>
      <c r="N692" s="594"/>
      <c r="O692" s="594"/>
      <c r="P692" s="594"/>
      <c r="Q692" s="594"/>
    </row>
    <row r="693">
      <c r="A693" s="67"/>
      <c r="B693" s="624"/>
      <c r="C693" s="575"/>
      <c r="D693" s="576"/>
      <c r="E693" s="576"/>
      <c r="F693" s="576"/>
      <c r="G693" s="577"/>
      <c r="H693" s="577"/>
      <c r="I693" s="594"/>
      <c r="J693" s="594"/>
      <c r="K693" s="594"/>
      <c r="L693" s="594"/>
      <c r="M693" s="594"/>
      <c r="N693" s="594"/>
      <c r="O693" s="594"/>
      <c r="P693" s="594"/>
      <c r="Q693" s="594"/>
    </row>
    <row r="694">
      <c r="A694" s="67"/>
      <c r="B694" s="624"/>
      <c r="C694" s="575"/>
      <c r="D694" s="576"/>
      <c r="E694" s="576"/>
      <c r="F694" s="576"/>
      <c r="G694" s="577"/>
      <c r="H694" s="577"/>
      <c r="I694" s="594"/>
      <c r="J694" s="594"/>
      <c r="K694" s="594"/>
      <c r="L694" s="594"/>
      <c r="M694" s="594"/>
      <c r="N694" s="594"/>
      <c r="O694" s="594"/>
      <c r="P694" s="594"/>
      <c r="Q694" s="594"/>
    </row>
    <row r="695">
      <c r="A695" s="67"/>
      <c r="B695" s="624"/>
      <c r="C695" s="575"/>
      <c r="D695" s="576"/>
      <c r="E695" s="576"/>
      <c r="F695" s="576"/>
      <c r="G695" s="577"/>
      <c r="H695" s="577"/>
      <c r="I695" s="594"/>
      <c r="J695" s="594"/>
      <c r="K695" s="594"/>
      <c r="L695" s="594"/>
      <c r="M695" s="594"/>
      <c r="N695" s="594"/>
      <c r="O695" s="594"/>
      <c r="P695" s="594"/>
      <c r="Q695" s="594"/>
    </row>
    <row r="696">
      <c r="A696" s="67"/>
      <c r="B696" s="624"/>
      <c r="C696" s="575"/>
      <c r="D696" s="576"/>
      <c r="E696" s="576"/>
      <c r="F696" s="576"/>
      <c r="G696" s="577"/>
      <c r="H696" s="577"/>
      <c r="I696" s="594"/>
      <c r="J696" s="594"/>
      <c r="K696" s="594"/>
      <c r="L696" s="594"/>
      <c r="M696" s="594"/>
      <c r="N696" s="594"/>
      <c r="O696" s="594"/>
      <c r="P696" s="594"/>
      <c r="Q696" s="594"/>
    </row>
    <row r="697">
      <c r="A697" s="67"/>
      <c r="B697" s="624"/>
      <c r="C697" s="575"/>
      <c r="D697" s="576"/>
      <c r="E697" s="576"/>
      <c r="F697" s="576"/>
      <c r="G697" s="577"/>
      <c r="H697" s="577"/>
      <c r="I697" s="594"/>
      <c r="J697" s="594"/>
      <c r="K697" s="594"/>
      <c r="L697" s="594"/>
      <c r="M697" s="594"/>
      <c r="N697" s="594"/>
      <c r="O697" s="594"/>
      <c r="P697" s="594"/>
      <c r="Q697" s="594"/>
    </row>
    <row r="698">
      <c r="A698" s="67"/>
      <c r="B698" s="624"/>
      <c r="C698" s="575"/>
      <c r="D698" s="576"/>
      <c r="E698" s="576"/>
      <c r="F698" s="576"/>
      <c r="G698" s="577"/>
      <c r="H698" s="577"/>
      <c r="I698" s="594"/>
      <c r="J698" s="594"/>
      <c r="K698" s="594"/>
      <c r="L698" s="594"/>
      <c r="M698" s="594"/>
      <c r="N698" s="594"/>
      <c r="O698" s="594"/>
      <c r="P698" s="594"/>
      <c r="Q698" s="594"/>
    </row>
    <row r="699">
      <c r="A699" s="67"/>
      <c r="B699" s="624"/>
      <c r="C699" s="575"/>
      <c r="D699" s="576"/>
      <c r="E699" s="576"/>
      <c r="F699" s="576"/>
      <c r="G699" s="577"/>
      <c r="H699" s="577"/>
      <c r="I699" s="594"/>
      <c r="J699" s="594"/>
      <c r="K699" s="594"/>
      <c r="L699" s="594"/>
      <c r="M699" s="594"/>
      <c r="N699" s="594"/>
      <c r="O699" s="594"/>
      <c r="P699" s="594"/>
      <c r="Q699" s="594"/>
    </row>
    <row r="700">
      <c r="A700" s="67"/>
      <c r="B700" s="624"/>
      <c r="C700" s="575"/>
      <c r="D700" s="576"/>
      <c r="E700" s="576"/>
      <c r="F700" s="576"/>
      <c r="G700" s="577"/>
      <c r="H700" s="577"/>
      <c r="I700" s="594"/>
      <c r="J700" s="594"/>
      <c r="K700" s="594"/>
      <c r="L700" s="594"/>
      <c r="M700" s="594"/>
      <c r="N700" s="594"/>
      <c r="O700" s="594"/>
      <c r="P700" s="594"/>
      <c r="Q700" s="594"/>
    </row>
    <row r="701">
      <c r="A701" s="67"/>
      <c r="B701" s="624"/>
      <c r="C701" s="575"/>
      <c r="D701" s="576"/>
      <c r="E701" s="576"/>
      <c r="F701" s="576"/>
      <c r="G701" s="577"/>
      <c r="H701" s="577"/>
      <c r="I701" s="594"/>
      <c r="J701" s="594"/>
      <c r="K701" s="594"/>
      <c r="L701" s="594"/>
      <c r="M701" s="594"/>
      <c r="N701" s="594"/>
      <c r="O701" s="594"/>
      <c r="P701" s="594"/>
      <c r="Q701" s="594"/>
    </row>
    <row r="702">
      <c r="A702" s="67"/>
      <c r="B702" s="624"/>
      <c r="C702" s="575"/>
      <c r="D702" s="576"/>
      <c r="E702" s="576"/>
      <c r="F702" s="576"/>
      <c r="G702" s="577"/>
      <c r="H702" s="577"/>
      <c r="I702" s="594"/>
      <c r="J702" s="594"/>
      <c r="K702" s="594"/>
      <c r="L702" s="594"/>
      <c r="M702" s="594"/>
      <c r="N702" s="594"/>
      <c r="O702" s="594"/>
      <c r="P702" s="594"/>
      <c r="Q702" s="594"/>
    </row>
    <row r="703">
      <c r="A703" s="67"/>
      <c r="B703" s="624"/>
      <c r="C703" s="575"/>
      <c r="D703" s="576"/>
      <c r="E703" s="576"/>
      <c r="F703" s="576"/>
      <c r="G703" s="577"/>
      <c r="H703" s="577"/>
      <c r="I703" s="594"/>
      <c r="J703" s="594"/>
      <c r="K703" s="594"/>
      <c r="L703" s="594"/>
      <c r="M703" s="594"/>
      <c r="N703" s="594"/>
      <c r="O703" s="594"/>
      <c r="P703" s="594"/>
      <c r="Q703" s="594"/>
    </row>
    <row r="704">
      <c r="A704" s="67"/>
      <c r="B704" s="624"/>
      <c r="C704" s="575"/>
      <c r="D704" s="576"/>
      <c r="E704" s="576"/>
      <c r="F704" s="576"/>
      <c r="G704" s="577"/>
      <c r="H704" s="577"/>
      <c r="I704" s="594"/>
      <c r="J704" s="594"/>
      <c r="K704" s="594"/>
      <c r="L704" s="594"/>
      <c r="M704" s="594"/>
      <c r="N704" s="594"/>
      <c r="O704" s="594"/>
      <c r="P704" s="594"/>
      <c r="Q704" s="594"/>
    </row>
    <row r="705">
      <c r="A705" s="67"/>
      <c r="B705" s="624"/>
      <c r="C705" s="575"/>
      <c r="D705" s="576"/>
      <c r="E705" s="576"/>
      <c r="F705" s="576"/>
      <c r="G705" s="577"/>
      <c r="H705" s="577"/>
      <c r="I705" s="594"/>
      <c r="J705" s="594"/>
      <c r="K705" s="594"/>
      <c r="L705" s="594"/>
      <c r="M705" s="594"/>
      <c r="N705" s="594"/>
      <c r="O705" s="594"/>
      <c r="P705" s="594"/>
      <c r="Q705" s="594"/>
    </row>
    <row r="706">
      <c r="A706" s="67"/>
      <c r="B706" s="624"/>
      <c r="C706" s="575"/>
      <c r="D706" s="576"/>
      <c r="E706" s="576"/>
      <c r="F706" s="576"/>
      <c r="G706" s="577"/>
      <c r="H706" s="577"/>
      <c r="I706" s="594"/>
      <c r="J706" s="594"/>
      <c r="K706" s="594"/>
      <c r="L706" s="594"/>
      <c r="M706" s="594"/>
      <c r="N706" s="594"/>
      <c r="O706" s="594"/>
      <c r="P706" s="594"/>
      <c r="Q706" s="594"/>
    </row>
  </sheetData>
  <mergeCells count="2">
    <mergeCell ref="B1:F4"/>
    <mergeCell ref="A6:D6"/>
  </mergeCells>
  <dataValidations>
    <dataValidation type="list" allowBlank="1" showErrorMessage="1" sqref="B9:B328">
      <formula1>Listas!$B$3:$B$9</formula1>
    </dataValidation>
  </dataValidations>
  <hyperlinks>
    <hyperlink r:id="rId1" ref="B5"/>
    <hyperlink r:id="rId2" ref="G9"/>
    <hyperlink r:id="rId3" ref="G10"/>
    <hyperlink r:id="rId4" ref="H10"/>
    <hyperlink r:id="rId5" ref="G11"/>
    <hyperlink r:id="rId6" ref="H11"/>
    <hyperlink r:id="rId7" ref="G12"/>
    <hyperlink r:id="rId8" ref="H12"/>
    <hyperlink r:id="rId9" ref="G13"/>
    <hyperlink r:id="rId10" ref="H13"/>
    <hyperlink r:id="rId11" ref="G14"/>
    <hyperlink r:id="rId12" ref="H14"/>
    <hyperlink r:id="rId13" ref="G15"/>
    <hyperlink r:id="rId14" ref="H15"/>
    <hyperlink r:id="rId15" ref="K15"/>
    <hyperlink r:id="rId16" ref="G16"/>
    <hyperlink r:id="rId17" ref="H16"/>
    <hyperlink r:id="rId18" ref="G17"/>
    <hyperlink r:id="rId19" ref="H17"/>
    <hyperlink r:id="rId20" ref="K17"/>
    <hyperlink r:id="rId21" ref="G18"/>
    <hyperlink r:id="rId22" ref="H18"/>
    <hyperlink r:id="rId23" ref="G19"/>
    <hyperlink r:id="rId24" ref="H19"/>
    <hyperlink r:id="rId25" ref="G20"/>
    <hyperlink r:id="rId26" ref="H20"/>
    <hyperlink r:id="rId27" ref="K20"/>
    <hyperlink r:id="rId28" ref="G21"/>
    <hyperlink r:id="rId29" ref="H21"/>
    <hyperlink r:id="rId30" ref="G22"/>
    <hyperlink r:id="rId31" ref="H22"/>
    <hyperlink r:id="rId32" ref="G23"/>
    <hyperlink r:id="rId33" ref="H23"/>
    <hyperlink r:id="rId34" ref="F24"/>
    <hyperlink r:id="rId35" ref="G24"/>
    <hyperlink r:id="rId36" ref="H24"/>
    <hyperlink r:id="rId37" ref="G25"/>
    <hyperlink r:id="rId38" ref="H25"/>
    <hyperlink r:id="rId39" ref="K25"/>
    <hyperlink r:id="rId40" ref="G26"/>
    <hyperlink r:id="rId41" ref="H26"/>
    <hyperlink r:id="rId42" ref="G27"/>
    <hyperlink r:id="rId43" ref="H27"/>
    <hyperlink r:id="rId44" ref="G28"/>
    <hyperlink r:id="rId45" ref="H28"/>
    <hyperlink r:id="rId46" ref="K28"/>
    <hyperlink r:id="rId47" ref="G29"/>
    <hyperlink r:id="rId48" ref="H29"/>
    <hyperlink r:id="rId49" ref="K29"/>
    <hyperlink r:id="rId50" ref="G30"/>
    <hyperlink r:id="rId51" ref="H30"/>
    <hyperlink r:id="rId52" ref="G31"/>
    <hyperlink r:id="rId53" ref="H31"/>
    <hyperlink r:id="rId54" ref="G32"/>
    <hyperlink r:id="rId55" ref="H32"/>
    <hyperlink r:id="rId56" ref="G33"/>
    <hyperlink r:id="rId57" ref="H33"/>
    <hyperlink r:id="rId58" ref="G34"/>
    <hyperlink r:id="rId59" ref="H34"/>
    <hyperlink r:id="rId60" ref="G35"/>
    <hyperlink r:id="rId61" ref="H35"/>
    <hyperlink r:id="rId62" ref="G36"/>
    <hyperlink r:id="rId63" ref="H36"/>
    <hyperlink r:id="rId64" ref="K36"/>
    <hyperlink r:id="rId65" ref="G37"/>
    <hyperlink r:id="rId66" ref="H37"/>
    <hyperlink r:id="rId67" ref="K37"/>
    <hyperlink r:id="rId68" ref="G38"/>
    <hyperlink r:id="rId69" ref="H38"/>
    <hyperlink r:id="rId70" ref="G39"/>
    <hyperlink r:id="rId71" ref="H39"/>
    <hyperlink r:id="rId72" ref="G40"/>
    <hyperlink r:id="rId73" ref="H40"/>
    <hyperlink r:id="rId74" ref="G41"/>
    <hyperlink r:id="rId75" ref="H41"/>
    <hyperlink r:id="rId76" ref="G42"/>
    <hyperlink r:id="rId77" ref="H42"/>
    <hyperlink r:id="rId78" ref="G43"/>
    <hyperlink r:id="rId79" ref="H43"/>
    <hyperlink r:id="rId80" ref="G44"/>
    <hyperlink r:id="rId81" ref="H44"/>
    <hyperlink r:id="rId82" ref="G45"/>
    <hyperlink r:id="rId83" ref="H45"/>
    <hyperlink r:id="rId84" ref="K45"/>
    <hyperlink r:id="rId85" ref="G46"/>
    <hyperlink r:id="rId86" ref="H46"/>
    <hyperlink r:id="rId87" ref="G47"/>
    <hyperlink r:id="rId88" ref="H47"/>
    <hyperlink r:id="rId89" ref="G48"/>
    <hyperlink r:id="rId90" ref="H48"/>
    <hyperlink r:id="rId91" ref="G49"/>
    <hyperlink r:id="rId92" ref="H49"/>
    <hyperlink r:id="rId93" ref="G50"/>
    <hyperlink r:id="rId94" ref="H50"/>
    <hyperlink r:id="rId95" ref="G51"/>
    <hyperlink r:id="rId96" ref="H51"/>
    <hyperlink r:id="rId97" ref="G52"/>
    <hyperlink r:id="rId98" ref="H52"/>
    <hyperlink r:id="rId99" ref="G53"/>
    <hyperlink r:id="rId100" ref="H53"/>
    <hyperlink r:id="rId101" ref="G54"/>
    <hyperlink r:id="rId102" ref="H54"/>
    <hyperlink r:id="rId103" ref="G55"/>
    <hyperlink r:id="rId104" ref="H55"/>
    <hyperlink r:id="rId105" ref="G56"/>
    <hyperlink r:id="rId106" ref="H56"/>
    <hyperlink r:id="rId107" ref="G57"/>
    <hyperlink r:id="rId108" ref="H57"/>
    <hyperlink r:id="rId109" ref="K57"/>
    <hyperlink r:id="rId110" ref="G58"/>
    <hyperlink r:id="rId111" ref="H58"/>
    <hyperlink r:id="rId112" ref="G59"/>
    <hyperlink r:id="rId113" ref="H59"/>
    <hyperlink r:id="rId114" ref="G60"/>
    <hyperlink r:id="rId115" ref="H60"/>
    <hyperlink r:id="rId116" ref="G61"/>
    <hyperlink r:id="rId117" ref="H61"/>
    <hyperlink r:id="rId118" ref="G62"/>
    <hyperlink r:id="rId119" ref="H62"/>
    <hyperlink r:id="rId120" ref="G63"/>
    <hyperlink r:id="rId121" ref="H63"/>
    <hyperlink r:id="rId122" ref="G64"/>
    <hyperlink r:id="rId123" ref="G65"/>
    <hyperlink r:id="rId124" ref="H65"/>
    <hyperlink r:id="rId125" ref="G66"/>
    <hyperlink r:id="rId126" ref="H66"/>
    <hyperlink r:id="rId127" ref="G67"/>
    <hyperlink r:id="rId128" ref="H67"/>
    <hyperlink r:id="rId129" ref="G68"/>
    <hyperlink r:id="rId130" ref="H68"/>
    <hyperlink r:id="rId131" ref="G69"/>
    <hyperlink r:id="rId132" ref="H69"/>
    <hyperlink r:id="rId133" ref="G70"/>
    <hyperlink r:id="rId134" ref="H70"/>
    <hyperlink r:id="rId135" ref="G71"/>
    <hyperlink r:id="rId136" ref="H71"/>
    <hyperlink r:id="rId137" ref="K71"/>
    <hyperlink r:id="rId138" ref="G72"/>
    <hyperlink r:id="rId139" ref="H72"/>
    <hyperlink r:id="rId140" ref="K72"/>
    <hyperlink r:id="rId141" ref="G73"/>
    <hyperlink r:id="rId142" ref="H73"/>
    <hyperlink r:id="rId143" ref="G74"/>
    <hyperlink r:id="rId144" ref="H74"/>
    <hyperlink r:id="rId145" ref="G75"/>
    <hyperlink r:id="rId146" ref="H75"/>
    <hyperlink r:id="rId147" ref="K75"/>
    <hyperlink r:id="rId148" ref="G76"/>
    <hyperlink r:id="rId149" ref="H76"/>
    <hyperlink r:id="rId150" ref="G77"/>
    <hyperlink r:id="rId151" ref="H77"/>
    <hyperlink r:id="rId152" ref="G78"/>
    <hyperlink r:id="rId153" ref="H78"/>
    <hyperlink r:id="rId154" ref="K78"/>
    <hyperlink r:id="rId155" ref="G79"/>
    <hyperlink r:id="rId156" ref="H79"/>
    <hyperlink r:id="rId157" ref="G80"/>
    <hyperlink r:id="rId158" ref="H80"/>
    <hyperlink r:id="rId159" ref="G81"/>
    <hyperlink r:id="rId160" ref="H81"/>
    <hyperlink r:id="rId161" ref="G82"/>
    <hyperlink r:id="rId162" ref="H82"/>
    <hyperlink r:id="rId163" ref="K82"/>
    <hyperlink r:id="rId164" ref="G83"/>
    <hyperlink r:id="rId165" ref="H83"/>
    <hyperlink r:id="rId166" ref="G84"/>
    <hyperlink r:id="rId167" ref="H84"/>
    <hyperlink r:id="rId168" ref="K84"/>
    <hyperlink r:id="rId169" ref="G85"/>
    <hyperlink r:id="rId170" ref="H85"/>
    <hyperlink r:id="rId171" ref="G86"/>
    <hyperlink r:id="rId172" ref="H86"/>
    <hyperlink r:id="rId173" ref="G87"/>
    <hyperlink r:id="rId174" ref="H87"/>
    <hyperlink r:id="rId175" ref="K87"/>
    <hyperlink r:id="rId176" ref="G88"/>
    <hyperlink r:id="rId177" ref="H88"/>
    <hyperlink r:id="rId178" ref="G89"/>
    <hyperlink r:id="rId179" ref="H89"/>
    <hyperlink r:id="rId180" ref="G90"/>
    <hyperlink r:id="rId181" ref="H90"/>
    <hyperlink r:id="rId182" ref="G91"/>
    <hyperlink r:id="rId183" ref="H91"/>
    <hyperlink r:id="rId184" ref="G92"/>
    <hyperlink r:id="rId185" ref="H92"/>
    <hyperlink r:id="rId186" ref="G93"/>
    <hyperlink r:id="rId187" ref="H93"/>
    <hyperlink r:id="rId188" ref="G94"/>
    <hyperlink r:id="rId189" ref="H94"/>
    <hyperlink r:id="rId190" ref="G95"/>
    <hyperlink r:id="rId191" ref="H95"/>
    <hyperlink r:id="rId192" ref="G96"/>
    <hyperlink r:id="rId193" ref="H96"/>
    <hyperlink r:id="rId194" ref="G97"/>
    <hyperlink r:id="rId195" ref="H97"/>
    <hyperlink r:id="rId196" ref="G98"/>
    <hyperlink r:id="rId197" ref="H98"/>
    <hyperlink r:id="rId198" ref="G99"/>
    <hyperlink r:id="rId199" ref="H99"/>
    <hyperlink r:id="rId200" ref="G100"/>
    <hyperlink r:id="rId201" ref="H100"/>
    <hyperlink r:id="rId202" ref="G101"/>
    <hyperlink r:id="rId203" ref="H101"/>
    <hyperlink r:id="rId204" ref="G102"/>
    <hyperlink r:id="rId205" ref="H102"/>
    <hyperlink r:id="rId206" ref="G103"/>
    <hyperlink r:id="rId207" ref="H103"/>
    <hyperlink r:id="rId208" ref="G104"/>
    <hyperlink r:id="rId209" ref="H104"/>
    <hyperlink r:id="rId210" ref="G105"/>
    <hyperlink r:id="rId211" ref="H105"/>
    <hyperlink r:id="rId212" ref="K105"/>
    <hyperlink r:id="rId213" ref="G106"/>
    <hyperlink r:id="rId214" ref="H106"/>
    <hyperlink r:id="rId215" ref="G107"/>
    <hyperlink r:id="rId216" ref="H107"/>
    <hyperlink r:id="rId217" ref="G108"/>
    <hyperlink r:id="rId218" ref="H108"/>
    <hyperlink r:id="rId219" ref="G109"/>
    <hyperlink r:id="rId220" ref="H109"/>
    <hyperlink r:id="rId221" ref="G110"/>
    <hyperlink r:id="rId222" ref="H110"/>
    <hyperlink r:id="rId223" ref="G111"/>
    <hyperlink r:id="rId224" ref="H111"/>
    <hyperlink r:id="rId225" ref="G112"/>
    <hyperlink r:id="rId226" ref="H112"/>
    <hyperlink r:id="rId227" ref="K112"/>
    <hyperlink r:id="rId228" ref="G113"/>
    <hyperlink r:id="rId229" ref="H113"/>
    <hyperlink r:id="rId230" ref="G114"/>
    <hyperlink r:id="rId231" ref="H114"/>
    <hyperlink r:id="rId232" ref="G115"/>
    <hyperlink r:id="rId233" ref="H115"/>
    <hyperlink r:id="rId234" ref="K115"/>
    <hyperlink r:id="rId235" ref="G116"/>
    <hyperlink r:id="rId236" ref="H116"/>
    <hyperlink r:id="rId237" ref="G117"/>
    <hyperlink r:id="rId238" ref="H117"/>
    <hyperlink r:id="rId239" ref="K117"/>
    <hyperlink r:id="rId240" ref="G118"/>
    <hyperlink r:id="rId241" ref="H118"/>
    <hyperlink r:id="rId242" ref="K118"/>
    <hyperlink r:id="rId243" ref="G119"/>
    <hyperlink r:id="rId244" ref="H119"/>
    <hyperlink r:id="rId245" ref="G120"/>
    <hyperlink r:id="rId246" ref="H120"/>
    <hyperlink r:id="rId247" ref="G121"/>
    <hyperlink r:id="rId248" ref="H121"/>
    <hyperlink r:id="rId249" ref="K121"/>
    <hyperlink r:id="rId250" ref="G122"/>
    <hyperlink r:id="rId251" ref="H122"/>
    <hyperlink r:id="rId252" ref="G123"/>
    <hyperlink r:id="rId253" ref="H123"/>
    <hyperlink r:id="rId254" ref="G124"/>
    <hyperlink r:id="rId255" ref="H124"/>
    <hyperlink r:id="rId256" ref="K124"/>
    <hyperlink r:id="rId257" ref="G125"/>
    <hyperlink r:id="rId258" ref="H125"/>
    <hyperlink r:id="rId259" ref="G126"/>
    <hyperlink r:id="rId260" ref="H126"/>
    <hyperlink r:id="rId261" ref="G127"/>
    <hyperlink r:id="rId262" ref="H127"/>
    <hyperlink r:id="rId263" ref="G128"/>
    <hyperlink r:id="rId264" ref="H128"/>
    <hyperlink r:id="rId265" ref="G129"/>
    <hyperlink r:id="rId266" ref="H129"/>
    <hyperlink r:id="rId267" ref="G130"/>
    <hyperlink r:id="rId268" ref="H130"/>
    <hyperlink r:id="rId269" ref="G131"/>
    <hyperlink r:id="rId270" ref="H131"/>
    <hyperlink r:id="rId271" ref="G132"/>
    <hyperlink r:id="rId272" ref="H132"/>
    <hyperlink r:id="rId273" ref="G133"/>
    <hyperlink r:id="rId274" ref="H133"/>
    <hyperlink r:id="rId275" ref="G134"/>
    <hyperlink r:id="rId276" ref="H134"/>
    <hyperlink r:id="rId277" ref="G135"/>
    <hyperlink r:id="rId278" ref="H135"/>
    <hyperlink r:id="rId279" ref="G136"/>
    <hyperlink r:id="rId280" ref="H136"/>
    <hyperlink r:id="rId281" ref="K136"/>
    <hyperlink r:id="rId282" ref="G137"/>
    <hyperlink r:id="rId283" ref="H137"/>
    <hyperlink r:id="rId284" ref="G138"/>
    <hyperlink r:id="rId285" ref="H138"/>
    <hyperlink r:id="rId286" ref="G139"/>
    <hyperlink r:id="rId287" ref="H139"/>
    <hyperlink r:id="rId288" ref="G140"/>
    <hyperlink r:id="rId289" ref="H140"/>
    <hyperlink r:id="rId290" ref="G141"/>
    <hyperlink r:id="rId291" ref="H141"/>
    <hyperlink r:id="rId292" ref="G142"/>
    <hyperlink r:id="rId293" ref="H142"/>
    <hyperlink r:id="rId294" ref="K142"/>
    <hyperlink r:id="rId295" ref="G143"/>
    <hyperlink r:id="rId296" ref="H143"/>
    <hyperlink r:id="rId297" ref="G144"/>
    <hyperlink r:id="rId298" ref="H144"/>
    <hyperlink r:id="rId299" ref="G145"/>
    <hyperlink r:id="rId300" ref="H145"/>
    <hyperlink r:id="rId301" ref="G146"/>
    <hyperlink r:id="rId302" ref="H146"/>
    <hyperlink r:id="rId303" ref="G147"/>
    <hyperlink r:id="rId304" ref="H147"/>
    <hyperlink r:id="rId305" ref="G148"/>
    <hyperlink r:id="rId306" ref="H148"/>
    <hyperlink r:id="rId307" ref="G149"/>
    <hyperlink r:id="rId308" ref="H149"/>
    <hyperlink r:id="rId309" ref="G150"/>
    <hyperlink r:id="rId310" ref="H150"/>
    <hyperlink r:id="rId311" ref="G151"/>
    <hyperlink r:id="rId312" ref="H151"/>
    <hyperlink r:id="rId313" ref="K151"/>
    <hyperlink r:id="rId314" ref="G152"/>
    <hyperlink r:id="rId315" ref="H152"/>
    <hyperlink r:id="rId316" ref="G153"/>
    <hyperlink r:id="rId317" ref="H153"/>
    <hyperlink r:id="rId318" ref="G154"/>
    <hyperlink r:id="rId319" ref="H154"/>
    <hyperlink r:id="rId320" ref="K154"/>
    <hyperlink r:id="rId321" ref="G155"/>
    <hyperlink r:id="rId322" ref="H155"/>
    <hyperlink r:id="rId323" ref="G156"/>
    <hyperlink r:id="rId324" ref="H156"/>
    <hyperlink r:id="rId325" ref="K156"/>
    <hyperlink r:id="rId326" ref="G157"/>
    <hyperlink r:id="rId327" ref="H157"/>
    <hyperlink r:id="rId328" ref="K157"/>
    <hyperlink r:id="rId329" ref="G158"/>
    <hyperlink r:id="rId330" ref="H158"/>
    <hyperlink r:id="rId331" ref="K158"/>
    <hyperlink r:id="rId332" ref="G159"/>
    <hyperlink r:id="rId333" ref="H159"/>
    <hyperlink r:id="rId334" ref="K159"/>
    <hyperlink r:id="rId335" ref="G160"/>
    <hyperlink r:id="rId336" ref="H160"/>
    <hyperlink r:id="rId337" ref="G161"/>
    <hyperlink r:id="rId338" ref="H161"/>
    <hyperlink r:id="rId339" ref="G162"/>
    <hyperlink r:id="rId340" ref="H162"/>
    <hyperlink r:id="rId341" ref="G163"/>
    <hyperlink r:id="rId342" ref="H163"/>
    <hyperlink r:id="rId343" ref="G164"/>
    <hyperlink r:id="rId344" ref="H164"/>
    <hyperlink r:id="rId345" ref="K164"/>
    <hyperlink r:id="rId346" ref="G165"/>
    <hyperlink r:id="rId347" ref="H165"/>
    <hyperlink r:id="rId348" ref="G166"/>
    <hyperlink r:id="rId349" ref="H166"/>
    <hyperlink r:id="rId350" ref="G167"/>
    <hyperlink r:id="rId351" ref="H167"/>
    <hyperlink r:id="rId352" ref="G168"/>
    <hyperlink r:id="rId353" ref="H168"/>
    <hyperlink r:id="rId354" ref="G169"/>
    <hyperlink r:id="rId355" ref="H169"/>
    <hyperlink r:id="rId356" ref="G170"/>
    <hyperlink r:id="rId357" ref="H170"/>
    <hyperlink r:id="rId358" ref="K170"/>
    <hyperlink r:id="rId359" ref="G171"/>
    <hyperlink r:id="rId360" ref="H171"/>
    <hyperlink r:id="rId361" ref="K171"/>
    <hyperlink r:id="rId362" ref="G172"/>
    <hyperlink r:id="rId363" ref="H172"/>
    <hyperlink r:id="rId364" ref="K172"/>
    <hyperlink r:id="rId365" ref="G173"/>
    <hyperlink r:id="rId366" ref="H173"/>
    <hyperlink r:id="rId367" ref="G174"/>
    <hyperlink r:id="rId368" ref="H174"/>
    <hyperlink r:id="rId369" ref="K174"/>
    <hyperlink r:id="rId370" ref="G175"/>
    <hyperlink r:id="rId371" ref="H175"/>
    <hyperlink r:id="rId372" ref="K175"/>
    <hyperlink r:id="rId373" ref="G176"/>
    <hyperlink r:id="rId374" ref="H176"/>
    <hyperlink r:id="rId375" ref="K176"/>
    <hyperlink r:id="rId376" ref="G177"/>
    <hyperlink r:id="rId377" ref="H177"/>
    <hyperlink r:id="rId378" ref="K177"/>
    <hyperlink r:id="rId379" ref="G178"/>
    <hyperlink r:id="rId380" ref="H178"/>
    <hyperlink r:id="rId381" ref="K178"/>
    <hyperlink r:id="rId382" ref="G179"/>
    <hyperlink r:id="rId383" ref="H179"/>
    <hyperlink r:id="rId384" ref="G180"/>
    <hyperlink r:id="rId385" ref="H180"/>
    <hyperlink r:id="rId386" ref="K180"/>
    <hyperlink r:id="rId387" ref="G181"/>
    <hyperlink r:id="rId388" ref="H181"/>
    <hyperlink r:id="rId389" ref="G182"/>
    <hyperlink r:id="rId390" ref="H182"/>
    <hyperlink r:id="rId391" ref="G183"/>
    <hyperlink r:id="rId392" ref="H183"/>
    <hyperlink r:id="rId393" ref="G184"/>
    <hyperlink r:id="rId394" ref="H184"/>
    <hyperlink r:id="rId395" ref="G185"/>
    <hyperlink r:id="rId396" ref="H185"/>
    <hyperlink r:id="rId397" ref="K185"/>
    <hyperlink r:id="rId398" ref="G186"/>
    <hyperlink r:id="rId399" ref="H186"/>
    <hyperlink r:id="rId400" ref="K186"/>
    <hyperlink r:id="rId401" ref="G187"/>
    <hyperlink r:id="rId402" ref="H187"/>
    <hyperlink r:id="rId403" ref="G188"/>
    <hyperlink r:id="rId404" ref="H188"/>
    <hyperlink r:id="rId405" ref="G189"/>
    <hyperlink r:id="rId406" ref="H189"/>
    <hyperlink r:id="rId407" ref="K189"/>
    <hyperlink r:id="rId408" ref="G190"/>
    <hyperlink r:id="rId409" ref="H190"/>
    <hyperlink r:id="rId410" ref="G191"/>
    <hyperlink r:id="rId411" ref="H191"/>
    <hyperlink r:id="rId412" ref="G192"/>
    <hyperlink r:id="rId413" ref="H192"/>
    <hyperlink r:id="rId414" ref="G193"/>
    <hyperlink r:id="rId415" ref="H193"/>
    <hyperlink r:id="rId416" ref="G194"/>
    <hyperlink r:id="rId417" ref="H194"/>
    <hyperlink r:id="rId418" ref="G195"/>
    <hyperlink r:id="rId419" ref="H195"/>
    <hyperlink r:id="rId420" ref="G196"/>
    <hyperlink r:id="rId421" ref="H196"/>
    <hyperlink r:id="rId422" ref="G197"/>
    <hyperlink r:id="rId423" ref="H197"/>
    <hyperlink r:id="rId424" ref="K197"/>
    <hyperlink r:id="rId425" ref="F198"/>
    <hyperlink r:id="rId426" ref="G198"/>
    <hyperlink r:id="rId427" ref="H198"/>
    <hyperlink r:id="rId428" ref="G199"/>
    <hyperlink r:id="rId429" ref="H199"/>
    <hyperlink r:id="rId430" ref="G200"/>
    <hyperlink r:id="rId431" ref="H200"/>
    <hyperlink r:id="rId432" ref="K200"/>
    <hyperlink r:id="rId433" ref="G201"/>
    <hyperlink r:id="rId434" ref="H201"/>
    <hyperlink r:id="rId435" ref="G202"/>
    <hyperlink r:id="rId436" ref="H202"/>
    <hyperlink r:id="rId437" ref="G203"/>
    <hyperlink r:id="rId438" ref="H203"/>
    <hyperlink r:id="rId439" ref="G204"/>
    <hyperlink r:id="rId440" ref="H204"/>
    <hyperlink r:id="rId441" ref="G205"/>
    <hyperlink r:id="rId442" ref="H205"/>
    <hyperlink r:id="rId443" ref="K205"/>
    <hyperlink r:id="rId444" ref="G206"/>
    <hyperlink r:id="rId445" ref="H206"/>
    <hyperlink r:id="rId446" ref="K206"/>
    <hyperlink r:id="rId447" ref="G207"/>
    <hyperlink r:id="rId448" ref="H207"/>
    <hyperlink r:id="rId449" ref="G208"/>
    <hyperlink r:id="rId450" ref="H208"/>
    <hyperlink r:id="rId451" ref="G209"/>
    <hyperlink r:id="rId452" ref="H209"/>
    <hyperlink r:id="rId453" ref="K209"/>
    <hyperlink r:id="rId454" ref="G210"/>
    <hyperlink r:id="rId455" ref="H210"/>
    <hyperlink r:id="rId456" ref="G211"/>
    <hyperlink r:id="rId457" ref="H211"/>
    <hyperlink r:id="rId458" ref="G212"/>
    <hyperlink r:id="rId459" ref="H212"/>
    <hyperlink r:id="rId460" ref="K212"/>
    <hyperlink r:id="rId461" ref="G213"/>
    <hyperlink r:id="rId462" ref="H213"/>
    <hyperlink r:id="rId463" ref="K213"/>
    <hyperlink r:id="rId464" ref="G214"/>
    <hyperlink r:id="rId465" ref="H214"/>
    <hyperlink r:id="rId466" ref="K214"/>
    <hyperlink r:id="rId467" ref="G215"/>
    <hyperlink r:id="rId468" ref="H215"/>
    <hyperlink r:id="rId469" ref="K215"/>
    <hyperlink r:id="rId470" ref="G216"/>
    <hyperlink r:id="rId471" ref="H216"/>
    <hyperlink r:id="rId472" ref="K216"/>
    <hyperlink r:id="rId473" ref="G217"/>
    <hyperlink r:id="rId474" ref="H217"/>
    <hyperlink r:id="rId475" ref="K217"/>
    <hyperlink r:id="rId476" ref="G218"/>
    <hyperlink r:id="rId477" ref="H218"/>
    <hyperlink r:id="rId478" ref="K218"/>
    <hyperlink r:id="rId479" ref="G219"/>
    <hyperlink r:id="rId480" ref="H219"/>
    <hyperlink r:id="rId481" ref="K219"/>
    <hyperlink r:id="rId482" ref="G220"/>
    <hyperlink r:id="rId483" ref="H220"/>
    <hyperlink r:id="rId484" ref="K220"/>
    <hyperlink r:id="rId485" ref="G221"/>
    <hyperlink r:id="rId486" ref="H221"/>
    <hyperlink r:id="rId487" ref="K221"/>
    <hyperlink r:id="rId488" ref="F222"/>
    <hyperlink r:id="rId489" ref="G222"/>
    <hyperlink r:id="rId490" ref="H222"/>
    <hyperlink r:id="rId491" ref="K222"/>
    <hyperlink r:id="rId492" ref="G223"/>
    <hyperlink r:id="rId493" ref="H223"/>
    <hyperlink r:id="rId494" ref="K223"/>
    <hyperlink r:id="rId495" ref="G224"/>
    <hyperlink r:id="rId496" ref="H224"/>
    <hyperlink r:id="rId497" ref="K224"/>
    <hyperlink r:id="rId498" ref="G225"/>
    <hyperlink r:id="rId499" ref="H225"/>
    <hyperlink r:id="rId500" ref="K225"/>
    <hyperlink r:id="rId501" ref="G226"/>
    <hyperlink r:id="rId502" ref="H226"/>
    <hyperlink r:id="rId503" ref="K226"/>
    <hyperlink r:id="rId504" ref="G227"/>
    <hyperlink r:id="rId505" ref="H227"/>
    <hyperlink r:id="rId506" ref="G228"/>
    <hyperlink r:id="rId507" ref="H228"/>
    <hyperlink r:id="rId508" ref="K228"/>
    <hyperlink r:id="rId509" ref="G229"/>
    <hyperlink r:id="rId510" ref="H229"/>
    <hyperlink r:id="rId511" ref="K229"/>
    <hyperlink r:id="rId512" ref="G230"/>
    <hyperlink r:id="rId513" ref="H230"/>
    <hyperlink r:id="rId514" ref="G231"/>
    <hyperlink r:id="rId515" ref="H231"/>
    <hyperlink r:id="rId516" ref="K231"/>
    <hyperlink r:id="rId517" ref="G232"/>
    <hyperlink r:id="rId518" ref="H232"/>
    <hyperlink r:id="rId519" ref="K232"/>
    <hyperlink r:id="rId520" ref="G233"/>
    <hyperlink r:id="rId521" ref="H233"/>
    <hyperlink r:id="rId522" ref="K233"/>
    <hyperlink r:id="rId523" ref="G234"/>
    <hyperlink r:id="rId524" ref="H234"/>
    <hyperlink r:id="rId525" ref="K234"/>
    <hyperlink r:id="rId526" ref="G235"/>
    <hyperlink r:id="rId527" ref="K235"/>
    <hyperlink r:id="rId528" ref="G236"/>
    <hyperlink r:id="rId529" ref="H236"/>
    <hyperlink r:id="rId530" ref="K236"/>
    <hyperlink r:id="rId531" ref="G237"/>
    <hyperlink r:id="rId532" ref="K237"/>
    <hyperlink r:id="rId533" ref="G238"/>
    <hyperlink r:id="rId534" ref="K238"/>
    <hyperlink r:id="rId535" ref="G239"/>
    <hyperlink r:id="rId536" ref="K239"/>
    <hyperlink r:id="rId537" ref="G240"/>
    <hyperlink r:id="rId538" ref="K240"/>
    <hyperlink r:id="rId539" ref="G241"/>
    <hyperlink r:id="rId540" ref="K241"/>
    <hyperlink r:id="rId541" ref="G242"/>
    <hyperlink r:id="rId542" ref="K242"/>
    <hyperlink r:id="rId543" ref="G243"/>
    <hyperlink r:id="rId544" ref="K243"/>
    <hyperlink r:id="rId545" ref="G244"/>
    <hyperlink r:id="rId546" ref="K244"/>
    <hyperlink r:id="rId547" ref="G245"/>
    <hyperlink r:id="rId548" ref="K245"/>
    <hyperlink r:id="rId549" ref="G246"/>
    <hyperlink r:id="rId550" ref="K246"/>
    <hyperlink r:id="rId551" ref="F247"/>
    <hyperlink r:id="rId552" ref="G247"/>
    <hyperlink r:id="rId553" ref="G248"/>
    <hyperlink r:id="rId554" ref="K248"/>
    <hyperlink r:id="rId555" ref="G249"/>
    <hyperlink r:id="rId556" ref="K249"/>
    <hyperlink r:id="rId557" ref="G250"/>
    <hyperlink r:id="rId558" ref="K250"/>
    <hyperlink r:id="rId559" ref="G251"/>
    <hyperlink r:id="rId560" ref="H251"/>
    <hyperlink r:id="rId561" ref="K251"/>
  </hyperlinks>
  <drawing r:id="rId562"/>
  <tableParts count="16">
    <tablePart r:id="rId579"/>
    <tablePart r:id="rId580"/>
    <tablePart r:id="rId581"/>
    <tablePart r:id="rId582"/>
    <tablePart r:id="rId583"/>
    <tablePart r:id="rId584"/>
    <tablePart r:id="rId585"/>
    <tablePart r:id="rId586"/>
    <tablePart r:id="rId587"/>
    <tablePart r:id="rId588"/>
    <tablePart r:id="rId589"/>
    <tablePart r:id="rId590"/>
    <tablePart r:id="rId591"/>
    <tablePart r:id="rId592"/>
    <tablePart r:id="rId593"/>
    <tablePart r:id="rId59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8.0" topLeftCell="A9" activePane="bottomLeft" state="frozen"/>
      <selection activeCell="B10" sqref="B10" pane="bottomLeft"/>
    </sheetView>
  </sheetViews>
  <sheetFormatPr customHeight="1" defaultColWidth="14.43" defaultRowHeight="15.75" outlineLevelCol="1"/>
  <cols>
    <col customWidth="1" min="1" max="1" width="2.29"/>
    <col customWidth="1" min="2" max="2" width="29.86"/>
    <col customWidth="1" min="3" max="3" width="78.86"/>
    <col customWidth="1" min="4" max="4" width="29.14"/>
    <col customWidth="1" min="5" max="5" width="49.86"/>
    <col customWidth="1" min="6" max="6" width="30.71"/>
    <col customWidth="1" min="7" max="7" width="93.57"/>
    <col customWidth="1" min="8" max="8" width="29.0"/>
    <col customWidth="1" min="9" max="9" width="36.57"/>
    <col customWidth="1" min="10" max="15" width="33.14"/>
  </cols>
  <sheetData>
    <row r="1">
      <c r="A1" s="8"/>
      <c r="B1" s="9" t="s">
        <v>1208</v>
      </c>
      <c r="C1" s="10"/>
      <c r="D1" s="10"/>
      <c r="E1" s="10"/>
      <c r="F1" s="11"/>
      <c r="G1" s="15"/>
      <c r="H1" s="15"/>
      <c r="I1" s="15"/>
      <c r="J1" s="18"/>
      <c r="K1" s="18"/>
      <c r="L1" s="226"/>
      <c r="M1" s="226"/>
      <c r="N1" s="226"/>
      <c r="O1" s="226"/>
    </row>
    <row r="2">
      <c r="A2" s="21"/>
      <c r="B2" s="22"/>
      <c r="F2" s="24"/>
      <c r="G2" s="15"/>
      <c r="H2" s="15"/>
      <c r="I2" s="15"/>
      <c r="J2" s="18"/>
      <c r="K2" s="18"/>
      <c r="L2" s="226"/>
      <c r="M2" s="226"/>
      <c r="N2" s="226"/>
      <c r="O2" s="226"/>
    </row>
    <row r="3" ht="11.25" customHeight="1">
      <c r="A3" s="21"/>
      <c r="B3" s="22"/>
      <c r="F3" s="24"/>
      <c r="G3" s="15"/>
      <c r="H3" s="15"/>
      <c r="I3" s="15"/>
      <c r="J3" s="18"/>
      <c r="K3" s="18"/>
      <c r="L3" s="226"/>
      <c r="M3" s="226"/>
      <c r="N3" s="226"/>
      <c r="O3" s="226"/>
    </row>
    <row r="4" ht="15.0" customHeight="1">
      <c r="A4" s="21"/>
      <c r="B4" s="26"/>
      <c r="C4" s="27"/>
      <c r="D4" s="27"/>
      <c r="E4" s="27"/>
      <c r="F4" s="28"/>
      <c r="G4" s="18"/>
      <c r="H4" s="18"/>
      <c r="I4" s="18"/>
      <c r="J4" s="18"/>
      <c r="K4" s="18"/>
      <c r="L4" s="226"/>
      <c r="M4" s="226"/>
      <c r="N4" s="226"/>
      <c r="O4" s="226"/>
    </row>
    <row r="5" ht="16.5" customHeight="1">
      <c r="A5" s="21"/>
      <c r="B5" s="49" t="s">
        <v>39</v>
      </c>
      <c r="C5" s="33"/>
      <c r="D5" s="50"/>
      <c r="E5" s="50"/>
      <c r="F5" s="50"/>
      <c r="G5" s="18"/>
      <c r="H5" s="18"/>
      <c r="I5" s="18"/>
      <c r="J5" s="18"/>
      <c r="K5" s="18"/>
      <c r="L5" s="226"/>
      <c r="M5" s="226"/>
      <c r="N5" s="226"/>
      <c r="O5" s="226"/>
    </row>
    <row r="6" ht="12.0" customHeight="1">
      <c r="A6" s="106"/>
      <c r="B6" s="52"/>
      <c r="C6" s="52"/>
      <c r="D6" s="53"/>
      <c r="E6" s="107"/>
      <c r="F6" s="50"/>
      <c r="G6" s="18"/>
      <c r="H6" s="18"/>
      <c r="I6" s="18"/>
      <c r="J6" s="18"/>
      <c r="K6" s="54"/>
      <c r="L6" s="226"/>
      <c r="M6" s="226"/>
      <c r="N6" s="226"/>
      <c r="O6" s="226"/>
    </row>
    <row r="7">
      <c r="A7" s="56"/>
      <c r="B7" s="230"/>
      <c r="C7" s="231"/>
      <c r="D7" s="60"/>
      <c r="E7" s="111"/>
      <c r="F7" s="60"/>
      <c r="G7" s="61"/>
      <c r="H7" s="61"/>
      <c r="I7" s="61"/>
      <c r="J7" s="61"/>
      <c r="K7" s="61"/>
      <c r="L7" s="232"/>
      <c r="M7" s="232"/>
      <c r="N7" s="232"/>
      <c r="O7" s="232"/>
    </row>
    <row r="8">
      <c r="A8" s="67"/>
      <c r="B8" s="233" t="s">
        <v>0</v>
      </c>
      <c r="C8" s="234" t="s">
        <v>150</v>
      </c>
      <c r="D8" s="70" t="s">
        <v>152</v>
      </c>
      <c r="E8" s="70" t="s">
        <v>153</v>
      </c>
      <c r="F8" s="70" t="s">
        <v>154</v>
      </c>
      <c r="G8" s="72" t="s">
        <v>156</v>
      </c>
      <c r="H8" s="72" t="s">
        <v>158</v>
      </c>
      <c r="I8" s="72" t="s">
        <v>159</v>
      </c>
      <c r="J8" s="72" t="s">
        <v>160</v>
      </c>
      <c r="K8" s="72" t="s">
        <v>162</v>
      </c>
      <c r="L8" s="235" t="s">
        <v>163</v>
      </c>
      <c r="M8" s="235" t="s">
        <v>164</v>
      </c>
      <c r="N8" s="235" t="s">
        <v>165</v>
      </c>
      <c r="O8" s="235" t="s">
        <v>166</v>
      </c>
    </row>
    <row r="9">
      <c r="A9" s="67"/>
      <c r="B9" s="194" t="s">
        <v>1273</v>
      </c>
      <c r="C9" s="195" t="s">
        <v>1276</v>
      </c>
      <c r="D9" s="165" t="s">
        <v>365</v>
      </c>
      <c r="E9" s="212" t="s">
        <v>317</v>
      </c>
      <c r="F9" s="165" t="s">
        <v>367</v>
      </c>
      <c r="G9" s="236" t="s">
        <v>368</v>
      </c>
      <c r="H9" s="237" t="s">
        <v>224</v>
      </c>
      <c r="I9" s="237" t="s">
        <v>324</v>
      </c>
      <c r="J9" s="238" t="s">
        <v>1280</v>
      </c>
      <c r="K9" s="99" t="s">
        <v>1291</v>
      </c>
      <c r="L9" s="239" t="s">
        <v>1292</v>
      </c>
      <c r="M9" s="240" t="s">
        <v>1293</v>
      </c>
      <c r="N9" s="240" t="s">
        <v>332</v>
      </c>
      <c r="O9" s="240" t="s">
        <v>1295</v>
      </c>
    </row>
    <row r="10">
      <c r="A10" s="67"/>
      <c r="B10" s="194" t="s">
        <v>1273</v>
      </c>
      <c r="C10" s="241" t="s">
        <v>1302</v>
      </c>
      <c r="D10" s="162" t="s">
        <v>1305</v>
      </c>
      <c r="E10" s="210" t="s">
        <v>1171</v>
      </c>
      <c r="F10" s="210" t="s">
        <v>979</v>
      </c>
      <c r="G10" s="244" t="s">
        <v>1308</v>
      </c>
      <c r="H10" s="246" t="s">
        <v>461</v>
      </c>
      <c r="I10" s="246" t="s">
        <v>462</v>
      </c>
      <c r="J10" s="238" t="s">
        <v>1318</v>
      </c>
      <c r="K10" s="99" t="s">
        <v>1318</v>
      </c>
      <c r="L10" s="239" t="s">
        <v>1322</v>
      </c>
      <c r="M10" s="240" t="s">
        <v>1324</v>
      </c>
      <c r="N10" s="240" t="s">
        <v>778</v>
      </c>
      <c r="O10" s="240" t="s">
        <v>1328</v>
      </c>
    </row>
    <row r="11">
      <c r="A11" s="67"/>
      <c r="B11" s="194" t="s">
        <v>1273</v>
      </c>
      <c r="C11" s="195" t="s">
        <v>1332</v>
      </c>
      <c r="D11" s="165" t="s">
        <v>1333</v>
      </c>
      <c r="E11" s="212" t="s">
        <v>1334</v>
      </c>
      <c r="F11" s="165" t="s">
        <v>1335</v>
      </c>
      <c r="G11" s="236" t="s">
        <v>1336</v>
      </c>
      <c r="H11" s="237" t="s">
        <v>192</v>
      </c>
      <c r="I11" s="237" t="s">
        <v>276</v>
      </c>
      <c r="J11" s="238" t="s">
        <v>1343</v>
      </c>
      <c r="K11" s="99" t="s">
        <v>1343</v>
      </c>
      <c r="L11" s="239" t="s">
        <v>1354</v>
      </c>
      <c r="M11" s="240" t="s">
        <v>1355</v>
      </c>
      <c r="N11" s="240" t="s">
        <v>996</v>
      </c>
      <c r="O11" s="248" t="s">
        <v>1356</v>
      </c>
    </row>
    <row r="12">
      <c r="A12" s="67"/>
      <c r="B12" s="194" t="s">
        <v>1273</v>
      </c>
      <c r="C12" s="241" t="s">
        <v>1368</v>
      </c>
      <c r="D12" s="162" t="s">
        <v>1369</v>
      </c>
      <c r="E12" s="210" t="s">
        <v>1370</v>
      </c>
      <c r="F12" s="210" t="s">
        <v>957</v>
      </c>
      <c r="G12" s="244" t="s">
        <v>1371</v>
      </c>
      <c r="H12" s="246" t="s">
        <v>485</v>
      </c>
      <c r="I12" s="246" t="s">
        <v>386</v>
      </c>
      <c r="J12" s="238" t="s">
        <v>1382</v>
      </c>
      <c r="K12" s="99" t="s">
        <v>1382</v>
      </c>
      <c r="L12" s="239" t="s">
        <v>1322</v>
      </c>
      <c r="M12" s="240" t="s">
        <v>1390</v>
      </c>
      <c r="N12" s="240" t="s">
        <v>1050</v>
      </c>
      <c r="O12" s="248" t="s">
        <v>1393</v>
      </c>
    </row>
    <row r="13">
      <c r="A13" s="67"/>
      <c r="B13" s="194" t="s">
        <v>1273</v>
      </c>
      <c r="C13" s="195" t="s">
        <v>1397</v>
      </c>
      <c r="D13" s="165" t="s">
        <v>1398</v>
      </c>
      <c r="E13" s="212" t="s">
        <v>436</v>
      </c>
      <c r="F13" s="165" t="s">
        <v>1399</v>
      </c>
      <c r="G13" s="236" t="s">
        <v>1400</v>
      </c>
      <c r="H13" s="237" t="s">
        <v>192</v>
      </c>
      <c r="I13" s="237" t="s">
        <v>195</v>
      </c>
      <c r="J13" s="238" t="s">
        <v>1408</v>
      </c>
      <c r="K13" s="99" t="s">
        <v>1408</v>
      </c>
      <c r="L13" s="239" t="s">
        <v>1421</v>
      </c>
      <c r="M13" s="240" t="s">
        <v>1423</v>
      </c>
      <c r="N13" s="240" t="s">
        <v>843</v>
      </c>
      <c r="O13" s="248" t="s">
        <v>1425</v>
      </c>
    </row>
    <row r="14">
      <c r="A14" s="67"/>
      <c r="B14" s="194" t="s">
        <v>1273</v>
      </c>
      <c r="C14" s="241" t="s">
        <v>1429</v>
      </c>
      <c r="D14" s="162" t="s">
        <v>1431</v>
      </c>
      <c r="E14" s="210" t="s">
        <v>1433</v>
      </c>
      <c r="F14" s="210" t="s">
        <v>270</v>
      </c>
      <c r="G14" s="244" t="s">
        <v>1434</v>
      </c>
      <c r="H14" s="246" t="s">
        <v>192</v>
      </c>
      <c r="I14" s="246" t="s">
        <v>276</v>
      </c>
      <c r="J14" s="238" t="s">
        <v>1439</v>
      </c>
      <c r="K14" s="99" t="s">
        <v>1439</v>
      </c>
      <c r="L14" s="239" t="s">
        <v>1444</v>
      </c>
      <c r="M14" s="240" t="s">
        <v>1445</v>
      </c>
      <c r="N14" s="240" t="s">
        <v>284</v>
      </c>
      <c r="O14" s="248" t="s">
        <v>1446</v>
      </c>
    </row>
    <row r="15">
      <c r="A15" s="67"/>
      <c r="B15" s="194" t="s">
        <v>1273</v>
      </c>
      <c r="C15" s="195" t="s">
        <v>1452</v>
      </c>
      <c r="D15" s="165" t="s">
        <v>1453</v>
      </c>
      <c r="E15" s="212" t="s">
        <v>1454</v>
      </c>
      <c r="F15" s="212" t="s">
        <v>1455</v>
      </c>
      <c r="G15" s="236" t="s">
        <v>1456</v>
      </c>
      <c r="H15" s="237" t="s">
        <v>485</v>
      </c>
      <c r="I15" s="237" t="s">
        <v>386</v>
      </c>
      <c r="J15" s="238" t="s">
        <v>1461</v>
      </c>
      <c r="K15" s="99" t="s">
        <v>1461</v>
      </c>
      <c r="L15" s="239" t="s">
        <v>1354</v>
      </c>
      <c r="M15" s="240" t="s">
        <v>1473</v>
      </c>
      <c r="N15" s="240" t="s">
        <v>730</v>
      </c>
      <c r="O15" s="248" t="s">
        <v>1474</v>
      </c>
    </row>
    <row r="16">
      <c r="A16" s="67"/>
      <c r="B16" s="194" t="s">
        <v>1273</v>
      </c>
      <c r="C16" s="241" t="s">
        <v>1481</v>
      </c>
      <c r="D16" s="162" t="s">
        <v>1482</v>
      </c>
      <c r="E16" s="210" t="s">
        <v>1483</v>
      </c>
      <c r="F16" s="210" t="s">
        <v>1484</v>
      </c>
      <c r="G16" s="244" t="s">
        <v>1485</v>
      </c>
      <c r="H16" s="246" t="s">
        <v>192</v>
      </c>
      <c r="I16" s="246" t="s">
        <v>350</v>
      </c>
      <c r="J16" s="238" t="s">
        <v>1488</v>
      </c>
      <c r="K16" s="99" t="s">
        <v>1488</v>
      </c>
      <c r="L16" s="239" t="s">
        <v>1421</v>
      </c>
      <c r="M16" s="240" t="s">
        <v>1497</v>
      </c>
      <c r="N16" s="240" t="s">
        <v>600</v>
      </c>
      <c r="O16" s="248" t="s">
        <v>1500</v>
      </c>
    </row>
    <row r="17">
      <c r="A17" s="67"/>
      <c r="B17" s="194" t="s">
        <v>1273</v>
      </c>
      <c r="C17" s="195" t="s">
        <v>1505</v>
      </c>
      <c r="D17" s="165" t="s">
        <v>1506</v>
      </c>
      <c r="E17" s="212" t="s">
        <v>559</v>
      </c>
      <c r="F17" s="212" t="s">
        <v>1412</v>
      </c>
      <c r="G17" s="236" t="s">
        <v>1507</v>
      </c>
      <c r="H17" s="237" t="s">
        <v>192</v>
      </c>
      <c r="I17" s="237" t="s">
        <v>276</v>
      </c>
      <c r="J17" s="238" t="s">
        <v>1512</v>
      </c>
      <c r="K17" s="99" t="s">
        <v>1512</v>
      </c>
      <c r="L17" s="239" t="s">
        <v>1524</v>
      </c>
      <c r="M17" s="240" t="s">
        <v>1525</v>
      </c>
      <c r="N17" s="240" t="s">
        <v>996</v>
      </c>
      <c r="O17" s="248" t="s">
        <v>1526</v>
      </c>
    </row>
    <row r="18">
      <c r="A18" s="67"/>
      <c r="B18" s="194" t="s">
        <v>1273</v>
      </c>
      <c r="C18" s="241" t="s">
        <v>1527</v>
      </c>
      <c r="D18" s="162" t="s">
        <v>1529</v>
      </c>
      <c r="E18" s="162" t="s">
        <v>1530</v>
      </c>
      <c r="F18" s="162" t="s">
        <v>1531</v>
      </c>
      <c r="G18" s="244" t="s">
        <v>1532</v>
      </c>
      <c r="H18" s="246" t="s">
        <v>192</v>
      </c>
      <c r="I18" s="246" t="s">
        <v>276</v>
      </c>
      <c r="J18" s="238" t="s">
        <v>1543</v>
      </c>
      <c r="K18" s="99" t="s">
        <v>1543</v>
      </c>
      <c r="L18" s="239" t="s">
        <v>1354</v>
      </c>
      <c r="M18" s="240" t="s">
        <v>1550</v>
      </c>
      <c r="N18" s="240" t="s">
        <v>284</v>
      </c>
      <c r="O18" s="248" t="s">
        <v>1551</v>
      </c>
    </row>
    <row r="19">
      <c r="A19" s="67"/>
      <c r="B19" s="194" t="s">
        <v>1273</v>
      </c>
      <c r="C19" s="195" t="s">
        <v>1560</v>
      </c>
      <c r="D19" s="165" t="s">
        <v>1561</v>
      </c>
      <c r="E19" s="212" t="s">
        <v>1563</v>
      </c>
      <c r="F19" s="212" t="s">
        <v>1566</v>
      </c>
      <c r="G19" s="236" t="s">
        <v>1569</v>
      </c>
      <c r="H19" s="237" t="s">
        <v>461</v>
      </c>
      <c r="I19" s="237" t="s">
        <v>462</v>
      </c>
      <c r="J19" s="238" t="s">
        <v>1573</v>
      </c>
      <c r="K19" s="99" t="s">
        <v>1573</v>
      </c>
      <c r="L19" s="239" t="s">
        <v>1578</v>
      </c>
      <c r="M19" s="240" t="s">
        <v>1579</v>
      </c>
      <c r="N19" s="240" t="s">
        <v>886</v>
      </c>
      <c r="O19" s="248" t="s">
        <v>1580</v>
      </c>
    </row>
    <row r="20">
      <c r="A20" s="67"/>
      <c r="B20" s="194" t="s">
        <v>1273</v>
      </c>
      <c r="C20" s="241" t="s">
        <v>1586</v>
      </c>
      <c r="D20" s="162" t="s">
        <v>1587</v>
      </c>
      <c r="E20" s="162" t="s">
        <v>447</v>
      </c>
      <c r="F20" s="210" t="s">
        <v>1589</v>
      </c>
      <c r="G20" s="244" t="s">
        <v>1590</v>
      </c>
      <c r="H20" s="246" t="s">
        <v>485</v>
      </c>
      <c r="I20" s="246" t="s">
        <v>486</v>
      </c>
      <c r="J20" s="238" t="s">
        <v>1597</v>
      </c>
      <c r="K20" s="99" t="s">
        <v>1597</v>
      </c>
      <c r="L20" s="239" t="s">
        <v>1602</v>
      </c>
      <c r="M20" s="240" t="s">
        <v>1603</v>
      </c>
      <c r="N20" s="240" t="s">
        <v>482</v>
      </c>
      <c r="O20" s="248" t="s">
        <v>1604</v>
      </c>
    </row>
    <row r="21">
      <c r="A21" s="67"/>
      <c r="B21" s="194" t="s">
        <v>1273</v>
      </c>
      <c r="C21" s="195" t="s">
        <v>1612</v>
      </c>
      <c r="D21" s="165" t="s">
        <v>1613</v>
      </c>
      <c r="E21" s="165" t="s">
        <v>1615</v>
      </c>
      <c r="F21" s="212" t="s">
        <v>1616</v>
      </c>
      <c r="G21" s="236" t="s">
        <v>1617</v>
      </c>
      <c r="H21" s="237" t="s">
        <v>461</v>
      </c>
      <c r="I21" s="237" t="s">
        <v>530</v>
      </c>
      <c r="J21" s="238" t="s">
        <v>1618</v>
      </c>
      <c r="K21" s="99" t="s">
        <v>1618</v>
      </c>
      <c r="L21" s="239" t="s">
        <v>1624</v>
      </c>
      <c r="M21" s="240" t="s">
        <v>1625</v>
      </c>
      <c r="N21" s="240" t="s">
        <v>547</v>
      </c>
      <c r="O21" s="248" t="s">
        <v>1626</v>
      </c>
    </row>
    <row r="22">
      <c r="A22" s="255"/>
      <c r="B22" s="194" t="s">
        <v>1273</v>
      </c>
      <c r="C22" s="241" t="s">
        <v>1634</v>
      </c>
      <c r="D22" s="162" t="s">
        <v>1635</v>
      </c>
      <c r="E22" s="162" t="s">
        <v>447</v>
      </c>
      <c r="F22" s="162" t="s">
        <v>447</v>
      </c>
      <c r="G22" s="244" t="s">
        <v>1637</v>
      </c>
      <c r="H22" s="246" t="s">
        <v>485</v>
      </c>
      <c r="I22" s="246" t="s">
        <v>386</v>
      </c>
      <c r="J22" s="238" t="s">
        <v>1642</v>
      </c>
      <c r="K22" s="99" t="s">
        <v>1642</v>
      </c>
      <c r="L22" s="239" t="s">
        <v>1645</v>
      </c>
      <c r="M22" s="240" t="s">
        <v>1646</v>
      </c>
      <c r="N22" s="240" t="s">
        <v>1182</v>
      </c>
      <c r="O22" s="248" t="s">
        <v>1650</v>
      </c>
    </row>
    <row r="23">
      <c r="A23" s="67"/>
      <c r="B23" s="194" t="s">
        <v>1273</v>
      </c>
      <c r="C23" s="195" t="s">
        <v>1660</v>
      </c>
      <c r="D23" s="165" t="s">
        <v>1661</v>
      </c>
      <c r="E23" s="165" t="s">
        <v>317</v>
      </c>
      <c r="F23" s="212" t="s">
        <v>1662</v>
      </c>
      <c r="G23" s="236" t="s">
        <v>1663</v>
      </c>
      <c r="H23" s="237" t="s">
        <v>192</v>
      </c>
      <c r="I23" s="237" t="s">
        <v>350</v>
      </c>
      <c r="J23" s="238" t="s">
        <v>1666</v>
      </c>
      <c r="K23" s="99" t="s">
        <v>1666</v>
      </c>
      <c r="L23" s="239" t="s">
        <v>1292</v>
      </c>
      <c r="M23" s="240" t="s">
        <v>1676</v>
      </c>
      <c r="N23" s="240" t="s">
        <v>600</v>
      </c>
      <c r="O23" s="248" t="s">
        <v>1679</v>
      </c>
    </row>
    <row r="24">
      <c r="A24" s="67"/>
      <c r="B24" s="194" t="s">
        <v>1273</v>
      </c>
      <c r="C24" s="241" t="s">
        <v>1689</v>
      </c>
      <c r="D24" s="162" t="s">
        <v>1690</v>
      </c>
      <c r="E24" s="162" t="s">
        <v>1691</v>
      </c>
      <c r="F24" s="210" t="s">
        <v>1692</v>
      </c>
      <c r="G24" s="244" t="s">
        <v>1693</v>
      </c>
      <c r="H24" s="246" t="s">
        <v>192</v>
      </c>
      <c r="I24" s="246" t="s">
        <v>486</v>
      </c>
      <c r="J24" s="238" t="s">
        <v>1699</v>
      </c>
      <c r="K24" s="99" t="s">
        <v>1699</v>
      </c>
      <c r="L24" s="239" t="s">
        <v>1421</v>
      </c>
      <c r="M24" s="240" t="s">
        <v>1709</v>
      </c>
      <c r="N24" s="240" t="s">
        <v>533</v>
      </c>
      <c r="O24" s="248" t="s">
        <v>1710</v>
      </c>
    </row>
    <row r="25">
      <c r="A25" s="67"/>
      <c r="B25" s="194" t="s">
        <v>1273</v>
      </c>
      <c r="C25" s="195" t="s">
        <v>1711</v>
      </c>
      <c r="D25" s="165" t="s">
        <v>1712</v>
      </c>
      <c r="E25" s="212" t="s">
        <v>1713</v>
      </c>
      <c r="F25" s="212" t="s">
        <v>490</v>
      </c>
      <c r="G25" s="236" t="s">
        <v>1714</v>
      </c>
      <c r="H25" s="237" t="s">
        <v>461</v>
      </c>
      <c r="I25" s="237" t="s">
        <v>462</v>
      </c>
      <c r="J25" s="238" t="s">
        <v>1721</v>
      </c>
      <c r="K25" s="160" t="s">
        <v>1721</v>
      </c>
      <c r="L25" s="239" t="s">
        <v>1729</v>
      </c>
      <c r="M25" s="240" t="s">
        <v>1730</v>
      </c>
      <c r="N25" s="240" t="s">
        <v>778</v>
      </c>
      <c r="O25" s="248" t="s">
        <v>1731</v>
      </c>
    </row>
    <row r="26">
      <c r="A26" s="67"/>
      <c r="B26" s="194" t="s">
        <v>1273</v>
      </c>
      <c r="C26" s="241" t="s">
        <v>1738</v>
      </c>
      <c r="D26" s="162" t="s">
        <v>1740</v>
      </c>
      <c r="E26" s="162" t="s">
        <v>447</v>
      </c>
      <c r="F26" s="162" t="s">
        <v>447</v>
      </c>
      <c r="G26" s="244" t="s">
        <v>1743</v>
      </c>
      <c r="H26" s="246" t="s">
        <v>485</v>
      </c>
      <c r="I26" s="246" t="s">
        <v>386</v>
      </c>
      <c r="J26" s="238" t="s">
        <v>1744</v>
      </c>
      <c r="K26" s="160" t="s">
        <v>1744</v>
      </c>
      <c r="L26" s="239" t="s">
        <v>1729</v>
      </c>
      <c r="M26" s="240" t="s">
        <v>1754</v>
      </c>
      <c r="N26" s="240" t="s">
        <v>1050</v>
      </c>
      <c r="O26" s="248" t="s">
        <v>1755</v>
      </c>
    </row>
    <row r="27">
      <c r="A27" s="67"/>
      <c r="B27" s="194" t="s">
        <v>1273</v>
      </c>
      <c r="C27" s="195" t="s">
        <v>1757</v>
      </c>
      <c r="D27" s="165" t="s">
        <v>1758</v>
      </c>
      <c r="E27" s="212" t="s">
        <v>1039</v>
      </c>
      <c r="F27" s="212" t="s">
        <v>1759</v>
      </c>
      <c r="G27" s="236" t="s">
        <v>1760</v>
      </c>
      <c r="H27" s="237" t="s">
        <v>192</v>
      </c>
      <c r="I27" s="237" t="s">
        <v>276</v>
      </c>
      <c r="J27" s="238" t="s">
        <v>1766</v>
      </c>
      <c r="K27" s="99" t="s">
        <v>1766</v>
      </c>
      <c r="L27" s="239" t="s">
        <v>1779</v>
      </c>
      <c r="M27" s="240" t="s">
        <v>1780</v>
      </c>
      <c r="N27" s="240" t="s">
        <v>533</v>
      </c>
      <c r="O27" s="248" t="s">
        <v>1781</v>
      </c>
    </row>
    <row r="28">
      <c r="A28" s="67"/>
      <c r="B28" s="259" t="s">
        <v>1273</v>
      </c>
      <c r="C28" s="241" t="s">
        <v>1793</v>
      </c>
      <c r="D28" s="162" t="s">
        <v>1794</v>
      </c>
      <c r="E28" s="210" t="s">
        <v>1155</v>
      </c>
      <c r="F28" s="210" t="s">
        <v>1795</v>
      </c>
      <c r="G28" s="244" t="s">
        <v>1796</v>
      </c>
      <c r="H28" s="246" t="s">
        <v>192</v>
      </c>
      <c r="I28" s="246" t="s">
        <v>195</v>
      </c>
      <c r="J28" s="238" t="s">
        <v>1798</v>
      </c>
      <c r="K28" s="99" t="s">
        <v>1798</v>
      </c>
      <c r="L28" s="239" t="s">
        <v>1806</v>
      </c>
      <c r="M28" s="240" t="s">
        <v>1808</v>
      </c>
      <c r="N28" s="240" t="s">
        <v>362</v>
      </c>
      <c r="O28" s="248" t="s">
        <v>1809</v>
      </c>
    </row>
    <row r="29">
      <c r="A29" s="67"/>
      <c r="B29" s="194" t="s">
        <v>1273</v>
      </c>
      <c r="C29" s="195" t="s">
        <v>1814</v>
      </c>
      <c r="D29" s="165" t="s">
        <v>1815</v>
      </c>
      <c r="E29" s="212" t="s">
        <v>745</v>
      </c>
      <c r="F29" s="212" t="s">
        <v>183</v>
      </c>
      <c r="G29" s="236" t="s">
        <v>1816</v>
      </c>
      <c r="H29" s="237" t="s">
        <v>224</v>
      </c>
      <c r="I29" s="237" t="s">
        <v>440</v>
      </c>
      <c r="J29" s="238" t="s">
        <v>1818</v>
      </c>
      <c r="K29" s="99" t="s">
        <v>1818</v>
      </c>
      <c r="L29" s="239" t="s">
        <v>1322</v>
      </c>
      <c r="M29" s="240" t="s">
        <v>1828</v>
      </c>
      <c r="N29" s="240" t="s">
        <v>442</v>
      </c>
      <c r="O29" s="248" t="s">
        <v>1829</v>
      </c>
    </row>
    <row r="30">
      <c r="A30" s="67"/>
      <c r="B30" s="194" t="s">
        <v>1273</v>
      </c>
      <c r="C30" s="241" t="s">
        <v>1837</v>
      </c>
      <c r="D30" s="162" t="s">
        <v>1838</v>
      </c>
      <c r="E30" s="210" t="s">
        <v>436</v>
      </c>
      <c r="F30" s="162" t="s">
        <v>1839</v>
      </c>
      <c r="G30" s="244" t="s">
        <v>1840</v>
      </c>
      <c r="H30" s="246" t="s">
        <v>485</v>
      </c>
      <c r="I30" s="246" t="s">
        <v>486</v>
      </c>
      <c r="J30" s="238" t="s">
        <v>1846</v>
      </c>
      <c r="K30" s="160" t="s">
        <v>1847</v>
      </c>
      <c r="L30" s="239" t="s">
        <v>1322</v>
      </c>
      <c r="M30" s="240" t="s">
        <v>1854</v>
      </c>
      <c r="N30" s="240" t="s">
        <v>449</v>
      </c>
      <c r="O30" s="248" t="s">
        <v>1856</v>
      </c>
    </row>
    <row r="31">
      <c r="A31" s="67"/>
      <c r="B31" s="266" t="s">
        <v>1273</v>
      </c>
      <c r="C31" s="195" t="s">
        <v>1868</v>
      </c>
      <c r="D31" s="165" t="s">
        <v>1869</v>
      </c>
      <c r="E31" s="165" t="s">
        <v>1870</v>
      </c>
      <c r="F31" s="165" t="s">
        <v>1871</v>
      </c>
      <c r="G31" s="236" t="s">
        <v>1872</v>
      </c>
      <c r="H31" s="237" t="s">
        <v>192</v>
      </c>
      <c r="I31" s="237" t="s">
        <v>195</v>
      </c>
      <c r="J31" s="238" t="s">
        <v>1873</v>
      </c>
      <c r="K31" s="99" t="s">
        <v>1873</v>
      </c>
      <c r="L31" s="239" t="s">
        <v>1292</v>
      </c>
      <c r="M31" s="240" t="s">
        <v>1881</v>
      </c>
      <c r="N31" s="240" t="s">
        <v>897</v>
      </c>
      <c r="O31" s="248" t="s">
        <v>1883</v>
      </c>
    </row>
    <row r="32">
      <c r="A32" s="67"/>
      <c r="B32" s="266" t="s">
        <v>1273</v>
      </c>
      <c r="C32" s="241" t="s">
        <v>1886</v>
      </c>
      <c r="D32" s="162" t="s">
        <v>1887</v>
      </c>
      <c r="E32" s="162" t="s">
        <v>436</v>
      </c>
      <c r="F32" s="162" t="s">
        <v>1888</v>
      </c>
      <c r="G32" s="244" t="s">
        <v>1889</v>
      </c>
      <c r="H32" s="246" t="s">
        <v>224</v>
      </c>
      <c r="I32" s="246" t="s">
        <v>440</v>
      </c>
      <c r="J32" s="238" t="s">
        <v>1892</v>
      </c>
      <c r="K32" s="99" t="s">
        <v>1892</v>
      </c>
      <c r="L32" s="239" t="s">
        <v>1292</v>
      </c>
      <c r="M32" s="240" t="s">
        <v>1898</v>
      </c>
      <c r="N32" s="240" t="s">
        <v>1096</v>
      </c>
      <c r="O32" s="248" t="s">
        <v>1899</v>
      </c>
    </row>
    <row r="33">
      <c r="A33" s="67"/>
      <c r="B33" s="272" t="s">
        <v>1273</v>
      </c>
      <c r="C33" s="195" t="s">
        <v>1904</v>
      </c>
      <c r="D33" s="165" t="s">
        <v>1906</v>
      </c>
      <c r="E33" s="165" t="s">
        <v>410</v>
      </c>
      <c r="F33" s="165" t="s">
        <v>1908</v>
      </c>
      <c r="G33" s="236" t="s">
        <v>1909</v>
      </c>
      <c r="H33" s="237" t="s">
        <v>485</v>
      </c>
      <c r="I33" s="237" t="s">
        <v>486</v>
      </c>
      <c r="J33" s="238" t="s">
        <v>1912</v>
      </c>
      <c r="K33" s="99" t="s">
        <v>1912</v>
      </c>
      <c r="L33" s="239" t="s">
        <v>1920</v>
      </c>
      <c r="M33" s="240" t="s">
        <v>1921</v>
      </c>
      <c r="N33" s="240" t="s">
        <v>449</v>
      </c>
      <c r="O33" s="248" t="s">
        <v>1922</v>
      </c>
    </row>
    <row r="34">
      <c r="A34" s="67"/>
      <c r="B34" s="272" t="s">
        <v>1273</v>
      </c>
      <c r="C34" s="241" t="s">
        <v>1924</v>
      </c>
      <c r="D34" s="162" t="s">
        <v>1925</v>
      </c>
      <c r="E34" s="162" t="s">
        <v>1928</v>
      </c>
      <c r="F34" s="162" t="s">
        <v>1930</v>
      </c>
      <c r="G34" s="244" t="s">
        <v>1932</v>
      </c>
      <c r="H34" s="246" t="s">
        <v>224</v>
      </c>
      <c r="I34" s="246" t="s">
        <v>324</v>
      </c>
      <c r="J34" s="238" t="s">
        <v>1938</v>
      </c>
      <c r="K34" s="99" t="s">
        <v>1938</v>
      </c>
      <c r="L34" s="239" t="s">
        <v>1444</v>
      </c>
      <c r="M34" s="240" t="s">
        <v>1946</v>
      </c>
      <c r="N34" s="240" t="s">
        <v>933</v>
      </c>
      <c r="O34" s="248" t="s">
        <v>1947</v>
      </c>
    </row>
    <row r="35">
      <c r="A35" s="67"/>
      <c r="B35" s="272" t="s">
        <v>1273</v>
      </c>
      <c r="C35" s="195" t="s">
        <v>1953</v>
      </c>
      <c r="D35" s="165" t="s">
        <v>1954</v>
      </c>
      <c r="E35" s="165" t="s">
        <v>1039</v>
      </c>
      <c r="F35" s="165" t="s">
        <v>1955</v>
      </c>
      <c r="G35" s="236" t="s">
        <v>1957</v>
      </c>
      <c r="H35" s="237" t="s">
        <v>192</v>
      </c>
      <c r="I35" s="237" t="s">
        <v>276</v>
      </c>
      <c r="J35" s="238" t="s">
        <v>1964</v>
      </c>
      <c r="K35" s="99" t="s">
        <v>1964</v>
      </c>
      <c r="L35" s="239" t="s">
        <v>1421</v>
      </c>
      <c r="M35" s="240" t="s">
        <v>1968</v>
      </c>
      <c r="N35" s="240" t="s">
        <v>996</v>
      </c>
      <c r="O35" s="248" t="s">
        <v>1969</v>
      </c>
    </row>
    <row r="36">
      <c r="A36" s="67"/>
      <c r="B36" s="266" t="s">
        <v>1273</v>
      </c>
      <c r="C36" s="241" t="s">
        <v>1973</v>
      </c>
      <c r="D36" s="162" t="s">
        <v>1974</v>
      </c>
      <c r="E36" s="162" t="s">
        <v>1976</v>
      </c>
      <c r="F36" s="162" t="s">
        <v>1977</v>
      </c>
      <c r="G36" s="244" t="s">
        <v>1978</v>
      </c>
      <c r="H36" s="246" t="s">
        <v>224</v>
      </c>
      <c r="I36" s="246" t="s">
        <v>324</v>
      </c>
      <c r="J36" s="238" t="s">
        <v>1984</v>
      </c>
      <c r="K36" s="99" t="s">
        <v>1984</v>
      </c>
      <c r="L36" s="239" t="s">
        <v>1920</v>
      </c>
      <c r="M36" s="240" t="s">
        <v>1986</v>
      </c>
      <c r="N36" s="240" t="s">
        <v>660</v>
      </c>
      <c r="O36" s="248" t="s">
        <v>1987</v>
      </c>
    </row>
    <row r="37">
      <c r="A37" s="67"/>
      <c r="B37" s="272" t="s">
        <v>1273</v>
      </c>
      <c r="C37" s="195" t="s">
        <v>1998</v>
      </c>
      <c r="D37" s="165" t="s">
        <v>1999</v>
      </c>
      <c r="E37" s="165" t="s">
        <v>2000</v>
      </c>
      <c r="F37" s="165" t="s">
        <v>1852</v>
      </c>
      <c r="G37" s="236" t="s">
        <v>2001</v>
      </c>
      <c r="H37" s="237" t="s">
        <v>192</v>
      </c>
      <c r="I37" s="237" t="s">
        <v>350</v>
      </c>
      <c r="J37" s="238" t="s">
        <v>2005</v>
      </c>
      <c r="K37" s="99" t="s">
        <v>2005</v>
      </c>
      <c r="L37" s="239" t="s">
        <v>1729</v>
      </c>
      <c r="M37" s="240" t="s">
        <v>2013</v>
      </c>
      <c r="N37" s="240" t="s">
        <v>1133</v>
      </c>
      <c r="O37" s="248" t="s">
        <v>2014</v>
      </c>
    </row>
    <row r="38">
      <c r="A38" s="67"/>
      <c r="B38" s="272" t="s">
        <v>1273</v>
      </c>
      <c r="C38" s="241" t="s">
        <v>2020</v>
      </c>
      <c r="D38" s="162" t="s">
        <v>2021</v>
      </c>
      <c r="E38" s="171" t="s">
        <v>213</v>
      </c>
      <c r="F38" s="162" t="s">
        <v>2023</v>
      </c>
      <c r="G38" s="244" t="s">
        <v>2024</v>
      </c>
      <c r="H38" s="246" t="s">
        <v>485</v>
      </c>
      <c r="I38" s="246" t="s">
        <v>486</v>
      </c>
      <c r="J38" s="238" t="s">
        <v>2025</v>
      </c>
      <c r="K38" s="99" t="s">
        <v>2025</v>
      </c>
      <c r="L38" s="239" t="s">
        <v>1421</v>
      </c>
      <c r="M38" s="240" t="s">
        <v>2036</v>
      </c>
      <c r="N38" s="240" t="s">
        <v>449</v>
      </c>
      <c r="O38" s="248" t="s">
        <v>2037</v>
      </c>
    </row>
    <row r="39">
      <c r="A39" s="67"/>
      <c r="B39" s="272" t="s">
        <v>1273</v>
      </c>
      <c r="C39" s="195" t="s">
        <v>2045</v>
      </c>
      <c r="D39" s="165" t="s">
        <v>2046</v>
      </c>
      <c r="E39" s="165" t="s">
        <v>1325</v>
      </c>
      <c r="F39" s="165" t="s">
        <v>2047</v>
      </c>
      <c r="G39" s="236" t="s">
        <v>2048</v>
      </c>
      <c r="H39" s="237" t="s">
        <v>192</v>
      </c>
      <c r="I39" s="237" t="s">
        <v>276</v>
      </c>
      <c r="J39" s="238" t="s">
        <v>2049</v>
      </c>
      <c r="K39" s="99" t="s">
        <v>2049</v>
      </c>
      <c r="L39" s="239" t="s">
        <v>1292</v>
      </c>
      <c r="M39" s="240" t="s">
        <v>2057</v>
      </c>
      <c r="N39" s="240" t="s">
        <v>284</v>
      </c>
      <c r="O39" s="248" t="s">
        <v>2058</v>
      </c>
    </row>
    <row r="40">
      <c r="A40" s="67"/>
      <c r="B40" s="272" t="s">
        <v>1273</v>
      </c>
      <c r="C40" s="241" t="s">
        <v>2063</v>
      </c>
      <c r="D40" s="162" t="s">
        <v>1046</v>
      </c>
      <c r="E40" s="162" t="s">
        <v>2064</v>
      </c>
      <c r="F40" s="162" t="s">
        <v>2065</v>
      </c>
      <c r="G40" s="244" t="s">
        <v>1056</v>
      </c>
      <c r="H40" s="246" t="s">
        <v>485</v>
      </c>
      <c r="I40" s="246" t="s">
        <v>386</v>
      </c>
      <c r="J40" s="238" t="s">
        <v>1049</v>
      </c>
      <c r="K40" s="99" t="s">
        <v>1049</v>
      </c>
      <c r="L40" s="239" t="s">
        <v>1806</v>
      </c>
      <c r="M40" s="240" t="s">
        <v>2077</v>
      </c>
      <c r="N40" s="240" t="s">
        <v>730</v>
      </c>
      <c r="O40" s="248" t="s">
        <v>2078</v>
      </c>
    </row>
    <row r="41">
      <c r="A41" s="67"/>
      <c r="B41" s="272" t="s">
        <v>1273</v>
      </c>
      <c r="C41" s="195" t="s">
        <v>2080</v>
      </c>
      <c r="D41" s="165" t="s">
        <v>2081</v>
      </c>
      <c r="E41" s="165" t="s">
        <v>2082</v>
      </c>
      <c r="F41" s="165" t="s">
        <v>2083</v>
      </c>
      <c r="G41" s="236" t="s">
        <v>2084</v>
      </c>
      <c r="H41" s="237" t="s">
        <v>192</v>
      </c>
      <c r="I41" s="237" t="s">
        <v>276</v>
      </c>
      <c r="J41" s="238" t="s">
        <v>2091</v>
      </c>
      <c r="K41" s="99" t="s">
        <v>2091</v>
      </c>
      <c r="L41" s="239" t="s">
        <v>1729</v>
      </c>
      <c r="M41" s="240" t="s">
        <v>2098</v>
      </c>
      <c r="N41" s="240" t="s">
        <v>469</v>
      </c>
      <c r="O41" s="248" t="s">
        <v>2099</v>
      </c>
    </row>
    <row r="42">
      <c r="A42" s="67"/>
      <c r="B42" s="272" t="s">
        <v>1273</v>
      </c>
      <c r="C42" s="290" t="s">
        <v>2105</v>
      </c>
      <c r="D42" s="172" t="s">
        <v>2108</v>
      </c>
      <c r="E42" s="172" t="s">
        <v>1039</v>
      </c>
      <c r="F42" s="172" t="s">
        <v>2110</v>
      </c>
      <c r="G42" s="291" t="s">
        <v>2111</v>
      </c>
      <c r="H42" s="176" t="s">
        <v>485</v>
      </c>
      <c r="I42" s="176" t="s">
        <v>486</v>
      </c>
      <c r="J42" s="238" t="s">
        <v>2114</v>
      </c>
      <c r="K42" s="99" t="s">
        <v>2114</v>
      </c>
      <c r="L42" s="239" t="s">
        <v>1920</v>
      </c>
      <c r="M42" s="240" t="s">
        <v>2122</v>
      </c>
      <c r="N42" s="240" t="s">
        <v>449</v>
      </c>
      <c r="O42" s="248" t="s">
        <v>2123</v>
      </c>
    </row>
    <row r="43">
      <c r="A43" s="67"/>
      <c r="B43" s="249" t="s">
        <v>1273</v>
      </c>
      <c r="C43" s="250" t="s">
        <v>2125</v>
      </c>
      <c r="D43" s="245" t="s">
        <v>524</v>
      </c>
      <c r="E43" s="245" t="s">
        <v>525</v>
      </c>
      <c r="F43" s="245" t="s">
        <v>526</v>
      </c>
      <c r="G43" s="297" t="s">
        <v>529</v>
      </c>
      <c r="H43" s="298" t="s">
        <v>485</v>
      </c>
      <c r="I43" s="298" t="s">
        <v>386</v>
      </c>
      <c r="J43" s="238" t="s">
        <v>2131</v>
      </c>
      <c r="K43" s="99" t="s">
        <v>2131</v>
      </c>
      <c r="L43" s="239" t="s">
        <v>1602</v>
      </c>
      <c r="M43" s="240" t="s">
        <v>2132</v>
      </c>
      <c r="N43" s="240" t="s">
        <v>2133</v>
      </c>
      <c r="O43" s="248" t="s">
        <v>2134</v>
      </c>
    </row>
    <row r="44">
      <c r="A44" s="67"/>
      <c r="B44" s="272" t="s">
        <v>1273</v>
      </c>
      <c r="C44" s="290" t="s">
        <v>2139</v>
      </c>
      <c r="D44" s="172" t="s">
        <v>2140</v>
      </c>
      <c r="E44" s="172" t="s">
        <v>213</v>
      </c>
      <c r="F44" s="172" t="s">
        <v>2141</v>
      </c>
      <c r="G44" s="291" t="s">
        <v>2143</v>
      </c>
      <c r="H44" s="176" t="s">
        <v>192</v>
      </c>
      <c r="I44" s="176" t="s">
        <v>276</v>
      </c>
      <c r="J44" s="238" t="s">
        <v>2147</v>
      </c>
      <c r="K44" s="99" t="s">
        <v>2147</v>
      </c>
      <c r="L44" s="239" t="s">
        <v>1292</v>
      </c>
      <c r="M44" s="240" t="s">
        <v>2150</v>
      </c>
      <c r="N44" s="240" t="s">
        <v>2151</v>
      </c>
      <c r="O44" s="248" t="s">
        <v>2153</v>
      </c>
    </row>
    <row r="45">
      <c r="A45" s="67"/>
      <c r="B45" s="249" t="s">
        <v>1273</v>
      </c>
      <c r="C45" s="250" t="s">
        <v>2151</v>
      </c>
      <c r="D45" s="245" t="s">
        <v>2156</v>
      </c>
      <c r="E45" s="245" t="s">
        <v>213</v>
      </c>
      <c r="F45" s="245" t="s">
        <v>2157</v>
      </c>
      <c r="G45" s="297" t="s">
        <v>2158</v>
      </c>
      <c r="H45" s="298" t="s">
        <v>485</v>
      </c>
      <c r="I45" s="298" t="s">
        <v>486</v>
      </c>
      <c r="J45" s="238" t="s">
        <v>2160</v>
      </c>
      <c r="K45" s="99" t="s">
        <v>2160</v>
      </c>
      <c r="L45" s="239" t="s">
        <v>1292</v>
      </c>
      <c r="M45" s="240" t="s">
        <v>2169</v>
      </c>
      <c r="N45" s="240" t="s">
        <v>449</v>
      </c>
      <c r="O45" s="248" t="s">
        <v>2170</v>
      </c>
    </row>
    <row r="46">
      <c r="A46" s="67"/>
      <c r="B46" s="272" t="s">
        <v>1273</v>
      </c>
      <c r="C46" s="290" t="s">
        <v>2172</v>
      </c>
      <c r="D46" s="172" t="s">
        <v>2173</v>
      </c>
      <c r="E46" s="172" t="s">
        <v>447</v>
      </c>
      <c r="F46" s="172" t="s">
        <v>447</v>
      </c>
      <c r="G46" s="291" t="s">
        <v>2174</v>
      </c>
      <c r="H46" s="176" t="s">
        <v>461</v>
      </c>
      <c r="I46" s="176" t="s">
        <v>462</v>
      </c>
      <c r="J46" s="238" t="s">
        <v>2175</v>
      </c>
      <c r="K46" s="99" t="s">
        <v>2175</v>
      </c>
      <c r="L46" s="239" t="s">
        <v>2180</v>
      </c>
      <c r="M46" s="240" t="s">
        <v>2181</v>
      </c>
      <c r="N46" s="240" t="s">
        <v>880</v>
      </c>
      <c r="O46" s="248" t="s">
        <v>2183</v>
      </c>
    </row>
    <row r="47">
      <c r="A47" s="67"/>
      <c r="B47" s="249" t="s">
        <v>1273</v>
      </c>
      <c r="C47" s="250" t="s">
        <v>2188</v>
      </c>
      <c r="D47" s="245" t="s">
        <v>2189</v>
      </c>
      <c r="E47" s="245" t="s">
        <v>2190</v>
      </c>
      <c r="F47" s="245" t="s">
        <v>2191</v>
      </c>
      <c r="G47" s="297" t="s">
        <v>2192</v>
      </c>
      <c r="H47" s="298" t="s">
        <v>461</v>
      </c>
      <c r="I47" s="298" t="s">
        <v>462</v>
      </c>
      <c r="J47" s="238" t="s">
        <v>2193</v>
      </c>
      <c r="K47" s="99" t="s">
        <v>2193</v>
      </c>
      <c r="L47" s="239" t="s">
        <v>1421</v>
      </c>
      <c r="M47" s="240" t="s">
        <v>2195</v>
      </c>
      <c r="N47" s="240" t="s">
        <v>778</v>
      </c>
      <c r="O47" s="248" t="s">
        <v>2196</v>
      </c>
    </row>
    <row r="48">
      <c r="A48" s="67"/>
      <c r="B48" s="272" t="s">
        <v>1273</v>
      </c>
      <c r="C48" s="290" t="s">
        <v>2203</v>
      </c>
      <c r="D48" s="172" t="s">
        <v>2204</v>
      </c>
      <c r="E48" s="172" t="s">
        <v>2205</v>
      </c>
      <c r="F48" s="172" t="s">
        <v>2206</v>
      </c>
      <c r="G48" s="291" t="s">
        <v>2207</v>
      </c>
      <c r="H48" s="176" t="s">
        <v>461</v>
      </c>
      <c r="I48" s="176" t="s">
        <v>530</v>
      </c>
      <c r="J48" s="238" t="s">
        <v>2213</v>
      </c>
      <c r="K48" s="99" t="s">
        <v>2213</v>
      </c>
      <c r="L48" s="239" t="s">
        <v>2180</v>
      </c>
      <c r="M48" s="240" t="s">
        <v>2219</v>
      </c>
      <c r="N48" s="240" t="s">
        <v>1131</v>
      </c>
      <c r="O48" s="248" t="s">
        <v>2220</v>
      </c>
    </row>
    <row r="49">
      <c r="A49" s="67"/>
      <c r="B49" s="249" t="s">
        <v>1273</v>
      </c>
      <c r="C49" s="250" t="s">
        <v>2223</v>
      </c>
      <c r="D49" s="245" t="s">
        <v>2224</v>
      </c>
      <c r="E49" s="245" t="s">
        <v>213</v>
      </c>
      <c r="F49" s="245" t="s">
        <v>2226</v>
      </c>
      <c r="G49" s="297" t="s">
        <v>2227</v>
      </c>
      <c r="H49" s="298" t="s">
        <v>461</v>
      </c>
      <c r="I49" s="298" t="s">
        <v>462</v>
      </c>
      <c r="J49" s="238" t="s">
        <v>2231</v>
      </c>
      <c r="K49" s="99" t="s">
        <v>2231</v>
      </c>
      <c r="L49" s="239" t="s">
        <v>2180</v>
      </c>
      <c r="M49" s="240" t="s">
        <v>2237</v>
      </c>
      <c r="N49" s="240" t="s">
        <v>2238</v>
      </c>
      <c r="O49" s="248" t="s">
        <v>2241</v>
      </c>
    </row>
    <row r="50">
      <c r="A50" s="67"/>
      <c r="B50" s="272" t="s">
        <v>1273</v>
      </c>
      <c r="C50" s="290" t="s">
        <v>2246</v>
      </c>
      <c r="D50" s="172" t="s">
        <v>2247</v>
      </c>
      <c r="E50" s="172" t="s">
        <v>2249</v>
      </c>
      <c r="F50" s="172" t="s">
        <v>447</v>
      </c>
      <c r="G50" s="291" t="s">
        <v>2250</v>
      </c>
      <c r="H50" s="176" t="s">
        <v>461</v>
      </c>
      <c r="I50" s="176" t="s">
        <v>462</v>
      </c>
      <c r="J50" s="238" t="s">
        <v>2256</v>
      </c>
      <c r="K50" s="99" t="s">
        <v>2256</v>
      </c>
      <c r="L50" s="239" t="s">
        <v>2180</v>
      </c>
      <c r="M50" s="240" t="s">
        <v>2262</v>
      </c>
      <c r="N50" s="240" t="s">
        <v>463</v>
      </c>
      <c r="O50" s="248" t="s">
        <v>2263</v>
      </c>
    </row>
    <row r="51">
      <c r="A51" s="67"/>
      <c r="B51" s="249" t="s">
        <v>1273</v>
      </c>
      <c r="C51" s="250" t="s">
        <v>2265</v>
      </c>
      <c r="D51" s="245" t="s">
        <v>2266</v>
      </c>
      <c r="E51" s="245" t="s">
        <v>181</v>
      </c>
      <c r="F51" s="245" t="s">
        <v>394</v>
      </c>
      <c r="G51" s="297" t="s">
        <v>2269</v>
      </c>
      <c r="H51" s="298" t="s">
        <v>485</v>
      </c>
      <c r="I51" s="298" t="s">
        <v>386</v>
      </c>
      <c r="J51" s="238" t="s">
        <v>2275</v>
      </c>
      <c r="K51" s="99" t="s">
        <v>2275</v>
      </c>
      <c r="L51" s="239" t="s">
        <v>1421</v>
      </c>
      <c r="M51" s="240" t="s">
        <v>2281</v>
      </c>
      <c r="N51" s="240" t="s">
        <v>730</v>
      </c>
      <c r="O51" s="248" t="s">
        <v>2282</v>
      </c>
    </row>
    <row r="52">
      <c r="A52" s="67"/>
      <c r="B52" s="272" t="s">
        <v>1273</v>
      </c>
      <c r="C52" s="290" t="s">
        <v>2287</v>
      </c>
      <c r="D52" s="172" t="s">
        <v>2288</v>
      </c>
      <c r="E52" s="172" t="s">
        <v>181</v>
      </c>
      <c r="F52" s="172" t="s">
        <v>2289</v>
      </c>
      <c r="G52" s="291" t="s">
        <v>2290</v>
      </c>
      <c r="H52" s="176" t="s">
        <v>192</v>
      </c>
      <c r="I52" s="176" t="s">
        <v>276</v>
      </c>
      <c r="J52" s="238" t="s">
        <v>2293</v>
      </c>
      <c r="K52" s="99" t="s">
        <v>2293</v>
      </c>
      <c r="L52" s="239" t="s">
        <v>1806</v>
      </c>
      <c r="M52" s="240" t="s">
        <v>2301</v>
      </c>
      <c r="N52" s="240" t="s">
        <v>533</v>
      </c>
      <c r="O52" s="248" t="s">
        <v>2302</v>
      </c>
    </row>
    <row r="53">
      <c r="A53" s="67"/>
      <c r="B53" s="249" t="s">
        <v>1273</v>
      </c>
      <c r="C53" s="250" t="s">
        <v>2309</v>
      </c>
      <c r="D53" s="245" t="s">
        <v>2310</v>
      </c>
      <c r="E53" s="245" t="s">
        <v>1675</v>
      </c>
      <c r="F53" s="245" t="s">
        <v>2311</v>
      </c>
      <c r="G53" s="297" t="s">
        <v>2313</v>
      </c>
      <c r="H53" s="298" t="s">
        <v>485</v>
      </c>
      <c r="I53" s="298" t="s">
        <v>386</v>
      </c>
      <c r="J53" s="238" t="s">
        <v>2319</v>
      </c>
      <c r="K53" s="99" t="s">
        <v>2319</v>
      </c>
      <c r="L53" s="239" t="s">
        <v>1421</v>
      </c>
      <c r="M53" s="240" t="s">
        <v>2325</v>
      </c>
      <c r="N53" s="240" t="s">
        <v>387</v>
      </c>
      <c r="O53" s="248" t="s">
        <v>2326</v>
      </c>
    </row>
    <row r="54">
      <c r="A54" s="67"/>
      <c r="B54" s="272" t="s">
        <v>1273</v>
      </c>
      <c r="C54" s="290" t="s">
        <v>71</v>
      </c>
      <c r="D54" s="172" t="s">
        <v>212</v>
      </c>
      <c r="E54" s="172" t="s">
        <v>213</v>
      </c>
      <c r="F54" s="172" t="s">
        <v>215</v>
      </c>
      <c r="G54" s="291" t="s">
        <v>216</v>
      </c>
      <c r="H54" s="176" t="s">
        <v>224</v>
      </c>
      <c r="I54" s="176" t="s">
        <v>226</v>
      </c>
      <c r="J54" s="238" t="s">
        <v>847</v>
      </c>
      <c r="K54" s="99" t="s">
        <v>847</v>
      </c>
      <c r="L54" s="239" t="s">
        <v>2337</v>
      </c>
      <c r="M54" s="240" t="s">
        <v>2338</v>
      </c>
      <c r="N54" s="240" t="s">
        <v>238</v>
      </c>
      <c r="O54" s="248" t="s">
        <v>2339</v>
      </c>
    </row>
    <row r="55">
      <c r="A55" s="67"/>
      <c r="B55" s="249" t="s">
        <v>1273</v>
      </c>
      <c r="C55" s="250" t="s">
        <v>2343</v>
      </c>
      <c r="D55" s="245" t="s">
        <v>2344</v>
      </c>
      <c r="E55" s="245" t="s">
        <v>2346</v>
      </c>
      <c r="F55" s="245" t="s">
        <v>668</v>
      </c>
      <c r="G55" s="297" t="s">
        <v>2347</v>
      </c>
      <c r="H55" s="298" t="s">
        <v>224</v>
      </c>
      <c r="I55" s="298" t="s">
        <v>324</v>
      </c>
      <c r="J55" s="238" t="s">
        <v>2351</v>
      </c>
      <c r="K55" s="99" t="s">
        <v>2351</v>
      </c>
      <c r="L55" s="239" t="s">
        <v>1524</v>
      </c>
      <c r="M55" s="240" t="s">
        <v>2357</v>
      </c>
      <c r="N55" s="240" t="s">
        <v>332</v>
      </c>
      <c r="O55" s="248" t="s">
        <v>2358</v>
      </c>
    </row>
    <row r="56">
      <c r="A56" s="67"/>
      <c r="B56" s="272" t="s">
        <v>1273</v>
      </c>
      <c r="C56" s="290" t="s">
        <v>2359</v>
      </c>
      <c r="D56" s="172" t="s">
        <v>2361</v>
      </c>
      <c r="E56" s="172" t="s">
        <v>2362</v>
      </c>
      <c r="F56" s="172" t="s">
        <v>2363</v>
      </c>
      <c r="G56" s="291" t="s">
        <v>2364</v>
      </c>
      <c r="H56" s="176" t="s">
        <v>461</v>
      </c>
      <c r="I56" s="176" t="s">
        <v>462</v>
      </c>
      <c r="J56" s="238" t="s">
        <v>2369</v>
      </c>
      <c r="K56" s="99" t="s">
        <v>2369</v>
      </c>
      <c r="L56" s="239" t="s">
        <v>2180</v>
      </c>
      <c r="M56" s="240" t="s">
        <v>2374</v>
      </c>
      <c r="N56" s="240" t="s">
        <v>886</v>
      </c>
      <c r="O56" s="248" t="s">
        <v>2375</v>
      </c>
    </row>
    <row r="57">
      <c r="A57" s="67"/>
      <c r="B57" s="249" t="s">
        <v>1273</v>
      </c>
      <c r="C57" s="250" t="s">
        <v>2383</v>
      </c>
      <c r="D57" s="245" t="s">
        <v>2385</v>
      </c>
      <c r="E57" s="245" t="s">
        <v>2386</v>
      </c>
      <c r="F57" s="245" t="s">
        <v>2387</v>
      </c>
      <c r="G57" s="297" t="s">
        <v>2388</v>
      </c>
      <c r="H57" s="298" t="s">
        <v>224</v>
      </c>
      <c r="I57" s="298" t="s">
        <v>226</v>
      </c>
      <c r="J57" s="238" t="s">
        <v>2390</v>
      </c>
      <c r="K57" s="99" t="s">
        <v>2390</v>
      </c>
      <c r="L57" s="239" t="s">
        <v>1806</v>
      </c>
      <c r="M57" s="240" t="s">
        <v>2395</v>
      </c>
      <c r="N57" s="240" t="s">
        <v>238</v>
      </c>
      <c r="O57" s="248" t="s">
        <v>2396</v>
      </c>
    </row>
    <row r="58">
      <c r="A58" s="67"/>
      <c r="B58" s="272" t="s">
        <v>1273</v>
      </c>
      <c r="C58" s="77" t="s">
        <v>2407</v>
      </c>
      <c r="D58" s="172" t="s">
        <v>2408</v>
      </c>
      <c r="E58" s="172" t="s">
        <v>2409</v>
      </c>
      <c r="F58" s="172" t="s">
        <v>2410</v>
      </c>
      <c r="G58" s="291" t="s">
        <v>2411</v>
      </c>
      <c r="H58" s="176" t="s">
        <v>192</v>
      </c>
      <c r="I58" s="176" t="s">
        <v>195</v>
      </c>
      <c r="J58" s="238" t="s">
        <v>2413</v>
      </c>
      <c r="K58" s="99" t="s">
        <v>2413</v>
      </c>
      <c r="L58" s="239" t="s">
        <v>1524</v>
      </c>
      <c r="M58" s="240" t="s">
        <v>2418</v>
      </c>
      <c r="N58" s="240" t="s">
        <v>362</v>
      </c>
      <c r="O58" s="248" t="s">
        <v>2419</v>
      </c>
    </row>
    <row r="59">
      <c r="A59" s="67"/>
      <c r="B59" s="249" t="s">
        <v>1273</v>
      </c>
      <c r="C59" s="250" t="s">
        <v>2425</v>
      </c>
      <c r="D59" s="245" t="s">
        <v>2426</v>
      </c>
      <c r="E59" s="245" t="s">
        <v>2427</v>
      </c>
      <c r="F59" s="245" t="s">
        <v>2428</v>
      </c>
      <c r="G59" s="297" t="s">
        <v>2429</v>
      </c>
      <c r="H59" s="298" t="s">
        <v>485</v>
      </c>
      <c r="I59" s="298" t="s">
        <v>386</v>
      </c>
      <c r="J59" s="238" t="s">
        <v>2431</v>
      </c>
      <c r="K59" s="99" t="s">
        <v>2431</v>
      </c>
      <c r="L59" s="239" t="s">
        <v>1354</v>
      </c>
      <c r="M59" s="240" t="s">
        <v>2436</v>
      </c>
      <c r="N59" s="240" t="s">
        <v>549</v>
      </c>
      <c r="O59" s="248" t="s">
        <v>2437</v>
      </c>
    </row>
    <row r="60">
      <c r="A60" s="67"/>
      <c r="B60" s="272" t="s">
        <v>1273</v>
      </c>
      <c r="C60" s="290" t="s">
        <v>2440</v>
      </c>
      <c r="D60" s="321" t="s">
        <v>2441</v>
      </c>
      <c r="E60" s="172" t="s">
        <v>2444</v>
      </c>
      <c r="F60" s="290" t="s">
        <v>2446</v>
      </c>
      <c r="G60" s="322" t="s">
        <v>2447</v>
      </c>
      <c r="H60" s="77" t="s">
        <v>192</v>
      </c>
      <c r="I60" s="77" t="s">
        <v>276</v>
      </c>
      <c r="J60" s="238" t="s">
        <v>2449</v>
      </c>
      <c r="K60" s="99" t="s">
        <v>2449</v>
      </c>
      <c r="L60" s="239" t="s">
        <v>1354</v>
      </c>
      <c r="M60" s="240" t="s">
        <v>2458</v>
      </c>
      <c r="N60" s="240" t="s">
        <v>996</v>
      </c>
      <c r="O60" s="248" t="s">
        <v>2459</v>
      </c>
    </row>
    <row r="61">
      <c r="A61" s="67"/>
      <c r="B61" s="249" t="s">
        <v>1273</v>
      </c>
      <c r="C61" s="250" t="s">
        <v>2462</v>
      </c>
      <c r="D61" s="245" t="s">
        <v>2463</v>
      </c>
      <c r="E61" s="245" t="s">
        <v>2464</v>
      </c>
      <c r="F61" s="323" t="s">
        <v>727</v>
      </c>
      <c r="G61" s="297" t="s">
        <v>2467</v>
      </c>
      <c r="H61" s="298" t="s">
        <v>224</v>
      </c>
      <c r="I61" s="298" t="s">
        <v>226</v>
      </c>
      <c r="J61" s="238" t="s">
        <v>2474</v>
      </c>
      <c r="K61" s="99" t="s">
        <v>2474</v>
      </c>
      <c r="L61" s="239" t="s">
        <v>2481</v>
      </c>
      <c r="M61" s="240" t="s">
        <v>2483</v>
      </c>
      <c r="N61" s="240" t="s">
        <v>238</v>
      </c>
      <c r="O61" s="248" t="s">
        <v>2484</v>
      </c>
    </row>
    <row r="62">
      <c r="A62" s="67"/>
      <c r="B62" s="272" t="s">
        <v>1273</v>
      </c>
      <c r="C62" s="290" t="s">
        <v>2487</v>
      </c>
      <c r="D62" s="172" t="s">
        <v>555</v>
      </c>
      <c r="E62" s="172" t="s">
        <v>2490</v>
      </c>
      <c r="F62" s="172" t="s">
        <v>2492</v>
      </c>
      <c r="G62" s="291" t="s">
        <v>562</v>
      </c>
      <c r="H62" s="176" t="s">
        <v>192</v>
      </c>
      <c r="I62" s="176" t="s">
        <v>350</v>
      </c>
      <c r="J62" s="238" t="s">
        <v>2497</v>
      </c>
      <c r="K62" s="99" t="s">
        <v>2497</v>
      </c>
      <c r="L62" s="239" t="s">
        <v>2180</v>
      </c>
      <c r="M62" s="240" t="s">
        <v>2505</v>
      </c>
      <c r="N62" s="240" t="s">
        <v>352</v>
      </c>
      <c r="O62" s="248" t="s">
        <v>2506</v>
      </c>
    </row>
    <row r="63">
      <c r="A63" s="67"/>
      <c r="B63" s="249" t="s">
        <v>1273</v>
      </c>
      <c r="C63" s="250" t="s">
        <v>2516</v>
      </c>
      <c r="D63" s="245" t="s">
        <v>1489</v>
      </c>
      <c r="E63" s="245" t="s">
        <v>1490</v>
      </c>
      <c r="F63" s="245" t="s">
        <v>1491</v>
      </c>
      <c r="G63" s="297" t="s">
        <v>1496</v>
      </c>
      <c r="H63" s="298" t="s">
        <v>192</v>
      </c>
      <c r="I63" s="298" t="s">
        <v>276</v>
      </c>
      <c r="J63" s="238" t="s">
        <v>2521</v>
      </c>
      <c r="K63" s="99" t="s">
        <v>2521</v>
      </c>
      <c r="L63" s="239" t="s">
        <v>2527</v>
      </c>
      <c r="M63" s="240" t="s">
        <v>2528</v>
      </c>
      <c r="N63" s="240" t="s">
        <v>897</v>
      </c>
      <c r="O63" s="248" t="s">
        <v>2529</v>
      </c>
    </row>
    <row r="64">
      <c r="A64" s="67"/>
      <c r="B64" s="272" t="s">
        <v>1273</v>
      </c>
      <c r="C64" s="290" t="s">
        <v>2536</v>
      </c>
      <c r="D64" s="172" t="s">
        <v>2539</v>
      </c>
      <c r="E64" s="172" t="s">
        <v>2540</v>
      </c>
      <c r="F64" s="172" t="s">
        <v>500</v>
      </c>
      <c r="G64" s="291" t="s">
        <v>2542</v>
      </c>
      <c r="H64" s="176" t="s">
        <v>192</v>
      </c>
      <c r="I64" s="176" t="s">
        <v>276</v>
      </c>
      <c r="J64" s="238" t="s">
        <v>2544</v>
      </c>
      <c r="K64" s="99" t="s">
        <v>2544</v>
      </c>
      <c r="L64" s="239" t="s">
        <v>1645</v>
      </c>
      <c r="M64" s="240" t="s">
        <v>2552</v>
      </c>
      <c r="N64" s="240" t="s">
        <v>1667</v>
      </c>
      <c r="O64" s="248" t="s">
        <v>2553</v>
      </c>
    </row>
    <row r="65">
      <c r="A65" s="67"/>
      <c r="B65" s="249" t="s">
        <v>1273</v>
      </c>
      <c r="C65" s="250" t="s">
        <v>2561</v>
      </c>
      <c r="D65" s="245" t="s">
        <v>2562</v>
      </c>
      <c r="E65" s="245" t="s">
        <v>2563</v>
      </c>
      <c r="F65" s="245" t="s">
        <v>2565</v>
      </c>
      <c r="G65" s="297" t="s">
        <v>2566</v>
      </c>
      <c r="H65" s="298" t="s">
        <v>192</v>
      </c>
      <c r="I65" s="298" t="s">
        <v>276</v>
      </c>
      <c r="J65" s="238" t="s">
        <v>2572</v>
      </c>
      <c r="K65" s="99" t="s">
        <v>2572</v>
      </c>
      <c r="L65" s="239" t="s">
        <v>1920</v>
      </c>
      <c r="M65" s="240" t="s">
        <v>2579</v>
      </c>
      <c r="N65" s="240" t="s">
        <v>284</v>
      </c>
      <c r="O65" s="248" t="s">
        <v>2580</v>
      </c>
    </row>
    <row r="66">
      <c r="A66" s="67"/>
      <c r="B66" s="272" t="s">
        <v>1273</v>
      </c>
      <c r="C66" s="290" t="s">
        <v>2582</v>
      </c>
      <c r="D66" s="172" t="s">
        <v>1458</v>
      </c>
      <c r="E66" s="172" t="s">
        <v>2583</v>
      </c>
      <c r="F66" s="172" t="s">
        <v>447</v>
      </c>
      <c r="G66" s="291" t="s">
        <v>1463</v>
      </c>
      <c r="H66" s="176" t="s">
        <v>224</v>
      </c>
      <c r="I66" s="335" t="s">
        <v>440</v>
      </c>
      <c r="J66" s="238" t="s">
        <v>2584</v>
      </c>
      <c r="K66" s="99" t="s">
        <v>2584</v>
      </c>
      <c r="L66" s="239" t="s">
        <v>1421</v>
      </c>
      <c r="M66" s="240" t="s">
        <v>2591</v>
      </c>
      <c r="N66" s="240" t="s">
        <v>616</v>
      </c>
      <c r="O66" s="248" t="s">
        <v>2592</v>
      </c>
    </row>
    <row r="67">
      <c r="A67" s="67"/>
      <c r="B67" s="249" t="s">
        <v>1273</v>
      </c>
      <c r="C67" s="250" t="s">
        <v>2601</v>
      </c>
      <c r="D67" s="245" t="s">
        <v>2602</v>
      </c>
      <c r="E67" s="245" t="s">
        <v>447</v>
      </c>
      <c r="F67" s="245" t="s">
        <v>447</v>
      </c>
      <c r="G67" s="297" t="s">
        <v>2604</v>
      </c>
      <c r="H67" s="298" t="s">
        <v>485</v>
      </c>
      <c r="I67" s="298" t="s">
        <v>1043</v>
      </c>
      <c r="J67" s="238" t="s">
        <v>2605</v>
      </c>
      <c r="K67" s="99" t="s">
        <v>2605</v>
      </c>
      <c r="L67" s="239" t="s">
        <v>1292</v>
      </c>
      <c r="M67" s="240" t="s">
        <v>2609</v>
      </c>
      <c r="N67" s="240" t="s">
        <v>730</v>
      </c>
      <c r="O67" s="248" t="s">
        <v>2610</v>
      </c>
    </row>
    <row r="68">
      <c r="A68" s="67"/>
      <c r="B68" s="272" t="s">
        <v>1273</v>
      </c>
      <c r="C68" s="290" t="s">
        <v>2613</v>
      </c>
      <c r="D68" s="172" t="s">
        <v>2614</v>
      </c>
      <c r="E68" s="172" t="s">
        <v>2615</v>
      </c>
      <c r="F68" s="172" t="s">
        <v>2616</v>
      </c>
      <c r="G68" s="359" t="s">
        <v>2617</v>
      </c>
      <c r="H68" s="176" t="s">
        <v>192</v>
      </c>
      <c r="I68" s="176" t="s">
        <v>350</v>
      </c>
      <c r="J68" s="238" t="s">
        <v>2620</v>
      </c>
      <c r="K68" s="99" t="s">
        <v>2620</v>
      </c>
      <c r="L68" s="239" t="s">
        <v>1729</v>
      </c>
      <c r="M68" s="240" t="s">
        <v>2626</v>
      </c>
      <c r="N68" s="240" t="s">
        <v>352</v>
      </c>
      <c r="O68" s="248" t="s">
        <v>2628</v>
      </c>
    </row>
    <row r="69">
      <c r="A69" s="67"/>
      <c r="B69" s="249" t="s">
        <v>1273</v>
      </c>
      <c r="C69" s="250" t="s">
        <v>2631</v>
      </c>
      <c r="D69" s="245" t="s">
        <v>2632</v>
      </c>
      <c r="E69" s="245" t="s">
        <v>993</v>
      </c>
      <c r="F69" s="245" t="s">
        <v>2633</v>
      </c>
      <c r="G69" s="297" t="s">
        <v>2634</v>
      </c>
      <c r="H69" s="298" t="s">
        <v>461</v>
      </c>
      <c r="I69" s="298" t="s">
        <v>530</v>
      </c>
      <c r="J69" s="238" t="s">
        <v>2636</v>
      </c>
      <c r="K69" s="99" t="s">
        <v>2636</v>
      </c>
      <c r="L69" s="239" t="s">
        <v>1421</v>
      </c>
      <c r="M69" s="240" t="s">
        <v>2641</v>
      </c>
      <c r="N69" s="240" t="s">
        <v>547</v>
      </c>
      <c r="O69" s="248" t="s">
        <v>2642</v>
      </c>
    </row>
    <row r="70">
      <c r="A70" s="67"/>
      <c r="B70" s="272" t="s">
        <v>1273</v>
      </c>
      <c r="C70" s="290" t="s">
        <v>2644</v>
      </c>
      <c r="D70" s="172" t="s">
        <v>1305</v>
      </c>
      <c r="E70" s="172" t="s">
        <v>2645</v>
      </c>
      <c r="F70" s="172" t="s">
        <v>2646</v>
      </c>
      <c r="G70" s="291" t="s">
        <v>1308</v>
      </c>
      <c r="H70" s="176" t="s">
        <v>192</v>
      </c>
      <c r="I70" s="176" t="s">
        <v>195</v>
      </c>
      <c r="J70" s="238" t="s">
        <v>2648</v>
      </c>
      <c r="K70" s="99" t="s">
        <v>2648</v>
      </c>
      <c r="L70" s="239" t="s">
        <v>1645</v>
      </c>
      <c r="M70" s="240" t="s">
        <v>2655</v>
      </c>
      <c r="N70" s="240" t="s">
        <v>897</v>
      </c>
      <c r="O70" s="248" t="s">
        <v>2656</v>
      </c>
    </row>
    <row r="71">
      <c r="A71" s="67"/>
      <c r="B71" s="249" t="s">
        <v>1273</v>
      </c>
      <c r="C71" s="250" t="s">
        <v>2659</v>
      </c>
      <c r="D71" s="245" t="s">
        <v>2660</v>
      </c>
      <c r="E71" s="245" t="s">
        <v>2661</v>
      </c>
      <c r="F71" s="245" t="s">
        <v>1977</v>
      </c>
      <c r="G71" s="297" t="s">
        <v>2664</v>
      </c>
      <c r="H71" s="298" t="s">
        <v>485</v>
      </c>
      <c r="I71" s="298" t="s">
        <v>1043</v>
      </c>
      <c r="J71" s="238" t="s">
        <v>2671</v>
      </c>
      <c r="K71" s="99" t="s">
        <v>2671</v>
      </c>
      <c r="L71" s="239" t="s">
        <v>1292</v>
      </c>
      <c r="M71" s="240" t="s">
        <v>2673</v>
      </c>
      <c r="N71" s="240" t="s">
        <v>730</v>
      </c>
      <c r="O71" s="248" t="s">
        <v>2674</v>
      </c>
    </row>
    <row r="72">
      <c r="A72" s="67"/>
      <c r="B72" s="272" t="s">
        <v>1273</v>
      </c>
      <c r="C72" s="290" t="s">
        <v>2679</v>
      </c>
      <c r="D72" s="172" t="s">
        <v>2681</v>
      </c>
      <c r="E72" s="172" t="s">
        <v>317</v>
      </c>
      <c r="F72" s="172" t="s">
        <v>2682</v>
      </c>
      <c r="G72" s="291" t="s">
        <v>2683</v>
      </c>
      <c r="H72" s="176" t="s">
        <v>485</v>
      </c>
      <c r="I72" s="176" t="s">
        <v>486</v>
      </c>
      <c r="J72" s="238" t="s">
        <v>2685</v>
      </c>
      <c r="K72" s="99" t="s">
        <v>2685</v>
      </c>
      <c r="L72" s="239" t="s">
        <v>1292</v>
      </c>
      <c r="M72" s="240" t="s">
        <v>2687</v>
      </c>
      <c r="N72" s="240" t="s">
        <v>449</v>
      </c>
      <c r="O72" s="248" t="s">
        <v>2688</v>
      </c>
    </row>
    <row r="73">
      <c r="A73" s="67"/>
      <c r="B73" s="249" t="s">
        <v>1273</v>
      </c>
      <c r="C73" s="250" t="s">
        <v>2692</v>
      </c>
      <c r="D73" s="245" t="s">
        <v>2694</v>
      </c>
      <c r="E73" s="245" t="s">
        <v>2695</v>
      </c>
      <c r="F73" s="245" t="s">
        <v>2697</v>
      </c>
      <c r="G73" s="297" t="s">
        <v>2683</v>
      </c>
      <c r="H73" s="298" t="s">
        <v>461</v>
      </c>
      <c r="I73" s="298" t="s">
        <v>530</v>
      </c>
      <c r="J73" s="238" t="s">
        <v>2698</v>
      </c>
      <c r="K73" s="99" t="s">
        <v>2698</v>
      </c>
      <c r="L73" s="239" t="s">
        <v>1292</v>
      </c>
      <c r="M73" s="240" t="s">
        <v>2704</v>
      </c>
      <c r="N73" s="240" t="s">
        <v>547</v>
      </c>
      <c r="O73" s="248" t="s">
        <v>2705</v>
      </c>
    </row>
    <row r="74">
      <c r="A74" s="67"/>
      <c r="B74" s="272" t="s">
        <v>1273</v>
      </c>
      <c r="C74" s="290" t="s">
        <v>2711</v>
      </c>
      <c r="D74" s="172" t="s">
        <v>2712</v>
      </c>
      <c r="E74" s="172" t="s">
        <v>1351</v>
      </c>
      <c r="F74" s="172" t="s">
        <v>1093</v>
      </c>
      <c r="G74" s="291" t="s">
        <v>2713</v>
      </c>
      <c r="H74" s="176" t="s">
        <v>192</v>
      </c>
      <c r="I74" s="176" t="s">
        <v>276</v>
      </c>
      <c r="J74" s="238" t="s">
        <v>2716</v>
      </c>
      <c r="K74" s="99" t="s">
        <v>2716</v>
      </c>
      <c r="L74" s="239" t="s">
        <v>1292</v>
      </c>
      <c r="M74" s="240" t="s">
        <v>2718</v>
      </c>
      <c r="N74" s="240" t="s">
        <v>284</v>
      </c>
      <c r="O74" s="248" t="s">
        <v>2721</v>
      </c>
    </row>
    <row r="75">
      <c r="A75" s="67"/>
      <c r="B75" s="249" t="s">
        <v>1273</v>
      </c>
      <c r="C75" s="250" t="s">
        <v>2729</v>
      </c>
      <c r="D75" s="245" t="s">
        <v>2730</v>
      </c>
      <c r="E75" s="245" t="s">
        <v>2346</v>
      </c>
      <c r="F75" s="245" t="s">
        <v>957</v>
      </c>
      <c r="G75" s="297" t="s">
        <v>2731</v>
      </c>
      <c r="H75" s="298" t="s">
        <v>192</v>
      </c>
      <c r="I75" s="298" t="s">
        <v>195</v>
      </c>
      <c r="J75" s="238" t="s">
        <v>2733</v>
      </c>
      <c r="K75" s="99" t="s">
        <v>2733</v>
      </c>
      <c r="L75" s="239" t="s">
        <v>1779</v>
      </c>
      <c r="M75" s="240" t="s">
        <v>2734</v>
      </c>
      <c r="N75" s="240" t="s">
        <v>362</v>
      </c>
      <c r="O75" s="248" t="s">
        <v>2735</v>
      </c>
    </row>
    <row r="76">
      <c r="A76" s="67"/>
      <c r="B76" s="272" t="s">
        <v>1273</v>
      </c>
      <c r="C76" s="290" t="s">
        <v>2739</v>
      </c>
      <c r="D76" s="172" t="s">
        <v>2137</v>
      </c>
      <c r="E76" s="172" t="s">
        <v>181</v>
      </c>
      <c r="F76" s="172" t="s">
        <v>684</v>
      </c>
      <c r="G76" s="291" t="s">
        <v>2148</v>
      </c>
      <c r="H76" s="176" t="s">
        <v>224</v>
      </c>
      <c r="I76" s="176" t="s">
        <v>440</v>
      </c>
      <c r="J76" s="238" t="s">
        <v>2742</v>
      </c>
      <c r="K76" s="99" t="s">
        <v>2742</v>
      </c>
      <c r="L76" s="239" t="s">
        <v>2180</v>
      </c>
      <c r="M76" s="240" t="s">
        <v>2749</v>
      </c>
      <c r="N76" s="240" t="s">
        <v>442</v>
      </c>
      <c r="O76" s="248" t="s">
        <v>2750</v>
      </c>
    </row>
    <row r="77">
      <c r="A77" s="67"/>
      <c r="B77" s="249" t="s">
        <v>1273</v>
      </c>
      <c r="C77" s="250" t="s">
        <v>2752</v>
      </c>
      <c r="D77" s="245" t="s">
        <v>2753</v>
      </c>
      <c r="E77" s="245" t="s">
        <v>2754</v>
      </c>
      <c r="F77" s="245" t="s">
        <v>1658</v>
      </c>
      <c r="G77" s="297" t="s">
        <v>2755</v>
      </c>
      <c r="H77" s="298" t="s">
        <v>192</v>
      </c>
      <c r="I77" s="298" t="s">
        <v>276</v>
      </c>
      <c r="J77" s="238" t="s">
        <v>2757</v>
      </c>
      <c r="K77" s="99" t="s">
        <v>2757</v>
      </c>
      <c r="L77" s="239" t="s">
        <v>2180</v>
      </c>
      <c r="M77" s="240" t="s">
        <v>2760</v>
      </c>
      <c r="N77" s="240" t="s">
        <v>1667</v>
      </c>
      <c r="O77" s="248" t="s">
        <v>2762</v>
      </c>
    </row>
    <row r="78">
      <c r="A78" s="67"/>
      <c r="B78" s="272" t="s">
        <v>1273</v>
      </c>
      <c r="C78" s="290" t="s">
        <v>2767</v>
      </c>
      <c r="D78" s="172" t="s">
        <v>2768</v>
      </c>
      <c r="E78" s="172" t="s">
        <v>525</v>
      </c>
      <c r="F78" s="172" t="s">
        <v>2769</v>
      </c>
      <c r="G78" s="291" t="s">
        <v>2770</v>
      </c>
      <c r="H78" s="176" t="s">
        <v>192</v>
      </c>
      <c r="I78" s="176" t="s">
        <v>276</v>
      </c>
      <c r="J78" s="238" t="s">
        <v>2771</v>
      </c>
      <c r="K78" s="99" t="s">
        <v>2771</v>
      </c>
      <c r="L78" s="239" t="s">
        <v>1645</v>
      </c>
      <c r="M78" s="240" t="s">
        <v>2773</v>
      </c>
      <c r="N78" s="240" t="s">
        <v>996</v>
      </c>
      <c r="O78" s="248" t="s">
        <v>2774</v>
      </c>
    </row>
    <row r="79">
      <c r="A79" s="67"/>
      <c r="B79" s="249" t="s">
        <v>1273</v>
      </c>
      <c r="C79" s="250" t="s">
        <v>2776</v>
      </c>
      <c r="D79" s="245" t="s">
        <v>2777</v>
      </c>
      <c r="E79" s="245" t="s">
        <v>2778</v>
      </c>
      <c r="F79" s="245" t="s">
        <v>2779</v>
      </c>
      <c r="G79" s="297" t="s">
        <v>2780</v>
      </c>
      <c r="H79" s="298" t="s">
        <v>224</v>
      </c>
      <c r="I79" s="298" t="s">
        <v>440</v>
      </c>
      <c r="J79" s="238" t="s">
        <v>2786</v>
      </c>
      <c r="K79" s="160" t="s">
        <v>2786</v>
      </c>
      <c r="L79" s="239" t="s">
        <v>2527</v>
      </c>
      <c r="M79" s="240" t="s">
        <v>2795</v>
      </c>
      <c r="N79" s="240" t="s">
        <v>442</v>
      </c>
      <c r="O79" s="248" t="s">
        <v>2796</v>
      </c>
    </row>
    <row r="80">
      <c r="A80" s="67"/>
      <c r="B80" s="272" t="s">
        <v>1273</v>
      </c>
      <c r="C80" s="290" t="s">
        <v>2799</v>
      </c>
      <c r="D80" s="172" t="s">
        <v>2800</v>
      </c>
      <c r="E80" s="172" t="s">
        <v>2801</v>
      </c>
      <c r="F80" s="172" t="s">
        <v>568</v>
      </c>
      <c r="G80" s="291" t="s">
        <v>2803</v>
      </c>
      <c r="H80" s="176" t="s">
        <v>224</v>
      </c>
      <c r="I80" s="176" t="s">
        <v>226</v>
      </c>
      <c r="J80" s="238" t="s">
        <v>2807</v>
      </c>
      <c r="K80" s="99" t="s">
        <v>2807</v>
      </c>
      <c r="L80" s="239" t="s">
        <v>1292</v>
      </c>
      <c r="M80" s="240" t="s">
        <v>2810</v>
      </c>
      <c r="N80" s="240" t="s">
        <v>238</v>
      </c>
      <c r="O80" s="248" t="s">
        <v>2811</v>
      </c>
    </row>
    <row r="81">
      <c r="A81" s="67"/>
      <c r="B81" s="249" t="s">
        <v>1273</v>
      </c>
      <c r="C81" s="250" t="s">
        <v>2815</v>
      </c>
      <c r="D81" s="245" t="s">
        <v>2816</v>
      </c>
      <c r="E81" s="245" t="s">
        <v>2817</v>
      </c>
      <c r="F81" s="245" t="s">
        <v>2818</v>
      </c>
      <c r="G81" s="297" t="s">
        <v>2819</v>
      </c>
      <c r="H81" s="298" t="s">
        <v>192</v>
      </c>
      <c r="I81" s="298" t="s">
        <v>276</v>
      </c>
      <c r="J81" s="238" t="s">
        <v>2820</v>
      </c>
      <c r="K81" s="99" t="s">
        <v>2820</v>
      </c>
      <c r="L81" s="239" t="s">
        <v>1292</v>
      </c>
      <c r="M81" s="240" t="s">
        <v>2822</v>
      </c>
      <c r="N81" s="240" t="s">
        <v>284</v>
      </c>
      <c r="O81" s="248" t="s">
        <v>2824</v>
      </c>
    </row>
    <row r="82">
      <c r="A82" s="67"/>
      <c r="B82" s="272" t="s">
        <v>1273</v>
      </c>
      <c r="C82" s="290" t="s">
        <v>2825</v>
      </c>
      <c r="D82" s="172" t="s">
        <v>2826</v>
      </c>
      <c r="E82" s="172" t="s">
        <v>2827</v>
      </c>
      <c r="F82" s="172" t="s">
        <v>2828</v>
      </c>
      <c r="G82" s="291" t="s">
        <v>2829</v>
      </c>
      <c r="H82" s="176" t="s">
        <v>485</v>
      </c>
      <c r="I82" s="176" t="s">
        <v>486</v>
      </c>
      <c r="J82" s="238" t="s">
        <v>2832</v>
      </c>
      <c r="K82" s="99" t="s">
        <v>2832</v>
      </c>
      <c r="L82" s="239" t="s">
        <v>1292</v>
      </c>
      <c r="M82" s="240" t="s">
        <v>2839</v>
      </c>
      <c r="N82" s="240" t="s">
        <v>449</v>
      </c>
      <c r="O82" s="248" t="s">
        <v>2841</v>
      </c>
    </row>
    <row r="83">
      <c r="A83" s="67"/>
      <c r="B83" s="249" t="s">
        <v>1273</v>
      </c>
      <c r="C83" s="250" t="s">
        <v>2843</v>
      </c>
      <c r="D83" s="245" t="s">
        <v>2844</v>
      </c>
      <c r="E83" s="245" t="s">
        <v>1351</v>
      </c>
      <c r="F83" s="245" t="s">
        <v>2845</v>
      </c>
      <c r="G83" s="297" t="s">
        <v>2846</v>
      </c>
      <c r="H83" s="298" t="s">
        <v>192</v>
      </c>
      <c r="I83" s="298" t="s">
        <v>276</v>
      </c>
      <c r="J83" s="238" t="s">
        <v>2847</v>
      </c>
      <c r="K83" s="99" t="s">
        <v>2847</v>
      </c>
      <c r="L83" s="239" t="s">
        <v>2772</v>
      </c>
      <c r="M83" s="240" t="s">
        <v>2849</v>
      </c>
      <c r="N83" s="240" t="s">
        <v>749</v>
      </c>
      <c r="O83" s="248" t="s">
        <v>2850</v>
      </c>
    </row>
    <row r="84">
      <c r="A84" s="67"/>
      <c r="B84" s="272" t="s">
        <v>1273</v>
      </c>
      <c r="C84" s="290" t="s">
        <v>101</v>
      </c>
      <c r="D84" s="172" t="s">
        <v>1717</v>
      </c>
      <c r="E84" s="172" t="s">
        <v>1718</v>
      </c>
      <c r="F84" s="172" t="s">
        <v>447</v>
      </c>
      <c r="G84" s="291" t="s">
        <v>1724</v>
      </c>
      <c r="H84" s="176" t="s">
        <v>224</v>
      </c>
      <c r="I84" s="176" t="s">
        <v>226</v>
      </c>
      <c r="J84" s="238" t="s">
        <v>1719</v>
      </c>
      <c r="K84" s="99" t="s">
        <v>1719</v>
      </c>
      <c r="L84" s="239" t="s">
        <v>2180</v>
      </c>
      <c r="M84" s="240" t="s">
        <v>2864</v>
      </c>
      <c r="N84" s="240" t="s">
        <v>238</v>
      </c>
      <c r="O84" s="240"/>
    </row>
    <row r="85">
      <c r="A85" s="67"/>
      <c r="B85" s="249" t="s">
        <v>1273</v>
      </c>
      <c r="C85" s="250" t="s">
        <v>2867</v>
      </c>
      <c r="D85" s="245" t="s">
        <v>2868</v>
      </c>
      <c r="E85" s="245" t="s">
        <v>2869</v>
      </c>
      <c r="F85" s="245" t="s">
        <v>1387</v>
      </c>
      <c r="G85" s="297" t="s">
        <v>2870</v>
      </c>
      <c r="H85" s="298" t="s">
        <v>192</v>
      </c>
      <c r="I85" s="298" t="s">
        <v>276</v>
      </c>
      <c r="J85" s="238" t="s">
        <v>2871</v>
      </c>
      <c r="K85" s="99" t="s">
        <v>2871</v>
      </c>
      <c r="L85" s="239" t="s">
        <v>2180</v>
      </c>
      <c r="M85" s="240" t="s">
        <v>2876</v>
      </c>
      <c r="N85" s="240" t="s">
        <v>284</v>
      </c>
      <c r="O85" s="248" t="s">
        <v>2878</v>
      </c>
    </row>
    <row r="86">
      <c r="A86" s="67"/>
      <c r="B86" s="272" t="s">
        <v>1273</v>
      </c>
      <c r="C86" s="411" t="s">
        <v>2880</v>
      </c>
      <c r="D86" s="411" t="s">
        <v>2881</v>
      </c>
      <c r="E86" s="411" t="s">
        <v>317</v>
      </c>
      <c r="F86" s="411" t="s">
        <v>2882</v>
      </c>
      <c r="G86" s="413" t="s">
        <v>2883</v>
      </c>
      <c r="H86" s="415" t="s">
        <v>192</v>
      </c>
      <c r="I86" s="415" t="s">
        <v>276</v>
      </c>
      <c r="J86" s="238" t="s">
        <v>2887</v>
      </c>
      <c r="K86" s="99" t="s">
        <v>2887</v>
      </c>
      <c r="L86" s="239" t="s">
        <v>2527</v>
      </c>
      <c r="M86" s="240" t="s">
        <v>2891</v>
      </c>
      <c r="N86" s="240" t="s">
        <v>533</v>
      </c>
      <c r="O86" s="248" t="s">
        <v>2892</v>
      </c>
    </row>
    <row r="87">
      <c r="A87" s="67"/>
      <c r="B87" s="249" t="s">
        <v>1273</v>
      </c>
      <c r="C87" s="121" t="s">
        <v>2894</v>
      </c>
      <c r="D87" s="121" t="s">
        <v>2895</v>
      </c>
      <c r="E87" s="121" t="s">
        <v>559</v>
      </c>
      <c r="F87" s="121" t="s">
        <v>1314</v>
      </c>
      <c r="G87" s="421" t="s">
        <v>2896</v>
      </c>
      <c r="H87" s="423" t="s">
        <v>485</v>
      </c>
      <c r="I87" s="423" t="s">
        <v>386</v>
      </c>
      <c r="J87" s="238" t="s">
        <v>2901</v>
      </c>
      <c r="K87" s="427" t="s">
        <v>2901</v>
      </c>
      <c r="L87" s="239" t="s">
        <v>2772</v>
      </c>
      <c r="M87" s="240" t="s">
        <v>2904</v>
      </c>
      <c r="N87" s="240" t="s">
        <v>549</v>
      </c>
      <c r="O87" s="248" t="s">
        <v>2905</v>
      </c>
    </row>
    <row r="88">
      <c r="A88" s="67"/>
      <c r="B88" s="272" t="s">
        <v>1273</v>
      </c>
      <c r="C88" s="411" t="s">
        <v>2913</v>
      </c>
      <c r="D88" s="411" t="s">
        <v>2915</v>
      </c>
      <c r="E88" s="411" t="s">
        <v>2917</v>
      </c>
      <c r="F88" s="411" t="s">
        <v>2918</v>
      </c>
      <c r="G88" s="413" t="s">
        <v>2919</v>
      </c>
      <c r="H88" s="415" t="s">
        <v>192</v>
      </c>
      <c r="I88" s="415" t="s">
        <v>195</v>
      </c>
      <c r="J88" s="238" t="s">
        <v>2921</v>
      </c>
      <c r="K88" s="427" t="s">
        <v>2921</v>
      </c>
      <c r="L88" s="239" t="s">
        <v>1920</v>
      </c>
      <c r="M88" s="240" t="s">
        <v>2924</v>
      </c>
      <c r="N88" s="240" t="s">
        <v>362</v>
      </c>
      <c r="O88" s="248" t="s">
        <v>2927</v>
      </c>
    </row>
    <row r="89">
      <c r="A89" s="67"/>
      <c r="B89" s="272" t="s">
        <v>1273</v>
      </c>
      <c r="C89" s="162" t="s">
        <v>2935</v>
      </c>
      <c r="D89" s="162" t="s">
        <v>2937</v>
      </c>
      <c r="E89" s="162" t="s">
        <v>2938</v>
      </c>
      <c r="F89" s="162" t="s">
        <v>2940</v>
      </c>
      <c r="G89" s="435" t="s">
        <v>2941</v>
      </c>
      <c r="H89" s="246" t="s">
        <v>224</v>
      </c>
      <c r="I89" s="246" t="s">
        <v>226</v>
      </c>
      <c r="J89" s="238" t="s">
        <v>2942</v>
      </c>
      <c r="K89" s="427" t="s">
        <v>2942</v>
      </c>
      <c r="L89" s="239" t="s">
        <v>1602</v>
      </c>
      <c r="M89" s="240" t="s">
        <v>2950</v>
      </c>
      <c r="N89" s="240" t="s">
        <v>238</v>
      </c>
      <c r="O89" s="248" t="s">
        <v>2951</v>
      </c>
    </row>
    <row r="90">
      <c r="A90" s="67"/>
      <c r="B90" s="249" t="s">
        <v>1273</v>
      </c>
      <c r="C90" s="165" t="s">
        <v>2959</v>
      </c>
      <c r="D90" s="165" t="s">
        <v>2960</v>
      </c>
      <c r="E90" s="165" t="s">
        <v>2961</v>
      </c>
      <c r="F90" s="165" t="s">
        <v>1962</v>
      </c>
      <c r="G90" s="444" t="s">
        <v>2962</v>
      </c>
      <c r="H90" s="237" t="s">
        <v>461</v>
      </c>
      <c r="I90" s="237" t="s">
        <v>462</v>
      </c>
      <c r="J90" s="238" t="s">
        <v>2966</v>
      </c>
      <c r="K90" s="427" t="s">
        <v>2966</v>
      </c>
      <c r="L90" s="239" t="s">
        <v>1421</v>
      </c>
      <c r="M90" s="240" t="s">
        <v>2968</v>
      </c>
      <c r="N90" s="240" t="s">
        <v>791</v>
      </c>
      <c r="O90" s="248" t="s">
        <v>2969</v>
      </c>
    </row>
    <row r="91">
      <c r="A91" s="67"/>
      <c r="B91" s="249" t="s">
        <v>1273</v>
      </c>
      <c r="C91" s="162" t="s">
        <v>2972</v>
      </c>
      <c r="D91" s="162" t="s">
        <v>2973</v>
      </c>
      <c r="E91" s="162" t="s">
        <v>317</v>
      </c>
      <c r="F91" s="162" t="s">
        <v>2976</v>
      </c>
      <c r="G91" s="244" t="s">
        <v>2977</v>
      </c>
      <c r="H91" s="246" t="s">
        <v>224</v>
      </c>
      <c r="I91" s="246" t="s">
        <v>324</v>
      </c>
      <c r="J91" s="238" t="s">
        <v>2982</v>
      </c>
      <c r="K91" s="427" t="s">
        <v>2982</v>
      </c>
      <c r="L91" s="239" t="s">
        <v>1602</v>
      </c>
      <c r="M91" s="240" t="s">
        <v>2993</v>
      </c>
      <c r="N91" s="240" t="s">
        <v>660</v>
      </c>
      <c r="O91" s="248" t="s">
        <v>2994</v>
      </c>
    </row>
    <row r="92">
      <c r="A92" s="67"/>
      <c r="B92" s="272" t="s">
        <v>1273</v>
      </c>
      <c r="C92" s="165" t="s">
        <v>2997</v>
      </c>
      <c r="D92" s="165" t="s">
        <v>2998</v>
      </c>
      <c r="E92" s="165" t="s">
        <v>2563</v>
      </c>
      <c r="F92" s="165" t="s">
        <v>2999</v>
      </c>
      <c r="G92" s="236" t="s">
        <v>3000</v>
      </c>
      <c r="H92" s="237" t="s">
        <v>485</v>
      </c>
      <c r="I92" s="237" t="s">
        <v>486</v>
      </c>
      <c r="J92" s="238" t="s">
        <v>3007</v>
      </c>
      <c r="K92" s="427" t="s">
        <v>3007</v>
      </c>
      <c r="L92" s="239" t="s">
        <v>1645</v>
      </c>
      <c r="M92" s="240" t="s">
        <v>3014</v>
      </c>
      <c r="N92" s="240" t="s">
        <v>449</v>
      </c>
      <c r="O92" s="248" t="s">
        <v>3015</v>
      </c>
    </row>
    <row r="93">
      <c r="A93" s="67"/>
      <c r="B93" s="272" t="s">
        <v>1273</v>
      </c>
      <c r="C93" s="162" t="s">
        <v>3017</v>
      </c>
      <c r="D93" s="162" t="s">
        <v>3018</v>
      </c>
      <c r="E93" s="162" t="s">
        <v>3019</v>
      </c>
      <c r="F93" s="162" t="s">
        <v>318</v>
      </c>
      <c r="G93" s="244" t="s">
        <v>3022</v>
      </c>
      <c r="H93" s="246" t="s">
        <v>192</v>
      </c>
      <c r="I93" s="246" t="s">
        <v>195</v>
      </c>
      <c r="J93" s="238" t="s">
        <v>3026</v>
      </c>
      <c r="K93" s="458" t="s">
        <v>3026</v>
      </c>
      <c r="L93" s="239" t="s">
        <v>1421</v>
      </c>
      <c r="M93" s="240" t="s">
        <v>3030</v>
      </c>
      <c r="N93" s="240" t="s">
        <v>362</v>
      </c>
      <c r="O93" s="248" t="s">
        <v>3033</v>
      </c>
    </row>
    <row r="94">
      <c r="A94" s="67"/>
      <c r="B94" s="249" t="s">
        <v>1273</v>
      </c>
      <c r="C94" s="165" t="s">
        <v>3038</v>
      </c>
      <c r="D94" s="165" t="s">
        <v>3039</v>
      </c>
      <c r="E94" s="165" t="s">
        <v>1351</v>
      </c>
      <c r="F94" s="165" t="s">
        <v>3041</v>
      </c>
      <c r="G94" s="236" t="s">
        <v>3042</v>
      </c>
      <c r="H94" s="237" t="s">
        <v>485</v>
      </c>
      <c r="I94" s="237" t="s">
        <v>486</v>
      </c>
      <c r="J94" s="238" t="s">
        <v>3043</v>
      </c>
      <c r="K94" s="458" t="s">
        <v>3043</v>
      </c>
      <c r="L94" s="239" t="s">
        <v>1292</v>
      </c>
      <c r="M94" s="240" t="s">
        <v>3045</v>
      </c>
      <c r="N94" s="240" t="s">
        <v>482</v>
      </c>
      <c r="O94" s="248" t="s">
        <v>3046</v>
      </c>
    </row>
    <row r="95">
      <c r="A95" s="67"/>
      <c r="B95" s="272" t="s">
        <v>1273</v>
      </c>
      <c r="C95" s="162" t="s">
        <v>3049</v>
      </c>
      <c r="D95" s="162" t="s">
        <v>3050</v>
      </c>
      <c r="E95" s="162" t="s">
        <v>317</v>
      </c>
      <c r="F95" s="162" t="s">
        <v>3051</v>
      </c>
      <c r="G95" s="244" t="s">
        <v>3052</v>
      </c>
      <c r="H95" s="246" t="s">
        <v>485</v>
      </c>
      <c r="I95" s="246" t="s">
        <v>1043</v>
      </c>
      <c r="J95" s="238" t="s">
        <v>3057</v>
      </c>
      <c r="K95" s="458" t="s">
        <v>3057</v>
      </c>
      <c r="L95" s="239" t="s">
        <v>1729</v>
      </c>
      <c r="M95" s="240" t="s">
        <v>3060</v>
      </c>
      <c r="N95" s="240" t="s">
        <v>549</v>
      </c>
      <c r="O95" s="248" t="s">
        <v>3061</v>
      </c>
    </row>
    <row r="96">
      <c r="A96" s="67"/>
      <c r="B96" s="249" t="s">
        <v>1273</v>
      </c>
      <c r="C96" s="165" t="s">
        <v>3062</v>
      </c>
      <c r="D96" s="165" t="s">
        <v>3063</v>
      </c>
      <c r="E96" s="165" t="s">
        <v>3064</v>
      </c>
      <c r="F96" s="165" t="s">
        <v>1298</v>
      </c>
      <c r="G96" s="236" t="s">
        <v>3065</v>
      </c>
      <c r="H96" s="237" t="s">
        <v>192</v>
      </c>
      <c r="I96" s="237" t="s">
        <v>195</v>
      </c>
      <c r="J96" s="238" t="s">
        <v>3080</v>
      </c>
      <c r="K96" s="458" t="s">
        <v>3080</v>
      </c>
      <c r="L96" s="239" t="s">
        <v>1292</v>
      </c>
      <c r="M96" s="240" t="s">
        <v>3090</v>
      </c>
      <c r="N96" s="240" t="s">
        <v>362</v>
      </c>
      <c r="O96" s="248" t="s">
        <v>3091</v>
      </c>
    </row>
    <row r="97">
      <c r="A97" s="67"/>
      <c r="B97" s="272" t="s">
        <v>1273</v>
      </c>
      <c r="C97" s="162" t="s">
        <v>3097</v>
      </c>
      <c r="D97" s="162" t="s">
        <v>3098</v>
      </c>
      <c r="E97" s="162" t="s">
        <v>3100</v>
      </c>
      <c r="F97" s="162" t="s">
        <v>270</v>
      </c>
      <c r="G97" s="244" t="s">
        <v>3101</v>
      </c>
      <c r="H97" s="246" t="s">
        <v>192</v>
      </c>
      <c r="I97" s="246" t="s">
        <v>276</v>
      </c>
      <c r="J97" s="238" t="s">
        <v>3108</v>
      </c>
      <c r="K97" s="458" t="s">
        <v>3108</v>
      </c>
      <c r="L97" s="239" t="s">
        <v>2337</v>
      </c>
      <c r="M97" s="240" t="s">
        <v>3116</v>
      </c>
      <c r="N97" s="240" t="s">
        <v>996</v>
      </c>
      <c r="O97" s="248" t="s">
        <v>3117</v>
      </c>
    </row>
    <row r="98">
      <c r="A98" s="67"/>
      <c r="B98" s="249" t="s">
        <v>1273</v>
      </c>
      <c r="C98" s="165" t="s">
        <v>3126</v>
      </c>
      <c r="D98" s="165" t="s">
        <v>3127</v>
      </c>
      <c r="E98" s="165" t="s">
        <v>3128</v>
      </c>
      <c r="F98" s="165" t="s">
        <v>3129</v>
      </c>
      <c r="G98" s="236" t="s">
        <v>3131</v>
      </c>
      <c r="H98" s="237" t="s">
        <v>192</v>
      </c>
      <c r="I98" s="237" t="s">
        <v>276</v>
      </c>
      <c r="J98" s="238" t="s">
        <v>3138</v>
      </c>
      <c r="K98" s="458" t="s">
        <v>3138</v>
      </c>
      <c r="L98" s="239" t="s">
        <v>1729</v>
      </c>
      <c r="M98" s="240" t="s">
        <v>3143</v>
      </c>
      <c r="N98" s="240" t="s">
        <v>469</v>
      </c>
      <c r="O98" s="248" t="s">
        <v>3145</v>
      </c>
    </row>
    <row r="99">
      <c r="A99" s="67"/>
      <c r="B99" s="249" t="s">
        <v>1273</v>
      </c>
      <c r="C99" s="162" t="s">
        <v>3152</v>
      </c>
      <c r="D99" s="162" t="s">
        <v>3153</v>
      </c>
      <c r="E99" s="162" t="s">
        <v>1378</v>
      </c>
      <c r="F99" s="162" t="s">
        <v>1622</v>
      </c>
      <c r="G99" s="244" t="s">
        <v>3155</v>
      </c>
      <c r="H99" s="246" t="s">
        <v>192</v>
      </c>
      <c r="I99" s="246" t="s">
        <v>195</v>
      </c>
      <c r="J99" s="238" t="s">
        <v>3159</v>
      </c>
      <c r="K99" s="458" t="s">
        <v>3159</v>
      </c>
      <c r="L99" s="239" t="s">
        <v>1354</v>
      </c>
      <c r="M99" s="240" t="s">
        <v>3166</v>
      </c>
      <c r="N99" s="240" t="s">
        <v>362</v>
      </c>
      <c r="O99" s="248" t="s">
        <v>3169</v>
      </c>
    </row>
    <row r="100">
      <c r="A100" s="67"/>
      <c r="B100" s="272" t="s">
        <v>1273</v>
      </c>
      <c r="C100" s="165" t="s">
        <v>117</v>
      </c>
      <c r="D100" s="165" t="s">
        <v>212</v>
      </c>
      <c r="E100" s="165" t="s">
        <v>213</v>
      </c>
      <c r="F100" s="165" t="s">
        <v>215</v>
      </c>
      <c r="G100" s="236" t="s">
        <v>216</v>
      </c>
      <c r="H100" s="237" t="s">
        <v>224</v>
      </c>
      <c r="I100" s="237" t="s">
        <v>226</v>
      </c>
      <c r="J100" s="238" t="s">
        <v>1895</v>
      </c>
      <c r="K100" s="458" t="s">
        <v>1895</v>
      </c>
      <c r="L100" s="239" t="s">
        <v>2337</v>
      </c>
      <c r="M100" s="240" t="s">
        <v>3179</v>
      </c>
      <c r="N100" s="240" t="s">
        <v>238</v>
      </c>
      <c r="O100" s="248" t="s">
        <v>3180</v>
      </c>
    </row>
    <row r="101">
      <c r="A101" s="67"/>
      <c r="B101" s="249" t="s">
        <v>1273</v>
      </c>
      <c r="C101" s="162" t="s">
        <v>3190</v>
      </c>
      <c r="D101" s="162" t="s">
        <v>3191</v>
      </c>
      <c r="E101" s="162" t="s">
        <v>3193</v>
      </c>
      <c r="F101" s="162" t="s">
        <v>3194</v>
      </c>
      <c r="G101" s="244" t="s">
        <v>3195</v>
      </c>
      <c r="H101" s="246" t="s">
        <v>485</v>
      </c>
      <c r="I101" s="246" t="s">
        <v>386</v>
      </c>
      <c r="J101" s="238" t="s">
        <v>3198</v>
      </c>
      <c r="K101" s="458" t="s">
        <v>3198</v>
      </c>
      <c r="L101" s="239" t="s">
        <v>1624</v>
      </c>
      <c r="M101" s="240" t="s">
        <v>3204</v>
      </c>
      <c r="N101" s="240" t="s">
        <v>549</v>
      </c>
      <c r="O101" s="248" t="s">
        <v>3205</v>
      </c>
    </row>
    <row r="102">
      <c r="A102" s="67"/>
      <c r="B102" s="272" t="s">
        <v>1273</v>
      </c>
      <c r="C102" s="165" t="s">
        <v>3209</v>
      </c>
      <c r="D102" s="165" t="s">
        <v>3210</v>
      </c>
      <c r="E102" s="165" t="s">
        <v>3211</v>
      </c>
      <c r="F102" s="165" t="s">
        <v>2165</v>
      </c>
      <c r="G102" s="236" t="s">
        <v>3212</v>
      </c>
      <c r="H102" s="237" t="s">
        <v>192</v>
      </c>
      <c r="I102" s="237" t="s">
        <v>195</v>
      </c>
      <c r="J102" s="238" t="s">
        <v>3217</v>
      </c>
      <c r="K102" s="458" t="s">
        <v>3217</v>
      </c>
      <c r="L102" s="239" t="s">
        <v>1421</v>
      </c>
      <c r="M102" s="240" t="s">
        <v>3222</v>
      </c>
      <c r="N102" s="240" t="s">
        <v>362</v>
      </c>
      <c r="O102" s="248" t="s">
        <v>3223</v>
      </c>
    </row>
    <row r="103">
      <c r="A103" s="67"/>
      <c r="B103" s="249" t="s">
        <v>1273</v>
      </c>
      <c r="C103" s="162" t="s">
        <v>3224</v>
      </c>
      <c r="D103" s="162" t="s">
        <v>3225</v>
      </c>
      <c r="E103" s="162" t="s">
        <v>1370</v>
      </c>
      <c r="F103" s="162" t="s">
        <v>2030</v>
      </c>
      <c r="G103" s="244" t="s">
        <v>3226</v>
      </c>
      <c r="H103" s="246" t="s">
        <v>192</v>
      </c>
      <c r="I103" s="246" t="s">
        <v>350</v>
      </c>
      <c r="J103" s="238" t="s">
        <v>3229</v>
      </c>
      <c r="K103" s="458" t="s">
        <v>3229</v>
      </c>
      <c r="L103" s="239" t="s">
        <v>2337</v>
      </c>
      <c r="M103" s="240" t="s">
        <v>3233</v>
      </c>
      <c r="N103" s="240" t="s">
        <v>600</v>
      </c>
      <c r="O103" s="248" t="s">
        <v>3234</v>
      </c>
    </row>
    <row r="104">
      <c r="A104" s="67"/>
      <c r="B104" s="272" t="s">
        <v>1273</v>
      </c>
      <c r="C104" s="165" t="s">
        <v>3241</v>
      </c>
      <c r="D104" s="165" t="s">
        <v>701</v>
      </c>
      <c r="E104" s="165" t="s">
        <v>3242</v>
      </c>
      <c r="F104" s="165" t="s">
        <v>704</v>
      </c>
      <c r="G104" s="236" t="s">
        <v>705</v>
      </c>
      <c r="H104" s="237" t="s">
        <v>461</v>
      </c>
      <c r="I104" s="237" t="s">
        <v>462</v>
      </c>
      <c r="J104" s="238" t="s">
        <v>3245</v>
      </c>
      <c r="K104" s="458" t="s">
        <v>3245</v>
      </c>
      <c r="L104" s="239" t="s">
        <v>1624</v>
      </c>
      <c r="M104" s="240" t="s">
        <v>3247</v>
      </c>
      <c r="N104" s="240" t="s">
        <v>886</v>
      </c>
      <c r="O104" s="248" t="s">
        <v>3248</v>
      </c>
    </row>
    <row r="105">
      <c r="A105" s="67"/>
      <c r="B105" s="249" t="s">
        <v>1273</v>
      </c>
      <c r="C105" s="162" t="s">
        <v>3250</v>
      </c>
      <c r="D105" s="162" t="s">
        <v>3251</v>
      </c>
      <c r="E105" s="162" t="s">
        <v>3252</v>
      </c>
      <c r="F105" s="538"/>
      <c r="G105" s="244" t="s">
        <v>3257</v>
      </c>
      <c r="H105" s="246" t="s">
        <v>461</v>
      </c>
      <c r="I105" s="246" t="s">
        <v>530</v>
      </c>
      <c r="J105" s="238" t="s">
        <v>3261</v>
      </c>
      <c r="K105" s="458" t="s">
        <v>3261</v>
      </c>
      <c r="L105" s="239" t="s">
        <v>2527</v>
      </c>
      <c r="M105" s="240" t="s">
        <v>3265</v>
      </c>
      <c r="N105" s="240" t="s">
        <v>531</v>
      </c>
      <c r="O105" s="248" t="s">
        <v>3266</v>
      </c>
    </row>
    <row r="106">
      <c r="A106" s="67"/>
      <c r="B106" s="272" t="s">
        <v>1273</v>
      </c>
      <c r="C106" s="165" t="s">
        <v>3267</v>
      </c>
      <c r="D106" s="165" t="s">
        <v>3268</v>
      </c>
      <c r="E106" s="165" t="s">
        <v>436</v>
      </c>
      <c r="F106" s="165" t="s">
        <v>3270</v>
      </c>
      <c r="G106" s="236" t="s">
        <v>3271</v>
      </c>
      <c r="H106" s="237" t="s">
        <v>192</v>
      </c>
      <c r="I106" s="237" t="s">
        <v>276</v>
      </c>
      <c r="J106" s="238" t="s">
        <v>3273</v>
      </c>
      <c r="K106" s="458" t="s">
        <v>3273</v>
      </c>
      <c r="L106" s="239" t="s">
        <v>1806</v>
      </c>
      <c r="M106" s="240" t="s">
        <v>3276</v>
      </c>
      <c r="N106" s="240" t="s">
        <v>996</v>
      </c>
      <c r="O106" s="248" t="s">
        <v>3277</v>
      </c>
    </row>
    <row r="107">
      <c r="A107" s="67"/>
      <c r="B107" s="249" t="s">
        <v>1273</v>
      </c>
      <c r="C107" s="162" t="s">
        <v>3283</v>
      </c>
      <c r="D107" s="162" t="s">
        <v>1257</v>
      </c>
      <c r="E107" s="162" t="s">
        <v>1913</v>
      </c>
      <c r="F107" s="162" t="s">
        <v>215</v>
      </c>
      <c r="G107" s="244" t="s">
        <v>1258</v>
      </c>
      <c r="H107" s="246" t="s">
        <v>192</v>
      </c>
      <c r="I107" s="246" t="s">
        <v>276</v>
      </c>
      <c r="J107" s="238" t="s">
        <v>3288</v>
      </c>
      <c r="K107" s="458" t="s">
        <v>3288</v>
      </c>
      <c r="L107" s="239" t="s">
        <v>2772</v>
      </c>
      <c r="M107" s="240" t="s">
        <v>3289</v>
      </c>
      <c r="N107" s="240" t="s">
        <v>996</v>
      </c>
      <c r="O107" s="248" t="s">
        <v>3291</v>
      </c>
    </row>
    <row r="108">
      <c r="A108" s="67"/>
      <c r="B108" s="249" t="s">
        <v>1273</v>
      </c>
      <c r="C108" s="165" t="s">
        <v>3293</v>
      </c>
      <c r="D108" s="165" t="s">
        <v>3294</v>
      </c>
      <c r="E108" s="165" t="s">
        <v>3295</v>
      </c>
      <c r="F108" s="165" t="s">
        <v>3296</v>
      </c>
      <c r="G108" s="236" t="s">
        <v>3297</v>
      </c>
      <c r="H108" s="237" t="s">
        <v>192</v>
      </c>
      <c r="I108" s="237" t="s">
        <v>195</v>
      </c>
      <c r="J108" s="238" t="s">
        <v>3305</v>
      </c>
      <c r="K108" s="458" t="s">
        <v>3305</v>
      </c>
      <c r="L108" s="239" t="s">
        <v>2772</v>
      </c>
      <c r="M108" s="240" t="s">
        <v>3309</v>
      </c>
      <c r="N108" s="240" t="s">
        <v>843</v>
      </c>
      <c r="O108" s="248" t="s">
        <v>3310</v>
      </c>
    </row>
    <row r="109">
      <c r="A109" s="67"/>
      <c r="B109" s="249" t="s">
        <v>1273</v>
      </c>
      <c r="C109" s="162" t="s">
        <v>3311</v>
      </c>
      <c r="D109" s="162" t="s">
        <v>1184</v>
      </c>
      <c r="E109" s="162" t="s">
        <v>1039</v>
      </c>
      <c r="F109" s="162" t="s">
        <v>1185</v>
      </c>
      <c r="G109" s="244" t="s">
        <v>3312</v>
      </c>
      <c r="H109" s="246" t="s">
        <v>192</v>
      </c>
      <c r="I109" s="246" t="s">
        <v>195</v>
      </c>
      <c r="J109" s="238" t="s">
        <v>3315</v>
      </c>
      <c r="K109" s="458" t="s">
        <v>3315</v>
      </c>
      <c r="L109" s="239" t="s">
        <v>2527</v>
      </c>
      <c r="M109" s="240" t="s">
        <v>3320</v>
      </c>
      <c r="N109" s="240" t="s">
        <v>897</v>
      </c>
      <c r="O109" s="248" t="s">
        <v>3321</v>
      </c>
    </row>
    <row r="110">
      <c r="A110" s="67"/>
      <c r="B110" s="272" t="s">
        <v>1273</v>
      </c>
      <c r="C110" s="165" t="s">
        <v>3323</v>
      </c>
      <c r="D110" s="165" t="s">
        <v>3324</v>
      </c>
      <c r="E110" s="165" t="s">
        <v>1086</v>
      </c>
      <c r="F110" s="165" t="s">
        <v>948</v>
      </c>
      <c r="G110" s="236" t="s">
        <v>3325</v>
      </c>
      <c r="H110" s="237" t="s">
        <v>192</v>
      </c>
      <c r="I110" s="237" t="s">
        <v>276</v>
      </c>
      <c r="J110" s="238" t="s">
        <v>3327</v>
      </c>
      <c r="K110" s="458" t="s">
        <v>3327</v>
      </c>
      <c r="L110" s="239" t="s">
        <v>2180</v>
      </c>
      <c r="M110" s="240" t="s">
        <v>3334</v>
      </c>
      <c r="N110" s="240" t="s">
        <v>996</v>
      </c>
      <c r="O110" s="248" t="s">
        <v>3335</v>
      </c>
    </row>
    <row r="111">
      <c r="A111" s="67"/>
      <c r="B111" s="249" t="s">
        <v>1273</v>
      </c>
      <c r="C111" s="162" t="s">
        <v>3337</v>
      </c>
      <c r="D111" s="162" t="s">
        <v>3338</v>
      </c>
      <c r="E111" s="162" t="s">
        <v>447</v>
      </c>
      <c r="F111" s="162" t="s">
        <v>447</v>
      </c>
      <c r="G111" s="244" t="s">
        <v>3339</v>
      </c>
      <c r="H111" s="246" t="s">
        <v>192</v>
      </c>
      <c r="I111" s="246" t="s">
        <v>276</v>
      </c>
      <c r="J111" s="238" t="s">
        <v>3345</v>
      </c>
      <c r="K111" s="458" t="s">
        <v>3345</v>
      </c>
      <c r="L111" s="239" t="s">
        <v>1806</v>
      </c>
      <c r="M111" s="240" t="s">
        <v>3349</v>
      </c>
      <c r="N111" s="240" t="s">
        <v>996</v>
      </c>
      <c r="O111" s="248" t="s">
        <v>3351</v>
      </c>
    </row>
    <row r="112">
      <c r="A112" s="67"/>
      <c r="B112" s="272" t="s">
        <v>1273</v>
      </c>
      <c r="C112" s="165" t="s">
        <v>3356</v>
      </c>
      <c r="D112" s="165" t="s">
        <v>3357</v>
      </c>
      <c r="E112" s="165" t="s">
        <v>3358</v>
      </c>
      <c r="F112" s="165" t="s">
        <v>2473</v>
      </c>
      <c r="G112" s="236" t="s">
        <v>3360</v>
      </c>
      <c r="H112" s="237" t="s">
        <v>461</v>
      </c>
      <c r="I112" s="237" t="s">
        <v>530</v>
      </c>
      <c r="J112" s="238" t="s">
        <v>3361</v>
      </c>
      <c r="K112" s="458" t="s">
        <v>3361</v>
      </c>
      <c r="L112" s="239" t="s">
        <v>1645</v>
      </c>
      <c r="M112" s="240" t="s">
        <v>3362</v>
      </c>
      <c r="N112" s="240" t="s">
        <v>1131</v>
      </c>
      <c r="O112" s="248" t="s">
        <v>3351</v>
      </c>
    </row>
    <row r="113">
      <c r="A113" s="67"/>
      <c r="B113" s="249" t="s">
        <v>1273</v>
      </c>
      <c r="C113" s="162" t="s">
        <v>3364</v>
      </c>
      <c r="D113" s="162" t="s">
        <v>2074</v>
      </c>
      <c r="E113" s="162" t="s">
        <v>213</v>
      </c>
      <c r="F113" s="162" t="s">
        <v>2075</v>
      </c>
      <c r="G113" s="244" t="s">
        <v>2085</v>
      </c>
      <c r="H113" s="246" t="s">
        <v>192</v>
      </c>
      <c r="I113" s="246" t="s">
        <v>195</v>
      </c>
      <c r="J113" s="238" t="s">
        <v>3366</v>
      </c>
      <c r="K113" s="458" t="s">
        <v>3366</v>
      </c>
      <c r="L113" s="239" t="s">
        <v>2180</v>
      </c>
      <c r="M113" s="240" t="s">
        <v>3370</v>
      </c>
      <c r="N113" s="240" t="s">
        <v>362</v>
      </c>
      <c r="O113" s="248" t="s">
        <v>3371</v>
      </c>
    </row>
    <row r="114">
      <c r="A114" s="67"/>
      <c r="B114" s="272" t="s">
        <v>1273</v>
      </c>
      <c r="C114" s="165" t="s">
        <v>3376</v>
      </c>
      <c r="D114" s="165" t="s">
        <v>3377</v>
      </c>
      <c r="E114" s="165" t="s">
        <v>3378</v>
      </c>
      <c r="F114" s="165" t="s">
        <v>3379</v>
      </c>
      <c r="G114" s="236" t="s">
        <v>3380</v>
      </c>
      <c r="H114" s="237" t="s">
        <v>192</v>
      </c>
      <c r="I114" s="237" t="s">
        <v>276</v>
      </c>
      <c r="J114" s="238" t="s">
        <v>3382</v>
      </c>
      <c r="K114" s="458" t="s">
        <v>3382</v>
      </c>
      <c r="L114" s="239" t="s">
        <v>2180</v>
      </c>
      <c r="M114" s="240" t="s">
        <v>3387</v>
      </c>
      <c r="N114" s="240" t="s">
        <v>996</v>
      </c>
      <c r="O114" s="248" t="s">
        <v>3388</v>
      </c>
    </row>
    <row r="115">
      <c r="A115" s="67"/>
      <c r="B115" s="249" t="s">
        <v>1273</v>
      </c>
      <c r="C115" s="162" t="s">
        <v>3390</v>
      </c>
      <c r="D115" s="162" t="s">
        <v>1476</v>
      </c>
      <c r="E115" s="162" t="s">
        <v>317</v>
      </c>
      <c r="F115" s="162" t="s">
        <v>1478</v>
      </c>
      <c r="G115" s="244" t="s">
        <v>1486</v>
      </c>
      <c r="H115" s="246" t="s">
        <v>192</v>
      </c>
      <c r="I115" s="246" t="s">
        <v>276</v>
      </c>
      <c r="J115" s="238" t="s">
        <v>3394</v>
      </c>
      <c r="K115" s="160" t="s">
        <v>3394</v>
      </c>
      <c r="L115" s="239" t="s">
        <v>1292</v>
      </c>
      <c r="M115" s="240" t="s">
        <v>3398</v>
      </c>
      <c r="N115" s="240" t="s">
        <v>469</v>
      </c>
      <c r="O115" s="248" t="s">
        <v>3399</v>
      </c>
    </row>
    <row r="116">
      <c r="A116" s="67"/>
      <c r="B116" s="272" t="s">
        <v>1273</v>
      </c>
      <c r="C116" s="165" t="s">
        <v>3402</v>
      </c>
      <c r="D116" s="165" t="s">
        <v>3404</v>
      </c>
      <c r="E116" s="165" t="s">
        <v>559</v>
      </c>
      <c r="F116" s="165" t="s">
        <v>3406</v>
      </c>
      <c r="G116" s="236" t="s">
        <v>3407</v>
      </c>
      <c r="H116" s="237" t="s">
        <v>192</v>
      </c>
      <c r="I116" s="237" t="s">
        <v>276</v>
      </c>
      <c r="J116" s="238" t="s">
        <v>3408</v>
      </c>
      <c r="K116" s="458" t="s">
        <v>3408</v>
      </c>
      <c r="L116" s="239" t="s">
        <v>2337</v>
      </c>
      <c r="M116" s="240" t="s">
        <v>3410</v>
      </c>
      <c r="N116" s="240" t="s">
        <v>284</v>
      </c>
      <c r="O116" s="248" t="s">
        <v>3411</v>
      </c>
    </row>
    <row r="117">
      <c r="A117" s="67"/>
      <c r="B117" s="249" t="s">
        <v>1273</v>
      </c>
      <c r="C117" s="241" t="s">
        <v>134</v>
      </c>
      <c r="D117" s="241" t="s">
        <v>2101</v>
      </c>
      <c r="E117" s="241" t="s">
        <v>2102</v>
      </c>
      <c r="F117" s="241" t="s">
        <v>215</v>
      </c>
      <c r="G117" s="514" t="s">
        <v>2113</v>
      </c>
      <c r="H117" s="464" t="s">
        <v>461</v>
      </c>
      <c r="I117" s="464" t="s">
        <v>530</v>
      </c>
      <c r="J117" s="238" t="s">
        <v>2104</v>
      </c>
      <c r="K117" s="160" t="s">
        <v>2104</v>
      </c>
      <c r="L117" s="239" t="s">
        <v>2337</v>
      </c>
      <c r="M117" s="240" t="s">
        <v>3421</v>
      </c>
      <c r="N117" s="240" t="s">
        <v>867</v>
      </c>
      <c r="O117" s="248" t="s">
        <v>3422</v>
      </c>
    </row>
    <row r="118">
      <c r="A118" s="67"/>
      <c r="B118" s="272" t="s">
        <v>1273</v>
      </c>
      <c r="C118" s="195" t="s">
        <v>3423</v>
      </c>
      <c r="D118" s="195" t="s">
        <v>3424</v>
      </c>
      <c r="E118" s="195" t="s">
        <v>213</v>
      </c>
      <c r="F118" s="195" t="s">
        <v>3425</v>
      </c>
      <c r="G118" s="606" t="s">
        <v>3426</v>
      </c>
      <c r="H118" s="393" t="s">
        <v>192</v>
      </c>
      <c r="I118" s="393" t="s">
        <v>276</v>
      </c>
      <c r="J118" s="238" t="s">
        <v>3427</v>
      </c>
      <c r="K118" s="607" t="s">
        <v>3427</v>
      </c>
      <c r="L118" s="239" t="s">
        <v>2180</v>
      </c>
      <c r="M118" s="240" t="s">
        <v>3432</v>
      </c>
      <c r="N118" s="240" t="s">
        <v>996</v>
      </c>
      <c r="O118" s="248" t="s">
        <v>3433</v>
      </c>
    </row>
    <row r="119">
      <c r="A119" s="67"/>
      <c r="B119" s="249" t="s">
        <v>1273</v>
      </c>
      <c r="C119" s="241" t="s">
        <v>3435</v>
      </c>
      <c r="D119" s="241" t="s">
        <v>3436</v>
      </c>
      <c r="E119" s="241" t="s">
        <v>317</v>
      </c>
      <c r="F119" s="241" t="s">
        <v>1156</v>
      </c>
      <c r="G119" s="514" t="s">
        <v>3437</v>
      </c>
      <c r="H119" s="464" t="s">
        <v>485</v>
      </c>
      <c r="I119" s="464" t="s">
        <v>386</v>
      </c>
      <c r="J119" s="238" t="s">
        <v>3438</v>
      </c>
      <c r="K119" s="427" t="s">
        <v>3438</v>
      </c>
      <c r="L119" s="239" t="s">
        <v>3183</v>
      </c>
      <c r="M119" s="240" t="s">
        <v>3443</v>
      </c>
      <c r="N119" s="240" t="s">
        <v>730</v>
      </c>
      <c r="O119" s="248" t="s">
        <v>3445</v>
      </c>
    </row>
    <row r="120">
      <c r="A120" s="67"/>
      <c r="B120" s="272" t="s">
        <v>1273</v>
      </c>
      <c r="C120" s="195" t="s">
        <v>3446</v>
      </c>
      <c r="D120" s="195" t="s">
        <v>1657</v>
      </c>
      <c r="E120" s="195" t="s">
        <v>1351</v>
      </c>
      <c r="F120" s="195" t="s">
        <v>1658</v>
      </c>
      <c r="G120" s="606" t="s">
        <v>1665</v>
      </c>
      <c r="H120" s="393" t="s">
        <v>485</v>
      </c>
      <c r="I120" s="393" t="s">
        <v>386</v>
      </c>
      <c r="J120" s="238" t="s">
        <v>3451</v>
      </c>
      <c r="K120" s="607" t="s">
        <v>3451</v>
      </c>
      <c r="L120" s="239" t="s">
        <v>3183</v>
      </c>
      <c r="M120" s="240" t="s">
        <v>3453</v>
      </c>
      <c r="N120" s="240" t="s">
        <v>549</v>
      </c>
      <c r="O120" s="248" t="s">
        <v>3454</v>
      </c>
    </row>
    <row r="121">
      <c r="A121" s="67"/>
      <c r="B121" s="249" t="s">
        <v>1273</v>
      </c>
      <c r="C121" s="241" t="s">
        <v>3455</v>
      </c>
      <c r="D121" s="241" t="s">
        <v>3456</v>
      </c>
      <c r="E121" s="241" t="s">
        <v>436</v>
      </c>
      <c r="F121" s="241" t="s">
        <v>318</v>
      </c>
      <c r="G121" s="514" t="s">
        <v>3457</v>
      </c>
      <c r="H121" s="464" t="s">
        <v>192</v>
      </c>
      <c r="I121" s="464" t="s">
        <v>195</v>
      </c>
      <c r="J121" s="238" t="s">
        <v>3463</v>
      </c>
      <c r="K121" s="427" t="s">
        <v>3463</v>
      </c>
      <c r="L121" s="239" t="s">
        <v>3183</v>
      </c>
      <c r="M121" s="240" t="s">
        <v>3469</v>
      </c>
      <c r="N121" s="240" t="s">
        <v>897</v>
      </c>
      <c r="O121" s="248" t="s">
        <v>3470</v>
      </c>
    </row>
    <row r="122">
      <c r="A122" s="67"/>
      <c r="B122" s="272" t="s">
        <v>1273</v>
      </c>
      <c r="C122" s="304" t="s">
        <v>3472</v>
      </c>
      <c r="D122" s="304" t="s">
        <v>3473</v>
      </c>
      <c r="E122" s="304" t="s">
        <v>3474</v>
      </c>
      <c r="F122" s="304" t="s">
        <v>2334</v>
      </c>
      <c r="G122" s="611" t="s">
        <v>3475</v>
      </c>
      <c r="H122" s="502" t="s">
        <v>192</v>
      </c>
      <c r="I122" s="502" t="s">
        <v>276</v>
      </c>
      <c r="J122" s="238" t="s">
        <v>3480</v>
      </c>
      <c r="K122" s="427" t="s">
        <v>3480</v>
      </c>
      <c r="L122" s="239" t="s">
        <v>2337</v>
      </c>
      <c r="M122" s="240" t="s">
        <v>3481</v>
      </c>
      <c r="N122" s="240" t="s">
        <v>996</v>
      </c>
      <c r="O122" s="248" t="s">
        <v>3482</v>
      </c>
    </row>
    <row r="123">
      <c r="A123" s="67"/>
      <c r="B123" s="272" t="s">
        <v>1273</v>
      </c>
      <c r="C123" s="310" t="s">
        <v>3484</v>
      </c>
      <c r="D123" s="310" t="s">
        <v>3485</v>
      </c>
      <c r="E123" s="313" t="s">
        <v>1518</v>
      </c>
      <c r="F123" s="313" t="s">
        <v>3486</v>
      </c>
      <c r="G123" s="616" t="s">
        <v>3487</v>
      </c>
      <c r="H123" s="618" t="s">
        <v>461</v>
      </c>
      <c r="I123" s="618" t="s">
        <v>530</v>
      </c>
      <c r="J123" s="431" t="s">
        <v>3488</v>
      </c>
      <c r="K123" s="427" t="s">
        <v>3488</v>
      </c>
      <c r="L123" s="239" t="s">
        <v>2180</v>
      </c>
      <c r="M123" s="240" t="s">
        <v>3489</v>
      </c>
      <c r="N123" s="240" t="s">
        <v>531</v>
      </c>
      <c r="O123" s="248" t="s">
        <v>3490</v>
      </c>
    </row>
    <row r="124">
      <c r="A124" s="67"/>
      <c r="B124" s="272" t="s">
        <v>1273</v>
      </c>
      <c r="C124" s="310" t="s">
        <v>3491</v>
      </c>
      <c r="D124" s="310" t="s">
        <v>3492</v>
      </c>
      <c r="E124" s="310" t="s">
        <v>3493</v>
      </c>
      <c r="F124" s="310" t="s">
        <v>3494</v>
      </c>
      <c r="G124" s="625" t="s">
        <v>3495</v>
      </c>
      <c r="H124" s="626" t="s">
        <v>224</v>
      </c>
      <c r="I124" s="626" t="s">
        <v>324</v>
      </c>
      <c r="J124" s="238" t="s">
        <v>3499</v>
      </c>
      <c r="K124" s="427" t="s">
        <v>3499</v>
      </c>
      <c r="L124" s="239" t="s">
        <v>2180</v>
      </c>
      <c r="M124" s="240" t="s">
        <v>3501</v>
      </c>
      <c r="N124" s="240" t="s">
        <v>933</v>
      </c>
      <c r="O124" s="248" t="s">
        <v>3502</v>
      </c>
    </row>
    <row r="125">
      <c r="A125" s="67"/>
      <c r="B125" s="272" t="s">
        <v>1273</v>
      </c>
      <c r="C125" s="310" t="s">
        <v>3504</v>
      </c>
      <c r="D125" s="310" t="s">
        <v>3505</v>
      </c>
      <c r="E125" s="313" t="s">
        <v>1433</v>
      </c>
      <c r="F125" s="313" t="s">
        <v>948</v>
      </c>
      <c r="G125" s="616" t="s">
        <v>3506</v>
      </c>
      <c r="H125" s="618" t="s">
        <v>192</v>
      </c>
      <c r="I125" s="618" t="s">
        <v>195</v>
      </c>
      <c r="J125" s="238" t="s">
        <v>3508</v>
      </c>
      <c r="K125" s="427" t="s">
        <v>3508</v>
      </c>
      <c r="L125" s="239" t="s">
        <v>3183</v>
      </c>
      <c r="M125" s="240" t="s">
        <v>3509</v>
      </c>
      <c r="N125" s="240" t="s">
        <v>362</v>
      </c>
      <c r="O125" s="248" t="s">
        <v>3510</v>
      </c>
    </row>
    <row r="126">
      <c r="A126" s="67"/>
      <c r="B126" s="272" t="s">
        <v>1273</v>
      </c>
      <c r="C126" s="310" t="s">
        <v>3512</v>
      </c>
      <c r="D126" s="310" t="s">
        <v>3513</v>
      </c>
      <c r="E126" s="310" t="s">
        <v>3514</v>
      </c>
      <c r="F126" s="310" t="s">
        <v>1156</v>
      </c>
      <c r="G126" s="625" t="s">
        <v>3515</v>
      </c>
      <c r="H126" s="626" t="s">
        <v>224</v>
      </c>
      <c r="I126" s="626" t="s">
        <v>440</v>
      </c>
      <c r="J126" s="238" t="s">
        <v>3516</v>
      </c>
      <c r="K126" s="427" t="s">
        <v>3516</v>
      </c>
      <c r="L126" s="239" t="s">
        <v>1806</v>
      </c>
      <c r="M126" s="240" t="s">
        <v>3521</v>
      </c>
      <c r="N126" s="240" t="s">
        <v>1096</v>
      </c>
      <c r="O126" s="248" t="s">
        <v>3522</v>
      </c>
    </row>
    <row r="127">
      <c r="A127" s="67"/>
      <c r="B127" s="249" t="s">
        <v>1273</v>
      </c>
      <c r="C127" s="310" t="s">
        <v>3524</v>
      </c>
      <c r="D127" s="310" t="s">
        <v>3525</v>
      </c>
      <c r="E127" s="631" t="s">
        <v>3526</v>
      </c>
      <c r="F127" s="631" t="s">
        <v>3527</v>
      </c>
      <c r="G127" s="632" t="s">
        <v>3528</v>
      </c>
      <c r="H127" s="618" t="s">
        <v>192</v>
      </c>
      <c r="I127" s="618" t="s">
        <v>276</v>
      </c>
      <c r="J127" s="238" t="s">
        <v>3529</v>
      </c>
      <c r="K127" s="427" t="s">
        <v>3529</v>
      </c>
      <c r="L127" s="239" t="s">
        <v>3530</v>
      </c>
      <c r="M127" s="240" t="s">
        <v>3531</v>
      </c>
      <c r="N127" s="240" t="s">
        <v>996</v>
      </c>
      <c r="O127" s="248" t="s">
        <v>3532</v>
      </c>
    </row>
    <row r="128">
      <c r="A128" s="67"/>
      <c r="B128" s="272" t="s">
        <v>1273</v>
      </c>
      <c r="C128" s="310" t="s">
        <v>3533</v>
      </c>
      <c r="D128" s="310" t="s">
        <v>3534</v>
      </c>
      <c r="E128" s="635" t="s">
        <v>745</v>
      </c>
      <c r="F128" s="635" t="s">
        <v>1314</v>
      </c>
      <c r="G128" s="637" t="s">
        <v>3535</v>
      </c>
      <c r="H128" s="626" t="s">
        <v>485</v>
      </c>
      <c r="I128" s="626" t="s">
        <v>386</v>
      </c>
      <c r="J128" s="431" t="s">
        <v>3536</v>
      </c>
      <c r="K128" s="427" t="s">
        <v>3536</v>
      </c>
      <c r="L128" s="239" t="s">
        <v>2180</v>
      </c>
      <c r="M128" s="240" t="s">
        <v>3537</v>
      </c>
      <c r="N128" s="240" t="s">
        <v>730</v>
      </c>
      <c r="O128" s="248" t="s">
        <v>3538</v>
      </c>
    </row>
    <row r="129">
      <c r="A129" s="67"/>
      <c r="B129" s="249" t="s">
        <v>1273</v>
      </c>
      <c r="C129" s="310" t="s">
        <v>3539</v>
      </c>
      <c r="D129" s="310" t="s">
        <v>2321</v>
      </c>
      <c r="E129" s="631" t="s">
        <v>1518</v>
      </c>
      <c r="F129" s="632" t="s">
        <v>2322</v>
      </c>
      <c r="G129" s="632" t="s">
        <v>2327</v>
      </c>
      <c r="H129" s="618" t="s">
        <v>461</v>
      </c>
      <c r="I129" s="618" t="s">
        <v>530</v>
      </c>
      <c r="J129" s="238" t="s">
        <v>3540</v>
      </c>
      <c r="K129" s="427" t="s">
        <v>3540</v>
      </c>
      <c r="L129" s="239" t="s">
        <v>3541</v>
      </c>
      <c r="M129" s="240" t="s">
        <v>3542</v>
      </c>
      <c r="N129" s="240" t="s">
        <v>33</v>
      </c>
      <c r="O129" s="248" t="s">
        <v>3543</v>
      </c>
    </row>
    <row r="130">
      <c r="A130" s="67"/>
      <c r="B130" s="272" t="s">
        <v>1273</v>
      </c>
      <c r="C130" s="310" t="s">
        <v>3544</v>
      </c>
      <c r="D130" s="310" t="s">
        <v>2268</v>
      </c>
      <c r="E130" s="635" t="s">
        <v>2270</v>
      </c>
      <c r="F130" s="635" t="s">
        <v>2271</v>
      </c>
      <c r="G130" s="637" t="s">
        <v>2278</v>
      </c>
      <c r="H130" s="626" t="s">
        <v>224</v>
      </c>
      <c r="I130" s="626" t="s">
        <v>324</v>
      </c>
      <c r="J130" s="431" t="s">
        <v>3545</v>
      </c>
      <c r="K130" s="427" t="s">
        <v>3545</v>
      </c>
      <c r="L130" s="239" t="s">
        <v>2180</v>
      </c>
      <c r="M130" s="240" t="s">
        <v>3546</v>
      </c>
      <c r="N130" s="240" t="s">
        <v>660</v>
      </c>
      <c r="O130" s="248" t="s">
        <v>3547</v>
      </c>
    </row>
    <row r="131">
      <c r="A131" s="67"/>
      <c r="B131" s="272" t="s">
        <v>1273</v>
      </c>
      <c r="C131" s="162" t="s">
        <v>3548</v>
      </c>
      <c r="D131" s="162" t="s">
        <v>3549</v>
      </c>
      <c r="E131" s="162" t="s">
        <v>213</v>
      </c>
      <c r="F131" s="162" t="s">
        <v>3550</v>
      </c>
      <c r="G131" s="244" t="s">
        <v>3551</v>
      </c>
      <c r="H131" s="246" t="s">
        <v>461</v>
      </c>
      <c r="I131" s="246" t="s">
        <v>462</v>
      </c>
      <c r="J131" s="238" t="s">
        <v>3552</v>
      </c>
      <c r="K131" s="427" t="s">
        <v>3552</v>
      </c>
      <c r="L131" s="239" t="s">
        <v>2180</v>
      </c>
      <c r="M131" s="240" t="s">
        <v>3553</v>
      </c>
      <c r="N131" s="240" t="s">
        <v>791</v>
      </c>
      <c r="O131" s="248" t="s">
        <v>3554</v>
      </c>
    </row>
    <row r="132">
      <c r="A132" s="67"/>
      <c r="B132" s="272" t="s">
        <v>1273</v>
      </c>
      <c r="C132" s="165" t="s">
        <v>3555</v>
      </c>
      <c r="D132" s="165" t="s">
        <v>3556</v>
      </c>
      <c r="E132" s="165" t="s">
        <v>3557</v>
      </c>
      <c r="F132" s="165" t="s">
        <v>948</v>
      </c>
      <c r="G132" s="236" t="s">
        <v>3558</v>
      </c>
      <c r="H132" s="237" t="s">
        <v>192</v>
      </c>
      <c r="I132" s="237" t="s">
        <v>276</v>
      </c>
      <c r="J132" s="238" t="s">
        <v>3559</v>
      </c>
      <c r="K132" s="427" t="s">
        <v>3559</v>
      </c>
      <c r="L132" s="239" t="s">
        <v>3183</v>
      </c>
      <c r="M132" s="240" t="s">
        <v>3560</v>
      </c>
      <c r="N132" s="240" t="s">
        <v>749</v>
      </c>
      <c r="O132" s="248" t="s">
        <v>3561</v>
      </c>
    </row>
    <row r="133">
      <c r="A133" s="67"/>
      <c r="B133" s="272" t="s">
        <v>1273</v>
      </c>
      <c r="C133" s="162" t="s">
        <v>3562</v>
      </c>
      <c r="D133" s="162" t="s">
        <v>3563</v>
      </c>
      <c r="E133" s="162" t="s">
        <v>1086</v>
      </c>
      <c r="F133" s="162" t="s">
        <v>578</v>
      </c>
      <c r="G133" s="244" t="s">
        <v>3564</v>
      </c>
      <c r="H133" s="246" t="s">
        <v>224</v>
      </c>
      <c r="I133" s="246" t="s">
        <v>324</v>
      </c>
      <c r="J133" s="238" t="s">
        <v>3565</v>
      </c>
      <c r="K133" s="427" t="s">
        <v>3565</v>
      </c>
      <c r="L133" s="239" t="s">
        <v>2527</v>
      </c>
      <c r="M133" s="240" t="s">
        <v>3566</v>
      </c>
      <c r="N133" s="240" t="s">
        <v>660</v>
      </c>
      <c r="O133" s="248" t="s">
        <v>3567</v>
      </c>
    </row>
    <row r="134">
      <c r="A134" s="67"/>
      <c r="B134" s="249" t="s">
        <v>1273</v>
      </c>
      <c r="C134" s="165" t="s">
        <v>3568</v>
      </c>
      <c r="D134" s="165" t="s">
        <v>3569</v>
      </c>
      <c r="E134" s="165" t="s">
        <v>3570</v>
      </c>
      <c r="F134" s="165" t="s">
        <v>319</v>
      </c>
      <c r="G134" s="236" t="s">
        <v>3571</v>
      </c>
      <c r="H134" s="237" t="s">
        <v>192</v>
      </c>
      <c r="I134" s="237" t="s">
        <v>276</v>
      </c>
      <c r="J134" s="98" t="s">
        <v>3572</v>
      </c>
      <c r="K134" s="458" t="s">
        <v>3572</v>
      </c>
      <c r="L134" s="239" t="s">
        <v>3183</v>
      </c>
      <c r="M134" s="240" t="s">
        <v>3573</v>
      </c>
      <c r="N134" s="240" t="s">
        <v>533</v>
      </c>
      <c r="O134" s="248" t="s">
        <v>3574</v>
      </c>
    </row>
    <row r="135">
      <c r="A135" s="67"/>
      <c r="B135" s="272" t="s">
        <v>1273</v>
      </c>
      <c r="C135" s="162" t="s">
        <v>3575</v>
      </c>
      <c r="D135" s="162" t="s">
        <v>3576</v>
      </c>
      <c r="E135" s="162" t="s">
        <v>3577</v>
      </c>
      <c r="F135" s="162" t="s">
        <v>3578</v>
      </c>
      <c r="G135" s="244" t="s">
        <v>3579</v>
      </c>
      <c r="H135" s="246" t="s">
        <v>461</v>
      </c>
      <c r="I135" s="246" t="s">
        <v>530</v>
      </c>
      <c r="J135" s="98" t="s">
        <v>3580</v>
      </c>
      <c r="K135" s="458" t="s">
        <v>3580</v>
      </c>
      <c r="L135" s="239" t="s">
        <v>2180</v>
      </c>
      <c r="M135" s="240" t="s">
        <v>3581</v>
      </c>
      <c r="N135" s="240" t="s">
        <v>547</v>
      </c>
      <c r="O135" s="248" t="s">
        <v>3582</v>
      </c>
    </row>
    <row r="136">
      <c r="A136" s="67"/>
      <c r="B136" s="272" t="s">
        <v>1273</v>
      </c>
      <c r="C136" s="165" t="s">
        <v>3583</v>
      </c>
      <c r="D136" s="165" t="s">
        <v>3584</v>
      </c>
      <c r="E136" s="165" t="s">
        <v>436</v>
      </c>
      <c r="F136" s="165" t="s">
        <v>318</v>
      </c>
      <c r="G136" s="236" t="s">
        <v>3585</v>
      </c>
      <c r="H136" s="237" t="s">
        <v>461</v>
      </c>
      <c r="I136" s="237" t="s">
        <v>462</v>
      </c>
      <c r="J136" s="98" t="s">
        <v>3586</v>
      </c>
      <c r="K136" s="458" t="s">
        <v>3586</v>
      </c>
      <c r="L136" s="239" t="s">
        <v>1729</v>
      </c>
      <c r="M136" s="240" t="s">
        <v>3587</v>
      </c>
      <c r="N136" s="240" t="s">
        <v>886</v>
      </c>
      <c r="O136" s="248" t="s">
        <v>3588</v>
      </c>
    </row>
    <row r="137">
      <c r="A137" s="67"/>
      <c r="B137" s="272" t="s">
        <v>1273</v>
      </c>
      <c r="C137" s="162" t="s">
        <v>3589</v>
      </c>
      <c r="D137" s="162" t="s">
        <v>3590</v>
      </c>
      <c r="E137" s="162" t="s">
        <v>2801</v>
      </c>
      <c r="F137" s="162" t="s">
        <v>3591</v>
      </c>
      <c r="G137" s="244" t="s">
        <v>3592</v>
      </c>
      <c r="H137" s="246" t="s">
        <v>485</v>
      </c>
      <c r="I137" s="246" t="s">
        <v>386</v>
      </c>
      <c r="J137" s="98" t="s">
        <v>3593</v>
      </c>
      <c r="K137" s="458" t="s">
        <v>3593</v>
      </c>
      <c r="L137" s="239" t="s">
        <v>2180</v>
      </c>
      <c r="M137" s="240" t="s">
        <v>3594</v>
      </c>
      <c r="N137" s="240" t="s">
        <v>1182</v>
      </c>
      <c r="O137" s="248" t="s">
        <v>3595</v>
      </c>
    </row>
    <row r="138">
      <c r="A138" s="67"/>
      <c r="B138" s="272" t="s">
        <v>1273</v>
      </c>
      <c r="C138" s="165" t="s">
        <v>3596</v>
      </c>
      <c r="D138" s="165" t="s">
        <v>3597</v>
      </c>
      <c r="E138" s="165" t="s">
        <v>3598</v>
      </c>
      <c r="F138" s="165" t="s">
        <v>3599</v>
      </c>
      <c r="G138" s="236" t="s">
        <v>3600</v>
      </c>
      <c r="H138" s="237" t="s">
        <v>461</v>
      </c>
      <c r="I138" s="237" t="s">
        <v>530</v>
      </c>
      <c r="J138" s="98" t="s">
        <v>3601</v>
      </c>
      <c r="K138" s="458" t="s">
        <v>3601</v>
      </c>
      <c r="L138" s="239" t="s">
        <v>1602</v>
      </c>
      <c r="M138" s="240" t="s">
        <v>3602</v>
      </c>
      <c r="N138" s="240" t="s">
        <v>1131</v>
      </c>
      <c r="O138" s="248" t="s">
        <v>3603</v>
      </c>
    </row>
    <row r="139">
      <c r="A139" s="67"/>
      <c r="B139" s="272" t="s">
        <v>1273</v>
      </c>
      <c r="C139" s="162" t="s">
        <v>3604</v>
      </c>
      <c r="D139" s="162" t="s">
        <v>2454</v>
      </c>
      <c r="E139" s="162" t="s">
        <v>2455</v>
      </c>
      <c r="F139" s="162" t="s">
        <v>2456</v>
      </c>
      <c r="G139" s="244" t="s">
        <v>2461</v>
      </c>
      <c r="H139" s="246" t="s">
        <v>485</v>
      </c>
      <c r="I139" s="246" t="s">
        <v>386</v>
      </c>
      <c r="J139" s="238" t="s">
        <v>3605</v>
      </c>
      <c r="K139" s="427" t="s">
        <v>3605</v>
      </c>
      <c r="L139" s="239" t="s">
        <v>3183</v>
      </c>
      <c r="M139" s="240" t="s">
        <v>3606</v>
      </c>
      <c r="N139" s="240" t="s">
        <v>549</v>
      </c>
      <c r="O139" s="248" t="s">
        <v>3607</v>
      </c>
    </row>
    <row r="140">
      <c r="A140" s="67"/>
      <c r="B140" s="272" t="s">
        <v>1273</v>
      </c>
      <c r="C140" s="165" t="s">
        <v>3608</v>
      </c>
      <c r="D140" s="165" t="s">
        <v>3609</v>
      </c>
      <c r="E140" s="165" t="s">
        <v>2186</v>
      </c>
      <c r="F140" s="165" t="s">
        <v>1412</v>
      </c>
      <c r="G140" s="236" t="s">
        <v>3610</v>
      </c>
      <c r="H140" s="237" t="s">
        <v>461</v>
      </c>
      <c r="I140" s="237" t="s">
        <v>462</v>
      </c>
      <c r="J140" s="238" t="s">
        <v>3611</v>
      </c>
      <c r="K140" s="427" t="s">
        <v>3611</v>
      </c>
      <c r="L140" s="239" t="s">
        <v>2180</v>
      </c>
      <c r="M140" s="240" t="s">
        <v>3612</v>
      </c>
      <c r="N140" s="240" t="s">
        <v>1192</v>
      </c>
      <c r="O140" s="248" t="s">
        <v>3613</v>
      </c>
    </row>
    <row r="141">
      <c r="A141" s="67"/>
      <c r="B141" s="272" t="s">
        <v>1273</v>
      </c>
      <c r="C141" s="162" t="s">
        <v>3614</v>
      </c>
      <c r="D141" s="162" t="s">
        <v>3615</v>
      </c>
      <c r="E141" s="162" t="s">
        <v>317</v>
      </c>
      <c r="F141" s="162" t="s">
        <v>3616</v>
      </c>
      <c r="G141" s="244" t="s">
        <v>3617</v>
      </c>
      <c r="H141" s="246" t="s">
        <v>192</v>
      </c>
      <c r="I141" s="246" t="s">
        <v>276</v>
      </c>
      <c r="J141" s="238" t="s">
        <v>3618</v>
      </c>
      <c r="K141" s="427" t="s">
        <v>3618</v>
      </c>
      <c r="L141" s="239" t="s">
        <v>2180</v>
      </c>
      <c r="M141" s="240" t="s">
        <v>3619</v>
      </c>
      <c r="N141" s="240" t="s">
        <v>996</v>
      </c>
      <c r="O141" s="248" t="s">
        <v>3620</v>
      </c>
    </row>
    <row r="142">
      <c r="A142" s="67"/>
      <c r="B142" s="272" t="s">
        <v>1273</v>
      </c>
      <c r="C142" s="165" t="s">
        <v>3621</v>
      </c>
      <c r="D142" s="165" t="s">
        <v>3622</v>
      </c>
      <c r="E142" s="165" t="s">
        <v>3598</v>
      </c>
      <c r="F142" s="165" t="s">
        <v>3623</v>
      </c>
      <c r="G142" s="236" t="s">
        <v>3624</v>
      </c>
      <c r="H142" s="237" t="s">
        <v>192</v>
      </c>
      <c r="I142" s="237" t="s">
        <v>276</v>
      </c>
      <c r="J142" s="238" t="s">
        <v>3625</v>
      </c>
      <c r="K142" s="427" t="s">
        <v>3625</v>
      </c>
      <c r="L142" s="239" t="s">
        <v>2180</v>
      </c>
      <c r="M142" s="240" t="s">
        <v>3626</v>
      </c>
      <c r="N142" s="240" t="s">
        <v>284</v>
      </c>
      <c r="O142" s="248" t="s">
        <v>3627</v>
      </c>
    </row>
    <row r="143">
      <c r="A143" s="67"/>
      <c r="B143" s="272" t="s">
        <v>1273</v>
      </c>
      <c r="C143" s="162" t="s">
        <v>3628</v>
      </c>
      <c r="D143" s="162" t="s">
        <v>3629</v>
      </c>
      <c r="E143" s="162" t="s">
        <v>3630</v>
      </c>
      <c r="F143" s="162" t="s">
        <v>3631</v>
      </c>
      <c r="G143" s="244" t="s">
        <v>3632</v>
      </c>
      <c r="H143" s="246" t="s">
        <v>224</v>
      </c>
      <c r="I143" s="246" t="s">
        <v>3633</v>
      </c>
      <c r="J143" s="238" t="s">
        <v>3634</v>
      </c>
      <c r="K143" s="427" t="s">
        <v>3634</v>
      </c>
      <c r="L143" s="239" t="s">
        <v>1806</v>
      </c>
      <c r="M143" s="240" t="s">
        <v>3637</v>
      </c>
      <c r="N143" s="240" t="s">
        <v>3638</v>
      </c>
      <c r="O143" s="248" t="s">
        <v>3639</v>
      </c>
    </row>
    <row r="144">
      <c r="A144" s="67"/>
      <c r="B144" s="272" t="s">
        <v>1273</v>
      </c>
      <c r="C144" s="165" t="s">
        <v>3638</v>
      </c>
      <c r="D144" s="165" t="s">
        <v>3640</v>
      </c>
      <c r="E144" s="165" t="s">
        <v>1039</v>
      </c>
      <c r="F144" s="165" t="s">
        <v>3641</v>
      </c>
      <c r="G144" s="236" t="s">
        <v>3642</v>
      </c>
      <c r="H144" s="237" t="s">
        <v>192</v>
      </c>
      <c r="I144" s="237" t="s">
        <v>276</v>
      </c>
      <c r="J144" s="238" t="s">
        <v>3643</v>
      </c>
      <c r="K144" s="427" t="s">
        <v>3643</v>
      </c>
      <c r="L144" s="239" t="s">
        <v>2180</v>
      </c>
      <c r="M144" s="240" t="s">
        <v>3644</v>
      </c>
      <c r="N144" s="240" t="s">
        <v>1667</v>
      </c>
      <c r="O144" s="248" t="s">
        <v>3645</v>
      </c>
    </row>
    <row r="145">
      <c r="A145" s="67"/>
      <c r="B145" s="272" t="s">
        <v>1273</v>
      </c>
      <c r="C145" s="162" t="s">
        <v>3646</v>
      </c>
      <c r="D145" s="162" t="s">
        <v>3647</v>
      </c>
      <c r="E145" s="162" t="s">
        <v>213</v>
      </c>
      <c r="F145" s="162" t="s">
        <v>3648</v>
      </c>
      <c r="G145" s="244" t="s">
        <v>3649</v>
      </c>
      <c r="H145" s="246" t="s">
        <v>224</v>
      </c>
      <c r="I145" s="246" t="s">
        <v>324</v>
      </c>
      <c r="J145" s="238" t="s">
        <v>3650</v>
      </c>
      <c r="K145" s="427" t="s">
        <v>3650</v>
      </c>
      <c r="L145" s="239" t="s">
        <v>1806</v>
      </c>
      <c r="M145" s="240" t="s">
        <v>3651</v>
      </c>
      <c r="N145" s="240" t="s">
        <v>332</v>
      </c>
      <c r="O145" s="248" t="s">
        <v>3652</v>
      </c>
    </row>
    <row r="146">
      <c r="A146" s="67"/>
      <c r="B146" s="272" t="s">
        <v>1273</v>
      </c>
      <c r="C146" s="165" t="s">
        <v>3658</v>
      </c>
      <c r="D146" s="165" t="s">
        <v>2509</v>
      </c>
      <c r="E146" s="165" t="s">
        <v>2510</v>
      </c>
      <c r="F146" s="165" t="s">
        <v>2095</v>
      </c>
      <c r="G146" s="236" t="s">
        <v>2515</v>
      </c>
      <c r="H146" s="237" t="s">
        <v>485</v>
      </c>
      <c r="I146" s="237" t="s">
        <v>386</v>
      </c>
      <c r="J146" s="238" t="s">
        <v>3660</v>
      </c>
      <c r="K146" s="427" t="s">
        <v>3660</v>
      </c>
      <c r="L146" s="239" t="s">
        <v>3183</v>
      </c>
      <c r="M146" s="240" t="s">
        <v>3662</v>
      </c>
      <c r="N146" s="240" t="s">
        <v>1182</v>
      </c>
      <c r="O146" s="248" t="s">
        <v>3664</v>
      </c>
    </row>
    <row r="147">
      <c r="A147" s="67"/>
      <c r="B147" s="272" t="s">
        <v>1273</v>
      </c>
      <c r="C147" s="162" t="s">
        <v>3666</v>
      </c>
      <c r="D147" s="162" t="s">
        <v>3667</v>
      </c>
      <c r="E147" s="162" t="s">
        <v>317</v>
      </c>
      <c r="F147" s="162" t="s">
        <v>3668</v>
      </c>
      <c r="G147" s="244" t="s">
        <v>3669</v>
      </c>
      <c r="H147" s="246" t="s">
        <v>224</v>
      </c>
      <c r="I147" s="246" t="s">
        <v>324</v>
      </c>
      <c r="J147" s="238" t="s">
        <v>3674</v>
      </c>
      <c r="K147" s="427" t="s">
        <v>3674</v>
      </c>
      <c r="L147" s="239" t="s">
        <v>2180</v>
      </c>
      <c r="M147" s="240" t="s">
        <v>3676</v>
      </c>
      <c r="N147" s="240" t="s">
        <v>660</v>
      </c>
      <c r="O147" s="248" t="s">
        <v>3677</v>
      </c>
    </row>
    <row r="148">
      <c r="A148" s="67"/>
      <c r="B148" s="272" t="s">
        <v>1273</v>
      </c>
      <c r="C148" s="165" t="s">
        <v>3680</v>
      </c>
      <c r="D148" s="165" t="s">
        <v>3681</v>
      </c>
      <c r="E148" s="165" t="s">
        <v>3193</v>
      </c>
      <c r="F148" s="165" t="s">
        <v>3682</v>
      </c>
      <c r="G148" s="236" t="s">
        <v>3683</v>
      </c>
      <c r="H148" s="237" t="s">
        <v>461</v>
      </c>
      <c r="I148" s="237" t="s">
        <v>530</v>
      </c>
      <c r="J148" s="238" t="s">
        <v>3689</v>
      </c>
      <c r="K148" s="427" t="s">
        <v>3689</v>
      </c>
      <c r="L148" s="239" t="s">
        <v>2180</v>
      </c>
      <c r="M148" s="240" t="s">
        <v>3691</v>
      </c>
      <c r="N148" s="240" t="s">
        <v>531</v>
      </c>
      <c r="O148" s="248" t="s">
        <v>3692</v>
      </c>
    </row>
    <row r="149">
      <c r="A149" s="67"/>
      <c r="B149" s="272" t="s">
        <v>1273</v>
      </c>
      <c r="C149" s="162" t="s">
        <v>3695</v>
      </c>
      <c r="D149" s="162" t="s">
        <v>3696</v>
      </c>
      <c r="E149" s="162" t="s">
        <v>1433</v>
      </c>
      <c r="F149" s="162" t="s">
        <v>3697</v>
      </c>
      <c r="G149" s="244" t="s">
        <v>3698</v>
      </c>
      <c r="H149" s="246" t="s">
        <v>192</v>
      </c>
      <c r="I149" s="246" t="s">
        <v>195</v>
      </c>
      <c r="J149" s="238" t="s">
        <v>3700</v>
      </c>
      <c r="K149" s="427" t="s">
        <v>3700</v>
      </c>
      <c r="L149" s="239" t="s">
        <v>2337</v>
      </c>
      <c r="M149" s="240" t="s">
        <v>3706</v>
      </c>
      <c r="N149" s="240" t="s">
        <v>897</v>
      </c>
      <c r="O149" s="248" t="s">
        <v>3707</v>
      </c>
    </row>
    <row r="150">
      <c r="A150" s="67"/>
      <c r="B150" s="272" t="s">
        <v>1273</v>
      </c>
      <c r="C150" s="165" t="s">
        <v>3710</v>
      </c>
      <c r="D150" s="165" t="s">
        <v>1257</v>
      </c>
      <c r="E150" s="195" t="s">
        <v>3711</v>
      </c>
      <c r="F150" s="195" t="s">
        <v>215</v>
      </c>
      <c r="G150" s="606" t="s">
        <v>3712</v>
      </c>
      <c r="H150" s="237" t="s">
        <v>224</v>
      </c>
      <c r="I150" s="237" t="s">
        <v>3633</v>
      </c>
      <c r="J150" s="238" t="s">
        <v>3718</v>
      </c>
      <c r="K150" s="427" t="s">
        <v>3718</v>
      </c>
      <c r="L150" s="239" t="s">
        <v>2180</v>
      </c>
      <c r="M150" s="240" t="s">
        <v>3720</v>
      </c>
      <c r="N150" s="240" t="s">
        <v>616</v>
      </c>
      <c r="O150" s="248" t="s">
        <v>3722</v>
      </c>
    </row>
    <row r="151">
      <c r="A151" s="67"/>
      <c r="B151" s="272" t="s">
        <v>1273</v>
      </c>
      <c r="C151" s="162" t="s">
        <v>3724</v>
      </c>
      <c r="D151" s="162" t="s">
        <v>3725</v>
      </c>
      <c r="E151" s="241" t="s">
        <v>1039</v>
      </c>
      <c r="F151" s="241" t="s">
        <v>3727</v>
      </c>
      <c r="G151" s="514" t="s">
        <v>3729</v>
      </c>
      <c r="H151" s="246" t="s">
        <v>485</v>
      </c>
      <c r="I151" s="246" t="s">
        <v>386</v>
      </c>
      <c r="J151" s="238" t="s">
        <v>3732</v>
      </c>
      <c r="K151" s="427" t="s">
        <v>3732</v>
      </c>
      <c r="L151" s="239" t="s">
        <v>1729</v>
      </c>
      <c r="M151" s="240" t="s">
        <v>3734</v>
      </c>
      <c r="N151" s="240" t="s">
        <v>387</v>
      </c>
      <c r="O151" s="248" t="s">
        <v>3735</v>
      </c>
    </row>
    <row r="152">
      <c r="A152" s="67"/>
      <c r="B152" s="272" t="s">
        <v>1273</v>
      </c>
      <c r="C152" s="165" t="s">
        <v>3739</v>
      </c>
      <c r="D152" s="165" t="s">
        <v>3742</v>
      </c>
      <c r="E152" s="195" t="s">
        <v>3743</v>
      </c>
      <c r="F152" s="195" t="s">
        <v>3744</v>
      </c>
      <c r="G152" s="606" t="s">
        <v>3745</v>
      </c>
      <c r="H152" s="237" t="s">
        <v>192</v>
      </c>
      <c r="I152" s="237" t="s">
        <v>2254</v>
      </c>
      <c r="J152" s="238" t="s">
        <v>3747</v>
      </c>
      <c r="K152" s="427" t="s">
        <v>3747</v>
      </c>
      <c r="L152" s="239" t="s">
        <v>3183</v>
      </c>
      <c r="M152" s="240" t="s">
        <v>3750</v>
      </c>
      <c r="N152" s="240" t="s">
        <v>897</v>
      </c>
      <c r="O152" s="240" t="s">
        <v>3751</v>
      </c>
    </row>
    <row r="153">
      <c r="A153" s="116"/>
      <c r="B153" s="480" t="s">
        <v>1273</v>
      </c>
      <c r="C153" s="162" t="s">
        <v>3752</v>
      </c>
      <c r="D153" s="162" t="s">
        <v>3753</v>
      </c>
      <c r="E153" s="241" t="s">
        <v>3755</v>
      </c>
      <c r="F153" s="241" t="s">
        <v>3757</v>
      </c>
      <c r="G153" s="514" t="s">
        <v>3758</v>
      </c>
      <c r="H153" s="246" t="s">
        <v>192</v>
      </c>
      <c r="I153" s="246" t="s">
        <v>350</v>
      </c>
      <c r="J153" s="338" t="s">
        <v>3762</v>
      </c>
      <c r="K153" s="338" t="s">
        <v>3762</v>
      </c>
      <c r="L153" s="675" t="s">
        <v>3183</v>
      </c>
      <c r="M153" s="676" t="s">
        <v>3766</v>
      </c>
      <c r="N153" s="676" t="s">
        <v>600</v>
      </c>
      <c r="O153" s="676" t="s">
        <v>3767</v>
      </c>
    </row>
    <row r="154">
      <c r="A154" s="116"/>
      <c r="B154" s="480" t="s">
        <v>1273</v>
      </c>
      <c r="C154" s="165" t="s">
        <v>3768</v>
      </c>
      <c r="D154" s="165" t="s">
        <v>3769</v>
      </c>
      <c r="E154" s="195" t="s">
        <v>1315</v>
      </c>
      <c r="F154" s="195" t="s">
        <v>215</v>
      </c>
      <c r="G154" s="606" t="s">
        <v>3770</v>
      </c>
      <c r="H154" s="237" t="s">
        <v>192</v>
      </c>
      <c r="I154" s="237" t="s">
        <v>276</v>
      </c>
      <c r="J154" s="366" t="s">
        <v>3775</v>
      </c>
      <c r="K154" s="366" t="s">
        <v>3775</v>
      </c>
      <c r="L154" s="677" t="s">
        <v>3530</v>
      </c>
      <c r="M154" s="678" t="s">
        <v>3776</v>
      </c>
      <c r="N154" s="678" t="s">
        <v>749</v>
      </c>
      <c r="O154" s="678" t="s">
        <v>3777</v>
      </c>
    </row>
    <row r="155">
      <c r="A155" s="116"/>
      <c r="B155" s="480" t="s">
        <v>1273</v>
      </c>
      <c r="C155" s="162" t="s">
        <v>3778</v>
      </c>
      <c r="D155" s="162" t="s">
        <v>3779</v>
      </c>
      <c r="E155" s="241" t="s">
        <v>317</v>
      </c>
      <c r="F155" s="241" t="s">
        <v>3780</v>
      </c>
      <c r="G155" s="514" t="s">
        <v>3781</v>
      </c>
      <c r="H155" s="464" t="s">
        <v>192</v>
      </c>
      <c r="I155" s="464" t="s">
        <v>276</v>
      </c>
      <c r="J155" s="338" t="s">
        <v>3783</v>
      </c>
      <c r="K155" s="338" t="s">
        <v>3783</v>
      </c>
      <c r="L155" s="675" t="s">
        <v>2337</v>
      </c>
      <c r="M155" s="676" t="s">
        <v>3786</v>
      </c>
      <c r="N155" s="676" t="s">
        <v>284</v>
      </c>
      <c r="O155" s="676" t="s">
        <v>3787</v>
      </c>
    </row>
    <row r="156">
      <c r="A156" s="116"/>
      <c r="B156" s="480" t="s">
        <v>1273</v>
      </c>
      <c r="C156" s="165" t="s">
        <v>3788</v>
      </c>
      <c r="D156" s="165" t="s">
        <v>3789</v>
      </c>
      <c r="E156" s="195" t="s">
        <v>3790</v>
      </c>
      <c r="F156" s="195" t="s">
        <v>3791</v>
      </c>
      <c r="G156" s="606" t="s">
        <v>3792</v>
      </c>
      <c r="H156" s="237" t="s">
        <v>224</v>
      </c>
      <c r="I156" s="237" t="s">
        <v>3798</v>
      </c>
      <c r="J156" s="366" t="s">
        <v>3799</v>
      </c>
      <c r="K156" s="366" t="s">
        <v>3799</v>
      </c>
      <c r="L156" s="677" t="s">
        <v>2180</v>
      </c>
      <c r="M156" s="678" t="s">
        <v>3801</v>
      </c>
      <c r="N156" s="678" t="s">
        <v>332</v>
      </c>
      <c r="O156" s="678" t="s">
        <v>3802</v>
      </c>
    </row>
    <row r="157">
      <c r="A157" s="116"/>
      <c r="B157" s="480" t="s">
        <v>1273</v>
      </c>
      <c r="C157" s="162" t="s">
        <v>3803</v>
      </c>
      <c r="D157" s="162" t="s">
        <v>3036</v>
      </c>
      <c r="E157" s="241" t="s">
        <v>3037</v>
      </c>
      <c r="F157" s="571"/>
      <c r="G157" s="514" t="s">
        <v>3040</v>
      </c>
      <c r="H157" s="246" t="s">
        <v>192</v>
      </c>
      <c r="I157" s="246" t="s">
        <v>276</v>
      </c>
      <c r="J157" s="338" t="s">
        <v>3806</v>
      </c>
      <c r="K157" s="338" t="s">
        <v>3806</v>
      </c>
      <c r="L157" s="675" t="s">
        <v>2337</v>
      </c>
      <c r="M157" s="676" t="s">
        <v>3811</v>
      </c>
      <c r="N157" s="676" t="s">
        <v>1667</v>
      </c>
      <c r="O157" s="676" t="s">
        <v>3812</v>
      </c>
    </row>
    <row r="158">
      <c r="A158" s="116"/>
      <c r="B158" s="480" t="s">
        <v>1273</v>
      </c>
      <c r="C158" s="165" t="s">
        <v>3813</v>
      </c>
      <c r="D158" s="165" t="s">
        <v>3814</v>
      </c>
      <c r="E158" s="195" t="s">
        <v>1039</v>
      </c>
      <c r="F158" s="195" t="s">
        <v>3815</v>
      </c>
      <c r="G158" s="606" t="s">
        <v>3816</v>
      </c>
      <c r="H158" s="393" t="s">
        <v>224</v>
      </c>
      <c r="I158" s="393" t="s">
        <v>226</v>
      </c>
      <c r="J158" s="366" t="s">
        <v>3818</v>
      </c>
      <c r="K158" s="366" t="s">
        <v>3818</v>
      </c>
      <c r="L158" s="677" t="s">
        <v>2180</v>
      </c>
      <c r="M158" s="678" t="s">
        <v>3819</v>
      </c>
      <c r="N158" s="678" t="s">
        <v>3820</v>
      </c>
      <c r="O158" s="678" t="s">
        <v>3822</v>
      </c>
    </row>
    <row r="159">
      <c r="A159" s="116"/>
      <c r="B159" s="480" t="s">
        <v>1273</v>
      </c>
      <c r="C159" s="162" t="s">
        <v>3824</v>
      </c>
      <c r="D159" s="162" t="s">
        <v>3825</v>
      </c>
      <c r="E159" s="241" t="s">
        <v>3826</v>
      </c>
      <c r="F159" s="241" t="s">
        <v>3827</v>
      </c>
      <c r="G159" s="514" t="s">
        <v>3828</v>
      </c>
      <c r="H159" s="464" t="s">
        <v>485</v>
      </c>
      <c r="I159" s="464" t="s">
        <v>486</v>
      </c>
      <c r="J159" s="338" t="s">
        <v>3829</v>
      </c>
      <c r="K159" s="338" t="s">
        <v>3829</v>
      </c>
      <c r="L159" s="675" t="s">
        <v>2180</v>
      </c>
      <c r="M159" s="676" t="s">
        <v>3834</v>
      </c>
      <c r="N159" s="676" t="s">
        <v>1372</v>
      </c>
      <c r="O159" s="676" t="s">
        <v>3835</v>
      </c>
    </row>
    <row r="160">
      <c r="A160" s="116"/>
      <c r="B160" s="480" t="s">
        <v>1273</v>
      </c>
      <c r="C160" s="165" t="s">
        <v>3836</v>
      </c>
      <c r="D160" s="165" t="s">
        <v>3837</v>
      </c>
      <c r="E160" s="195" t="s">
        <v>2409</v>
      </c>
      <c r="F160" s="195" t="s">
        <v>3838</v>
      </c>
      <c r="G160" s="606" t="s">
        <v>3839</v>
      </c>
      <c r="H160" s="393" t="s">
        <v>192</v>
      </c>
      <c r="I160" s="393" t="s">
        <v>276</v>
      </c>
      <c r="J160" s="366" t="s">
        <v>3841</v>
      </c>
      <c r="K160" s="366" t="s">
        <v>3841</v>
      </c>
      <c r="L160" s="677" t="s">
        <v>2180</v>
      </c>
      <c r="M160" s="678" t="s">
        <v>3843</v>
      </c>
      <c r="N160" s="678" t="s">
        <v>996</v>
      </c>
      <c r="O160" s="678" t="s">
        <v>3845</v>
      </c>
    </row>
    <row r="161">
      <c r="A161" s="116"/>
      <c r="B161" s="480" t="s">
        <v>1273</v>
      </c>
      <c r="C161" s="162" t="s">
        <v>3846</v>
      </c>
      <c r="D161" s="162" t="s">
        <v>3576</v>
      </c>
      <c r="E161" s="241" t="s">
        <v>3847</v>
      </c>
      <c r="F161" s="241" t="s">
        <v>3848</v>
      </c>
      <c r="G161" s="514" t="s">
        <v>3579</v>
      </c>
      <c r="H161" s="246" t="s">
        <v>461</v>
      </c>
      <c r="I161" s="246" t="s">
        <v>2758</v>
      </c>
      <c r="J161" s="338" t="s">
        <v>3849</v>
      </c>
      <c r="K161" s="338" t="s">
        <v>3849</v>
      </c>
      <c r="L161" s="680" t="s">
        <v>2180</v>
      </c>
      <c r="M161" s="681" t="s">
        <v>3856</v>
      </c>
      <c r="N161" s="681" t="s">
        <v>3069</v>
      </c>
      <c r="O161" s="681" t="s">
        <v>3857</v>
      </c>
    </row>
    <row r="162">
      <c r="A162" s="116"/>
      <c r="B162" s="480" t="s">
        <v>1273</v>
      </c>
      <c r="C162" s="165" t="s">
        <v>3858</v>
      </c>
      <c r="D162" s="165" t="s">
        <v>3859</v>
      </c>
      <c r="E162" s="195" t="s">
        <v>3860</v>
      </c>
      <c r="F162" s="195" t="s">
        <v>3861</v>
      </c>
      <c r="G162" s="606" t="s">
        <v>3862</v>
      </c>
      <c r="H162" s="237" t="s">
        <v>485</v>
      </c>
      <c r="I162" s="237" t="s">
        <v>486</v>
      </c>
      <c r="J162" s="366" t="s">
        <v>3863</v>
      </c>
      <c r="K162" s="366" t="s">
        <v>3863</v>
      </c>
      <c r="L162" s="682" t="s">
        <v>2180</v>
      </c>
      <c r="M162" s="683" t="s">
        <v>3865</v>
      </c>
      <c r="N162" s="683" t="s">
        <v>3866</v>
      </c>
      <c r="O162" s="683" t="s">
        <v>3867</v>
      </c>
    </row>
    <row r="163">
      <c r="A163" s="116"/>
      <c r="B163" s="480" t="s">
        <v>1273</v>
      </c>
      <c r="C163" s="162" t="s">
        <v>3872</v>
      </c>
      <c r="D163" s="162" t="s">
        <v>3873</v>
      </c>
      <c r="E163" s="241" t="s">
        <v>3875</v>
      </c>
      <c r="F163" s="241" t="s">
        <v>3876</v>
      </c>
      <c r="G163" s="514" t="s">
        <v>3877</v>
      </c>
      <c r="H163" s="246" t="s">
        <v>192</v>
      </c>
      <c r="I163" s="246" t="s">
        <v>276</v>
      </c>
      <c r="J163" s="338" t="s">
        <v>3878</v>
      </c>
      <c r="K163" s="338" t="s">
        <v>3878</v>
      </c>
      <c r="L163" s="680" t="s">
        <v>3183</v>
      </c>
      <c r="M163" s="681" t="s">
        <v>3880</v>
      </c>
      <c r="N163" s="681" t="s">
        <v>996</v>
      </c>
      <c r="O163" s="681" t="s">
        <v>3881</v>
      </c>
    </row>
    <row r="164">
      <c r="A164" s="370"/>
      <c r="B164" s="685" t="s">
        <v>1273</v>
      </c>
      <c r="C164" s="165" t="s">
        <v>3886</v>
      </c>
      <c r="D164" s="165" t="s">
        <v>3888</v>
      </c>
      <c r="E164" s="195" t="s">
        <v>3889</v>
      </c>
      <c r="F164" s="195" t="s">
        <v>578</v>
      </c>
      <c r="G164" s="606" t="s">
        <v>3890</v>
      </c>
      <c r="H164" s="237" t="s">
        <v>224</v>
      </c>
      <c r="I164" s="237" t="s">
        <v>440</v>
      </c>
      <c r="J164" s="366" t="s">
        <v>3892</v>
      </c>
      <c r="K164" s="366" t="s">
        <v>3892</v>
      </c>
      <c r="L164" s="686" t="s">
        <v>2337</v>
      </c>
      <c r="M164" s="687" t="s">
        <v>3899</v>
      </c>
      <c r="N164" s="687" t="s">
        <v>442</v>
      </c>
      <c r="O164" s="687" t="s">
        <v>3901</v>
      </c>
    </row>
    <row r="165">
      <c r="A165" s="67"/>
      <c r="B165" s="685" t="s">
        <v>1273</v>
      </c>
      <c r="C165" s="212" t="s">
        <v>3902</v>
      </c>
      <c r="D165" s="563" t="s">
        <v>3903</v>
      </c>
      <c r="E165" s="564" t="s">
        <v>3904</v>
      </c>
      <c r="F165" s="564" t="s">
        <v>3905</v>
      </c>
      <c r="G165" s="688" t="s">
        <v>3907</v>
      </c>
      <c r="H165" s="298" t="s">
        <v>192</v>
      </c>
      <c r="I165" s="298" t="s">
        <v>276</v>
      </c>
      <c r="J165" s="689" t="s">
        <v>3909</v>
      </c>
      <c r="K165" s="690"/>
      <c r="L165" s="691" t="s">
        <v>3183</v>
      </c>
      <c r="M165" s="687" t="s">
        <v>3913</v>
      </c>
      <c r="N165" s="687" t="s">
        <v>1667</v>
      </c>
      <c r="O165" s="687" t="s">
        <v>3914</v>
      </c>
    </row>
    <row r="166">
      <c r="A166" s="67"/>
      <c r="B166" s="685" t="s">
        <v>1273</v>
      </c>
      <c r="C166" s="210" t="s">
        <v>3915</v>
      </c>
      <c r="D166" s="210" t="s">
        <v>3916</v>
      </c>
      <c r="E166" s="406" t="s">
        <v>3064</v>
      </c>
      <c r="F166" s="406" t="s">
        <v>3919</v>
      </c>
      <c r="G166" s="463" t="s">
        <v>3921</v>
      </c>
      <c r="H166" s="246" t="s">
        <v>192</v>
      </c>
      <c r="I166" s="246" t="s">
        <v>276</v>
      </c>
      <c r="J166" s="338" t="s">
        <v>3923</v>
      </c>
      <c r="K166" s="338" t="s">
        <v>3923</v>
      </c>
      <c r="L166" s="400">
        <v>4.36</v>
      </c>
      <c r="M166" s="240" t="s">
        <v>3926</v>
      </c>
      <c r="N166" s="240" t="s">
        <v>996</v>
      </c>
      <c r="O166" s="240" t="s">
        <v>3928</v>
      </c>
    </row>
    <row r="167">
      <c r="A167" s="67"/>
      <c r="B167" s="685" t="s">
        <v>1273</v>
      </c>
      <c r="C167" s="157" t="s">
        <v>3929</v>
      </c>
      <c r="D167" s="157" t="s">
        <v>3930</v>
      </c>
      <c r="E167" s="218" t="s">
        <v>3064</v>
      </c>
      <c r="F167" s="667" t="s">
        <v>3931</v>
      </c>
      <c r="G167" s="668" t="s">
        <v>3932</v>
      </c>
      <c r="H167" s="655" t="s">
        <v>461</v>
      </c>
      <c r="I167" s="655" t="s">
        <v>2758</v>
      </c>
      <c r="J167" s="366" t="s">
        <v>3937</v>
      </c>
      <c r="K167" s="366" t="s">
        <v>3937</v>
      </c>
      <c r="L167" s="239" t="s">
        <v>2772</v>
      </c>
      <c r="M167" s="240" t="s">
        <v>3941</v>
      </c>
      <c r="N167" s="240" t="s">
        <v>1667</v>
      </c>
      <c r="O167" s="240" t="s">
        <v>3942</v>
      </c>
    </row>
    <row r="168">
      <c r="A168" s="67"/>
      <c r="B168" s="685" t="s">
        <v>1273</v>
      </c>
      <c r="C168" s="210" t="s">
        <v>3943</v>
      </c>
      <c r="D168" s="210" t="s">
        <v>3944</v>
      </c>
      <c r="E168" s="406" t="s">
        <v>592</v>
      </c>
      <c r="F168" s="406" t="s">
        <v>3945</v>
      </c>
      <c r="G168" s="463" t="s">
        <v>3946</v>
      </c>
      <c r="H168" s="464" t="s">
        <v>192</v>
      </c>
      <c r="I168" s="464" t="s">
        <v>350</v>
      </c>
      <c r="J168" s="338" t="s">
        <v>3951</v>
      </c>
      <c r="K168" s="338" t="s">
        <v>3951</v>
      </c>
      <c r="L168" s="239" t="s">
        <v>1645</v>
      </c>
      <c r="M168" s="240"/>
      <c r="N168" s="240" t="s">
        <v>352</v>
      </c>
      <c r="O168" s="240" t="s">
        <v>3953</v>
      </c>
    </row>
    <row r="169">
      <c r="A169" s="67"/>
      <c r="B169" s="685" t="s">
        <v>1273</v>
      </c>
      <c r="C169" s="212" t="s">
        <v>3956</v>
      </c>
      <c r="D169" s="212" t="s">
        <v>3957</v>
      </c>
      <c r="E169" s="432" t="s">
        <v>3958</v>
      </c>
      <c r="F169" s="432" t="s">
        <v>1478</v>
      </c>
      <c r="G169" s="465" t="s">
        <v>3961</v>
      </c>
      <c r="H169" s="393" t="s">
        <v>461</v>
      </c>
      <c r="I169" s="393" t="s">
        <v>530</v>
      </c>
      <c r="J169" s="366" t="s">
        <v>3964</v>
      </c>
      <c r="K169" s="366" t="s">
        <v>3964</v>
      </c>
      <c r="L169" s="704" t="s">
        <v>1292</v>
      </c>
      <c r="M169" s="240"/>
      <c r="N169" s="240" t="s">
        <v>3069</v>
      </c>
      <c r="O169" s="240" t="s">
        <v>3970</v>
      </c>
    </row>
    <row r="170">
      <c r="A170" s="67"/>
      <c r="B170" s="685" t="s">
        <v>1273</v>
      </c>
      <c r="C170" s="162" t="s">
        <v>3971</v>
      </c>
      <c r="D170" s="162" t="s">
        <v>2622</v>
      </c>
      <c r="E170" s="241" t="s">
        <v>2623</v>
      </c>
      <c r="F170" s="241" t="s">
        <v>215</v>
      </c>
      <c r="G170" s="514" t="s">
        <v>1805</v>
      </c>
      <c r="H170" s="464" t="s">
        <v>461</v>
      </c>
      <c r="I170" s="464" t="s">
        <v>530</v>
      </c>
      <c r="J170" s="338" t="s">
        <v>3973</v>
      </c>
      <c r="K170" s="338" t="s">
        <v>3973</v>
      </c>
      <c r="L170" s="710" t="s">
        <v>1645</v>
      </c>
      <c r="M170" s="240"/>
      <c r="N170" s="240" t="s">
        <v>3069</v>
      </c>
      <c r="O170" s="240" t="s">
        <v>3982</v>
      </c>
    </row>
    <row r="171">
      <c r="A171" s="67"/>
      <c r="B171" s="685" t="s">
        <v>1273</v>
      </c>
      <c r="C171" s="162" t="s">
        <v>3984</v>
      </c>
      <c r="D171" s="162" t="s">
        <v>3985</v>
      </c>
      <c r="E171" s="241" t="s">
        <v>3986</v>
      </c>
      <c r="F171" s="571"/>
      <c r="G171" s="514" t="s">
        <v>3987</v>
      </c>
      <c r="H171" s="602" t="s">
        <v>192</v>
      </c>
      <c r="I171" s="602" t="s">
        <v>276</v>
      </c>
      <c r="J171" s="338" t="s">
        <v>3990</v>
      </c>
      <c r="K171" s="338" t="s">
        <v>3990</v>
      </c>
      <c r="L171" s="239" t="s">
        <v>1645</v>
      </c>
      <c r="M171" s="240"/>
      <c r="N171" s="240" t="s">
        <v>533</v>
      </c>
      <c r="O171" s="240"/>
    </row>
    <row r="172">
      <c r="A172" s="67"/>
      <c r="B172" s="685" t="s">
        <v>1273</v>
      </c>
      <c r="C172" s="162" t="s">
        <v>3993</v>
      </c>
      <c r="D172" s="162" t="s">
        <v>3994</v>
      </c>
      <c r="E172" s="241" t="s">
        <v>317</v>
      </c>
      <c r="F172" s="241" t="s">
        <v>3995</v>
      </c>
      <c r="G172" s="514" t="s">
        <v>3996</v>
      </c>
      <c r="H172" s="464" t="s">
        <v>224</v>
      </c>
      <c r="I172" s="464" t="s">
        <v>226</v>
      </c>
      <c r="J172" s="338" t="s">
        <v>4003</v>
      </c>
      <c r="K172" s="338" t="s">
        <v>4003</v>
      </c>
      <c r="L172" s="239" t="s">
        <v>1444</v>
      </c>
      <c r="M172" s="240"/>
      <c r="N172" s="240" t="s">
        <v>3269</v>
      </c>
      <c r="O172" s="240"/>
    </row>
    <row r="173">
      <c r="A173" s="67"/>
      <c r="B173" s="685" t="s">
        <v>1273</v>
      </c>
      <c r="C173" s="162" t="s">
        <v>4007</v>
      </c>
      <c r="D173" s="162" t="s">
        <v>1794</v>
      </c>
      <c r="E173" s="241" t="s">
        <v>1155</v>
      </c>
      <c r="F173" s="241" t="s">
        <v>4008</v>
      </c>
      <c r="G173" s="514" t="s">
        <v>1796</v>
      </c>
      <c r="H173" s="464" t="s">
        <v>192</v>
      </c>
      <c r="I173" s="464" t="s">
        <v>276</v>
      </c>
      <c r="J173" s="338" t="s">
        <v>4009</v>
      </c>
      <c r="K173" s="338" t="s">
        <v>4009</v>
      </c>
      <c r="L173" s="239" t="s">
        <v>2337</v>
      </c>
      <c r="M173" s="240"/>
      <c r="N173" s="240" t="s">
        <v>897</v>
      </c>
      <c r="O173" s="240"/>
    </row>
    <row r="174">
      <c r="A174" s="67"/>
      <c r="B174" s="685" t="s">
        <v>1273</v>
      </c>
      <c r="C174" s="713" t="s">
        <v>4015</v>
      </c>
      <c r="D174" s="714" t="s">
        <v>4019</v>
      </c>
      <c r="E174" s="714" t="s">
        <v>436</v>
      </c>
      <c r="F174" s="714" t="s">
        <v>4022</v>
      </c>
      <c r="G174" s="715" t="s">
        <v>4023</v>
      </c>
      <c r="H174" s="419" t="s">
        <v>192</v>
      </c>
      <c r="I174" s="419" t="s">
        <v>276</v>
      </c>
      <c r="J174" s="716" t="s">
        <v>4024</v>
      </c>
      <c r="K174" s="716" t="s">
        <v>4024</v>
      </c>
      <c r="L174" s="239" t="s">
        <v>1322</v>
      </c>
      <c r="M174" s="240"/>
      <c r="N174" s="240" t="s">
        <v>1667</v>
      </c>
      <c r="O174" s="240"/>
    </row>
    <row r="175">
      <c r="A175" s="67"/>
      <c r="B175" s="685" t="s">
        <v>1273</v>
      </c>
      <c r="C175" s="246" t="s">
        <v>4027</v>
      </c>
      <c r="D175" s="246" t="s">
        <v>4028</v>
      </c>
      <c r="E175" s="464" t="s">
        <v>4030</v>
      </c>
      <c r="F175" s="464" t="s">
        <v>292</v>
      </c>
      <c r="G175" s="338" t="s">
        <v>4034</v>
      </c>
      <c r="H175" s="464" t="s">
        <v>192</v>
      </c>
      <c r="I175" s="464" t="s">
        <v>195</v>
      </c>
      <c r="J175" s="718" t="s">
        <v>4038</v>
      </c>
      <c r="K175" s="570"/>
      <c r="L175" s="400">
        <v>3.86</v>
      </c>
      <c r="M175" s="240"/>
      <c r="N175" s="240" t="s">
        <v>843</v>
      </c>
      <c r="O175" s="240"/>
    </row>
    <row r="176">
      <c r="A176" s="67"/>
      <c r="B176" s="685" t="s">
        <v>1273</v>
      </c>
      <c r="C176" s="210" t="s">
        <v>4047</v>
      </c>
      <c r="D176" s="210" t="s">
        <v>4048</v>
      </c>
      <c r="E176" s="406" t="s">
        <v>4049</v>
      </c>
      <c r="F176" s="406" t="s">
        <v>4050</v>
      </c>
      <c r="G176" s="463" t="s">
        <v>4051</v>
      </c>
      <c r="H176" s="464" t="s">
        <v>461</v>
      </c>
      <c r="I176" s="464" t="s">
        <v>530</v>
      </c>
      <c r="J176" s="718" t="s">
        <v>4058</v>
      </c>
      <c r="K176" s="570"/>
      <c r="L176" s="400">
        <v>3.57</v>
      </c>
      <c r="M176" s="240"/>
      <c r="N176" s="240" t="s">
        <v>4061</v>
      </c>
      <c r="O176" s="240"/>
    </row>
    <row r="177">
      <c r="A177" s="67"/>
      <c r="B177" s="685" t="s">
        <v>1273</v>
      </c>
      <c r="C177" s="210" t="s">
        <v>4064</v>
      </c>
      <c r="D177" s="210" t="s">
        <v>4066</v>
      </c>
      <c r="E177" s="406" t="s">
        <v>4067</v>
      </c>
      <c r="F177" s="462"/>
      <c r="G177" s="463" t="s">
        <v>4068</v>
      </c>
      <c r="H177" s="464" t="s">
        <v>485</v>
      </c>
      <c r="I177" s="464" t="s">
        <v>386</v>
      </c>
      <c r="J177" s="718" t="s">
        <v>4069</v>
      </c>
      <c r="K177" s="570"/>
      <c r="L177" s="400">
        <v>4.5</v>
      </c>
      <c r="M177" s="724"/>
      <c r="N177" s="725" t="s">
        <v>1372</v>
      </c>
      <c r="O177" s="724"/>
    </row>
    <row r="178">
      <c r="A178" s="67"/>
      <c r="B178" s="685" t="s">
        <v>1273</v>
      </c>
      <c r="C178" s="212" t="s">
        <v>4081</v>
      </c>
      <c r="D178" s="212" t="s">
        <v>4083</v>
      </c>
      <c r="E178" s="432" t="s">
        <v>4084</v>
      </c>
      <c r="F178" s="726" t="s">
        <v>4086</v>
      </c>
      <c r="G178" s="465" t="s">
        <v>4088</v>
      </c>
      <c r="H178" s="393" t="s">
        <v>192</v>
      </c>
      <c r="I178" s="393" t="s">
        <v>195</v>
      </c>
      <c r="J178" s="727" t="s">
        <v>4090</v>
      </c>
      <c r="K178" s="439"/>
      <c r="L178" s="400">
        <v>3.57</v>
      </c>
      <c r="M178" s="728"/>
      <c r="N178" s="729" t="s">
        <v>208</v>
      </c>
      <c r="O178" s="728"/>
    </row>
    <row r="179">
      <c r="A179" s="67"/>
      <c r="B179" s="685" t="s">
        <v>1273</v>
      </c>
      <c r="C179" s="732" t="s">
        <v>4097</v>
      </c>
      <c r="D179" s="40" t="s">
        <v>3473</v>
      </c>
      <c r="E179" s="40" t="s">
        <v>1039</v>
      </c>
      <c r="F179" s="40" t="s">
        <v>2334</v>
      </c>
      <c r="G179" s="419" t="s">
        <v>3475</v>
      </c>
      <c r="H179" s="419" t="s">
        <v>276</v>
      </c>
      <c r="I179" s="419" t="s">
        <v>1667</v>
      </c>
      <c r="J179" s="734" t="s">
        <v>4099</v>
      </c>
      <c r="K179" s="735"/>
      <c r="L179" s="239" t="s">
        <v>4105</v>
      </c>
      <c r="M179" s="240"/>
      <c r="N179" s="240" t="s">
        <v>1667</v>
      </c>
      <c r="O179" s="240"/>
    </row>
    <row r="180">
      <c r="A180" s="67"/>
      <c r="B180" s="685" t="s">
        <v>1273</v>
      </c>
      <c r="C180" s="488" t="s">
        <v>4108</v>
      </c>
      <c r="D180" s="488" t="s">
        <v>3681</v>
      </c>
      <c r="E180" s="736" t="s">
        <v>754</v>
      </c>
      <c r="F180" s="737" t="s">
        <v>4110</v>
      </c>
      <c r="G180" s="738" t="s">
        <v>3683</v>
      </c>
      <c r="H180" s="739" t="s">
        <v>461</v>
      </c>
      <c r="I180" s="739" t="s">
        <v>530</v>
      </c>
      <c r="J180" s="399" t="s">
        <v>4111</v>
      </c>
      <c r="K180" s="740"/>
      <c r="L180" s="239" t="s">
        <v>4118</v>
      </c>
      <c r="M180" s="240"/>
      <c r="N180" s="240" t="s">
        <v>547</v>
      </c>
      <c r="O180" s="240"/>
    </row>
    <row r="181">
      <c r="A181" s="67"/>
      <c r="B181" s="685" t="s">
        <v>1273</v>
      </c>
      <c r="C181" s="732" t="s">
        <v>4120</v>
      </c>
      <c r="D181" s="40" t="s">
        <v>3681</v>
      </c>
      <c r="E181" s="40" t="s">
        <v>1039</v>
      </c>
      <c r="F181" s="40" t="s">
        <v>4110</v>
      </c>
      <c r="G181" s="418" t="s">
        <v>3683</v>
      </c>
      <c r="H181" s="419" t="s">
        <v>461</v>
      </c>
      <c r="I181" s="419" t="s">
        <v>530</v>
      </c>
      <c r="J181" s="457" t="s">
        <v>4122</v>
      </c>
      <c r="K181" s="740"/>
      <c r="L181" s="239" t="s">
        <v>1421</v>
      </c>
      <c r="M181" s="240"/>
      <c r="N181" s="240" t="s">
        <v>547</v>
      </c>
      <c r="O181" s="240"/>
    </row>
    <row r="182">
      <c r="A182" s="67"/>
      <c r="B182" s="685" t="s">
        <v>1273</v>
      </c>
      <c r="C182" s="732" t="s">
        <v>4127</v>
      </c>
      <c r="D182" s="40" t="s">
        <v>3681</v>
      </c>
      <c r="E182" s="40" t="s">
        <v>1039</v>
      </c>
      <c r="F182" s="40" t="s">
        <v>4110</v>
      </c>
      <c r="G182" s="418" t="s">
        <v>3683</v>
      </c>
      <c r="H182" s="419" t="s">
        <v>461</v>
      </c>
      <c r="I182" s="419" t="s">
        <v>530</v>
      </c>
      <c r="J182" s="457" t="s">
        <v>4130</v>
      </c>
      <c r="K182" s="740"/>
      <c r="L182" s="239" t="s">
        <v>1292</v>
      </c>
      <c r="M182" s="240"/>
      <c r="N182" s="240" t="s">
        <v>547</v>
      </c>
      <c r="O182" s="240"/>
    </row>
    <row r="183">
      <c r="A183" s="67"/>
      <c r="B183" s="685" t="s">
        <v>1273</v>
      </c>
      <c r="C183" s="212" t="s">
        <v>4140</v>
      </c>
      <c r="D183" s="212" t="s">
        <v>3681</v>
      </c>
      <c r="E183" s="432" t="s">
        <v>1039</v>
      </c>
      <c r="F183" s="432" t="s">
        <v>4110</v>
      </c>
      <c r="G183" s="465" t="s">
        <v>3683</v>
      </c>
      <c r="H183" s="393" t="s">
        <v>461</v>
      </c>
      <c r="I183" s="393" t="s">
        <v>530</v>
      </c>
      <c r="J183" s="682" t="s">
        <v>4141</v>
      </c>
      <c r="K183" s="439"/>
      <c r="M183" s="728"/>
      <c r="N183" s="729" t="s">
        <v>547</v>
      </c>
      <c r="O183" s="728"/>
    </row>
    <row r="184">
      <c r="A184" s="67"/>
      <c r="B184" s="685" t="s">
        <v>1273</v>
      </c>
      <c r="C184" s="732" t="s">
        <v>4144</v>
      </c>
      <c r="D184" s="40" t="s">
        <v>4145</v>
      </c>
      <c r="E184" s="40" t="s">
        <v>4146</v>
      </c>
      <c r="F184" s="40" t="s">
        <v>4147</v>
      </c>
      <c r="G184" s="418" t="s">
        <v>4148</v>
      </c>
      <c r="H184" s="419" t="s">
        <v>461</v>
      </c>
      <c r="I184" s="419" t="s">
        <v>462</v>
      </c>
      <c r="J184" s="734" t="s">
        <v>4152</v>
      </c>
      <c r="K184" s="742"/>
      <c r="L184" s="239" t="s">
        <v>4157</v>
      </c>
      <c r="M184" s="240"/>
      <c r="N184" s="240" t="s">
        <v>886</v>
      </c>
      <c r="O184" s="240"/>
    </row>
    <row r="185">
      <c r="A185" s="67"/>
      <c r="B185" s="685" t="s">
        <v>1273</v>
      </c>
      <c r="C185" s="212" t="s">
        <v>4159</v>
      </c>
      <c r="D185" s="212" t="s">
        <v>4160</v>
      </c>
      <c r="E185" s="432" t="s">
        <v>4161</v>
      </c>
      <c r="F185" s="432" t="s">
        <v>770</v>
      </c>
      <c r="G185" s="465" t="s">
        <v>4162</v>
      </c>
      <c r="H185" s="393" t="s">
        <v>224</v>
      </c>
      <c r="I185" s="393" t="s">
        <v>1057</v>
      </c>
      <c r="J185" s="531" t="s">
        <v>4163</v>
      </c>
      <c r="K185" s="742"/>
      <c r="L185" s="239" t="s">
        <v>4173</v>
      </c>
      <c r="M185" s="240"/>
      <c r="N185" s="240" t="s">
        <v>933</v>
      </c>
      <c r="O185" s="240"/>
    </row>
    <row r="186">
      <c r="A186" s="67"/>
      <c r="B186" s="685" t="s">
        <v>1273</v>
      </c>
      <c r="C186" s="210" t="s">
        <v>4177</v>
      </c>
      <c r="D186" s="210" t="s">
        <v>4178</v>
      </c>
      <c r="E186" s="406" t="s">
        <v>4179</v>
      </c>
      <c r="F186" s="406" t="s">
        <v>4180</v>
      </c>
      <c r="G186" s="463" t="s">
        <v>4181</v>
      </c>
      <c r="H186" s="464" t="s">
        <v>486</v>
      </c>
      <c r="I186" s="464" t="s">
        <v>1372</v>
      </c>
      <c r="J186" s="744" t="s">
        <v>4183</v>
      </c>
      <c r="K186" s="570"/>
      <c r="L186" s="239" t="s">
        <v>1779</v>
      </c>
      <c r="M186" s="240"/>
      <c r="N186" s="240" t="s">
        <v>1159</v>
      </c>
      <c r="O186" s="240"/>
    </row>
    <row r="187">
      <c r="A187" s="67"/>
      <c r="B187" s="685" t="s">
        <v>1273</v>
      </c>
      <c r="C187" s="212" t="s">
        <v>4191</v>
      </c>
      <c r="D187" s="212" t="s">
        <v>4192</v>
      </c>
      <c r="E187" s="432" t="s">
        <v>4193</v>
      </c>
      <c r="F187" s="432" t="s">
        <v>4194</v>
      </c>
      <c r="G187" s="465" t="s">
        <v>4195</v>
      </c>
      <c r="H187" s="393" t="s">
        <v>224</v>
      </c>
      <c r="I187" s="393" t="s">
        <v>226</v>
      </c>
      <c r="J187" s="745" t="s">
        <v>4200</v>
      </c>
      <c r="K187" s="439"/>
      <c r="L187" s="400">
        <v>3.21</v>
      </c>
      <c r="M187" s="240"/>
      <c r="N187" s="240" t="s">
        <v>238</v>
      </c>
      <c r="O187" s="240"/>
    </row>
    <row r="188">
      <c r="A188" s="67"/>
      <c r="B188" s="685" t="s">
        <v>1273</v>
      </c>
      <c r="C188" s="246" t="s">
        <v>4207</v>
      </c>
      <c r="D188" s="210" t="s">
        <v>4014</v>
      </c>
      <c r="E188" s="406" t="s">
        <v>4208</v>
      </c>
      <c r="F188" s="406" t="s">
        <v>4016</v>
      </c>
      <c r="G188" s="463" t="s">
        <v>4209</v>
      </c>
      <c r="H188" s="464" t="s">
        <v>276</v>
      </c>
      <c r="I188" s="464" t="s">
        <v>996</v>
      </c>
      <c r="J188" s="744" t="s">
        <v>4213</v>
      </c>
      <c r="K188" s="570"/>
      <c r="L188" s="239" t="s">
        <v>1624</v>
      </c>
      <c r="M188" s="240"/>
      <c r="N188" s="240" t="s">
        <v>4218</v>
      </c>
      <c r="O188" s="240"/>
    </row>
    <row r="189">
      <c r="A189" s="67"/>
      <c r="B189" s="685" t="s">
        <v>1273</v>
      </c>
      <c r="C189" s="237" t="s">
        <v>4221</v>
      </c>
      <c r="D189" s="212" t="s">
        <v>4222</v>
      </c>
      <c r="E189" s="432" t="s">
        <v>4224</v>
      </c>
      <c r="F189" s="432" t="s">
        <v>1129</v>
      </c>
      <c r="G189" s="465" t="s">
        <v>4227</v>
      </c>
      <c r="H189" s="393" t="s">
        <v>192</v>
      </c>
      <c r="I189" s="393" t="s">
        <v>276</v>
      </c>
      <c r="J189" s="745" t="s">
        <v>4229</v>
      </c>
      <c r="K189" s="439"/>
      <c r="M189" s="746"/>
      <c r="N189" s="747" t="s">
        <v>996</v>
      </c>
      <c r="O189" s="746"/>
    </row>
    <row r="190">
      <c r="A190" s="67"/>
      <c r="B190" s="685" t="s">
        <v>1273</v>
      </c>
      <c r="C190" s="246" t="s">
        <v>4243</v>
      </c>
      <c r="D190" s="210" t="s">
        <v>4014</v>
      </c>
      <c r="E190" s="406" t="s">
        <v>4208</v>
      </c>
      <c r="F190" s="406" t="s">
        <v>4016</v>
      </c>
      <c r="G190" s="463" t="s">
        <v>4209</v>
      </c>
      <c r="H190" s="464" t="s">
        <v>192</v>
      </c>
      <c r="I190" s="464" t="s">
        <v>276</v>
      </c>
      <c r="J190" s="744" t="s">
        <v>4244</v>
      </c>
      <c r="K190" s="742"/>
      <c r="L190" s="747" t="s">
        <v>4247</v>
      </c>
      <c r="M190" s="746"/>
      <c r="N190" s="747" t="s">
        <v>996</v>
      </c>
      <c r="O190" s="746"/>
    </row>
    <row r="191">
      <c r="A191" s="67"/>
      <c r="B191" s="685" t="s">
        <v>1273</v>
      </c>
      <c r="C191" s="210" t="s">
        <v>4248</v>
      </c>
      <c r="D191" s="210" t="s">
        <v>4250</v>
      </c>
      <c r="E191" s="406" t="s">
        <v>4251</v>
      </c>
      <c r="F191" s="406" t="s">
        <v>4253</v>
      </c>
      <c r="G191" s="463" t="s">
        <v>4254</v>
      </c>
      <c r="H191" s="464" t="s">
        <v>192</v>
      </c>
      <c r="I191" s="464" t="s">
        <v>350</v>
      </c>
      <c r="J191" s="748" t="s">
        <v>4257</v>
      </c>
      <c r="K191" s="570"/>
      <c r="L191" s="400">
        <v>3.21</v>
      </c>
      <c r="M191" s="746"/>
      <c r="N191" s="747" t="s">
        <v>600</v>
      </c>
      <c r="O191" s="746"/>
    </row>
    <row r="192">
      <c r="A192" s="67"/>
      <c r="B192" s="685" t="s">
        <v>1273</v>
      </c>
      <c r="C192" s="210" t="s">
        <v>4263</v>
      </c>
      <c r="D192" s="210" t="s">
        <v>4264</v>
      </c>
      <c r="E192" s="406" t="s">
        <v>4265</v>
      </c>
      <c r="F192" s="406" t="s">
        <v>4266</v>
      </c>
      <c r="G192" s="463" t="s">
        <v>4267</v>
      </c>
      <c r="H192" s="464" t="s">
        <v>485</v>
      </c>
      <c r="I192" s="464" t="s">
        <v>486</v>
      </c>
      <c r="J192" s="744" t="s">
        <v>4269</v>
      </c>
      <c r="K192" s="754"/>
      <c r="L192" s="747" t="s">
        <v>4280</v>
      </c>
      <c r="M192" s="746"/>
      <c r="N192" s="747" t="s">
        <v>2133</v>
      </c>
      <c r="O192" s="746"/>
    </row>
    <row r="193">
      <c r="A193" s="67"/>
      <c r="B193" s="685" t="s">
        <v>1273</v>
      </c>
      <c r="C193" s="732" t="s">
        <v>4282</v>
      </c>
      <c r="D193" s="40" t="s">
        <v>4283</v>
      </c>
      <c r="E193" s="40" t="s">
        <v>1325</v>
      </c>
      <c r="F193" s="40" t="s">
        <v>4284</v>
      </c>
      <c r="G193" s="418" t="s">
        <v>4285</v>
      </c>
      <c r="H193" s="419" t="s">
        <v>461</v>
      </c>
      <c r="I193" s="419" t="s">
        <v>530</v>
      </c>
      <c r="J193" s="755" t="s">
        <v>4288</v>
      </c>
      <c r="K193" s="754"/>
      <c r="L193" s="746"/>
      <c r="M193" s="746"/>
      <c r="N193" s="747" t="s">
        <v>33</v>
      </c>
      <c r="O193" s="746"/>
    </row>
    <row r="194">
      <c r="A194" s="67"/>
      <c r="B194" s="685" t="s">
        <v>1273</v>
      </c>
      <c r="C194" s="210" t="s">
        <v>4299</v>
      </c>
      <c r="D194" s="210" t="s">
        <v>4300</v>
      </c>
      <c r="E194" s="406" t="s">
        <v>4301</v>
      </c>
      <c r="F194" s="406" t="s">
        <v>4302</v>
      </c>
      <c r="G194" s="463" t="s">
        <v>4303</v>
      </c>
      <c r="H194" s="406" t="s">
        <v>224</v>
      </c>
      <c r="I194" s="406" t="s">
        <v>440</v>
      </c>
      <c r="J194" s="756" t="s">
        <v>4306</v>
      </c>
      <c r="K194" s="463" t="s">
        <v>4306</v>
      </c>
      <c r="L194" s="746"/>
      <c r="M194" s="746"/>
      <c r="N194" s="746"/>
      <c r="O194" s="746"/>
    </row>
    <row r="195">
      <c r="A195" s="67"/>
      <c r="B195" s="685" t="s">
        <v>1273</v>
      </c>
      <c r="C195" s="757"/>
      <c r="D195" s="576"/>
      <c r="E195" s="576"/>
      <c r="F195" s="576"/>
      <c r="G195" s="577"/>
      <c r="H195" s="577"/>
      <c r="I195" s="577"/>
      <c r="J195" s="577"/>
      <c r="K195" s="577"/>
      <c r="L195" s="746"/>
      <c r="M195" s="746"/>
      <c r="N195" s="746"/>
      <c r="O195" s="746"/>
    </row>
    <row r="196">
      <c r="A196" s="67"/>
      <c r="B196" s="685" t="s">
        <v>1273</v>
      </c>
      <c r="C196" s="757"/>
      <c r="D196" s="576"/>
      <c r="E196" s="576"/>
      <c r="F196" s="576"/>
      <c r="G196" s="577"/>
      <c r="H196" s="577"/>
      <c r="I196" s="577"/>
      <c r="J196" s="577"/>
      <c r="K196" s="577"/>
      <c r="L196" s="746"/>
      <c r="M196" s="746"/>
      <c r="N196" s="746"/>
      <c r="O196" s="746"/>
    </row>
    <row r="197">
      <c r="A197" s="67"/>
      <c r="B197" s="685" t="s">
        <v>1273</v>
      </c>
      <c r="C197" s="757"/>
      <c r="D197" s="576"/>
      <c r="E197" s="576"/>
      <c r="F197" s="576"/>
      <c r="G197" s="577"/>
      <c r="H197" s="577"/>
      <c r="I197" s="577"/>
      <c r="J197" s="577"/>
      <c r="K197" s="577"/>
      <c r="L197" s="746"/>
      <c r="M197" s="746"/>
      <c r="N197" s="746"/>
      <c r="O197" s="746"/>
    </row>
    <row r="198">
      <c r="A198" s="67"/>
      <c r="B198" s="685" t="s">
        <v>1273</v>
      </c>
      <c r="C198" s="757"/>
      <c r="D198" s="576"/>
      <c r="E198" s="576"/>
      <c r="F198" s="576"/>
      <c r="G198" s="577"/>
      <c r="H198" s="577"/>
      <c r="I198" s="577"/>
      <c r="J198" s="577"/>
      <c r="K198" s="577"/>
      <c r="L198" s="746"/>
      <c r="M198" s="746"/>
      <c r="N198" s="746"/>
      <c r="O198" s="746"/>
    </row>
    <row r="199">
      <c r="A199" s="67"/>
      <c r="B199" s="758"/>
      <c r="C199" s="757"/>
      <c r="D199" s="576"/>
      <c r="E199" s="576"/>
      <c r="F199" s="576"/>
      <c r="G199" s="577"/>
      <c r="H199" s="577"/>
      <c r="I199" s="577"/>
      <c r="J199" s="577"/>
      <c r="K199" s="577"/>
      <c r="L199" s="746"/>
      <c r="M199" s="746"/>
      <c r="N199" s="746"/>
      <c r="O199" s="746"/>
    </row>
    <row r="200">
      <c r="A200" s="67"/>
      <c r="B200" s="758"/>
      <c r="C200" s="757"/>
      <c r="D200" s="576"/>
      <c r="E200" s="576"/>
      <c r="F200" s="576"/>
      <c r="G200" s="577"/>
      <c r="H200" s="577"/>
      <c r="I200" s="577"/>
      <c r="J200" s="577"/>
      <c r="K200" s="577"/>
      <c r="L200" s="746"/>
      <c r="M200" s="746"/>
      <c r="N200" s="746"/>
      <c r="O200" s="746"/>
    </row>
    <row r="201">
      <c r="A201" s="67"/>
      <c r="B201" s="758"/>
      <c r="C201" s="757"/>
      <c r="D201" s="576"/>
      <c r="E201" s="576"/>
      <c r="F201" s="576"/>
      <c r="G201" s="577"/>
      <c r="H201" s="577"/>
      <c r="I201" s="577"/>
      <c r="J201" s="577"/>
      <c r="K201" s="577"/>
      <c r="L201" s="746"/>
      <c r="M201" s="746"/>
      <c r="N201" s="746"/>
      <c r="O201" s="746"/>
    </row>
    <row r="202">
      <c r="A202" s="67"/>
      <c r="B202" s="758"/>
      <c r="C202" s="757"/>
      <c r="D202" s="576"/>
      <c r="E202" s="576"/>
      <c r="F202" s="576"/>
      <c r="G202" s="577"/>
      <c r="H202" s="577"/>
      <c r="I202" s="577"/>
      <c r="J202" s="577"/>
      <c r="K202" s="577"/>
      <c r="L202" s="746"/>
      <c r="M202" s="746"/>
      <c r="N202" s="746"/>
      <c r="O202" s="746"/>
    </row>
    <row r="203">
      <c r="A203" s="67"/>
      <c r="B203" s="758"/>
      <c r="C203" s="757"/>
      <c r="D203" s="576"/>
      <c r="E203" s="576"/>
      <c r="F203" s="576"/>
      <c r="G203" s="577"/>
      <c r="H203" s="577"/>
      <c r="I203" s="577"/>
      <c r="J203" s="577"/>
      <c r="K203" s="577"/>
      <c r="L203" s="746"/>
      <c r="M203" s="746"/>
      <c r="N203" s="746"/>
      <c r="O203" s="746"/>
    </row>
    <row r="204">
      <c r="A204" s="67"/>
      <c r="B204" s="758"/>
      <c r="C204" s="757"/>
      <c r="D204" s="576"/>
      <c r="E204" s="576"/>
      <c r="F204" s="576"/>
      <c r="G204" s="577"/>
      <c r="H204" s="577"/>
      <c r="I204" s="577"/>
      <c r="J204" s="577"/>
      <c r="K204" s="577"/>
      <c r="L204" s="746"/>
      <c r="M204" s="746"/>
      <c r="N204" s="746"/>
      <c r="O204" s="746"/>
    </row>
    <row r="205">
      <c r="A205" s="67"/>
      <c r="B205" s="758"/>
      <c r="C205" s="757"/>
      <c r="D205" s="576"/>
      <c r="E205" s="576"/>
      <c r="F205" s="576"/>
      <c r="G205" s="577"/>
      <c r="H205" s="577"/>
      <c r="I205" s="577"/>
      <c r="J205" s="577"/>
      <c r="K205" s="577"/>
      <c r="L205" s="746"/>
      <c r="M205" s="746"/>
      <c r="N205" s="746"/>
      <c r="O205" s="746"/>
    </row>
    <row r="206">
      <c r="A206" s="67"/>
      <c r="B206" s="758"/>
      <c r="C206" s="757"/>
      <c r="D206" s="576"/>
      <c r="E206" s="576"/>
      <c r="F206" s="576"/>
      <c r="G206" s="577"/>
      <c r="H206" s="577"/>
      <c r="I206" s="577"/>
      <c r="J206" s="577"/>
      <c r="K206" s="577"/>
      <c r="L206" s="746"/>
      <c r="M206" s="746"/>
      <c r="N206" s="746"/>
      <c r="O206" s="746"/>
    </row>
    <row r="207">
      <c r="A207" s="67"/>
      <c r="B207" s="758"/>
      <c r="C207" s="757"/>
      <c r="D207" s="576"/>
      <c r="E207" s="576"/>
      <c r="F207" s="576"/>
      <c r="G207" s="577"/>
      <c r="H207" s="577"/>
      <c r="I207" s="577"/>
      <c r="J207" s="577"/>
      <c r="K207" s="577"/>
      <c r="L207" s="746"/>
      <c r="M207" s="746"/>
      <c r="N207" s="746"/>
      <c r="O207" s="746"/>
    </row>
    <row r="208">
      <c r="A208" s="67"/>
      <c r="B208" s="758"/>
      <c r="C208" s="757"/>
      <c r="D208" s="576"/>
      <c r="E208" s="576"/>
      <c r="F208" s="576"/>
      <c r="G208" s="577"/>
      <c r="H208" s="577"/>
      <c r="I208" s="577"/>
      <c r="J208" s="577"/>
      <c r="K208" s="577"/>
      <c r="L208" s="746"/>
      <c r="M208" s="746"/>
      <c r="N208" s="746"/>
      <c r="O208" s="746"/>
    </row>
    <row r="209">
      <c r="A209" s="67"/>
      <c r="B209" s="758"/>
      <c r="C209" s="757"/>
      <c r="D209" s="576"/>
      <c r="E209" s="576"/>
      <c r="F209" s="576"/>
      <c r="G209" s="577"/>
      <c r="H209" s="577"/>
      <c r="I209" s="577"/>
      <c r="J209" s="577"/>
      <c r="K209" s="577"/>
      <c r="L209" s="746"/>
      <c r="M209" s="746"/>
      <c r="N209" s="746"/>
      <c r="O209" s="746"/>
    </row>
    <row r="210">
      <c r="A210" s="67"/>
      <c r="B210" s="758"/>
      <c r="C210" s="757"/>
      <c r="D210" s="576"/>
      <c r="E210" s="576"/>
      <c r="F210" s="576"/>
      <c r="G210" s="577"/>
      <c r="H210" s="577"/>
      <c r="I210" s="577"/>
      <c r="J210" s="577"/>
      <c r="K210" s="577"/>
      <c r="L210" s="746"/>
      <c r="M210" s="746"/>
      <c r="N210" s="746"/>
      <c r="O210" s="746"/>
    </row>
    <row r="211">
      <c r="A211" s="67"/>
      <c r="B211" s="758"/>
      <c r="C211" s="757"/>
      <c r="D211" s="576"/>
      <c r="E211" s="576"/>
      <c r="F211" s="576"/>
      <c r="G211" s="577"/>
      <c r="H211" s="577"/>
      <c r="I211" s="577"/>
      <c r="J211" s="577"/>
      <c r="K211" s="577"/>
      <c r="L211" s="746"/>
      <c r="M211" s="746"/>
      <c r="N211" s="746"/>
      <c r="O211" s="746"/>
    </row>
    <row r="212">
      <c r="A212" s="67"/>
      <c r="B212" s="758"/>
      <c r="C212" s="757"/>
      <c r="D212" s="576"/>
      <c r="E212" s="576"/>
      <c r="F212" s="576"/>
      <c r="G212" s="577"/>
      <c r="H212" s="577"/>
      <c r="I212" s="577"/>
      <c r="J212" s="577"/>
      <c r="K212" s="577"/>
      <c r="L212" s="746"/>
      <c r="M212" s="746"/>
      <c r="N212" s="746"/>
      <c r="O212" s="746"/>
    </row>
    <row r="213">
      <c r="A213" s="67"/>
      <c r="B213" s="758"/>
      <c r="C213" s="757"/>
      <c r="D213" s="576"/>
      <c r="E213" s="576"/>
      <c r="F213" s="576"/>
      <c r="G213" s="577"/>
      <c r="H213" s="577"/>
      <c r="I213" s="577"/>
      <c r="J213" s="577"/>
      <c r="K213" s="577"/>
      <c r="L213" s="746"/>
      <c r="M213" s="746"/>
      <c r="N213" s="746"/>
      <c r="O213" s="746"/>
    </row>
    <row r="214">
      <c r="A214" s="67"/>
      <c r="B214" s="758"/>
      <c r="C214" s="757"/>
      <c r="D214" s="576"/>
      <c r="E214" s="576"/>
      <c r="F214" s="576"/>
      <c r="G214" s="577"/>
      <c r="H214" s="577"/>
      <c r="I214" s="577"/>
      <c r="J214" s="577"/>
      <c r="K214" s="577"/>
      <c r="L214" s="746"/>
      <c r="M214" s="746"/>
      <c r="N214" s="746"/>
      <c r="O214" s="746"/>
    </row>
    <row r="215">
      <c r="A215" s="67"/>
      <c r="B215" s="758"/>
      <c r="C215" s="757"/>
      <c r="D215" s="576"/>
      <c r="E215" s="576"/>
      <c r="F215" s="576"/>
      <c r="G215" s="577"/>
      <c r="H215" s="577"/>
      <c r="I215" s="577"/>
      <c r="J215" s="577"/>
      <c r="K215" s="577"/>
      <c r="L215" s="746"/>
      <c r="M215" s="746"/>
      <c r="N215" s="746"/>
      <c r="O215" s="746"/>
    </row>
    <row r="216">
      <c r="A216" s="67"/>
      <c r="B216" s="758"/>
      <c r="C216" s="757"/>
      <c r="D216" s="576"/>
      <c r="E216" s="576"/>
      <c r="F216" s="576"/>
      <c r="G216" s="577"/>
      <c r="H216" s="577"/>
      <c r="I216" s="577"/>
      <c r="J216" s="577"/>
      <c r="K216" s="577"/>
      <c r="L216" s="746"/>
      <c r="M216" s="746"/>
      <c r="N216" s="746"/>
      <c r="O216" s="746"/>
    </row>
    <row r="217">
      <c r="A217" s="67"/>
      <c r="B217" s="758"/>
      <c r="C217" s="757"/>
      <c r="D217" s="576"/>
      <c r="E217" s="576"/>
      <c r="F217" s="576"/>
      <c r="G217" s="577"/>
      <c r="H217" s="577"/>
      <c r="I217" s="577"/>
      <c r="J217" s="577"/>
      <c r="K217" s="577"/>
      <c r="L217" s="746"/>
      <c r="M217" s="746"/>
      <c r="N217" s="746"/>
      <c r="O217" s="746"/>
    </row>
    <row r="218">
      <c r="A218" s="67"/>
      <c r="B218" s="758"/>
      <c r="C218" s="757"/>
      <c r="D218" s="576"/>
      <c r="E218" s="576"/>
      <c r="F218" s="576"/>
      <c r="G218" s="577"/>
      <c r="H218" s="577"/>
      <c r="I218" s="577"/>
      <c r="J218" s="577"/>
      <c r="K218" s="577"/>
      <c r="L218" s="746"/>
      <c r="M218" s="746"/>
      <c r="N218" s="746"/>
      <c r="O218" s="746"/>
    </row>
    <row r="219">
      <c r="A219" s="67"/>
      <c r="B219" s="758"/>
      <c r="C219" s="757"/>
      <c r="D219" s="576"/>
      <c r="E219" s="576"/>
      <c r="F219" s="576"/>
      <c r="G219" s="577"/>
      <c r="H219" s="577"/>
      <c r="I219" s="577"/>
      <c r="J219" s="577"/>
      <c r="K219" s="577"/>
      <c r="L219" s="746"/>
      <c r="M219" s="746"/>
      <c r="N219" s="746"/>
      <c r="O219" s="746"/>
    </row>
    <row r="220">
      <c r="A220" s="67"/>
      <c r="B220" s="758"/>
      <c r="C220" s="757"/>
      <c r="D220" s="576"/>
      <c r="E220" s="576"/>
      <c r="F220" s="576"/>
      <c r="G220" s="577"/>
      <c r="H220" s="577"/>
      <c r="I220" s="577"/>
      <c r="J220" s="577"/>
      <c r="K220" s="577"/>
      <c r="L220" s="746"/>
      <c r="M220" s="746"/>
      <c r="N220" s="746"/>
      <c r="O220" s="746"/>
    </row>
    <row r="221">
      <c r="A221" s="67"/>
      <c r="B221" s="758"/>
      <c r="C221" s="757"/>
      <c r="D221" s="576"/>
      <c r="E221" s="576"/>
      <c r="F221" s="576"/>
      <c r="G221" s="577"/>
      <c r="H221" s="577"/>
      <c r="I221" s="577"/>
      <c r="J221" s="577"/>
      <c r="K221" s="577"/>
      <c r="L221" s="746"/>
      <c r="M221" s="746"/>
      <c r="N221" s="746"/>
      <c r="O221" s="746"/>
    </row>
    <row r="222">
      <c r="A222" s="67"/>
      <c r="B222" s="758"/>
      <c r="C222" s="757"/>
      <c r="D222" s="576"/>
      <c r="E222" s="576"/>
      <c r="F222" s="576"/>
      <c r="G222" s="577"/>
      <c r="H222" s="577"/>
      <c r="I222" s="577"/>
      <c r="J222" s="577"/>
      <c r="K222" s="577"/>
      <c r="L222" s="746"/>
      <c r="M222" s="746"/>
      <c r="N222" s="746"/>
      <c r="O222" s="746"/>
    </row>
    <row r="223">
      <c r="A223" s="67"/>
      <c r="B223" s="758"/>
      <c r="C223" s="757"/>
      <c r="D223" s="576"/>
      <c r="E223" s="576"/>
      <c r="F223" s="576"/>
      <c r="G223" s="577"/>
      <c r="H223" s="577"/>
      <c r="I223" s="577"/>
      <c r="J223" s="577"/>
      <c r="K223" s="577"/>
      <c r="L223" s="746"/>
      <c r="M223" s="746"/>
      <c r="N223" s="746"/>
      <c r="O223" s="746"/>
    </row>
    <row r="224">
      <c r="A224" s="67"/>
      <c r="B224" s="758"/>
      <c r="C224" s="757"/>
      <c r="D224" s="576"/>
      <c r="E224" s="576"/>
      <c r="F224" s="576"/>
      <c r="G224" s="577"/>
      <c r="H224" s="577"/>
      <c r="I224" s="577"/>
      <c r="J224" s="577"/>
      <c r="K224" s="577"/>
      <c r="L224" s="746"/>
      <c r="M224" s="746"/>
      <c r="N224" s="746"/>
      <c r="O224" s="746"/>
    </row>
    <row r="225">
      <c r="A225" s="67"/>
      <c r="B225" s="758"/>
      <c r="C225" s="757"/>
      <c r="D225" s="576"/>
      <c r="E225" s="576"/>
      <c r="F225" s="576"/>
      <c r="G225" s="577"/>
      <c r="H225" s="577"/>
      <c r="I225" s="577"/>
      <c r="J225" s="577"/>
      <c r="K225" s="577"/>
      <c r="L225" s="746"/>
      <c r="M225" s="746"/>
      <c r="N225" s="746"/>
      <c r="O225" s="746"/>
    </row>
    <row r="226">
      <c r="A226" s="67"/>
      <c r="B226" s="758"/>
      <c r="C226" s="757"/>
      <c r="D226" s="576"/>
      <c r="E226" s="576"/>
      <c r="F226" s="576"/>
      <c r="G226" s="577"/>
      <c r="H226" s="577"/>
      <c r="I226" s="577"/>
      <c r="J226" s="577"/>
      <c r="K226" s="577"/>
      <c r="L226" s="746"/>
      <c r="M226" s="746"/>
      <c r="N226" s="746"/>
      <c r="O226" s="746"/>
    </row>
    <row r="227">
      <c r="A227" s="67"/>
      <c r="B227" s="758"/>
      <c r="C227" s="757"/>
      <c r="D227" s="576"/>
      <c r="E227" s="576"/>
      <c r="F227" s="576"/>
      <c r="G227" s="577"/>
      <c r="H227" s="577"/>
      <c r="I227" s="577"/>
      <c r="J227" s="577"/>
      <c r="K227" s="577"/>
      <c r="L227" s="746"/>
      <c r="M227" s="746"/>
      <c r="N227" s="746"/>
      <c r="O227" s="746"/>
    </row>
    <row r="228">
      <c r="A228" s="67"/>
      <c r="B228" s="758"/>
      <c r="C228" s="757"/>
      <c r="D228" s="576"/>
      <c r="E228" s="576"/>
      <c r="F228" s="576"/>
      <c r="G228" s="577"/>
      <c r="H228" s="577"/>
      <c r="I228" s="577"/>
      <c r="J228" s="577"/>
      <c r="K228" s="577"/>
      <c r="L228" s="746"/>
      <c r="M228" s="746"/>
      <c r="N228" s="746"/>
      <c r="O228" s="746"/>
    </row>
    <row r="229">
      <c r="A229" s="67"/>
      <c r="B229" s="758"/>
      <c r="C229" s="757"/>
      <c r="D229" s="576"/>
      <c r="E229" s="576"/>
      <c r="F229" s="576"/>
      <c r="G229" s="577"/>
      <c r="H229" s="577"/>
      <c r="I229" s="577"/>
      <c r="J229" s="577"/>
      <c r="K229" s="577"/>
      <c r="L229" s="746"/>
      <c r="M229" s="746"/>
      <c r="N229" s="746"/>
      <c r="O229" s="746"/>
    </row>
    <row r="230">
      <c r="A230" s="67"/>
      <c r="B230" s="758"/>
      <c r="C230" s="757"/>
      <c r="D230" s="576"/>
      <c r="E230" s="576"/>
      <c r="F230" s="576"/>
      <c r="G230" s="577"/>
      <c r="H230" s="577"/>
      <c r="I230" s="577"/>
      <c r="J230" s="577"/>
      <c r="K230" s="577"/>
      <c r="L230" s="746"/>
      <c r="M230" s="746"/>
      <c r="N230" s="746"/>
      <c r="O230" s="746"/>
    </row>
    <row r="231">
      <c r="A231" s="67"/>
      <c r="B231" s="758"/>
      <c r="C231" s="757"/>
      <c r="D231" s="576"/>
      <c r="E231" s="576"/>
      <c r="F231" s="576"/>
      <c r="G231" s="577"/>
      <c r="H231" s="577"/>
      <c r="I231" s="577"/>
      <c r="J231" s="577"/>
      <c r="K231" s="577"/>
      <c r="L231" s="746"/>
      <c r="M231" s="746"/>
      <c r="N231" s="746"/>
      <c r="O231" s="746"/>
    </row>
    <row r="232">
      <c r="A232" s="67"/>
      <c r="B232" s="758"/>
      <c r="C232" s="757"/>
      <c r="D232" s="576"/>
      <c r="E232" s="576"/>
      <c r="F232" s="576"/>
      <c r="G232" s="577"/>
      <c r="H232" s="577"/>
      <c r="I232" s="577"/>
      <c r="J232" s="577"/>
      <c r="K232" s="577"/>
      <c r="L232" s="746"/>
      <c r="M232" s="746"/>
      <c r="N232" s="746"/>
      <c r="O232" s="746"/>
    </row>
    <row r="233">
      <c r="A233" s="67"/>
      <c r="B233" s="758"/>
      <c r="C233" s="757"/>
      <c r="D233" s="576"/>
      <c r="E233" s="576"/>
      <c r="F233" s="576"/>
      <c r="G233" s="577"/>
      <c r="H233" s="577"/>
      <c r="I233" s="577"/>
      <c r="J233" s="577"/>
      <c r="K233" s="577"/>
      <c r="L233" s="746"/>
      <c r="M233" s="746"/>
      <c r="N233" s="746"/>
      <c r="O233" s="746"/>
    </row>
    <row r="234">
      <c r="A234" s="67"/>
      <c r="B234" s="758"/>
      <c r="C234" s="757"/>
      <c r="D234" s="576"/>
      <c r="E234" s="576"/>
      <c r="F234" s="576"/>
      <c r="G234" s="577"/>
      <c r="H234" s="577"/>
      <c r="I234" s="577"/>
      <c r="J234" s="577"/>
      <c r="K234" s="577"/>
      <c r="L234" s="746"/>
      <c r="M234" s="746"/>
      <c r="N234" s="746"/>
      <c r="O234" s="746"/>
    </row>
    <row r="235">
      <c r="A235" s="67"/>
      <c r="B235" s="758"/>
      <c r="C235" s="757"/>
      <c r="D235" s="576"/>
      <c r="E235" s="576"/>
      <c r="F235" s="576"/>
      <c r="G235" s="577"/>
      <c r="H235" s="577"/>
      <c r="I235" s="577"/>
      <c r="J235" s="577"/>
      <c r="K235" s="577"/>
      <c r="L235" s="746"/>
      <c r="M235" s="746"/>
      <c r="N235" s="746"/>
      <c r="O235" s="746"/>
    </row>
    <row r="236">
      <c r="A236" s="67"/>
      <c r="B236" s="758"/>
      <c r="C236" s="757"/>
      <c r="D236" s="576"/>
      <c r="E236" s="576"/>
      <c r="F236" s="576"/>
      <c r="G236" s="577"/>
      <c r="H236" s="577"/>
      <c r="I236" s="577"/>
      <c r="J236" s="577"/>
      <c r="K236" s="577"/>
      <c r="L236" s="746"/>
      <c r="M236" s="746"/>
      <c r="N236" s="746"/>
      <c r="O236" s="746"/>
    </row>
    <row r="237">
      <c r="A237" s="67"/>
      <c r="B237" s="758"/>
      <c r="C237" s="757"/>
      <c r="D237" s="576"/>
      <c r="E237" s="576"/>
      <c r="F237" s="576"/>
      <c r="G237" s="577"/>
      <c r="H237" s="577"/>
      <c r="I237" s="577"/>
      <c r="J237" s="577"/>
      <c r="K237" s="577"/>
      <c r="L237" s="746"/>
      <c r="M237" s="746"/>
      <c r="N237" s="746"/>
      <c r="O237" s="746"/>
    </row>
    <row r="238">
      <c r="A238" s="67"/>
      <c r="B238" s="758"/>
      <c r="C238" s="757"/>
      <c r="D238" s="576"/>
      <c r="E238" s="576"/>
      <c r="F238" s="576"/>
      <c r="G238" s="577"/>
      <c r="H238" s="577"/>
      <c r="I238" s="577"/>
      <c r="J238" s="577"/>
      <c r="K238" s="577"/>
      <c r="L238" s="746"/>
      <c r="M238" s="746"/>
      <c r="N238" s="746"/>
      <c r="O238" s="746"/>
    </row>
    <row r="239">
      <c r="A239" s="67"/>
      <c r="B239" s="758"/>
      <c r="C239" s="757"/>
      <c r="D239" s="576"/>
      <c r="E239" s="576"/>
      <c r="F239" s="576"/>
      <c r="G239" s="577"/>
      <c r="H239" s="577"/>
      <c r="I239" s="577"/>
      <c r="J239" s="577"/>
      <c r="K239" s="577"/>
      <c r="L239" s="746"/>
      <c r="M239" s="746"/>
      <c r="N239" s="746"/>
      <c r="O239" s="746"/>
    </row>
    <row r="240">
      <c r="A240" s="67"/>
      <c r="B240" s="758"/>
      <c r="C240" s="757"/>
      <c r="D240" s="576"/>
      <c r="E240" s="576"/>
      <c r="F240" s="576"/>
      <c r="G240" s="577"/>
      <c r="H240" s="577"/>
      <c r="I240" s="577"/>
      <c r="J240" s="577"/>
      <c r="K240" s="577"/>
      <c r="L240" s="746"/>
      <c r="M240" s="746"/>
      <c r="N240" s="746"/>
      <c r="O240" s="746"/>
    </row>
    <row r="241">
      <c r="A241" s="67"/>
      <c r="B241" s="758"/>
      <c r="C241" s="757"/>
      <c r="D241" s="576"/>
      <c r="E241" s="576"/>
      <c r="F241" s="576"/>
      <c r="G241" s="577"/>
      <c r="H241" s="577"/>
      <c r="I241" s="577"/>
      <c r="J241" s="577"/>
      <c r="K241" s="577"/>
      <c r="L241" s="746"/>
      <c r="M241" s="746"/>
      <c r="N241" s="746"/>
      <c r="O241" s="746"/>
    </row>
    <row r="242">
      <c r="A242" s="67"/>
      <c r="B242" s="758"/>
      <c r="C242" s="757"/>
      <c r="D242" s="576"/>
      <c r="E242" s="576"/>
      <c r="F242" s="576"/>
      <c r="G242" s="577"/>
      <c r="H242" s="577"/>
      <c r="I242" s="577"/>
      <c r="J242" s="577"/>
      <c r="K242" s="577"/>
      <c r="L242" s="746"/>
      <c r="M242" s="746"/>
      <c r="N242" s="746"/>
      <c r="O242" s="746"/>
    </row>
    <row r="243">
      <c r="A243" s="67"/>
      <c r="B243" s="758"/>
      <c r="C243" s="757"/>
      <c r="D243" s="576"/>
      <c r="E243" s="576"/>
      <c r="F243" s="576"/>
      <c r="G243" s="577"/>
      <c r="H243" s="577"/>
      <c r="I243" s="577"/>
      <c r="J243" s="577"/>
      <c r="K243" s="577"/>
      <c r="L243" s="746"/>
      <c r="M243" s="746"/>
      <c r="N243" s="746"/>
      <c r="O243" s="746"/>
    </row>
    <row r="244">
      <c r="A244" s="67"/>
      <c r="B244" s="758"/>
      <c r="C244" s="757"/>
      <c r="D244" s="576"/>
      <c r="E244" s="576"/>
      <c r="F244" s="576"/>
      <c r="G244" s="577"/>
      <c r="H244" s="577"/>
      <c r="I244" s="577"/>
      <c r="J244" s="577"/>
      <c r="K244" s="577"/>
      <c r="L244" s="746"/>
      <c r="M244" s="746"/>
      <c r="N244" s="746"/>
      <c r="O244" s="746"/>
    </row>
    <row r="245">
      <c r="A245" s="67"/>
      <c r="B245" s="758"/>
      <c r="C245" s="757"/>
      <c r="D245" s="576"/>
      <c r="E245" s="576"/>
      <c r="F245" s="576"/>
      <c r="G245" s="577"/>
      <c r="H245" s="577"/>
      <c r="I245" s="577"/>
      <c r="J245" s="577"/>
      <c r="K245" s="577"/>
      <c r="L245" s="746"/>
      <c r="M245" s="746"/>
      <c r="N245" s="746"/>
      <c r="O245" s="746"/>
    </row>
    <row r="246">
      <c r="A246" s="67"/>
      <c r="B246" s="758"/>
      <c r="C246" s="757"/>
      <c r="D246" s="576"/>
      <c r="E246" s="576"/>
      <c r="F246" s="576"/>
      <c r="G246" s="577"/>
      <c r="H246" s="577"/>
      <c r="I246" s="577"/>
      <c r="J246" s="577"/>
      <c r="K246" s="577"/>
      <c r="L246" s="746"/>
      <c r="M246" s="746"/>
      <c r="N246" s="746"/>
      <c r="O246" s="746"/>
    </row>
    <row r="247">
      <c r="A247" s="67"/>
      <c r="B247" s="758"/>
      <c r="C247" s="757"/>
      <c r="D247" s="576"/>
      <c r="E247" s="576"/>
      <c r="F247" s="576"/>
      <c r="G247" s="577"/>
      <c r="H247" s="577"/>
      <c r="I247" s="577"/>
      <c r="J247" s="577"/>
      <c r="K247" s="577"/>
      <c r="L247" s="746"/>
      <c r="M247" s="746"/>
      <c r="N247" s="746"/>
      <c r="O247" s="746"/>
    </row>
    <row r="248">
      <c r="A248" s="67"/>
      <c r="B248" s="758"/>
      <c r="C248" s="757"/>
      <c r="D248" s="576"/>
      <c r="E248" s="576"/>
      <c r="F248" s="576"/>
      <c r="G248" s="577"/>
      <c r="H248" s="577"/>
      <c r="I248" s="577"/>
      <c r="J248" s="577"/>
      <c r="K248" s="577"/>
      <c r="L248" s="746"/>
      <c r="M248" s="746"/>
      <c r="N248" s="746"/>
      <c r="O248" s="746"/>
    </row>
    <row r="249">
      <c r="A249" s="67"/>
      <c r="B249" s="758"/>
      <c r="C249" s="757"/>
      <c r="D249" s="576"/>
      <c r="E249" s="576"/>
      <c r="F249" s="576"/>
      <c r="G249" s="577"/>
      <c r="H249" s="577"/>
      <c r="I249" s="577"/>
      <c r="J249" s="577"/>
      <c r="K249" s="577"/>
      <c r="L249" s="746"/>
      <c r="M249" s="746"/>
      <c r="N249" s="746"/>
      <c r="O249" s="746"/>
    </row>
    <row r="250">
      <c r="A250" s="67"/>
      <c r="B250" s="758"/>
      <c r="C250" s="757"/>
      <c r="D250" s="576"/>
      <c r="E250" s="576"/>
      <c r="F250" s="576"/>
      <c r="G250" s="577"/>
      <c r="H250" s="577"/>
      <c r="I250" s="577"/>
      <c r="J250" s="577"/>
      <c r="K250" s="577"/>
      <c r="L250" s="746"/>
      <c r="M250" s="746"/>
      <c r="N250" s="746"/>
      <c r="O250" s="746"/>
    </row>
    <row r="251">
      <c r="A251" s="67"/>
      <c r="B251" s="758"/>
      <c r="C251" s="757"/>
      <c r="D251" s="576"/>
      <c r="E251" s="576"/>
      <c r="F251" s="576"/>
      <c r="G251" s="577"/>
      <c r="H251" s="577"/>
      <c r="I251" s="577"/>
      <c r="J251" s="577"/>
      <c r="K251" s="577"/>
      <c r="L251" s="746"/>
      <c r="M251" s="746"/>
      <c r="N251" s="746"/>
      <c r="O251" s="746"/>
    </row>
    <row r="252">
      <c r="A252" s="67"/>
      <c r="B252" s="758"/>
      <c r="C252" s="757"/>
      <c r="D252" s="576"/>
      <c r="E252" s="576"/>
      <c r="F252" s="576"/>
      <c r="G252" s="577"/>
      <c r="H252" s="577"/>
      <c r="I252" s="577"/>
      <c r="J252" s="577"/>
      <c r="K252" s="577"/>
      <c r="L252" s="746"/>
      <c r="M252" s="746"/>
      <c r="N252" s="746"/>
      <c r="O252" s="746"/>
    </row>
    <row r="253">
      <c r="A253" s="67"/>
      <c r="B253" s="758"/>
      <c r="C253" s="757"/>
      <c r="D253" s="576"/>
      <c r="E253" s="576"/>
      <c r="F253" s="576"/>
      <c r="G253" s="577"/>
      <c r="H253" s="577"/>
      <c r="I253" s="577"/>
      <c r="J253" s="577"/>
      <c r="K253" s="577"/>
      <c r="L253" s="746"/>
      <c r="M253" s="746"/>
      <c r="N253" s="746"/>
      <c r="O253" s="746"/>
    </row>
    <row r="254">
      <c r="A254" s="67"/>
      <c r="B254" s="758"/>
      <c r="C254" s="757"/>
      <c r="D254" s="576"/>
      <c r="E254" s="576"/>
      <c r="F254" s="576"/>
      <c r="G254" s="577"/>
      <c r="H254" s="577"/>
      <c r="I254" s="577"/>
      <c r="J254" s="577"/>
      <c r="K254" s="577"/>
      <c r="L254" s="746"/>
      <c r="M254" s="746"/>
      <c r="N254" s="746"/>
      <c r="O254" s="746"/>
    </row>
    <row r="255">
      <c r="A255" s="67"/>
      <c r="B255" s="758"/>
      <c r="C255" s="757"/>
      <c r="D255" s="576"/>
      <c r="E255" s="576"/>
      <c r="F255" s="576"/>
      <c r="G255" s="577"/>
      <c r="H255" s="577"/>
      <c r="I255" s="577"/>
      <c r="J255" s="577"/>
      <c r="K255" s="577"/>
      <c r="L255" s="746"/>
      <c r="M255" s="746"/>
      <c r="N255" s="746"/>
      <c r="O255" s="746"/>
    </row>
    <row r="256">
      <c r="A256" s="67"/>
      <c r="B256" s="758"/>
      <c r="C256" s="757"/>
      <c r="D256" s="576"/>
      <c r="E256" s="576"/>
      <c r="F256" s="576"/>
      <c r="G256" s="577"/>
      <c r="H256" s="577"/>
      <c r="I256" s="577"/>
      <c r="J256" s="577"/>
      <c r="K256" s="577"/>
      <c r="L256" s="746"/>
      <c r="M256" s="746"/>
      <c r="N256" s="746"/>
      <c r="O256" s="746"/>
    </row>
    <row r="257">
      <c r="A257" s="67"/>
      <c r="B257" s="758"/>
      <c r="C257" s="757"/>
      <c r="D257" s="576"/>
      <c r="E257" s="576"/>
      <c r="F257" s="576"/>
      <c r="G257" s="577"/>
      <c r="H257" s="577"/>
      <c r="I257" s="577"/>
      <c r="J257" s="577"/>
      <c r="K257" s="577"/>
      <c r="L257" s="746"/>
      <c r="M257" s="746"/>
      <c r="N257" s="746"/>
      <c r="O257" s="746"/>
    </row>
    <row r="258">
      <c r="A258" s="67"/>
      <c r="B258" s="758"/>
      <c r="C258" s="757"/>
      <c r="D258" s="576"/>
      <c r="E258" s="576"/>
      <c r="F258" s="576"/>
      <c r="G258" s="577"/>
      <c r="H258" s="577"/>
      <c r="I258" s="577"/>
      <c r="J258" s="577"/>
      <c r="K258" s="577"/>
      <c r="L258" s="746"/>
      <c r="M258" s="746"/>
      <c r="N258" s="746"/>
      <c r="O258" s="746"/>
    </row>
    <row r="259">
      <c r="A259" s="67"/>
      <c r="B259" s="758"/>
      <c r="C259" s="757"/>
      <c r="D259" s="576"/>
      <c r="E259" s="576"/>
      <c r="F259" s="576"/>
      <c r="G259" s="577"/>
      <c r="H259" s="577"/>
      <c r="I259" s="577"/>
      <c r="J259" s="577"/>
      <c r="K259" s="577"/>
      <c r="L259" s="746"/>
      <c r="M259" s="746"/>
      <c r="N259" s="746"/>
      <c r="O259" s="746"/>
    </row>
    <row r="260">
      <c r="A260" s="67"/>
      <c r="B260" s="758"/>
      <c r="C260" s="757"/>
      <c r="D260" s="576"/>
      <c r="E260" s="576"/>
      <c r="F260" s="576"/>
      <c r="G260" s="577"/>
      <c r="H260" s="577"/>
      <c r="I260" s="577"/>
      <c r="J260" s="577"/>
      <c r="K260" s="577"/>
      <c r="L260" s="746"/>
      <c r="M260" s="746"/>
      <c r="N260" s="746"/>
      <c r="O260" s="746"/>
    </row>
    <row r="261">
      <c r="A261" s="67"/>
      <c r="B261" s="758"/>
      <c r="C261" s="757"/>
      <c r="D261" s="576"/>
      <c r="E261" s="576"/>
      <c r="F261" s="576"/>
      <c r="G261" s="577"/>
      <c r="H261" s="577"/>
      <c r="I261" s="577"/>
      <c r="J261" s="577"/>
      <c r="K261" s="577"/>
      <c r="L261" s="746"/>
      <c r="M261" s="746"/>
      <c r="N261" s="746"/>
      <c r="O261" s="746"/>
    </row>
    <row r="262">
      <c r="A262" s="67"/>
      <c r="B262" s="758"/>
      <c r="C262" s="757"/>
      <c r="D262" s="576"/>
      <c r="E262" s="576"/>
      <c r="F262" s="576"/>
      <c r="G262" s="577"/>
      <c r="H262" s="577"/>
      <c r="I262" s="577"/>
      <c r="J262" s="577"/>
      <c r="K262" s="577"/>
      <c r="L262" s="746"/>
      <c r="M262" s="746"/>
      <c r="N262" s="746"/>
      <c r="O262" s="746"/>
    </row>
    <row r="263">
      <c r="A263" s="67"/>
      <c r="B263" s="758"/>
      <c r="C263" s="757"/>
      <c r="D263" s="576"/>
      <c r="E263" s="576"/>
      <c r="F263" s="576"/>
      <c r="G263" s="577"/>
      <c r="H263" s="577"/>
      <c r="I263" s="577"/>
      <c r="J263" s="577"/>
      <c r="K263" s="577"/>
      <c r="L263" s="746"/>
      <c r="M263" s="746"/>
      <c r="N263" s="746"/>
      <c r="O263" s="746"/>
    </row>
    <row r="264">
      <c r="A264" s="67"/>
      <c r="B264" s="758"/>
      <c r="C264" s="757"/>
      <c r="D264" s="576"/>
      <c r="E264" s="576"/>
      <c r="F264" s="576"/>
      <c r="G264" s="577"/>
      <c r="H264" s="577"/>
      <c r="I264" s="577"/>
      <c r="J264" s="577"/>
      <c r="K264" s="577"/>
      <c r="L264" s="746"/>
      <c r="M264" s="746"/>
      <c r="N264" s="746"/>
      <c r="O264" s="746"/>
    </row>
    <row r="265">
      <c r="A265" s="67"/>
      <c r="B265" s="758"/>
      <c r="C265" s="757"/>
      <c r="D265" s="576"/>
      <c r="E265" s="576"/>
      <c r="F265" s="576"/>
      <c r="G265" s="577"/>
      <c r="H265" s="577"/>
      <c r="I265" s="577"/>
      <c r="J265" s="577"/>
      <c r="K265" s="577"/>
      <c r="L265" s="746"/>
      <c r="M265" s="746"/>
      <c r="N265" s="746"/>
      <c r="O265" s="746"/>
    </row>
    <row r="266">
      <c r="A266" s="67"/>
      <c r="B266" s="758"/>
      <c r="C266" s="757"/>
      <c r="D266" s="576"/>
      <c r="E266" s="576"/>
      <c r="F266" s="576"/>
      <c r="G266" s="577"/>
      <c r="H266" s="577"/>
      <c r="I266" s="577"/>
      <c r="J266" s="577"/>
      <c r="K266" s="577"/>
      <c r="L266" s="746"/>
      <c r="M266" s="746"/>
      <c r="N266" s="746"/>
      <c r="O266" s="746"/>
    </row>
    <row r="267">
      <c r="A267" s="67"/>
      <c r="B267" s="758"/>
      <c r="C267" s="757"/>
      <c r="D267" s="576"/>
      <c r="E267" s="576"/>
      <c r="F267" s="576"/>
      <c r="G267" s="577"/>
      <c r="H267" s="577"/>
      <c r="I267" s="577"/>
      <c r="J267" s="577"/>
      <c r="K267" s="577"/>
      <c r="L267" s="746"/>
      <c r="M267" s="746"/>
      <c r="N267" s="746"/>
      <c r="O267" s="746"/>
    </row>
    <row r="268">
      <c r="A268" s="67"/>
      <c r="B268" s="758"/>
      <c r="C268" s="757"/>
      <c r="D268" s="576"/>
      <c r="E268" s="576"/>
      <c r="F268" s="576"/>
      <c r="G268" s="577"/>
      <c r="H268" s="577"/>
      <c r="I268" s="577"/>
      <c r="J268" s="577"/>
      <c r="K268" s="577"/>
      <c r="L268" s="746"/>
      <c r="M268" s="746"/>
      <c r="N268" s="746"/>
      <c r="O268" s="746"/>
    </row>
    <row r="269">
      <c r="A269" s="67"/>
      <c r="B269" s="758"/>
      <c r="C269" s="757"/>
      <c r="D269" s="576"/>
      <c r="E269" s="576"/>
      <c r="F269" s="576"/>
      <c r="G269" s="577"/>
      <c r="H269" s="577"/>
      <c r="I269" s="577"/>
      <c r="J269" s="577"/>
      <c r="K269" s="577"/>
      <c r="L269" s="746"/>
      <c r="M269" s="746"/>
      <c r="N269" s="746"/>
      <c r="O269" s="746"/>
    </row>
    <row r="270">
      <c r="A270" s="67"/>
      <c r="B270" s="758"/>
      <c r="C270" s="757"/>
      <c r="D270" s="576"/>
      <c r="E270" s="576"/>
      <c r="F270" s="576"/>
      <c r="G270" s="577"/>
      <c r="H270" s="577"/>
      <c r="I270" s="577"/>
      <c r="J270" s="577"/>
      <c r="K270" s="577"/>
      <c r="L270" s="746"/>
      <c r="M270" s="746"/>
      <c r="N270" s="746"/>
      <c r="O270" s="746"/>
    </row>
    <row r="271">
      <c r="A271" s="67"/>
      <c r="B271" s="758"/>
      <c r="C271" s="757"/>
      <c r="D271" s="576"/>
      <c r="E271" s="576"/>
      <c r="F271" s="576"/>
      <c r="G271" s="577"/>
      <c r="H271" s="577"/>
      <c r="I271" s="577"/>
      <c r="J271" s="577"/>
      <c r="K271" s="577"/>
      <c r="L271" s="746"/>
      <c r="M271" s="746"/>
      <c r="N271" s="746"/>
      <c r="O271" s="746"/>
    </row>
    <row r="272">
      <c r="A272" s="67"/>
      <c r="B272" s="758"/>
      <c r="C272" s="757"/>
      <c r="D272" s="576"/>
      <c r="E272" s="576"/>
      <c r="F272" s="576"/>
      <c r="G272" s="577"/>
      <c r="H272" s="577"/>
      <c r="I272" s="577"/>
      <c r="J272" s="577"/>
      <c r="K272" s="577"/>
      <c r="L272" s="746"/>
      <c r="M272" s="746"/>
      <c r="N272" s="746"/>
      <c r="O272" s="746"/>
    </row>
    <row r="273">
      <c r="A273" s="67"/>
      <c r="B273" s="758"/>
      <c r="C273" s="757"/>
      <c r="D273" s="576"/>
      <c r="E273" s="576"/>
      <c r="F273" s="576"/>
      <c r="G273" s="577"/>
      <c r="H273" s="577"/>
      <c r="I273" s="577"/>
      <c r="J273" s="577"/>
      <c r="K273" s="577"/>
      <c r="L273" s="746"/>
      <c r="M273" s="746"/>
      <c r="N273" s="746"/>
      <c r="O273" s="746"/>
    </row>
    <row r="274">
      <c r="A274" s="67"/>
      <c r="B274" s="758"/>
      <c r="C274" s="757"/>
      <c r="D274" s="576"/>
      <c r="E274" s="576"/>
      <c r="F274" s="576"/>
      <c r="G274" s="577"/>
      <c r="H274" s="577"/>
      <c r="I274" s="577"/>
      <c r="J274" s="577"/>
      <c r="K274" s="577"/>
      <c r="L274" s="746"/>
      <c r="M274" s="746"/>
      <c r="N274" s="746"/>
      <c r="O274" s="746"/>
    </row>
    <row r="275">
      <c r="A275" s="67"/>
      <c r="B275" s="758"/>
      <c r="C275" s="757"/>
      <c r="D275" s="576"/>
      <c r="E275" s="576"/>
      <c r="F275" s="576"/>
      <c r="G275" s="577"/>
      <c r="H275" s="577"/>
      <c r="I275" s="577"/>
      <c r="J275" s="577"/>
      <c r="K275" s="577"/>
      <c r="L275" s="746"/>
      <c r="M275" s="746"/>
      <c r="N275" s="746"/>
      <c r="O275" s="746"/>
    </row>
    <row r="276">
      <c r="A276" s="67"/>
      <c r="B276" s="758"/>
      <c r="C276" s="757"/>
      <c r="D276" s="576"/>
      <c r="E276" s="576"/>
      <c r="F276" s="576"/>
      <c r="G276" s="577"/>
      <c r="H276" s="577"/>
      <c r="I276" s="577"/>
      <c r="J276" s="577"/>
      <c r="K276" s="577"/>
      <c r="L276" s="746"/>
      <c r="M276" s="746"/>
      <c r="N276" s="746"/>
      <c r="O276" s="746"/>
    </row>
    <row r="277">
      <c r="A277" s="67"/>
      <c r="B277" s="758"/>
      <c r="C277" s="757"/>
      <c r="D277" s="576"/>
      <c r="E277" s="576"/>
      <c r="F277" s="576"/>
      <c r="G277" s="577"/>
      <c r="H277" s="577"/>
      <c r="I277" s="577"/>
      <c r="J277" s="577"/>
      <c r="K277" s="577"/>
      <c r="L277" s="746"/>
      <c r="M277" s="746"/>
      <c r="N277" s="746"/>
      <c r="O277" s="746"/>
    </row>
    <row r="278">
      <c r="A278" s="67"/>
      <c r="B278" s="758"/>
      <c r="C278" s="757"/>
      <c r="D278" s="576"/>
      <c r="E278" s="576"/>
      <c r="F278" s="576"/>
      <c r="G278" s="577"/>
      <c r="H278" s="577"/>
      <c r="I278" s="577"/>
      <c r="J278" s="577"/>
      <c r="K278" s="577"/>
      <c r="L278" s="746"/>
      <c r="M278" s="746"/>
      <c r="N278" s="746"/>
      <c r="O278" s="746"/>
    </row>
    <row r="279">
      <c r="A279" s="67"/>
      <c r="B279" s="758"/>
      <c r="C279" s="757"/>
      <c r="D279" s="576"/>
      <c r="E279" s="576"/>
      <c r="F279" s="576"/>
      <c r="G279" s="577"/>
      <c r="H279" s="577"/>
      <c r="I279" s="577"/>
      <c r="J279" s="577"/>
      <c r="K279" s="577"/>
      <c r="L279" s="746"/>
      <c r="M279" s="746"/>
      <c r="N279" s="746"/>
      <c r="O279" s="746"/>
    </row>
    <row r="280">
      <c r="A280" s="67"/>
      <c r="B280" s="758"/>
      <c r="C280" s="757"/>
      <c r="D280" s="576"/>
      <c r="E280" s="576"/>
      <c r="F280" s="576"/>
      <c r="G280" s="577"/>
      <c r="H280" s="577"/>
      <c r="I280" s="577"/>
      <c r="J280" s="577"/>
      <c r="K280" s="577"/>
      <c r="L280" s="746"/>
      <c r="M280" s="746"/>
      <c r="N280" s="746"/>
      <c r="O280" s="746"/>
    </row>
    <row r="281">
      <c r="A281" s="67"/>
      <c r="B281" s="758"/>
      <c r="C281" s="757"/>
      <c r="D281" s="576"/>
      <c r="E281" s="576"/>
      <c r="F281" s="576"/>
      <c r="G281" s="577"/>
      <c r="H281" s="577"/>
      <c r="I281" s="577"/>
      <c r="J281" s="577"/>
      <c r="K281" s="577"/>
      <c r="L281" s="746"/>
      <c r="M281" s="746"/>
      <c r="N281" s="746"/>
      <c r="O281" s="746"/>
    </row>
    <row r="282">
      <c r="A282" s="67"/>
      <c r="B282" s="758"/>
      <c r="C282" s="757"/>
      <c r="D282" s="576"/>
      <c r="E282" s="576"/>
      <c r="F282" s="576"/>
      <c r="G282" s="577"/>
      <c r="H282" s="577"/>
      <c r="I282" s="577"/>
      <c r="J282" s="577"/>
      <c r="K282" s="577"/>
      <c r="L282" s="746"/>
      <c r="M282" s="746"/>
      <c r="N282" s="746"/>
      <c r="O282" s="746"/>
    </row>
    <row r="283">
      <c r="A283" s="67"/>
      <c r="B283" s="758"/>
      <c r="C283" s="757"/>
      <c r="D283" s="576"/>
      <c r="E283" s="576"/>
      <c r="F283" s="576"/>
      <c r="G283" s="577"/>
      <c r="H283" s="577"/>
      <c r="I283" s="577"/>
      <c r="J283" s="577"/>
      <c r="K283" s="577"/>
      <c r="L283" s="746"/>
      <c r="M283" s="746"/>
      <c r="N283" s="746"/>
      <c r="O283" s="746"/>
    </row>
    <row r="284">
      <c r="A284" s="67"/>
      <c r="B284" s="758"/>
      <c r="C284" s="757"/>
      <c r="D284" s="576"/>
      <c r="E284" s="576"/>
      <c r="F284" s="576"/>
      <c r="G284" s="577"/>
      <c r="H284" s="577"/>
      <c r="I284" s="577"/>
      <c r="J284" s="577"/>
      <c r="K284" s="577"/>
      <c r="L284" s="746"/>
      <c r="M284" s="746"/>
      <c r="N284" s="746"/>
      <c r="O284" s="746"/>
    </row>
    <row r="285">
      <c r="A285" s="67"/>
      <c r="B285" s="758"/>
      <c r="C285" s="757"/>
      <c r="D285" s="576"/>
      <c r="E285" s="576"/>
      <c r="F285" s="576"/>
      <c r="G285" s="577"/>
      <c r="H285" s="577"/>
      <c r="I285" s="577"/>
      <c r="J285" s="577"/>
      <c r="K285" s="577"/>
      <c r="L285" s="746"/>
      <c r="M285" s="746"/>
      <c r="N285" s="746"/>
      <c r="O285" s="746"/>
    </row>
    <row r="286">
      <c r="A286" s="67"/>
      <c r="B286" s="758"/>
      <c r="C286" s="757"/>
      <c r="D286" s="576"/>
      <c r="E286" s="576"/>
      <c r="F286" s="576"/>
      <c r="G286" s="577"/>
      <c r="H286" s="577"/>
      <c r="I286" s="577"/>
      <c r="J286" s="577"/>
      <c r="K286" s="577"/>
      <c r="L286" s="746"/>
      <c r="M286" s="746"/>
      <c r="N286" s="746"/>
      <c r="O286" s="746"/>
    </row>
    <row r="287">
      <c r="A287" s="67"/>
      <c r="B287" s="758"/>
      <c r="C287" s="757"/>
      <c r="D287" s="576"/>
      <c r="E287" s="576"/>
      <c r="F287" s="576"/>
      <c r="G287" s="577"/>
      <c r="H287" s="577"/>
      <c r="I287" s="577"/>
      <c r="J287" s="577"/>
      <c r="K287" s="577"/>
      <c r="L287" s="746"/>
      <c r="M287" s="746"/>
      <c r="N287" s="746"/>
      <c r="O287" s="746"/>
    </row>
    <row r="288">
      <c r="A288" s="67"/>
      <c r="B288" s="758"/>
      <c r="C288" s="757"/>
      <c r="D288" s="576"/>
      <c r="E288" s="576"/>
      <c r="F288" s="576"/>
      <c r="G288" s="577"/>
      <c r="H288" s="577"/>
      <c r="I288" s="577"/>
      <c r="J288" s="577"/>
      <c r="K288" s="577"/>
      <c r="L288" s="746"/>
      <c r="M288" s="746"/>
      <c r="N288" s="746"/>
      <c r="O288" s="746"/>
    </row>
    <row r="289">
      <c r="A289" s="67"/>
      <c r="B289" s="758"/>
      <c r="C289" s="757"/>
      <c r="D289" s="576"/>
      <c r="E289" s="576"/>
      <c r="F289" s="576"/>
      <c r="G289" s="577"/>
      <c r="H289" s="577"/>
      <c r="I289" s="577"/>
      <c r="J289" s="577"/>
      <c r="K289" s="577"/>
      <c r="L289" s="746"/>
      <c r="M289" s="746"/>
      <c r="N289" s="746"/>
      <c r="O289" s="746"/>
    </row>
    <row r="290">
      <c r="A290" s="67"/>
      <c r="B290" s="758"/>
      <c r="C290" s="757"/>
      <c r="D290" s="576"/>
      <c r="E290" s="576"/>
      <c r="F290" s="576"/>
      <c r="G290" s="577"/>
      <c r="H290" s="577"/>
      <c r="I290" s="577"/>
      <c r="J290" s="577"/>
      <c r="K290" s="577"/>
      <c r="L290" s="746"/>
      <c r="M290" s="746"/>
      <c r="N290" s="746"/>
      <c r="O290" s="746"/>
    </row>
    <row r="291">
      <c r="A291" s="67"/>
      <c r="B291" s="758"/>
      <c r="C291" s="757"/>
      <c r="D291" s="576"/>
      <c r="E291" s="576"/>
      <c r="F291" s="576"/>
      <c r="G291" s="577"/>
      <c r="H291" s="577"/>
      <c r="I291" s="577"/>
      <c r="J291" s="577"/>
      <c r="K291" s="577"/>
      <c r="L291" s="746"/>
      <c r="M291" s="746"/>
      <c r="N291" s="746"/>
      <c r="O291" s="746"/>
    </row>
    <row r="292">
      <c r="A292" s="67"/>
      <c r="B292" s="758"/>
      <c r="C292" s="757"/>
      <c r="D292" s="576"/>
      <c r="E292" s="576"/>
      <c r="F292" s="576"/>
      <c r="G292" s="577"/>
      <c r="H292" s="577"/>
      <c r="I292" s="577"/>
      <c r="J292" s="577"/>
      <c r="K292" s="577"/>
      <c r="L292" s="746"/>
      <c r="M292" s="746"/>
      <c r="N292" s="746"/>
      <c r="O292" s="746"/>
    </row>
    <row r="293">
      <c r="A293" s="67"/>
      <c r="B293" s="758"/>
      <c r="C293" s="757"/>
      <c r="D293" s="576"/>
      <c r="E293" s="576"/>
      <c r="F293" s="576"/>
      <c r="G293" s="577"/>
      <c r="H293" s="577"/>
      <c r="I293" s="577"/>
      <c r="J293" s="577"/>
      <c r="K293" s="577"/>
      <c r="L293" s="746"/>
      <c r="M293" s="746"/>
      <c r="N293" s="746"/>
      <c r="O293" s="746"/>
    </row>
    <row r="294">
      <c r="A294" s="67"/>
      <c r="B294" s="758"/>
      <c r="C294" s="757"/>
      <c r="D294" s="576"/>
      <c r="E294" s="576"/>
      <c r="F294" s="576"/>
      <c r="G294" s="577"/>
      <c r="H294" s="577"/>
      <c r="I294" s="577"/>
      <c r="J294" s="577"/>
      <c r="K294" s="577"/>
      <c r="L294" s="746"/>
      <c r="M294" s="746"/>
      <c r="N294" s="746"/>
      <c r="O294" s="746"/>
    </row>
    <row r="295">
      <c r="A295" s="67"/>
      <c r="B295" s="758"/>
      <c r="C295" s="757"/>
      <c r="D295" s="576"/>
      <c r="E295" s="576"/>
      <c r="F295" s="576"/>
      <c r="G295" s="577"/>
      <c r="H295" s="577"/>
      <c r="I295" s="577"/>
      <c r="J295" s="577"/>
      <c r="K295" s="577"/>
      <c r="L295" s="746"/>
      <c r="M295" s="746"/>
      <c r="N295" s="746"/>
      <c r="O295" s="746"/>
    </row>
    <row r="296">
      <c r="A296" s="67"/>
      <c r="B296" s="758"/>
      <c r="C296" s="757"/>
      <c r="D296" s="576"/>
      <c r="E296" s="576"/>
      <c r="F296" s="576"/>
      <c r="G296" s="577"/>
      <c r="H296" s="577"/>
      <c r="I296" s="577"/>
      <c r="J296" s="577"/>
      <c r="K296" s="577"/>
      <c r="L296" s="746"/>
      <c r="M296" s="746"/>
      <c r="N296" s="746"/>
      <c r="O296" s="746"/>
    </row>
    <row r="297">
      <c r="A297" s="67"/>
      <c r="B297" s="758"/>
      <c r="C297" s="757"/>
      <c r="D297" s="576"/>
      <c r="E297" s="576"/>
      <c r="F297" s="576"/>
      <c r="G297" s="577"/>
      <c r="H297" s="577"/>
      <c r="I297" s="577"/>
      <c r="J297" s="577"/>
      <c r="K297" s="577"/>
      <c r="L297" s="746"/>
      <c r="M297" s="746"/>
      <c r="N297" s="746"/>
      <c r="O297" s="746"/>
    </row>
    <row r="298">
      <c r="A298" s="67"/>
      <c r="B298" s="758"/>
      <c r="C298" s="757"/>
      <c r="D298" s="576"/>
      <c r="E298" s="576"/>
      <c r="F298" s="576"/>
      <c r="G298" s="577"/>
      <c r="H298" s="577"/>
      <c r="I298" s="577"/>
      <c r="J298" s="577"/>
      <c r="K298" s="577"/>
      <c r="L298" s="746"/>
      <c r="M298" s="746"/>
      <c r="N298" s="746"/>
      <c r="O298" s="746"/>
    </row>
    <row r="299">
      <c r="A299" s="67"/>
      <c r="B299" s="758"/>
      <c r="C299" s="757"/>
      <c r="D299" s="576"/>
      <c r="E299" s="576"/>
      <c r="F299" s="576"/>
      <c r="G299" s="577"/>
      <c r="H299" s="577"/>
      <c r="I299" s="577"/>
      <c r="J299" s="577"/>
      <c r="K299" s="577"/>
      <c r="L299" s="746"/>
      <c r="M299" s="746"/>
      <c r="N299" s="746"/>
      <c r="O299" s="746"/>
    </row>
    <row r="300">
      <c r="A300" s="67"/>
      <c r="B300" s="758"/>
      <c r="C300" s="757"/>
      <c r="D300" s="576"/>
      <c r="E300" s="576"/>
      <c r="F300" s="576"/>
      <c r="G300" s="577"/>
      <c r="H300" s="577"/>
      <c r="I300" s="577"/>
      <c r="J300" s="577"/>
      <c r="K300" s="577"/>
      <c r="L300" s="746"/>
      <c r="M300" s="746"/>
      <c r="N300" s="746"/>
      <c r="O300" s="746"/>
    </row>
    <row r="301">
      <c r="A301" s="67"/>
      <c r="B301" s="758"/>
      <c r="C301" s="757"/>
      <c r="D301" s="576"/>
      <c r="E301" s="576"/>
      <c r="F301" s="576"/>
      <c r="G301" s="577"/>
      <c r="H301" s="577"/>
      <c r="I301" s="577"/>
      <c r="J301" s="577"/>
      <c r="K301" s="577"/>
      <c r="L301" s="746"/>
      <c r="M301" s="746"/>
      <c r="N301" s="746"/>
      <c r="O301" s="746"/>
    </row>
    <row r="302">
      <c r="A302" s="67"/>
      <c r="B302" s="758"/>
      <c r="C302" s="757"/>
      <c r="D302" s="576"/>
      <c r="E302" s="576"/>
      <c r="F302" s="576"/>
      <c r="G302" s="577"/>
      <c r="H302" s="577"/>
      <c r="I302" s="577"/>
      <c r="J302" s="577"/>
      <c r="K302" s="577"/>
      <c r="L302" s="746"/>
      <c r="M302" s="746"/>
      <c r="N302" s="746"/>
      <c r="O302" s="746"/>
    </row>
    <row r="303">
      <c r="A303" s="67"/>
      <c r="B303" s="758"/>
      <c r="C303" s="757"/>
      <c r="D303" s="576"/>
      <c r="E303" s="576"/>
      <c r="F303" s="576"/>
      <c r="G303" s="577"/>
      <c r="H303" s="577"/>
      <c r="I303" s="577"/>
      <c r="J303" s="577"/>
      <c r="K303" s="577"/>
      <c r="L303" s="746"/>
      <c r="M303" s="746"/>
      <c r="N303" s="746"/>
      <c r="O303" s="746"/>
    </row>
    <row r="304">
      <c r="A304" s="67"/>
      <c r="B304" s="758"/>
      <c r="C304" s="757"/>
      <c r="D304" s="576"/>
      <c r="E304" s="576"/>
      <c r="F304" s="576"/>
      <c r="G304" s="577"/>
      <c r="H304" s="577"/>
      <c r="I304" s="577"/>
      <c r="J304" s="577"/>
      <c r="K304" s="577"/>
      <c r="L304" s="746"/>
      <c r="M304" s="746"/>
      <c r="N304" s="746"/>
      <c r="O304" s="746"/>
    </row>
    <row r="305">
      <c r="A305" s="67"/>
      <c r="B305" s="758"/>
      <c r="C305" s="757"/>
      <c r="D305" s="576"/>
      <c r="E305" s="576"/>
      <c r="F305" s="576"/>
      <c r="G305" s="577"/>
      <c r="H305" s="577"/>
      <c r="I305" s="577"/>
      <c r="J305" s="577"/>
      <c r="K305" s="577"/>
      <c r="L305" s="746"/>
      <c r="M305" s="746"/>
      <c r="N305" s="746"/>
      <c r="O305" s="746"/>
    </row>
    <row r="306">
      <c r="A306" s="67"/>
      <c r="B306" s="758"/>
      <c r="C306" s="757"/>
      <c r="D306" s="576"/>
      <c r="E306" s="576"/>
      <c r="F306" s="576"/>
      <c r="G306" s="577"/>
      <c r="H306" s="577"/>
      <c r="I306" s="577"/>
      <c r="J306" s="577"/>
      <c r="K306" s="577"/>
      <c r="L306" s="746"/>
      <c r="M306" s="746"/>
      <c r="N306" s="746"/>
      <c r="O306" s="746"/>
    </row>
    <row r="307">
      <c r="A307" s="67"/>
      <c r="B307" s="758"/>
      <c r="C307" s="757"/>
      <c r="D307" s="576"/>
      <c r="E307" s="576"/>
      <c r="F307" s="576"/>
      <c r="G307" s="577"/>
      <c r="H307" s="577"/>
      <c r="I307" s="577"/>
      <c r="J307" s="577"/>
      <c r="K307" s="577"/>
      <c r="L307" s="746"/>
      <c r="M307" s="746"/>
      <c r="N307" s="746"/>
      <c r="O307" s="746"/>
    </row>
    <row r="308">
      <c r="A308" s="67"/>
      <c r="B308" s="758"/>
      <c r="C308" s="757"/>
      <c r="D308" s="576"/>
      <c r="E308" s="576"/>
      <c r="F308" s="576"/>
      <c r="G308" s="577"/>
      <c r="H308" s="577"/>
      <c r="I308" s="577"/>
      <c r="J308" s="577"/>
      <c r="K308" s="577"/>
      <c r="L308" s="746"/>
      <c r="M308" s="746"/>
      <c r="N308" s="746"/>
      <c r="O308" s="746"/>
    </row>
    <row r="309">
      <c r="A309" s="67"/>
      <c r="B309" s="758"/>
      <c r="C309" s="757"/>
      <c r="D309" s="576"/>
      <c r="E309" s="576"/>
      <c r="F309" s="576"/>
      <c r="G309" s="577"/>
      <c r="H309" s="577"/>
      <c r="I309" s="577"/>
      <c r="J309" s="577"/>
      <c r="K309" s="577"/>
      <c r="L309" s="746"/>
      <c r="M309" s="746"/>
      <c r="N309" s="746"/>
      <c r="O309" s="746"/>
    </row>
    <row r="310">
      <c r="A310" s="67"/>
      <c r="B310" s="758"/>
      <c r="C310" s="757"/>
      <c r="D310" s="576"/>
      <c r="E310" s="576"/>
      <c r="F310" s="576"/>
      <c r="G310" s="577"/>
      <c r="H310" s="577"/>
      <c r="I310" s="577"/>
      <c r="J310" s="577"/>
      <c r="K310" s="577"/>
      <c r="L310" s="746"/>
      <c r="M310" s="746"/>
      <c r="N310" s="746"/>
      <c r="O310" s="746"/>
    </row>
    <row r="311">
      <c r="A311" s="67"/>
      <c r="B311" s="758"/>
      <c r="C311" s="757"/>
      <c r="D311" s="576"/>
      <c r="E311" s="576"/>
      <c r="F311" s="576"/>
      <c r="G311" s="577"/>
      <c r="H311" s="577"/>
      <c r="I311" s="577"/>
      <c r="J311" s="577"/>
      <c r="K311" s="577"/>
      <c r="L311" s="746"/>
      <c r="M311" s="746"/>
      <c r="N311" s="746"/>
      <c r="O311" s="746"/>
    </row>
    <row r="312">
      <c r="A312" s="67"/>
      <c r="B312" s="758"/>
      <c r="C312" s="757"/>
      <c r="D312" s="576"/>
      <c r="E312" s="576"/>
      <c r="F312" s="576"/>
      <c r="G312" s="577"/>
      <c r="H312" s="577"/>
      <c r="I312" s="577"/>
      <c r="J312" s="577"/>
      <c r="K312" s="577"/>
      <c r="L312" s="746"/>
      <c r="M312" s="746"/>
      <c r="N312" s="746"/>
      <c r="O312" s="746"/>
    </row>
    <row r="313">
      <c r="A313" s="67"/>
      <c r="B313" s="758"/>
      <c r="C313" s="757"/>
      <c r="D313" s="576"/>
      <c r="E313" s="576"/>
      <c r="F313" s="576"/>
      <c r="G313" s="577"/>
      <c r="H313" s="577"/>
      <c r="I313" s="577"/>
      <c r="J313" s="577"/>
      <c r="K313" s="577"/>
      <c r="L313" s="746"/>
      <c r="M313" s="746"/>
      <c r="N313" s="746"/>
      <c r="O313" s="746"/>
    </row>
    <row r="314">
      <c r="A314" s="67"/>
      <c r="B314" s="758"/>
      <c r="C314" s="757"/>
      <c r="D314" s="576"/>
      <c r="E314" s="576"/>
      <c r="F314" s="576"/>
      <c r="G314" s="577"/>
      <c r="H314" s="577"/>
      <c r="I314" s="577"/>
      <c r="J314" s="577"/>
      <c r="K314" s="577"/>
      <c r="L314" s="746"/>
      <c r="M314" s="746"/>
      <c r="N314" s="746"/>
      <c r="O314" s="746"/>
    </row>
    <row r="315">
      <c r="A315" s="67"/>
      <c r="B315" s="764"/>
      <c r="C315" s="757"/>
      <c r="D315" s="576"/>
      <c r="E315" s="576"/>
      <c r="F315" s="576"/>
      <c r="G315" s="577"/>
      <c r="H315" s="577"/>
      <c r="I315" s="577"/>
      <c r="J315" s="577"/>
      <c r="K315" s="577"/>
      <c r="L315" s="746"/>
      <c r="M315" s="746"/>
      <c r="N315" s="746"/>
      <c r="O315" s="746"/>
    </row>
    <row r="316">
      <c r="A316" s="67"/>
      <c r="B316" s="764"/>
      <c r="C316" s="757"/>
      <c r="D316" s="576"/>
      <c r="E316" s="576"/>
      <c r="F316" s="576"/>
      <c r="G316" s="577"/>
      <c r="H316" s="577"/>
      <c r="I316" s="577"/>
      <c r="J316" s="577"/>
      <c r="K316" s="577"/>
      <c r="L316" s="746"/>
      <c r="M316" s="746"/>
      <c r="N316" s="746"/>
      <c r="O316" s="746"/>
    </row>
    <row r="317">
      <c r="A317" s="67"/>
      <c r="B317" s="764"/>
      <c r="C317" s="757"/>
      <c r="D317" s="576"/>
      <c r="E317" s="576"/>
      <c r="F317" s="576"/>
      <c r="G317" s="577"/>
      <c r="H317" s="577"/>
      <c r="I317" s="577"/>
      <c r="J317" s="577"/>
      <c r="K317" s="577"/>
      <c r="L317" s="746"/>
      <c r="M317" s="746"/>
      <c r="N317" s="746"/>
      <c r="O317" s="746"/>
    </row>
    <row r="318">
      <c r="A318" s="67"/>
      <c r="B318" s="764"/>
      <c r="C318" s="757"/>
      <c r="D318" s="576"/>
      <c r="E318" s="576"/>
      <c r="F318" s="576"/>
      <c r="G318" s="577"/>
      <c r="H318" s="577"/>
      <c r="I318" s="577"/>
      <c r="J318" s="577"/>
      <c r="K318" s="577"/>
      <c r="L318" s="746"/>
      <c r="M318" s="746"/>
      <c r="N318" s="746"/>
      <c r="O318" s="746"/>
    </row>
    <row r="319">
      <c r="A319" s="67"/>
      <c r="B319" s="764"/>
      <c r="C319" s="757"/>
      <c r="D319" s="576"/>
      <c r="E319" s="576"/>
      <c r="F319" s="576"/>
      <c r="G319" s="577"/>
      <c r="H319" s="577"/>
      <c r="I319" s="577"/>
      <c r="J319" s="577"/>
      <c r="K319" s="577"/>
      <c r="L319" s="746"/>
      <c r="M319" s="746"/>
      <c r="N319" s="746"/>
      <c r="O319" s="746"/>
    </row>
    <row r="320">
      <c r="A320" s="67"/>
      <c r="B320" s="764"/>
      <c r="C320" s="757"/>
      <c r="D320" s="576"/>
      <c r="E320" s="576"/>
      <c r="F320" s="576"/>
      <c r="G320" s="577"/>
      <c r="H320" s="577"/>
      <c r="I320" s="577"/>
      <c r="J320" s="577"/>
      <c r="K320" s="577"/>
      <c r="L320" s="746"/>
      <c r="M320" s="746"/>
      <c r="N320" s="746"/>
      <c r="O320" s="746"/>
    </row>
    <row r="321">
      <c r="A321" s="67"/>
      <c r="B321" s="764"/>
      <c r="C321" s="757"/>
      <c r="D321" s="576"/>
      <c r="E321" s="576"/>
      <c r="F321" s="576"/>
      <c r="G321" s="577"/>
      <c r="H321" s="577"/>
      <c r="I321" s="577"/>
      <c r="J321" s="577"/>
      <c r="K321" s="577"/>
      <c r="L321" s="746"/>
      <c r="M321" s="746"/>
      <c r="N321" s="746"/>
      <c r="O321" s="746"/>
    </row>
    <row r="322">
      <c r="A322" s="67"/>
      <c r="B322" s="764"/>
      <c r="C322" s="757"/>
      <c r="D322" s="576"/>
      <c r="E322" s="576"/>
      <c r="F322" s="576"/>
      <c r="G322" s="577"/>
      <c r="H322" s="577"/>
      <c r="I322" s="577"/>
      <c r="J322" s="577"/>
      <c r="K322" s="577"/>
      <c r="L322" s="746"/>
      <c r="M322" s="746"/>
      <c r="N322" s="746"/>
      <c r="O322" s="746"/>
    </row>
    <row r="323">
      <c r="A323" s="67"/>
      <c r="B323" s="764"/>
      <c r="C323" s="757"/>
      <c r="D323" s="576"/>
      <c r="E323" s="576"/>
      <c r="F323" s="576"/>
      <c r="G323" s="577"/>
      <c r="H323" s="577"/>
      <c r="I323" s="577"/>
      <c r="J323" s="577"/>
      <c r="K323" s="577"/>
      <c r="L323" s="746"/>
      <c r="M323" s="746"/>
      <c r="N323" s="746"/>
      <c r="O323" s="746"/>
    </row>
    <row r="324">
      <c r="A324" s="67"/>
      <c r="B324" s="764"/>
      <c r="C324" s="757"/>
      <c r="D324" s="576"/>
      <c r="E324" s="576"/>
      <c r="F324" s="576"/>
      <c r="G324" s="577"/>
      <c r="H324" s="577"/>
      <c r="I324" s="577"/>
      <c r="J324" s="577"/>
      <c r="K324" s="577"/>
      <c r="L324" s="746"/>
      <c r="M324" s="746"/>
      <c r="N324" s="746"/>
      <c r="O324" s="746"/>
    </row>
    <row r="325">
      <c r="A325" s="67"/>
      <c r="B325" s="764"/>
      <c r="C325" s="757"/>
      <c r="D325" s="576"/>
      <c r="E325" s="576"/>
      <c r="F325" s="576"/>
      <c r="G325" s="577"/>
      <c r="H325" s="577"/>
      <c r="I325" s="577"/>
      <c r="J325" s="577"/>
      <c r="K325" s="577"/>
      <c r="L325" s="746"/>
      <c r="M325" s="746"/>
      <c r="N325" s="746"/>
      <c r="O325" s="746"/>
    </row>
    <row r="326">
      <c r="A326" s="67"/>
      <c r="B326" s="764"/>
      <c r="C326" s="757"/>
      <c r="D326" s="576"/>
      <c r="E326" s="576"/>
      <c r="F326" s="576"/>
      <c r="G326" s="577"/>
      <c r="H326" s="577"/>
      <c r="I326" s="577"/>
      <c r="J326" s="577"/>
      <c r="K326" s="577"/>
      <c r="L326" s="746"/>
      <c r="M326" s="746"/>
      <c r="N326" s="746"/>
      <c r="O326" s="746"/>
    </row>
    <row r="327">
      <c r="A327" s="67"/>
      <c r="B327" s="764"/>
      <c r="C327" s="757"/>
      <c r="D327" s="576"/>
      <c r="E327" s="576"/>
      <c r="F327" s="576"/>
      <c r="G327" s="577"/>
      <c r="H327" s="577"/>
      <c r="I327" s="577"/>
      <c r="J327" s="577"/>
      <c r="K327" s="577"/>
      <c r="L327" s="746"/>
      <c r="M327" s="746"/>
      <c r="N327" s="746"/>
      <c r="O327" s="746"/>
    </row>
    <row r="328">
      <c r="A328" s="67"/>
      <c r="B328" s="764"/>
      <c r="C328" s="757"/>
      <c r="D328" s="576"/>
      <c r="E328" s="576"/>
      <c r="F328" s="576"/>
      <c r="G328" s="577"/>
      <c r="H328" s="577"/>
      <c r="I328" s="577"/>
      <c r="J328" s="577"/>
      <c r="K328" s="577"/>
      <c r="L328" s="746"/>
      <c r="M328" s="746"/>
      <c r="N328" s="746"/>
      <c r="O328" s="746"/>
    </row>
    <row r="329">
      <c r="A329" s="67"/>
      <c r="B329" s="764"/>
      <c r="C329" s="757"/>
      <c r="D329" s="576"/>
      <c r="E329" s="576"/>
      <c r="F329" s="576"/>
      <c r="G329" s="577"/>
      <c r="H329" s="577"/>
      <c r="I329" s="577"/>
      <c r="J329" s="577"/>
      <c r="K329" s="577"/>
      <c r="L329" s="746"/>
      <c r="M329" s="746"/>
      <c r="N329" s="746"/>
      <c r="O329" s="746"/>
    </row>
    <row r="330">
      <c r="A330" s="67"/>
      <c r="B330" s="764"/>
      <c r="C330" s="757"/>
      <c r="D330" s="576"/>
      <c r="E330" s="576"/>
      <c r="F330" s="576"/>
      <c r="G330" s="577"/>
      <c r="H330" s="577"/>
      <c r="I330" s="577"/>
      <c r="J330" s="577"/>
      <c r="K330" s="577"/>
      <c r="L330" s="746"/>
      <c r="M330" s="746"/>
      <c r="N330" s="746"/>
      <c r="O330" s="746"/>
    </row>
    <row r="331">
      <c r="A331" s="67"/>
      <c r="B331" s="764"/>
      <c r="C331" s="757"/>
      <c r="D331" s="576"/>
      <c r="E331" s="576"/>
      <c r="F331" s="576"/>
      <c r="G331" s="577"/>
      <c r="H331" s="577"/>
      <c r="I331" s="577"/>
      <c r="J331" s="577"/>
      <c r="K331" s="577"/>
      <c r="L331" s="746"/>
      <c r="M331" s="746"/>
      <c r="N331" s="746"/>
      <c r="O331" s="746"/>
    </row>
    <row r="332">
      <c r="A332" s="67"/>
      <c r="B332" s="764"/>
      <c r="C332" s="757"/>
      <c r="D332" s="576"/>
      <c r="E332" s="576"/>
      <c r="F332" s="576"/>
      <c r="G332" s="577"/>
      <c r="H332" s="577"/>
      <c r="I332" s="577"/>
      <c r="J332" s="577"/>
      <c r="K332" s="577"/>
      <c r="L332" s="746"/>
      <c r="M332" s="746"/>
      <c r="N332" s="746"/>
      <c r="O332" s="746"/>
    </row>
    <row r="333">
      <c r="A333" s="67"/>
      <c r="B333" s="764"/>
      <c r="C333" s="757"/>
      <c r="D333" s="576"/>
      <c r="E333" s="576"/>
      <c r="F333" s="576"/>
      <c r="G333" s="577"/>
      <c r="H333" s="577"/>
      <c r="I333" s="577"/>
      <c r="J333" s="577"/>
      <c r="K333" s="577"/>
      <c r="L333" s="746"/>
      <c r="M333" s="746"/>
      <c r="N333" s="746"/>
      <c r="O333" s="746"/>
    </row>
    <row r="334">
      <c r="A334" s="67"/>
      <c r="B334" s="764"/>
      <c r="C334" s="757"/>
      <c r="D334" s="576"/>
      <c r="E334" s="576"/>
      <c r="F334" s="576"/>
      <c r="G334" s="577"/>
      <c r="H334" s="577"/>
      <c r="I334" s="577"/>
      <c r="J334" s="577"/>
      <c r="K334" s="577"/>
      <c r="L334" s="746"/>
      <c r="M334" s="746"/>
      <c r="N334" s="746"/>
      <c r="O334" s="746"/>
    </row>
    <row r="335">
      <c r="A335" s="67"/>
      <c r="B335" s="764"/>
      <c r="C335" s="757"/>
      <c r="D335" s="576"/>
      <c r="E335" s="576"/>
      <c r="F335" s="576"/>
      <c r="G335" s="577"/>
      <c r="H335" s="577"/>
      <c r="I335" s="577"/>
      <c r="J335" s="577"/>
      <c r="K335" s="577"/>
      <c r="L335" s="746"/>
      <c r="M335" s="746"/>
      <c r="N335" s="746"/>
      <c r="O335" s="746"/>
    </row>
    <row r="336">
      <c r="A336" s="67"/>
      <c r="B336" s="764"/>
      <c r="C336" s="757"/>
      <c r="D336" s="576"/>
      <c r="E336" s="576"/>
      <c r="F336" s="576"/>
      <c r="G336" s="577"/>
      <c r="H336" s="577"/>
      <c r="I336" s="577"/>
      <c r="J336" s="577"/>
      <c r="K336" s="577"/>
      <c r="L336" s="746"/>
      <c r="M336" s="746"/>
      <c r="N336" s="746"/>
      <c r="O336" s="746"/>
    </row>
    <row r="337">
      <c r="A337" s="67"/>
      <c r="B337" s="764"/>
      <c r="C337" s="757"/>
      <c r="D337" s="576"/>
      <c r="E337" s="576"/>
      <c r="F337" s="576"/>
      <c r="G337" s="577"/>
      <c r="H337" s="577"/>
      <c r="I337" s="577"/>
      <c r="J337" s="577"/>
      <c r="K337" s="577"/>
      <c r="L337" s="746"/>
      <c r="M337" s="746"/>
      <c r="N337" s="746"/>
      <c r="O337" s="746"/>
    </row>
    <row r="338">
      <c r="A338" s="67"/>
      <c r="B338" s="764"/>
      <c r="C338" s="757"/>
      <c r="D338" s="576"/>
      <c r="E338" s="576"/>
      <c r="F338" s="576"/>
      <c r="G338" s="577"/>
      <c r="H338" s="577"/>
      <c r="I338" s="577"/>
      <c r="J338" s="577"/>
      <c r="K338" s="577"/>
      <c r="L338" s="746"/>
      <c r="M338" s="746"/>
      <c r="N338" s="746"/>
      <c r="O338" s="746"/>
    </row>
    <row r="339">
      <c r="A339" s="67"/>
      <c r="B339" s="764"/>
      <c r="C339" s="757"/>
      <c r="D339" s="576"/>
      <c r="E339" s="576"/>
      <c r="F339" s="576"/>
      <c r="G339" s="577"/>
      <c r="H339" s="577"/>
      <c r="I339" s="577"/>
      <c r="J339" s="577"/>
      <c r="K339" s="577"/>
      <c r="L339" s="746"/>
      <c r="M339" s="746"/>
      <c r="N339" s="746"/>
      <c r="O339" s="746"/>
    </row>
    <row r="340">
      <c r="A340" s="67"/>
      <c r="B340" s="764"/>
      <c r="C340" s="757"/>
      <c r="D340" s="576"/>
      <c r="E340" s="576"/>
      <c r="F340" s="576"/>
      <c r="G340" s="577"/>
      <c r="H340" s="577"/>
      <c r="I340" s="577"/>
      <c r="J340" s="577"/>
      <c r="K340" s="577"/>
      <c r="L340" s="746"/>
      <c r="M340" s="746"/>
      <c r="N340" s="746"/>
      <c r="O340" s="746"/>
    </row>
    <row r="341">
      <c r="A341" s="67"/>
      <c r="B341" s="764"/>
      <c r="C341" s="757"/>
      <c r="D341" s="576"/>
      <c r="E341" s="576"/>
      <c r="F341" s="576"/>
      <c r="G341" s="577"/>
      <c r="H341" s="577"/>
      <c r="I341" s="577"/>
      <c r="J341" s="577"/>
      <c r="K341" s="577"/>
      <c r="L341" s="746"/>
      <c r="M341" s="746"/>
      <c r="N341" s="746"/>
      <c r="O341" s="746"/>
    </row>
    <row r="342">
      <c r="A342" s="67"/>
      <c r="B342" s="764"/>
      <c r="C342" s="757"/>
      <c r="D342" s="576"/>
      <c r="E342" s="576"/>
      <c r="F342" s="576"/>
      <c r="G342" s="577"/>
      <c r="H342" s="577"/>
      <c r="I342" s="577"/>
      <c r="J342" s="577"/>
      <c r="K342" s="577"/>
      <c r="L342" s="746"/>
      <c r="M342" s="746"/>
      <c r="N342" s="746"/>
      <c r="O342" s="746"/>
    </row>
    <row r="343">
      <c r="A343" s="67"/>
      <c r="B343" s="764"/>
      <c r="C343" s="757"/>
      <c r="D343" s="576"/>
      <c r="E343" s="576"/>
      <c r="F343" s="576"/>
      <c r="G343" s="577"/>
      <c r="H343" s="577"/>
      <c r="I343" s="577"/>
      <c r="J343" s="577"/>
      <c r="K343" s="577"/>
      <c r="L343" s="746"/>
      <c r="M343" s="746"/>
      <c r="N343" s="746"/>
      <c r="O343" s="746"/>
    </row>
    <row r="344">
      <c r="A344" s="67"/>
      <c r="B344" s="764"/>
      <c r="C344" s="757"/>
      <c r="D344" s="576"/>
      <c r="E344" s="576"/>
      <c r="F344" s="576"/>
      <c r="G344" s="577"/>
      <c r="H344" s="577"/>
      <c r="I344" s="577"/>
      <c r="J344" s="577"/>
      <c r="K344" s="577"/>
      <c r="L344" s="746"/>
      <c r="M344" s="746"/>
      <c r="N344" s="746"/>
      <c r="O344" s="746"/>
    </row>
    <row r="345">
      <c r="A345" s="67"/>
      <c r="B345" s="764"/>
      <c r="C345" s="757"/>
      <c r="D345" s="576"/>
      <c r="E345" s="576"/>
      <c r="F345" s="576"/>
      <c r="G345" s="577"/>
      <c r="H345" s="577"/>
      <c r="I345" s="577"/>
      <c r="J345" s="577"/>
      <c r="K345" s="577"/>
      <c r="L345" s="746"/>
      <c r="M345" s="746"/>
      <c r="N345" s="746"/>
      <c r="O345" s="746"/>
    </row>
    <row r="346">
      <c r="A346" s="67"/>
      <c r="B346" s="764"/>
      <c r="C346" s="757"/>
      <c r="D346" s="576"/>
      <c r="E346" s="576"/>
      <c r="F346" s="576"/>
      <c r="G346" s="577"/>
      <c r="H346" s="577"/>
      <c r="I346" s="577"/>
      <c r="J346" s="577"/>
      <c r="K346" s="577"/>
      <c r="L346" s="746"/>
      <c r="M346" s="746"/>
      <c r="N346" s="746"/>
      <c r="O346" s="746"/>
    </row>
    <row r="347">
      <c r="A347" s="67"/>
      <c r="B347" s="764"/>
      <c r="C347" s="757"/>
      <c r="D347" s="576"/>
      <c r="E347" s="576"/>
      <c r="F347" s="576"/>
      <c r="G347" s="577"/>
      <c r="H347" s="577"/>
      <c r="I347" s="577"/>
      <c r="J347" s="577"/>
      <c r="K347" s="577"/>
      <c r="L347" s="746"/>
      <c r="M347" s="746"/>
      <c r="N347" s="746"/>
      <c r="O347" s="746"/>
    </row>
    <row r="348">
      <c r="A348" s="67"/>
      <c r="B348" s="764"/>
      <c r="C348" s="757"/>
      <c r="D348" s="576"/>
      <c r="E348" s="576"/>
      <c r="F348" s="576"/>
      <c r="G348" s="577"/>
      <c r="H348" s="577"/>
      <c r="I348" s="577"/>
      <c r="J348" s="577"/>
      <c r="K348" s="577"/>
      <c r="L348" s="746"/>
      <c r="M348" s="746"/>
      <c r="N348" s="746"/>
      <c r="O348" s="746"/>
    </row>
    <row r="349">
      <c r="A349" s="67"/>
      <c r="B349" s="764"/>
      <c r="C349" s="757"/>
      <c r="D349" s="576"/>
      <c r="E349" s="576"/>
      <c r="F349" s="576"/>
      <c r="G349" s="577"/>
      <c r="H349" s="577"/>
      <c r="I349" s="577"/>
      <c r="J349" s="577"/>
      <c r="K349" s="577"/>
      <c r="L349" s="746"/>
      <c r="M349" s="746"/>
      <c r="N349" s="746"/>
      <c r="O349" s="746"/>
    </row>
    <row r="350">
      <c r="A350" s="67"/>
      <c r="B350" s="764"/>
      <c r="C350" s="757"/>
      <c r="D350" s="576"/>
      <c r="E350" s="576"/>
      <c r="F350" s="576"/>
      <c r="G350" s="577"/>
      <c r="H350" s="577"/>
      <c r="I350" s="577"/>
      <c r="J350" s="577"/>
      <c r="K350" s="577"/>
      <c r="L350" s="746"/>
      <c r="M350" s="746"/>
      <c r="N350" s="746"/>
      <c r="O350" s="746"/>
    </row>
    <row r="351">
      <c r="A351" s="67"/>
      <c r="B351" s="764"/>
      <c r="C351" s="757"/>
      <c r="D351" s="576"/>
      <c r="E351" s="576"/>
      <c r="F351" s="576"/>
      <c r="G351" s="577"/>
      <c r="H351" s="577"/>
      <c r="I351" s="577"/>
      <c r="J351" s="577"/>
      <c r="K351" s="577"/>
      <c r="L351" s="746"/>
      <c r="M351" s="746"/>
      <c r="N351" s="746"/>
      <c r="O351" s="746"/>
    </row>
    <row r="352">
      <c r="A352" s="67"/>
      <c r="B352" s="764"/>
      <c r="C352" s="757"/>
      <c r="D352" s="576"/>
      <c r="E352" s="576"/>
      <c r="F352" s="576"/>
      <c r="G352" s="577"/>
      <c r="H352" s="577"/>
      <c r="I352" s="577"/>
      <c r="J352" s="577"/>
      <c r="K352" s="577"/>
      <c r="L352" s="746"/>
      <c r="M352" s="746"/>
      <c r="N352" s="746"/>
      <c r="O352" s="746"/>
    </row>
    <row r="353">
      <c r="A353" s="67"/>
      <c r="B353" s="764"/>
      <c r="C353" s="757"/>
      <c r="D353" s="576"/>
      <c r="E353" s="576"/>
      <c r="F353" s="576"/>
      <c r="G353" s="577"/>
      <c r="H353" s="577"/>
      <c r="I353" s="577"/>
      <c r="J353" s="577"/>
      <c r="K353" s="577"/>
      <c r="L353" s="746"/>
      <c r="M353" s="746"/>
      <c r="N353" s="746"/>
      <c r="O353" s="746"/>
    </row>
    <row r="354">
      <c r="A354" s="67"/>
      <c r="B354" s="764"/>
      <c r="C354" s="757"/>
      <c r="D354" s="576"/>
      <c r="E354" s="576"/>
      <c r="F354" s="576"/>
      <c r="G354" s="577"/>
      <c r="H354" s="577"/>
      <c r="I354" s="577"/>
      <c r="J354" s="577"/>
      <c r="K354" s="577"/>
      <c r="L354" s="746"/>
      <c r="M354" s="746"/>
      <c r="N354" s="746"/>
      <c r="O354" s="746"/>
    </row>
    <row r="355">
      <c r="A355" s="67"/>
      <c r="B355" s="764"/>
      <c r="C355" s="757"/>
      <c r="D355" s="576"/>
      <c r="E355" s="576"/>
      <c r="F355" s="576"/>
      <c r="G355" s="577"/>
      <c r="H355" s="577"/>
      <c r="I355" s="577"/>
      <c r="J355" s="577"/>
      <c r="K355" s="577"/>
      <c r="L355" s="746"/>
      <c r="M355" s="746"/>
      <c r="N355" s="746"/>
      <c r="O355" s="746"/>
    </row>
    <row r="356">
      <c r="A356" s="67"/>
      <c r="B356" s="764"/>
      <c r="C356" s="757"/>
      <c r="D356" s="576"/>
      <c r="E356" s="576"/>
      <c r="F356" s="576"/>
      <c r="G356" s="577"/>
      <c r="H356" s="577"/>
      <c r="I356" s="577"/>
      <c r="J356" s="577"/>
      <c r="K356" s="577"/>
      <c r="L356" s="746"/>
      <c r="M356" s="746"/>
      <c r="N356" s="746"/>
      <c r="O356" s="746"/>
    </row>
    <row r="357">
      <c r="A357" s="67"/>
      <c r="B357" s="764"/>
      <c r="C357" s="757"/>
      <c r="D357" s="576"/>
      <c r="E357" s="576"/>
      <c r="F357" s="576"/>
      <c r="G357" s="577"/>
      <c r="H357" s="577"/>
      <c r="I357" s="577"/>
      <c r="J357" s="577"/>
      <c r="K357" s="577"/>
      <c r="L357" s="746"/>
      <c r="M357" s="746"/>
      <c r="N357" s="746"/>
      <c r="O357" s="746"/>
    </row>
    <row r="358">
      <c r="A358" s="67"/>
      <c r="B358" s="764"/>
      <c r="C358" s="757"/>
      <c r="D358" s="576"/>
      <c r="E358" s="576"/>
      <c r="F358" s="576"/>
      <c r="G358" s="577"/>
      <c r="H358" s="577"/>
      <c r="I358" s="577"/>
      <c r="J358" s="577"/>
      <c r="K358" s="577"/>
      <c r="L358" s="746"/>
      <c r="M358" s="746"/>
      <c r="N358" s="746"/>
      <c r="O358" s="746"/>
    </row>
    <row r="359">
      <c r="A359" s="67"/>
      <c r="B359" s="764"/>
      <c r="C359" s="757"/>
      <c r="D359" s="576"/>
      <c r="E359" s="576"/>
      <c r="F359" s="576"/>
      <c r="G359" s="577"/>
      <c r="H359" s="577"/>
      <c r="I359" s="577"/>
      <c r="J359" s="577"/>
      <c r="K359" s="577"/>
      <c r="L359" s="746"/>
      <c r="M359" s="746"/>
      <c r="N359" s="746"/>
      <c r="O359" s="746"/>
    </row>
    <row r="360">
      <c r="A360" s="67"/>
      <c r="B360" s="764"/>
      <c r="C360" s="757"/>
      <c r="D360" s="576"/>
      <c r="E360" s="576"/>
      <c r="F360" s="576"/>
      <c r="G360" s="577"/>
      <c r="H360" s="577"/>
      <c r="I360" s="577"/>
      <c r="J360" s="577"/>
      <c r="K360" s="577"/>
      <c r="L360" s="746"/>
      <c r="M360" s="746"/>
      <c r="N360" s="746"/>
      <c r="O360" s="746"/>
    </row>
    <row r="361">
      <c r="A361" s="67"/>
      <c r="B361" s="764"/>
      <c r="C361" s="757"/>
      <c r="D361" s="576"/>
      <c r="E361" s="576"/>
      <c r="F361" s="576"/>
      <c r="G361" s="577"/>
      <c r="H361" s="577"/>
      <c r="I361" s="577"/>
      <c r="J361" s="577"/>
      <c r="K361" s="577"/>
      <c r="L361" s="746"/>
      <c r="M361" s="746"/>
      <c r="N361" s="746"/>
      <c r="O361" s="746"/>
    </row>
    <row r="362">
      <c r="A362" s="67"/>
      <c r="B362" s="764"/>
      <c r="C362" s="757"/>
      <c r="D362" s="576"/>
      <c r="E362" s="576"/>
      <c r="F362" s="576"/>
      <c r="G362" s="577"/>
      <c r="H362" s="577"/>
      <c r="I362" s="577"/>
      <c r="J362" s="577"/>
      <c r="K362" s="577"/>
      <c r="L362" s="746"/>
      <c r="M362" s="746"/>
      <c r="N362" s="746"/>
      <c r="O362" s="746"/>
    </row>
    <row r="363">
      <c r="A363" s="67"/>
      <c r="B363" s="764"/>
      <c r="C363" s="757"/>
      <c r="D363" s="576"/>
      <c r="E363" s="576"/>
      <c r="F363" s="576"/>
      <c r="G363" s="577"/>
      <c r="H363" s="577"/>
      <c r="I363" s="577"/>
      <c r="J363" s="577"/>
      <c r="K363" s="577"/>
      <c r="L363" s="746"/>
      <c r="M363" s="746"/>
      <c r="N363" s="746"/>
      <c r="O363" s="746"/>
    </row>
    <row r="364">
      <c r="A364" s="67"/>
      <c r="B364" s="764"/>
      <c r="C364" s="757"/>
      <c r="D364" s="576"/>
      <c r="E364" s="576"/>
      <c r="F364" s="576"/>
      <c r="G364" s="577"/>
      <c r="H364" s="577"/>
      <c r="I364" s="577"/>
      <c r="J364" s="577"/>
      <c r="K364" s="577"/>
      <c r="L364" s="746"/>
      <c r="M364" s="746"/>
      <c r="N364" s="746"/>
      <c r="O364" s="746"/>
    </row>
    <row r="365">
      <c r="A365" s="67"/>
      <c r="B365" s="764"/>
      <c r="C365" s="757"/>
      <c r="D365" s="576"/>
      <c r="E365" s="576"/>
      <c r="F365" s="576"/>
      <c r="G365" s="577"/>
      <c r="H365" s="577"/>
      <c r="I365" s="577"/>
      <c r="J365" s="577"/>
      <c r="K365" s="577"/>
      <c r="L365" s="746"/>
      <c r="M365" s="746"/>
      <c r="N365" s="746"/>
      <c r="O365" s="746"/>
    </row>
    <row r="366">
      <c r="A366" s="67"/>
      <c r="B366" s="764"/>
      <c r="C366" s="757"/>
      <c r="D366" s="576"/>
      <c r="E366" s="576"/>
      <c r="F366" s="576"/>
      <c r="G366" s="577"/>
      <c r="H366" s="577"/>
      <c r="I366" s="577"/>
      <c r="J366" s="577"/>
      <c r="K366" s="577"/>
      <c r="L366" s="746"/>
      <c r="M366" s="746"/>
      <c r="N366" s="746"/>
      <c r="O366" s="746"/>
    </row>
    <row r="367">
      <c r="A367" s="67"/>
      <c r="B367" s="764"/>
      <c r="C367" s="757"/>
      <c r="D367" s="576"/>
      <c r="E367" s="576"/>
      <c r="F367" s="576"/>
      <c r="G367" s="577"/>
      <c r="H367" s="577"/>
      <c r="I367" s="577"/>
      <c r="J367" s="577"/>
      <c r="K367" s="577"/>
      <c r="L367" s="746"/>
      <c r="M367" s="746"/>
      <c r="N367" s="746"/>
      <c r="O367" s="746"/>
    </row>
    <row r="368">
      <c r="A368" s="67"/>
      <c r="B368" s="764"/>
      <c r="C368" s="757"/>
      <c r="D368" s="576"/>
      <c r="E368" s="576"/>
      <c r="F368" s="576"/>
      <c r="G368" s="577"/>
      <c r="H368" s="577"/>
      <c r="I368" s="577"/>
      <c r="J368" s="577"/>
      <c r="K368" s="577"/>
      <c r="L368" s="746"/>
      <c r="M368" s="746"/>
      <c r="N368" s="746"/>
      <c r="O368" s="746"/>
    </row>
    <row r="369">
      <c r="A369" s="67"/>
      <c r="B369" s="764"/>
      <c r="C369" s="757"/>
      <c r="D369" s="576"/>
      <c r="E369" s="576"/>
      <c r="F369" s="576"/>
      <c r="G369" s="577"/>
      <c r="H369" s="577"/>
      <c r="I369" s="577"/>
      <c r="J369" s="577"/>
      <c r="K369" s="577"/>
      <c r="L369" s="746"/>
      <c r="M369" s="746"/>
      <c r="N369" s="746"/>
      <c r="O369" s="746"/>
    </row>
    <row r="370">
      <c r="A370" s="67"/>
      <c r="B370" s="764"/>
      <c r="C370" s="757"/>
      <c r="D370" s="576"/>
      <c r="E370" s="576"/>
      <c r="F370" s="576"/>
      <c r="G370" s="577"/>
      <c r="H370" s="577"/>
      <c r="I370" s="577"/>
      <c r="J370" s="577"/>
      <c r="K370" s="577"/>
      <c r="L370" s="746"/>
      <c r="M370" s="746"/>
      <c r="N370" s="746"/>
      <c r="O370" s="746"/>
    </row>
    <row r="371">
      <c r="A371" s="67"/>
      <c r="B371" s="764"/>
      <c r="C371" s="757"/>
      <c r="D371" s="576"/>
      <c r="E371" s="576"/>
      <c r="F371" s="576"/>
      <c r="G371" s="577"/>
      <c r="H371" s="577"/>
      <c r="I371" s="577"/>
      <c r="J371" s="577"/>
      <c r="K371" s="577"/>
      <c r="L371" s="746"/>
      <c r="M371" s="746"/>
      <c r="N371" s="746"/>
      <c r="O371" s="746"/>
    </row>
    <row r="372">
      <c r="A372" s="67"/>
      <c r="B372" s="764"/>
      <c r="C372" s="757"/>
      <c r="D372" s="576"/>
      <c r="E372" s="576"/>
      <c r="F372" s="576"/>
      <c r="G372" s="577"/>
      <c r="H372" s="577"/>
      <c r="I372" s="577"/>
      <c r="J372" s="577"/>
      <c r="K372" s="577"/>
      <c r="L372" s="746"/>
      <c r="M372" s="746"/>
      <c r="N372" s="746"/>
      <c r="O372" s="746"/>
    </row>
    <row r="373">
      <c r="A373" s="67"/>
      <c r="B373" s="764"/>
      <c r="C373" s="757"/>
      <c r="D373" s="576"/>
      <c r="E373" s="576"/>
      <c r="F373" s="576"/>
      <c r="G373" s="577"/>
      <c r="H373" s="577"/>
      <c r="I373" s="577"/>
      <c r="J373" s="577"/>
      <c r="K373" s="577"/>
      <c r="L373" s="746"/>
      <c r="M373" s="746"/>
      <c r="N373" s="746"/>
      <c r="O373" s="746"/>
    </row>
    <row r="374">
      <c r="A374" s="67"/>
      <c r="B374" s="764"/>
      <c r="C374" s="757"/>
      <c r="D374" s="576"/>
      <c r="E374" s="576"/>
      <c r="F374" s="576"/>
      <c r="G374" s="577"/>
      <c r="H374" s="577"/>
      <c r="I374" s="577"/>
      <c r="J374" s="577"/>
      <c r="K374" s="577"/>
      <c r="L374" s="746"/>
      <c r="M374" s="746"/>
      <c r="N374" s="746"/>
      <c r="O374" s="746"/>
    </row>
    <row r="375">
      <c r="A375" s="67"/>
      <c r="B375" s="764"/>
      <c r="C375" s="757"/>
      <c r="D375" s="576"/>
      <c r="E375" s="576"/>
      <c r="F375" s="576"/>
      <c r="G375" s="577"/>
      <c r="H375" s="577"/>
      <c r="I375" s="577"/>
      <c r="J375" s="577"/>
      <c r="K375" s="577"/>
      <c r="L375" s="746"/>
      <c r="M375" s="746"/>
      <c r="N375" s="746"/>
      <c r="O375" s="746"/>
    </row>
    <row r="376">
      <c r="A376" s="67"/>
      <c r="B376" s="764"/>
      <c r="C376" s="757"/>
      <c r="D376" s="576"/>
      <c r="E376" s="576"/>
      <c r="F376" s="576"/>
      <c r="G376" s="577"/>
      <c r="H376" s="577"/>
      <c r="I376" s="577"/>
      <c r="J376" s="577"/>
      <c r="K376" s="577"/>
      <c r="L376" s="746"/>
      <c r="M376" s="746"/>
      <c r="N376" s="746"/>
      <c r="O376" s="746"/>
    </row>
    <row r="377">
      <c r="A377" s="67"/>
      <c r="B377" s="764"/>
      <c r="C377" s="757"/>
      <c r="D377" s="576"/>
      <c r="E377" s="576"/>
      <c r="F377" s="576"/>
      <c r="G377" s="577"/>
      <c r="H377" s="577"/>
      <c r="I377" s="577"/>
      <c r="J377" s="577"/>
      <c r="K377" s="577"/>
      <c r="L377" s="746"/>
      <c r="M377" s="746"/>
      <c r="N377" s="746"/>
      <c r="O377" s="746"/>
    </row>
    <row r="378">
      <c r="A378" s="67"/>
      <c r="B378" s="764"/>
      <c r="C378" s="757"/>
      <c r="D378" s="576"/>
      <c r="E378" s="576"/>
      <c r="F378" s="576"/>
      <c r="G378" s="577"/>
      <c r="H378" s="577"/>
      <c r="I378" s="577"/>
      <c r="J378" s="577"/>
      <c r="K378" s="577"/>
      <c r="L378" s="746"/>
      <c r="M378" s="746"/>
      <c r="N378" s="746"/>
      <c r="O378" s="746"/>
    </row>
    <row r="379">
      <c r="A379" s="67"/>
      <c r="B379" s="764"/>
      <c r="C379" s="757"/>
      <c r="D379" s="576"/>
      <c r="E379" s="576"/>
      <c r="F379" s="576"/>
      <c r="G379" s="577"/>
      <c r="H379" s="577"/>
      <c r="I379" s="577"/>
      <c r="J379" s="577"/>
      <c r="K379" s="577"/>
      <c r="L379" s="746"/>
      <c r="M379" s="746"/>
      <c r="N379" s="746"/>
      <c r="O379" s="746"/>
    </row>
    <row r="380">
      <c r="A380" s="67"/>
      <c r="B380" s="764"/>
      <c r="C380" s="757"/>
      <c r="D380" s="576"/>
      <c r="E380" s="576"/>
      <c r="F380" s="576"/>
      <c r="G380" s="577"/>
      <c r="H380" s="577"/>
      <c r="I380" s="577"/>
      <c r="J380" s="577"/>
      <c r="K380" s="577"/>
      <c r="L380" s="746"/>
      <c r="M380" s="746"/>
      <c r="N380" s="746"/>
      <c r="O380" s="746"/>
    </row>
    <row r="381">
      <c r="A381" s="67"/>
      <c r="B381" s="764"/>
      <c r="C381" s="757"/>
      <c r="D381" s="576"/>
      <c r="E381" s="576"/>
      <c r="F381" s="576"/>
      <c r="G381" s="577"/>
      <c r="H381" s="577"/>
      <c r="I381" s="577"/>
      <c r="J381" s="577"/>
      <c r="K381" s="577"/>
      <c r="L381" s="746"/>
      <c r="M381" s="746"/>
      <c r="N381" s="746"/>
      <c r="O381" s="746"/>
    </row>
    <row r="382">
      <c r="A382" s="67"/>
      <c r="B382" s="764"/>
      <c r="C382" s="757"/>
      <c r="D382" s="576"/>
      <c r="E382" s="576"/>
      <c r="F382" s="576"/>
      <c r="G382" s="577"/>
      <c r="H382" s="577"/>
      <c r="I382" s="577"/>
      <c r="J382" s="577"/>
      <c r="K382" s="577"/>
      <c r="L382" s="746"/>
      <c r="M382" s="746"/>
      <c r="N382" s="746"/>
      <c r="O382" s="746"/>
    </row>
    <row r="383">
      <c r="A383" s="67"/>
      <c r="B383" s="764"/>
      <c r="C383" s="757"/>
      <c r="D383" s="576"/>
      <c r="E383" s="576"/>
      <c r="F383" s="576"/>
      <c r="G383" s="577"/>
      <c r="H383" s="577"/>
      <c r="I383" s="577"/>
      <c r="J383" s="577"/>
      <c r="K383" s="577"/>
      <c r="L383" s="746"/>
      <c r="M383" s="746"/>
      <c r="N383" s="746"/>
      <c r="O383" s="746"/>
    </row>
    <row r="384">
      <c r="A384" s="67"/>
      <c r="B384" s="764"/>
      <c r="C384" s="757"/>
      <c r="D384" s="576"/>
      <c r="E384" s="576"/>
      <c r="F384" s="576"/>
      <c r="G384" s="577"/>
      <c r="H384" s="577"/>
      <c r="I384" s="577"/>
      <c r="J384" s="577"/>
      <c r="K384" s="577"/>
      <c r="L384" s="746"/>
      <c r="M384" s="746"/>
      <c r="N384" s="746"/>
      <c r="O384" s="746"/>
    </row>
    <row r="385">
      <c r="A385" s="67"/>
      <c r="B385" s="764"/>
      <c r="C385" s="757"/>
      <c r="D385" s="576"/>
      <c r="E385" s="576"/>
      <c r="F385" s="576"/>
      <c r="G385" s="577"/>
      <c r="H385" s="577"/>
      <c r="I385" s="577"/>
      <c r="J385" s="577"/>
      <c r="K385" s="577"/>
      <c r="L385" s="746"/>
      <c r="M385" s="746"/>
      <c r="N385" s="746"/>
      <c r="O385" s="746"/>
    </row>
    <row r="386">
      <c r="A386" s="67"/>
      <c r="B386" s="764"/>
      <c r="C386" s="757"/>
      <c r="D386" s="576"/>
      <c r="E386" s="576"/>
      <c r="F386" s="576"/>
      <c r="G386" s="577"/>
      <c r="H386" s="577"/>
      <c r="I386" s="577"/>
      <c r="J386" s="577"/>
      <c r="K386" s="577"/>
      <c r="L386" s="746"/>
      <c r="M386" s="746"/>
      <c r="N386" s="746"/>
      <c r="O386" s="746"/>
    </row>
    <row r="387">
      <c r="A387" s="67"/>
      <c r="B387" s="764"/>
      <c r="C387" s="757"/>
      <c r="D387" s="576"/>
      <c r="E387" s="576"/>
      <c r="F387" s="576"/>
      <c r="G387" s="577"/>
      <c r="H387" s="577"/>
      <c r="I387" s="577"/>
      <c r="J387" s="577"/>
      <c r="K387" s="577"/>
      <c r="L387" s="746"/>
      <c r="M387" s="746"/>
      <c r="N387" s="746"/>
      <c r="O387" s="746"/>
    </row>
    <row r="388">
      <c r="A388" s="67"/>
      <c r="B388" s="764"/>
      <c r="C388" s="757"/>
      <c r="D388" s="576"/>
      <c r="E388" s="576"/>
      <c r="F388" s="576"/>
      <c r="G388" s="577"/>
      <c r="H388" s="577"/>
      <c r="I388" s="577"/>
      <c r="J388" s="577"/>
      <c r="K388" s="577"/>
      <c r="L388" s="746"/>
      <c r="M388" s="746"/>
      <c r="N388" s="746"/>
      <c r="O388" s="746"/>
    </row>
    <row r="389">
      <c r="A389" s="67"/>
      <c r="B389" s="764"/>
      <c r="C389" s="757"/>
      <c r="D389" s="576"/>
      <c r="E389" s="576"/>
      <c r="F389" s="576"/>
      <c r="G389" s="577"/>
      <c r="H389" s="577"/>
      <c r="I389" s="577"/>
      <c r="J389" s="577"/>
      <c r="K389" s="577"/>
      <c r="L389" s="746"/>
      <c r="M389" s="746"/>
      <c r="N389" s="746"/>
      <c r="O389" s="746"/>
    </row>
    <row r="390">
      <c r="A390" s="67"/>
      <c r="B390" s="764"/>
      <c r="C390" s="757"/>
      <c r="D390" s="576"/>
      <c r="E390" s="576"/>
      <c r="F390" s="576"/>
      <c r="G390" s="577"/>
      <c r="H390" s="577"/>
      <c r="I390" s="577"/>
      <c r="J390" s="577"/>
      <c r="K390" s="577"/>
      <c r="L390" s="746"/>
      <c r="M390" s="746"/>
      <c r="N390" s="746"/>
      <c r="O390" s="746"/>
    </row>
    <row r="391">
      <c r="A391" s="67"/>
      <c r="B391" s="764"/>
      <c r="C391" s="757"/>
      <c r="D391" s="576"/>
      <c r="E391" s="576"/>
      <c r="F391" s="576"/>
      <c r="G391" s="577"/>
      <c r="H391" s="577"/>
      <c r="I391" s="577"/>
      <c r="J391" s="577"/>
      <c r="K391" s="577"/>
      <c r="L391" s="746"/>
      <c r="M391" s="746"/>
      <c r="N391" s="746"/>
      <c r="O391" s="746"/>
    </row>
    <row r="392">
      <c r="A392" s="67"/>
      <c r="B392" s="764"/>
      <c r="C392" s="757"/>
      <c r="D392" s="576"/>
      <c r="E392" s="576"/>
      <c r="F392" s="576"/>
      <c r="G392" s="577"/>
      <c r="H392" s="577"/>
      <c r="I392" s="577"/>
      <c r="J392" s="577"/>
      <c r="K392" s="577"/>
      <c r="L392" s="746"/>
      <c r="M392" s="746"/>
      <c r="N392" s="746"/>
      <c r="O392" s="746"/>
    </row>
    <row r="393">
      <c r="A393" s="67"/>
      <c r="B393" s="764"/>
      <c r="C393" s="757"/>
      <c r="D393" s="576"/>
      <c r="E393" s="576"/>
      <c r="F393" s="576"/>
      <c r="G393" s="577"/>
      <c r="H393" s="577"/>
      <c r="I393" s="577"/>
      <c r="J393" s="577"/>
      <c r="K393" s="577"/>
      <c r="L393" s="746"/>
      <c r="M393" s="746"/>
      <c r="N393" s="746"/>
      <c r="O393" s="746"/>
    </row>
    <row r="394">
      <c r="A394" s="67"/>
      <c r="B394" s="764"/>
      <c r="C394" s="757"/>
      <c r="D394" s="576"/>
      <c r="E394" s="576"/>
      <c r="F394" s="576"/>
      <c r="G394" s="577"/>
      <c r="H394" s="577"/>
      <c r="I394" s="577"/>
      <c r="J394" s="577"/>
      <c r="K394" s="577"/>
      <c r="L394" s="746"/>
      <c r="M394" s="746"/>
      <c r="N394" s="746"/>
      <c r="O394" s="746"/>
    </row>
    <row r="395">
      <c r="A395" s="67"/>
      <c r="B395" s="764"/>
      <c r="C395" s="757"/>
      <c r="D395" s="576"/>
      <c r="E395" s="576"/>
      <c r="F395" s="576"/>
      <c r="G395" s="577"/>
      <c r="H395" s="577"/>
      <c r="I395" s="577"/>
      <c r="J395" s="577"/>
      <c r="K395" s="577"/>
      <c r="L395" s="746"/>
      <c r="M395" s="746"/>
      <c r="N395" s="746"/>
      <c r="O395" s="746"/>
    </row>
    <row r="396">
      <c r="A396" s="67"/>
      <c r="B396" s="764"/>
      <c r="C396" s="757"/>
      <c r="D396" s="576"/>
      <c r="E396" s="576"/>
      <c r="F396" s="576"/>
      <c r="G396" s="577"/>
      <c r="H396" s="577"/>
      <c r="I396" s="577"/>
      <c r="J396" s="577"/>
      <c r="K396" s="577"/>
      <c r="L396" s="746"/>
      <c r="M396" s="746"/>
      <c r="N396" s="746"/>
      <c r="O396" s="746"/>
    </row>
    <row r="397">
      <c r="A397" s="67"/>
      <c r="B397" s="764"/>
      <c r="C397" s="757"/>
      <c r="D397" s="576"/>
      <c r="E397" s="576"/>
      <c r="F397" s="576"/>
      <c r="G397" s="577"/>
      <c r="H397" s="577"/>
      <c r="I397" s="577"/>
      <c r="J397" s="577"/>
      <c r="K397" s="577"/>
      <c r="L397" s="746"/>
      <c r="M397" s="746"/>
      <c r="N397" s="746"/>
      <c r="O397" s="746"/>
    </row>
    <row r="398">
      <c r="A398" s="67"/>
      <c r="B398" s="764"/>
      <c r="C398" s="757"/>
      <c r="D398" s="576"/>
      <c r="E398" s="576"/>
      <c r="F398" s="576"/>
      <c r="G398" s="577"/>
      <c r="H398" s="577"/>
      <c r="I398" s="577"/>
      <c r="J398" s="577"/>
      <c r="K398" s="577"/>
      <c r="L398" s="746"/>
      <c r="M398" s="746"/>
      <c r="N398" s="746"/>
      <c r="O398" s="746"/>
    </row>
    <row r="399">
      <c r="A399" s="67"/>
      <c r="B399" s="764"/>
      <c r="C399" s="757"/>
      <c r="D399" s="576"/>
      <c r="E399" s="576"/>
      <c r="F399" s="576"/>
      <c r="G399" s="577"/>
      <c r="H399" s="577"/>
      <c r="I399" s="577"/>
      <c r="J399" s="577"/>
      <c r="K399" s="577"/>
      <c r="L399" s="746"/>
      <c r="M399" s="746"/>
      <c r="N399" s="746"/>
      <c r="O399" s="746"/>
    </row>
    <row r="400">
      <c r="A400" s="67"/>
      <c r="B400" s="764"/>
      <c r="C400" s="757"/>
      <c r="D400" s="576"/>
      <c r="E400" s="576"/>
      <c r="F400" s="576"/>
      <c r="G400" s="577"/>
      <c r="H400" s="577"/>
      <c r="I400" s="577"/>
      <c r="J400" s="577"/>
      <c r="K400" s="577"/>
      <c r="L400" s="746"/>
      <c r="M400" s="746"/>
      <c r="N400" s="746"/>
      <c r="O400" s="746"/>
    </row>
    <row r="401">
      <c r="A401" s="67"/>
      <c r="B401" s="764"/>
      <c r="C401" s="757"/>
      <c r="D401" s="576"/>
      <c r="E401" s="576"/>
      <c r="F401" s="576"/>
      <c r="G401" s="577"/>
      <c r="H401" s="577"/>
      <c r="I401" s="577"/>
      <c r="J401" s="577"/>
      <c r="K401" s="577"/>
      <c r="L401" s="746"/>
      <c r="M401" s="746"/>
      <c r="N401" s="746"/>
      <c r="O401" s="746"/>
    </row>
    <row r="402">
      <c r="A402" s="67"/>
      <c r="B402" s="764"/>
      <c r="C402" s="757"/>
      <c r="D402" s="576"/>
      <c r="E402" s="576"/>
      <c r="F402" s="576"/>
      <c r="G402" s="577"/>
      <c r="H402" s="577"/>
      <c r="I402" s="577"/>
      <c r="J402" s="577"/>
      <c r="K402" s="577"/>
      <c r="L402" s="746"/>
      <c r="M402" s="746"/>
      <c r="N402" s="746"/>
      <c r="O402" s="746"/>
    </row>
    <row r="403">
      <c r="A403" s="67"/>
      <c r="B403" s="764"/>
      <c r="C403" s="757"/>
      <c r="D403" s="576"/>
      <c r="E403" s="576"/>
      <c r="F403" s="576"/>
      <c r="G403" s="577"/>
      <c r="H403" s="577"/>
      <c r="I403" s="577"/>
      <c r="J403" s="577"/>
      <c r="K403" s="577"/>
      <c r="L403" s="746"/>
      <c r="M403" s="746"/>
      <c r="N403" s="746"/>
      <c r="O403" s="746"/>
    </row>
    <row r="404">
      <c r="A404" s="67"/>
      <c r="B404" s="764"/>
      <c r="C404" s="757"/>
      <c r="D404" s="576"/>
      <c r="E404" s="576"/>
      <c r="F404" s="576"/>
      <c r="G404" s="577"/>
      <c r="H404" s="577"/>
      <c r="I404" s="577"/>
      <c r="J404" s="577"/>
      <c r="K404" s="577"/>
      <c r="L404" s="746"/>
      <c r="M404" s="746"/>
      <c r="N404" s="746"/>
      <c r="O404" s="746"/>
    </row>
    <row r="405">
      <c r="A405" s="67"/>
      <c r="B405" s="764"/>
      <c r="C405" s="757"/>
      <c r="D405" s="576"/>
      <c r="E405" s="576"/>
      <c r="F405" s="576"/>
      <c r="G405" s="577"/>
      <c r="H405" s="577"/>
      <c r="I405" s="577"/>
      <c r="J405" s="577"/>
      <c r="K405" s="577"/>
      <c r="L405" s="746"/>
      <c r="M405" s="746"/>
      <c r="N405" s="746"/>
      <c r="O405" s="746"/>
    </row>
    <row r="406">
      <c r="A406" s="67"/>
      <c r="B406" s="764"/>
      <c r="C406" s="757"/>
      <c r="D406" s="576"/>
      <c r="E406" s="576"/>
      <c r="F406" s="576"/>
      <c r="G406" s="577"/>
      <c r="H406" s="577"/>
      <c r="I406" s="577"/>
      <c r="J406" s="577"/>
      <c r="K406" s="577"/>
      <c r="L406" s="746"/>
      <c r="M406" s="746"/>
      <c r="N406" s="746"/>
      <c r="O406" s="746"/>
    </row>
    <row r="407">
      <c r="A407" s="67"/>
      <c r="B407" s="764"/>
      <c r="C407" s="757"/>
      <c r="D407" s="576"/>
      <c r="E407" s="576"/>
      <c r="F407" s="576"/>
      <c r="G407" s="577"/>
      <c r="H407" s="577"/>
      <c r="I407" s="577"/>
      <c r="J407" s="577"/>
      <c r="K407" s="577"/>
      <c r="L407" s="746"/>
      <c r="M407" s="746"/>
      <c r="N407" s="746"/>
      <c r="O407" s="746"/>
    </row>
    <row r="408">
      <c r="A408" s="67"/>
      <c r="B408" s="764"/>
      <c r="C408" s="757"/>
      <c r="D408" s="576"/>
      <c r="E408" s="576"/>
      <c r="F408" s="576"/>
      <c r="G408" s="577"/>
      <c r="H408" s="577"/>
      <c r="I408" s="577"/>
      <c r="J408" s="577"/>
      <c r="K408" s="577"/>
      <c r="L408" s="746"/>
      <c r="M408" s="746"/>
      <c r="N408" s="746"/>
      <c r="O408" s="746"/>
    </row>
    <row r="409">
      <c r="A409" s="67"/>
      <c r="B409" s="764"/>
      <c r="C409" s="757"/>
      <c r="D409" s="576"/>
      <c r="E409" s="576"/>
      <c r="F409" s="576"/>
      <c r="G409" s="577"/>
      <c r="H409" s="577"/>
      <c r="I409" s="577"/>
      <c r="J409" s="577"/>
      <c r="K409" s="577"/>
      <c r="L409" s="746"/>
      <c r="M409" s="746"/>
      <c r="N409" s="746"/>
      <c r="O409" s="746"/>
    </row>
    <row r="410">
      <c r="A410" s="67"/>
      <c r="B410" s="764"/>
      <c r="C410" s="757"/>
      <c r="D410" s="576"/>
      <c r="E410" s="576"/>
      <c r="F410" s="576"/>
      <c r="G410" s="577"/>
      <c r="H410" s="577"/>
      <c r="I410" s="577"/>
      <c r="J410" s="577"/>
      <c r="K410" s="577"/>
      <c r="L410" s="746"/>
      <c r="M410" s="746"/>
      <c r="N410" s="746"/>
      <c r="O410" s="746"/>
    </row>
    <row r="411">
      <c r="A411" s="67"/>
      <c r="B411" s="764"/>
      <c r="C411" s="757"/>
      <c r="D411" s="576"/>
      <c r="E411" s="576"/>
      <c r="F411" s="576"/>
      <c r="G411" s="577"/>
      <c r="H411" s="577"/>
      <c r="I411" s="577"/>
      <c r="J411" s="577"/>
      <c r="K411" s="577"/>
      <c r="L411" s="746"/>
      <c r="M411" s="746"/>
      <c r="N411" s="746"/>
      <c r="O411" s="746"/>
    </row>
    <row r="412">
      <c r="A412" s="67"/>
      <c r="B412" s="764"/>
      <c r="C412" s="757"/>
      <c r="D412" s="576"/>
      <c r="E412" s="576"/>
      <c r="F412" s="576"/>
      <c r="G412" s="577"/>
      <c r="H412" s="577"/>
      <c r="I412" s="577"/>
      <c r="J412" s="577"/>
      <c r="K412" s="577"/>
      <c r="L412" s="746"/>
      <c r="M412" s="746"/>
      <c r="N412" s="746"/>
      <c r="O412" s="746"/>
    </row>
    <row r="413">
      <c r="A413" s="67"/>
      <c r="B413" s="764"/>
      <c r="C413" s="757"/>
      <c r="D413" s="576"/>
      <c r="E413" s="576"/>
      <c r="F413" s="576"/>
      <c r="G413" s="577"/>
      <c r="H413" s="577"/>
      <c r="I413" s="577"/>
      <c r="J413" s="577"/>
      <c r="K413" s="577"/>
      <c r="L413" s="746"/>
      <c r="M413" s="746"/>
      <c r="N413" s="746"/>
      <c r="O413" s="746"/>
    </row>
    <row r="414">
      <c r="A414" s="67"/>
      <c r="B414" s="764"/>
      <c r="C414" s="757"/>
      <c r="D414" s="576"/>
      <c r="E414" s="576"/>
      <c r="F414" s="576"/>
      <c r="G414" s="577"/>
      <c r="H414" s="577"/>
      <c r="I414" s="577"/>
      <c r="J414" s="577"/>
      <c r="K414" s="577"/>
      <c r="L414" s="746"/>
      <c r="M414" s="746"/>
      <c r="N414" s="746"/>
      <c r="O414" s="746"/>
    </row>
    <row r="415">
      <c r="A415" s="67"/>
      <c r="B415" s="764"/>
      <c r="C415" s="757"/>
      <c r="D415" s="576"/>
      <c r="E415" s="576"/>
      <c r="F415" s="576"/>
      <c r="G415" s="577"/>
      <c r="H415" s="577"/>
      <c r="I415" s="577"/>
      <c r="J415" s="577"/>
      <c r="K415" s="577"/>
      <c r="L415" s="746"/>
      <c r="M415" s="746"/>
      <c r="N415" s="746"/>
      <c r="O415" s="746"/>
    </row>
    <row r="416">
      <c r="A416" s="67"/>
      <c r="B416" s="764"/>
      <c r="C416" s="757"/>
      <c r="D416" s="576"/>
      <c r="E416" s="576"/>
      <c r="F416" s="576"/>
      <c r="G416" s="577"/>
      <c r="H416" s="577"/>
      <c r="I416" s="577"/>
      <c r="J416" s="577"/>
      <c r="K416" s="577"/>
      <c r="L416" s="746"/>
      <c r="M416" s="746"/>
      <c r="N416" s="746"/>
      <c r="O416" s="746"/>
    </row>
    <row r="417">
      <c r="A417" s="67"/>
      <c r="B417" s="764"/>
      <c r="C417" s="757"/>
      <c r="D417" s="576"/>
      <c r="E417" s="576"/>
      <c r="F417" s="576"/>
      <c r="G417" s="577"/>
      <c r="H417" s="577"/>
      <c r="I417" s="577"/>
      <c r="J417" s="577"/>
      <c r="K417" s="577"/>
      <c r="L417" s="746"/>
      <c r="M417" s="746"/>
      <c r="N417" s="746"/>
      <c r="O417" s="746"/>
    </row>
    <row r="418">
      <c r="A418" s="67"/>
      <c r="B418" s="764"/>
      <c r="C418" s="757"/>
      <c r="D418" s="576"/>
      <c r="E418" s="576"/>
      <c r="F418" s="576"/>
      <c r="G418" s="577"/>
      <c r="H418" s="577"/>
      <c r="I418" s="577"/>
      <c r="J418" s="577"/>
      <c r="K418" s="577"/>
      <c r="L418" s="746"/>
      <c r="M418" s="746"/>
      <c r="N418" s="746"/>
      <c r="O418" s="746"/>
    </row>
    <row r="419">
      <c r="A419" s="67"/>
      <c r="B419" s="764"/>
      <c r="C419" s="757"/>
      <c r="D419" s="576"/>
      <c r="E419" s="576"/>
      <c r="F419" s="576"/>
      <c r="G419" s="577"/>
      <c r="H419" s="577"/>
      <c r="I419" s="577"/>
      <c r="J419" s="577"/>
      <c r="K419" s="577"/>
      <c r="L419" s="746"/>
      <c r="M419" s="746"/>
      <c r="N419" s="746"/>
      <c r="O419" s="746"/>
    </row>
    <row r="420">
      <c r="A420" s="67"/>
      <c r="B420" s="764"/>
      <c r="C420" s="757"/>
      <c r="D420" s="576"/>
      <c r="E420" s="576"/>
      <c r="F420" s="576"/>
      <c r="G420" s="577"/>
      <c r="H420" s="577"/>
      <c r="I420" s="577"/>
      <c r="J420" s="577"/>
      <c r="K420" s="577"/>
      <c r="L420" s="746"/>
      <c r="M420" s="746"/>
      <c r="N420" s="746"/>
      <c r="O420" s="746"/>
    </row>
    <row r="421">
      <c r="A421" s="67"/>
      <c r="B421" s="764"/>
      <c r="C421" s="757"/>
      <c r="D421" s="576"/>
      <c r="E421" s="576"/>
      <c r="F421" s="576"/>
      <c r="G421" s="577"/>
      <c r="H421" s="577"/>
      <c r="I421" s="577"/>
      <c r="J421" s="577"/>
      <c r="K421" s="577"/>
      <c r="L421" s="746"/>
      <c r="M421" s="746"/>
      <c r="N421" s="746"/>
      <c r="O421" s="746"/>
    </row>
    <row r="422">
      <c r="A422" s="67"/>
      <c r="B422" s="764"/>
      <c r="C422" s="757"/>
      <c r="D422" s="576"/>
      <c r="E422" s="576"/>
      <c r="F422" s="576"/>
      <c r="G422" s="577"/>
      <c r="H422" s="577"/>
      <c r="I422" s="577"/>
      <c r="J422" s="577"/>
      <c r="K422" s="577"/>
      <c r="L422" s="746"/>
      <c r="M422" s="746"/>
      <c r="N422" s="746"/>
      <c r="O422" s="746"/>
    </row>
    <row r="423">
      <c r="A423" s="67"/>
      <c r="B423" s="764"/>
      <c r="C423" s="757"/>
      <c r="D423" s="576"/>
      <c r="E423" s="576"/>
      <c r="F423" s="576"/>
      <c r="G423" s="577"/>
      <c r="H423" s="577"/>
      <c r="I423" s="577"/>
      <c r="J423" s="577"/>
      <c r="K423" s="577"/>
      <c r="L423" s="746"/>
      <c r="M423" s="746"/>
      <c r="N423" s="746"/>
      <c r="O423" s="746"/>
    </row>
    <row r="424">
      <c r="A424" s="67"/>
      <c r="B424" s="764"/>
      <c r="C424" s="757"/>
      <c r="D424" s="576"/>
      <c r="E424" s="576"/>
      <c r="F424" s="576"/>
      <c r="G424" s="577"/>
      <c r="H424" s="577"/>
      <c r="I424" s="577"/>
      <c r="J424" s="577"/>
      <c r="K424" s="577"/>
      <c r="L424" s="746"/>
      <c r="M424" s="746"/>
      <c r="N424" s="746"/>
      <c r="O424" s="746"/>
    </row>
    <row r="425">
      <c r="A425" s="67"/>
      <c r="B425" s="764"/>
      <c r="C425" s="757"/>
      <c r="D425" s="576"/>
      <c r="E425" s="576"/>
      <c r="F425" s="576"/>
      <c r="G425" s="577"/>
      <c r="H425" s="577"/>
      <c r="I425" s="577"/>
      <c r="J425" s="577"/>
      <c r="K425" s="577"/>
      <c r="L425" s="746"/>
      <c r="M425" s="746"/>
      <c r="N425" s="746"/>
      <c r="O425" s="746"/>
    </row>
    <row r="426">
      <c r="A426" s="67"/>
      <c r="B426" s="764"/>
      <c r="C426" s="757"/>
      <c r="D426" s="576"/>
      <c r="E426" s="576"/>
      <c r="F426" s="576"/>
      <c r="G426" s="577"/>
      <c r="H426" s="577"/>
      <c r="I426" s="577"/>
      <c r="J426" s="577"/>
      <c r="K426" s="577"/>
      <c r="L426" s="746"/>
      <c r="M426" s="746"/>
      <c r="N426" s="746"/>
      <c r="O426" s="746"/>
    </row>
    <row r="427">
      <c r="A427" s="67"/>
      <c r="B427" s="764"/>
      <c r="C427" s="757"/>
      <c r="D427" s="576"/>
      <c r="E427" s="576"/>
      <c r="F427" s="576"/>
      <c r="G427" s="577"/>
      <c r="H427" s="577"/>
      <c r="I427" s="577"/>
      <c r="J427" s="577"/>
      <c r="K427" s="577"/>
      <c r="L427" s="746"/>
      <c r="M427" s="746"/>
      <c r="N427" s="746"/>
      <c r="O427" s="746"/>
    </row>
    <row r="428">
      <c r="A428" s="67"/>
      <c r="B428" s="764"/>
      <c r="C428" s="757"/>
      <c r="D428" s="576"/>
      <c r="E428" s="576"/>
      <c r="F428" s="576"/>
      <c r="G428" s="577"/>
      <c r="H428" s="577"/>
      <c r="I428" s="577"/>
      <c r="J428" s="577"/>
      <c r="K428" s="577"/>
      <c r="L428" s="746"/>
      <c r="M428" s="746"/>
      <c r="N428" s="746"/>
      <c r="O428" s="746"/>
    </row>
    <row r="429">
      <c r="A429" s="67"/>
      <c r="B429" s="764"/>
      <c r="C429" s="757"/>
      <c r="D429" s="576"/>
      <c r="E429" s="576"/>
      <c r="F429" s="576"/>
      <c r="G429" s="577"/>
      <c r="H429" s="577"/>
      <c r="I429" s="577"/>
      <c r="J429" s="577"/>
      <c r="K429" s="577"/>
      <c r="L429" s="746"/>
      <c r="M429" s="746"/>
      <c r="N429" s="746"/>
      <c r="O429" s="746"/>
    </row>
    <row r="430">
      <c r="A430" s="67"/>
      <c r="B430" s="764"/>
      <c r="C430" s="757"/>
      <c r="D430" s="576"/>
      <c r="E430" s="576"/>
      <c r="F430" s="576"/>
      <c r="G430" s="577"/>
      <c r="H430" s="577"/>
      <c r="I430" s="577"/>
      <c r="J430" s="577"/>
      <c r="K430" s="577"/>
      <c r="L430" s="746"/>
      <c r="M430" s="746"/>
      <c r="N430" s="746"/>
      <c r="O430" s="746"/>
    </row>
    <row r="431">
      <c r="A431" s="67"/>
      <c r="B431" s="764"/>
      <c r="C431" s="757"/>
      <c r="D431" s="576"/>
      <c r="E431" s="576"/>
      <c r="F431" s="576"/>
      <c r="G431" s="577"/>
      <c r="H431" s="577"/>
      <c r="I431" s="577"/>
      <c r="J431" s="577"/>
      <c r="K431" s="577"/>
      <c r="L431" s="746"/>
      <c r="M431" s="746"/>
      <c r="N431" s="746"/>
      <c r="O431" s="746"/>
    </row>
    <row r="432">
      <c r="A432" s="67"/>
      <c r="B432" s="764"/>
      <c r="C432" s="757"/>
      <c r="D432" s="576"/>
      <c r="E432" s="576"/>
      <c r="F432" s="576"/>
      <c r="G432" s="577"/>
      <c r="H432" s="577"/>
      <c r="I432" s="577"/>
      <c r="J432" s="577"/>
      <c r="K432" s="577"/>
      <c r="L432" s="746"/>
      <c r="M432" s="746"/>
      <c r="N432" s="746"/>
      <c r="O432" s="746"/>
    </row>
    <row r="433">
      <c r="A433" s="67"/>
      <c r="B433" s="764"/>
      <c r="C433" s="757"/>
      <c r="D433" s="576"/>
      <c r="E433" s="576"/>
      <c r="F433" s="576"/>
      <c r="G433" s="577"/>
      <c r="H433" s="577"/>
      <c r="I433" s="577"/>
      <c r="J433" s="577"/>
      <c r="K433" s="577"/>
      <c r="L433" s="746"/>
      <c r="M433" s="746"/>
      <c r="N433" s="746"/>
      <c r="O433" s="746"/>
    </row>
    <row r="434">
      <c r="A434" s="67"/>
      <c r="B434" s="764"/>
      <c r="C434" s="757"/>
      <c r="D434" s="576"/>
      <c r="E434" s="576"/>
      <c r="F434" s="576"/>
      <c r="G434" s="577"/>
      <c r="H434" s="577"/>
      <c r="I434" s="577"/>
      <c r="J434" s="577"/>
      <c r="K434" s="577"/>
      <c r="L434" s="746"/>
      <c r="M434" s="746"/>
      <c r="N434" s="746"/>
      <c r="O434" s="746"/>
    </row>
    <row r="435">
      <c r="A435" s="67"/>
      <c r="B435" s="764"/>
      <c r="C435" s="757"/>
      <c r="D435" s="576"/>
      <c r="E435" s="576"/>
      <c r="F435" s="576"/>
      <c r="G435" s="577"/>
      <c r="H435" s="577"/>
      <c r="I435" s="577"/>
      <c r="J435" s="577"/>
      <c r="K435" s="577"/>
      <c r="L435" s="746"/>
      <c r="M435" s="746"/>
      <c r="N435" s="746"/>
      <c r="O435" s="746"/>
    </row>
    <row r="436">
      <c r="A436" s="67"/>
      <c r="B436" s="764"/>
      <c r="C436" s="757"/>
      <c r="D436" s="576"/>
      <c r="E436" s="576"/>
      <c r="F436" s="576"/>
      <c r="G436" s="577"/>
      <c r="H436" s="577"/>
      <c r="I436" s="577"/>
      <c r="J436" s="577"/>
      <c r="K436" s="577"/>
      <c r="L436" s="746"/>
      <c r="M436" s="746"/>
      <c r="N436" s="746"/>
      <c r="O436" s="746"/>
    </row>
    <row r="437">
      <c r="A437" s="67"/>
      <c r="B437" s="764"/>
      <c r="C437" s="757"/>
      <c r="D437" s="576"/>
      <c r="E437" s="576"/>
      <c r="F437" s="576"/>
      <c r="G437" s="577"/>
      <c r="H437" s="577"/>
      <c r="I437" s="577"/>
      <c r="J437" s="577"/>
      <c r="K437" s="577"/>
      <c r="L437" s="746"/>
      <c r="M437" s="746"/>
      <c r="N437" s="746"/>
      <c r="O437" s="746"/>
    </row>
    <row r="438">
      <c r="A438" s="67"/>
      <c r="B438" s="764"/>
      <c r="C438" s="757"/>
      <c r="D438" s="576"/>
      <c r="E438" s="576"/>
      <c r="F438" s="576"/>
      <c r="G438" s="577"/>
      <c r="H438" s="577"/>
      <c r="I438" s="577"/>
      <c r="J438" s="577"/>
      <c r="K438" s="577"/>
      <c r="L438" s="746"/>
      <c r="M438" s="746"/>
      <c r="N438" s="746"/>
      <c r="O438" s="746"/>
    </row>
    <row r="439">
      <c r="A439" s="67"/>
      <c r="B439" s="764"/>
      <c r="C439" s="757"/>
      <c r="D439" s="576"/>
      <c r="E439" s="576"/>
      <c r="F439" s="576"/>
      <c r="G439" s="577"/>
      <c r="H439" s="577"/>
      <c r="I439" s="577"/>
      <c r="J439" s="577"/>
      <c r="K439" s="577"/>
      <c r="L439" s="746"/>
      <c r="M439" s="746"/>
      <c r="N439" s="746"/>
      <c r="O439" s="746"/>
    </row>
    <row r="440">
      <c r="A440" s="67"/>
      <c r="B440" s="764"/>
      <c r="C440" s="757"/>
      <c r="D440" s="576"/>
      <c r="E440" s="576"/>
      <c r="F440" s="576"/>
      <c r="G440" s="577"/>
      <c r="H440" s="577"/>
      <c r="I440" s="577"/>
      <c r="J440" s="577"/>
      <c r="K440" s="577"/>
      <c r="L440" s="746"/>
      <c r="M440" s="746"/>
      <c r="N440" s="746"/>
      <c r="O440" s="746"/>
    </row>
    <row r="441">
      <c r="A441" s="67"/>
      <c r="B441" s="764"/>
      <c r="C441" s="757"/>
      <c r="D441" s="576"/>
      <c r="E441" s="576"/>
      <c r="F441" s="576"/>
      <c r="G441" s="577"/>
      <c r="H441" s="577"/>
      <c r="I441" s="577"/>
      <c r="J441" s="577"/>
      <c r="K441" s="577"/>
      <c r="L441" s="746"/>
      <c r="M441" s="746"/>
      <c r="N441" s="746"/>
      <c r="O441" s="746"/>
    </row>
    <row r="442">
      <c r="A442" s="67"/>
      <c r="B442" s="764"/>
      <c r="C442" s="757"/>
      <c r="D442" s="576"/>
      <c r="E442" s="576"/>
      <c r="F442" s="576"/>
      <c r="G442" s="577"/>
      <c r="H442" s="577"/>
      <c r="I442" s="577"/>
      <c r="J442" s="577"/>
      <c r="K442" s="577"/>
      <c r="L442" s="746"/>
      <c r="M442" s="746"/>
      <c r="N442" s="746"/>
      <c r="O442" s="746"/>
    </row>
    <row r="443">
      <c r="A443" s="67"/>
      <c r="B443" s="764"/>
      <c r="C443" s="757"/>
      <c r="D443" s="576"/>
      <c r="E443" s="576"/>
      <c r="F443" s="576"/>
      <c r="G443" s="577"/>
      <c r="H443" s="577"/>
      <c r="I443" s="577"/>
      <c r="J443" s="577"/>
      <c r="K443" s="577"/>
      <c r="L443" s="746"/>
      <c r="M443" s="746"/>
      <c r="N443" s="746"/>
      <c r="O443" s="746"/>
    </row>
    <row r="444">
      <c r="A444" s="67"/>
      <c r="B444" s="764"/>
      <c r="C444" s="757"/>
      <c r="D444" s="576"/>
      <c r="E444" s="576"/>
      <c r="F444" s="576"/>
      <c r="G444" s="577"/>
      <c r="H444" s="577"/>
      <c r="I444" s="577"/>
      <c r="J444" s="577"/>
      <c r="K444" s="577"/>
      <c r="L444" s="746"/>
      <c r="M444" s="746"/>
      <c r="N444" s="746"/>
      <c r="O444" s="746"/>
    </row>
    <row r="445">
      <c r="A445" s="67"/>
      <c r="B445" s="764"/>
      <c r="C445" s="757"/>
      <c r="D445" s="576"/>
      <c r="E445" s="576"/>
      <c r="F445" s="576"/>
      <c r="G445" s="577"/>
      <c r="H445" s="577"/>
      <c r="I445" s="577"/>
      <c r="J445" s="577"/>
      <c r="K445" s="577"/>
      <c r="L445" s="746"/>
      <c r="M445" s="746"/>
      <c r="N445" s="746"/>
      <c r="O445" s="746"/>
    </row>
    <row r="446">
      <c r="A446" s="67"/>
      <c r="B446" s="764"/>
      <c r="C446" s="757"/>
      <c r="D446" s="576"/>
      <c r="E446" s="576"/>
      <c r="F446" s="576"/>
      <c r="G446" s="577"/>
      <c r="H446" s="577"/>
      <c r="I446" s="577"/>
      <c r="J446" s="577"/>
      <c r="K446" s="577"/>
      <c r="L446" s="746"/>
      <c r="M446" s="746"/>
      <c r="N446" s="746"/>
      <c r="O446" s="746"/>
    </row>
    <row r="447">
      <c r="A447" s="67"/>
      <c r="B447" s="764"/>
      <c r="C447" s="757"/>
      <c r="D447" s="576"/>
      <c r="E447" s="576"/>
      <c r="F447" s="576"/>
      <c r="G447" s="577"/>
      <c r="H447" s="577"/>
      <c r="I447" s="577"/>
      <c r="J447" s="577"/>
      <c r="K447" s="577"/>
      <c r="L447" s="746"/>
      <c r="M447" s="746"/>
      <c r="N447" s="746"/>
      <c r="O447" s="746"/>
    </row>
    <row r="448">
      <c r="A448" s="67"/>
      <c r="B448" s="764"/>
      <c r="C448" s="757"/>
      <c r="D448" s="576"/>
      <c r="E448" s="576"/>
      <c r="F448" s="576"/>
      <c r="G448" s="577"/>
      <c r="H448" s="577"/>
      <c r="I448" s="577"/>
      <c r="J448" s="577"/>
      <c r="K448" s="577"/>
      <c r="L448" s="746"/>
      <c r="M448" s="746"/>
      <c r="N448" s="746"/>
      <c r="O448" s="746"/>
    </row>
    <row r="449">
      <c r="A449" s="67"/>
      <c r="B449" s="764"/>
      <c r="C449" s="757"/>
      <c r="D449" s="576"/>
      <c r="E449" s="576"/>
      <c r="F449" s="576"/>
      <c r="G449" s="577"/>
      <c r="H449" s="577"/>
      <c r="I449" s="577"/>
      <c r="J449" s="577"/>
      <c r="K449" s="577"/>
      <c r="L449" s="746"/>
      <c r="M449" s="746"/>
      <c r="N449" s="746"/>
      <c r="O449" s="746"/>
    </row>
    <row r="450">
      <c r="A450" s="67"/>
      <c r="B450" s="764"/>
      <c r="C450" s="757"/>
      <c r="D450" s="576"/>
      <c r="E450" s="576"/>
      <c r="F450" s="576"/>
      <c r="G450" s="577"/>
      <c r="H450" s="577"/>
      <c r="I450" s="577"/>
      <c r="J450" s="577"/>
      <c r="K450" s="577"/>
      <c r="L450" s="746"/>
      <c r="M450" s="746"/>
      <c r="N450" s="746"/>
      <c r="O450" s="746"/>
    </row>
    <row r="451">
      <c r="A451" s="67"/>
      <c r="B451" s="764"/>
      <c r="C451" s="757"/>
      <c r="D451" s="576"/>
      <c r="E451" s="576"/>
      <c r="F451" s="576"/>
      <c r="G451" s="577"/>
      <c r="H451" s="577"/>
      <c r="I451" s="577"/>
      <c r="J451" s="577"/>
      <c r="K451" s="577"/>
      <c r="L451" s="746"/>
      <c r="M451" s="746"/>
      <c r="N451" s="746"/>
      <c r="O451" s="746"/>
    </row>
    <row r="452">
      <c r="A452" s="67"/>
      <c r="B452" s="764"/>
      <c r="C452" s="757"/>
      <c r="D452" s="576"/>
      <c r="E452" s="576"/>
      <c r="F452" s="576"/>
      <c r="G452" s="577"/>
      <c r="H452" s="577"/>
      <c r="I452" s="577"/>
      <c r="J452" s="577"/>
      <c r="K452" s="577"/>
      <c r="L452" s="746"/>
      <c r="M452" s="746"/>
      <c r="N452" s="746"/>
      <c r="O452" s="746"/>
    </row>
    <row r="453">
      <c r="A453" s="67"/>
      <c r="B453" s="764"/>
      <c r="C453" s="757"/>
      <c r="D453" s="576"/>
      <c r="E453" s="576"/>
      <c r="F453" s="576"/>
      <c r="G453" s="577"/>
      <c r="H453" s="577"/>
      <c r="I453" s="577"/>
      <c r="J453" s="577"/>
      <c r="K453" s="577"/>
      <c r="L453" s="746"/>
      <c r="M453" s="746"/>
      <c r="N453" s="746"/>
      <c r="O453" s="746"/>
    </row>
    <row r="454">
      <c r="A454" s="67"/>
      <c r="B454" s="764"/>
      <c r="C454" s="757"/>
      <c r="D454" s="576"/>
      <c r="E454" s="576"/>
      <c r="F454" s="576"/>
      <c r="G454" s="577"/>
      <c r="H454" s="577"/>
      <c r="I454" s="577"/>
      <c r="J454" s="577"/>
      <c r="K454" s="577"/>
      <c r="L454" s="746"/>
      <c r="M454" s="746"/>
      <c r="N454" s="746"/>
      <c r="O454" s="746"/>
    </row>
    <row r="455">
      <c r="A455" s="67"/>
      <c r="B455" s="764"/>
      <c r="C455" s="757"/>
      <c r="D455" s="576"/>
      <c r="E455" s="576"/>
      <c r="F455" s="576"/>
      <c r="G455" s="577"/>
      <c r="H455" s="577"/>
      <c r="I455" s="577"/>
      <c r="J455" s="577"/>
      <c r="K455" s="577"/>
      <c r="L455" s="746"/>
      <c r="M455" s="746"/>
      <c r="N455" s="746"/>
      <c r="O455" s="746"/>
    </row>
    <row r="456">
      <c r="A456" s="67"/>
      <c r="B456" s="764"/>
      <c r="C456" s="757"/>
      <c r="D456" s="576"/>
      <c r="E456" s="576"/>
      <c r="F456" s="576"/>
      <c r="G456" s="577"/>
      <c r="H456" s="577"/>
      <c r="I456" s="577"/>
      <c r="J456" s="577"/>
      <c r="K456" s="577"/>
      <c r="L456" s="746"/>
      <c r="M456" s="746"/>
      <c r="N456" s="746"/>
      <c r="O456" s="746"/>
    </row>
    <row r="457">
      <c r="A457" s="67"/>
      <c r="B457" s="764"/>
      <c r="C457" s="757"/>
      <c r="D457" s="576"/>
      <c r="E457" s="576"/>
      <c r="F457" s="576"/>
      <c r="G457" s="577"/>
      <c r="H457" s="577"/>
      <c r="I457" s="577"/>
      <c r="J457" s="577"/>
      <c r="K457" s="577"/>
      <c r="L457" s="746"/>
      <c r="M457" s="746"/>
      <c r="N457" s="746"/>
      <c r="O457" s="746"/>
    </row>
    <row r="458">
      <c r="A458" s="67"/>
      <c r="B458" s="764"/>
      <c r="C458" s="757"/>
      <c r="D458" s="576"/>
      <c r="E458" s="576"/>
      <c r="F458" s="576"/>
      <c r="G458" s="577"/>
      <c r="H458" s="577"/>
      <c r="I458" s="577"/>
      <c r="J458" s="577"/>
      <c r="K458" s="577"/>
      <c r="L458" s="746"/>
      <c r="M458" s="746"/>
      <c r="N458" s="746"/>
      <c r="O458" s="746"/>
    </row>
    <row r="459">
      <c r="A459" s="67"/>
      <c r="B459" s="764"/>
      <c r="C459" s="757"/>
      <c r="D459" s="576"/>
      <c r="E459" s="576"/>
      <c r="F459" s="576"/>
      <c r="G459" s="577"/>
      <c r="H459" s="577"/>
      <c r="I459" s="577"/>
      <c r="J459" s="577"/>
      <c r="K459" s="577"/>
      <c r="L459" s="746"/>
      <c r="M459" s="746"/>
      <c r="N459" s="746"/>
      <c r="O459" s="746"/>
    </row>
    <row r="460">
      <c r="A460" s="67"/>
      <c r="B460" s="764"/>
      <c r="C460" s="757"/>
      <c r="D460" s="576"/>
      <c r="E460" s="576"/>
      <c r="F460" s="576"/>
      <c r="G460" s="577"/>
      <c r="H460" s="577"/>
      <c r="I460" s="577"/>
      <c r="J460" s="577"/>
      <c r="K460" s="577"/>
      <c r="L460" s="746"/>
      <c r="M460" s="746"/>
      <c r="N460" s="746"/>
      <c r="O460" s="746"/>
    </row>
    <row r="461">
      <c r="A461" s="67"/>
      <c r="B461" s="764"/>
      <c r="C461" s="757"/>
      <c r="D461" s="576"/>
      <c r="E461" s="576"/>
      <c r="F461" s="576"/>
      <c r="G461" s="577"/>
      <c r="H461" s="577"/>
      <c r="I461" s="577"/>
      <c r="J461" s="577"/>
      <c r="K461" s="577"/>
      <c r="L461" s="746"/>
      <c r="M461" s="746"/>
      <c r="N461" s="746"/>
      <c r="O461" s="746"/>
    </row>
    <row r="462">
      <c r="A462" s="67"/>
      <c r="B462" s="764"/>
      <c r="C462" s="757"/>
      <c r="D462" s="576"/>
      <c r="E462" s="576"/>
      <c r="F462" s="576"/>
      <c r="G462" s="577"/>
      <c r="H462" s="577"/>
      <c r="I462" s="577"/>
      <c r="J462" s="577"/>
      <c r="K462" s="577"/>
      <c r="L462" s="746"/>
      <c r="M462" s="746"/>
      <c r="N462" s="746"/>
      <c r="O462" s="746"/>
    </row>
    <row r="463">
      <c r="A463" s="67"/>
      <c r="B463" s="764"/>
      <c r="C463" s="757"/>
      <c r="D463" s="576"/>
      <c r="E463" s="576"/>
      <c r="F463" s="576"/>
      <c r="G463" s="577"/>
      <c r="H463" s="577"/>
      <c r="I463" s="577"/>
      <c r="J463" s="577"/>
      <c r="K463" s="577"/>
      <c r="L463" s="746"/>
      <c r="M463" s="746"/>
      <c r="N463" s="746"/>
      <c r="O463" s="746"/>
    </row>
    <row r="464">
      <c r="A464" s="67"/>
      <c r="B464" s="764"/>
      <c r="C464" s="757"/>
      <c r="D464" s="576"/>
      <c r="E464" s="576"/>
      <c r="F464" s="576"/>
      <c r="G464" s="577"/>
      <c r="H464" s="577"/>
      <c r="I464" s="577"/>
      <c r="J464" s="577"/>
      <c r="K464" s="577"/>
      <c r="L464" s="746"/>
      <c r="M464" s="746"/>
      <c r="N464" s="746"/>
      <c r="O464" s="746"/>
    </row>
    <row r="465">
      <c r="A465" s="67"/>
      <c r="B465" s="764"/>
      <c r="C465" s="757"/>
      <c r="D465" s="576"/>
      <c r="E465" s="576"/>
      <c r="F465" s="576"/>
      <c r="G465" s="577"/>
      <c r="H465" s="577"/>
      <c r="I465" s="577"/>
      <c r="J465" s="577"/>
      <c r="K465" s="577"/>
      <c r="L465" s="746"/>
      <c r="M465" s="746"/>
      <c r="N465" s="746"/>
      <c r="O465" s="746"/>
    </row>
    <row r="466">
      <c r="A466" s="67"/>
      <c r="B466" s="764"/>
      <c r="C466" s="757"/>
      <c r="D466" s="576"/>
      <c r="E466" s="576"/>
      <c r="F466" s="576"/>
      <c r="G466" s="577"/>
      <c r="H466" s="577"/>
      <c r="I466" s="577"/>
      <c r="J466" s="577"/>
      <c r="K466" s="577"/>
      <c r="L466" s="746"/>
      <c r="M466" s="746"/>
      <c r="N466" s="746"/>
      <c r="O466" s="746"/>
    </row>
    <row r="467">
      <c r="A467" s="67"/>
      <c r="B467" s="764"/>
      <c r="C467" s="757"/>
      <c r="D467" s="576"/>
      <c r="E467" s="576"/>
      <c r="F467" s="576"/>
      <c r="G467" s="577"/>
      <c r="H467" s="577"/>
      <c r="I467" s="577"/>
      <c r="J467" s="577"/>
      <c r="K467" s="577"/>
      <c r="L467" s="746"/>
      <c r="M467" s="746"/>
      <c r="N467" s="746"/>
      <c r="O467" s="746"/>
    </row>
    <row r="468">
      <c r="A468" s="67"/>
      <c r="B468" s="764"/>
      <c r="C468" s="757"/>
      <c r="D468" s="576"/>
      <c r="E468" s="576"/>
      <c r="F468" s="576"/>
      <c r="G468" s="577"/>
      <c r="H468" s="577"/>
      <c r="I468" s="577"/>
      <c r="J468" s="577"/>
      <c r="K468" s="577"/>
      <c r="L468" s="746"/>
      <c r="M468" s="746"/>
      <c r="N468" s="746"/>
      <c r="O468" s="746"/>
    </row>
    <row r="469">
      <c r="A469" s="67"/>
      <c r="B469" s="764"/>
      <c r="C469" s="757"/>
      <c r="D469" s="576"/>
      <c r="E469" s="576"/>
      <c r="F469" s="576"/>
      <c r="G469" s="577"/>
      <c r="H469" s="577"/>
      <c r="I469" s="577"/>
      <c r="J469" s="577"/>
      <c r="K469" s="577"/>
      <c r="L469" s="746"/>
      <c r="M469" s="746"/>
      <c r="N469" s="746"/>
      <c r="O469" s="746"/>
    </row>
    <row r="470">
      <c r="A470" s="67"/>
      <c r="B470" s="764"/>
      <c r="C470" s="757"/>
      <c r="D470" s="576"/>
      <c r="E470" s="576"/>
      <c r="F470" s="576"/>
      <c r="G470" s="577"/>
      <c r="H470" s="577"/>
      <c r="I470" s="577"/>
      <c r="J470" s="577"/>
      <c r="K470" s="577"/>
      <c r="L470" s="746"/>
      <c r="M470" s="746"/>
      <c r="N470" s="746"/>
      <c r="O470" s="746"/>
    </row>
    <row r="471">
      <c r="A471" s="67"/>
      <c r="B471" s="764"/>
      <c r="C471" s="757"/>
      <c r="D471" s="576"/>
      <c r="E471" s="576"/>
      <c r="F471" s="576"/>
      <c r="G471" s="577"/>
      <c r="H471" s="577"/>
      <c r="I471" s="577"/>
      <c r="J471" s="577"/>
      <c r="K471" s="577"/>
      <c r="L471" s="746"/>
      <c r="M471" s="746"/>
      <c r="N471" s="746"/>
      <c r="O471" s="746"/>
    </row>
    <row r="472">
      <c r="A472" s="67"/>
      <c r="B472" s="764"/>
      <c r="C472" s="757"/>
      <c r="D472" s="576"/>
      <c r="E472" s="576"/>
      <c r="F472" s="576"/>
      <c r="G472" s="577"/>
      <c r="H472" s="577"/>
      <c r="I472" s="577"/>
      <c r="J472" s="577"/>
      <c r="K472" s="577"/>
      <c r="L472" s="746"/>
      <c r="M472" s="746"/>
      <c r="N472" s="746"/>
      <c r="O472" s="746"/>
    </row>
    <row r="473">
      <c r="A473" s="67"/>
      <c r="B473" s="764"/>
      <c r="C473" s="757"/>
      <c r="D473" s="576"/>
      <c r="E473" s="576"/>
      <c r="F473" s="576"/>
      <c r="G473" s="577"/>
      <c r="H473" s="577"/>
      <c r="I473" s="577"/>
      <c r="J473" s="577"/>
      <c r="K473" s="577"/>
      <c r="L473" s="746"/>
      <c r="M473" s="746"/>
      <c r="N473" s="746"/>
      <c r="O473" s="746"/>
    </row>
    <row r="474">
      <c r="A474" s="67"/>
      <c r="B474" s="764"/>
      <c r="C474" s="757"/>
      <c r="D474" s="576"/>
      <c r="E474" s="576"/>
      <c r="F474" s="576"/>
      <c r="G474" s="577"/>
      <c r="H474" s="577"/>
      <c r="I474" s="577"/>
      <c r="J474" s="577"/>
      <c r="K474" s="577"/>
      <c r="L474" s="746"/>
      <c r="M474" s="746"/>
      <c r="N474" s="746"/>
      <c r="O474" s="746"/>
    </row>
    <row r="475">
      <c r="A475" s="67"/>
      <c r="B475" s="764"/>
      <c r="C475" s="757"/>
      <c r="D475" s="576"/>
      <c r="E475" s="576"/>
      <c r="F475" s="576"/>
      <c r="G475" s="577"/>
      <c r="H475" s="577"/>
      <c r="I475" s="577"/>
      <c r="J475" s="577"/>
      <c r="K475" s="577"/>
      <c r="L475" s="746"/>
      <c r="M475" s="746"/>
      <c r="N475" s="746"/>
      <c r="O475" s="746"/>
    </row>
    <row r="476">
      <c r="A476" s="67"/>
      <c r="B476" s="764"/>
      <c r="C476" s="757"/>
      <c r="D476" s="576"/>
      <c r="E476" s="576"/>
      <c r="F476" s="576"/>
      <c r="G476" s="577"/>
      <c r="H476" s="577"/>
      <c r="I476" s="577"/>
      <c r="J476" s="577"/>
      <c r="K476" s="577"/>
      <c r="L476" s="746"/>
      <c r="M476" s="746"/>
      <c r="N476" s="746"/>
      <c r="O476" s="746"/>
    </row>
    <row r="477">
      <c r="A477" s="67"/>
      <c r="B477" s="764"/>
      <c r="C477" s="757"/>
      <c r="D477" s="576"/>
      <c r="E477" s="576"/>
      <c r="F477" s="576"/>
      <c r="G477" s="577"/>
      <c r="H477" s="577"/>
      <c r="I477" s="577"/>
      <c r="J477" s="577"/>
      <c r="K477" s="577"/>
      <c r="L477" s="746"/>
      <c r="M477" s="746"/>
      <c r="N477" s="746"/>
      <c r="O477" s="746"/>
    </row>
    <row r="478">
      <c r="A478" s="67"/>
      <c r="B478" s="764"/>
      <c r="C478" s="757"/>
      <c r="D478" s="576"/>
      <c r="E478" s="576"/>
      <c r="F478" s="576"/>
      <c r="G478" s="577"/>
      <c r="H478" s="577"/>
      <c r="I478" s="577"/>
      <c r="J478" s="577"/>
      <c r="K478" s="577"/>
      <c r="L478" s="746"/>
      <c r="M478" s="746"/>
      <c r="N478" s="746"/>
      <c r="O478" s="746"/>
    </row>
    <row r="479">
      <c r="A479" s="67"/>
      <c r="B479" s="764"/>
      <c r="C479" s="757"/>
      <c r="D479" s="576"/>
      <c r="E479" s="576"/>
      <c r="F479" s="576"/>
      <c r="G479" s="577"/>
      <c r="H479" s="577"/>
      <c r="I479" s="577"/>
      <c r="J479" s="577"/>
      <c r="K479" s="577"/>
      <c r="L479" s="746"/>
      <c r="M479" s="746"/>
      <c r="N479" s="746"/>
      <c r="O479" s="746"/>
    </row>
    <row r="480">
      <c r="A480" s="67"/>
      <c r="B480" s="764"/>
      <c r="C480" s="757"/>
      <c r="D480" s="576"/>
      <c r="E480" s="576"/>
      <c r="F480" s="576"/>
      <c r="G480" s="577"/>
      <c r="H480" s="577"/>
      <c r="I480" s="577"/>
      <c r="J480" s="577"/>
      <c r="K480" s="577"/>
      <c r="L480" s="746"/>
      <c r="M480" s="746"/>
      <c r="N480" s="746"/>
      <c r="O480" s="746"/>
    </row>
    <row r="481">
      <c r="A481" s="67"/>
      <c r="B481" s="764"/>
      <c r="C481" s="757"/>
      <c r="D481" s="576"/>
      <c r="E481" s="576"/>
      <c r="F481" s="576"/>
      <c r="G481" s="577"/>
      <c r="H481" s="577"/>
      <c r="I481" s="577"/>
      <c r="J481" s="577"/>
      <c r="K481" s="577"/>
      <c r="L481" s="746"/>
      <c r="M481" s="746"/>
      <c r="N481" s="746"/>
      <c r="O481" s="746"/>
    </row>
    <row r="482">
      <c r="A482" s="67"/>
      <c r="B482" s="764"/>
      <c r="C482" s="757"/>
      <c r="D482" s="576"/>
      <c r="E482" s="576"/>
      <c r="F482" s="576"/>
      <c r="G482" s="577"/>
      <c r="H482" s="577"/>
      <c r="I482" s="577"/>
      <c r="J482" s="577"/>
      <c r="K482" s="577"/>
      <c r="L482" s="746"/>
      <c r="M482" s="746"/>
      <c r="N482" s="746"/>
      <c r="O482" s="746"/>
    </row>
    <row r="483">
      <c r="A483" s="67"/>
      <c r="B483" s="764"/>
      <c r="C483" s="757"/>
      <c r="D483" s="576"/>
      <c r="E483" s="576"/>
      <c r="F483" s="576"/>
      <c r="G483" s="577"/>
      <c r="H483" s="577"/>
      <c r="I483" s="577"/>
      <c r="J483" s="577"/>
      <c r="K483" s="577"/>
      <c r="L483" s="746"/>
      <c r="M483" s="746"/>
      <c r="N483" s="746"/>
      <c r="O483" s="746"/>
    </row>
    <row r="484">
      <c r="A484" s="67"/>
      <c r="B484" s="764"/>
      <c r="C484" s="757"/>
      <c r="D484" s="576"/>
      <c r="E484" s="576"/>
      <c r="F484" s="576"/>
      <c r="G484" s="577"/>
      <c r="H484" s="577"/>
      <c r="I484" s="577"/>
      <c r="J484" s="577"/>
      <c r="K484" s="577"/>
      <c r="L484" s="746"/>
      <c r="M484" s="746"/>
      <c r="N484" s="746"/>
      <c r="O484" s="746"/>
    </row>
    <row r="485">
      <c r="A485" s="67"/>
      <c r="B485" s="764"/>
      <c r="C485" s="757"/>
      <c r="D485" s="576"/>
      <c r="E485" s="576"/>
      <c r="F485" s="576"/>
      <c r="G485" s="577"/>
      <c r="H485" s="577"/>
      <c r="I485" s="577"/>
      <c r="J485" s="577"/>
      <c r="K485" s="577"/>
      <c r="L485" s="746"/>
      <c r="M485" s="746"/>
      <c r="N485" s="746"/>
      <c r="O485" s="746"/>
    </row>
    <row r="486">
      <c r="A486" s="67"/>
      <c r="B486" s="764"/>
      <c r="C486" s="757"/>
      <c r="D486" s="576"/>
      <c r="E486" s="576"/>
      <c r="F486" s="576"/>
      <c r="G486" s="577"/>
      <c r="H486" s="577"/>
      <c r="I486" s="577"/>
      <c r="J486" s="577"/>
      <c r="K486" s="577"/>
      <c r="L486" s="746"/>
      <c r="M486" s="746"/>
      <c r="N486" s="746"/>
      <c r="O486" s="746"/>
    </row>
    <row r="487">
      <c r="A487" s="67"/>
      <c r="B487" s="764"/>
      <c r="C487" s="757"/>
      <c r="D487" s="576"/>
      <c r="E487" s="576"/>
      <c r="F487" s="576"/>
      <c r="G487" s="577"/>
      <c r="H487" s="577"/>
      <c r="I487" s="577"/>
      <c r="J487" s="577"/>
      <c r="K487" s="577"/>
      <c r="L487" s="746"/>
      <c r="M487" s="746"/>
      <c r="N487" s="746"/>
      <c r="O487" s="746"/>
    </row>
    <row r="488">
      <c r="A488" s="67"/>
      <c r="B488" s="764"/>
      <c r="C488" s="757"/>
      <c r="D488" s="576"/>
      <c r="E488" s="576"/>
      <c r="F488" s="576"/>
      <c r="G488" s="577"/>
      <c r="H488" s="577"/>
      <c r="I488" s="577"/>
      <c r="J488" s="577"/>
      <c r="K488" s="577"/>
      <c r="L488" s="746"/>
      <c r="M488" s="746"/>
      <c r="N488" s="746"/>
      <c r="O488" s="746"/>
    </row>
    <row r="489">
      <c r="A489" s="67"/>
      <c r="B489" s="764"/>
      <c r="C489" s="757"/>
      <c r="D489" s="576"/>
      <c r="E489" s="576"/>
      <c r="F489" s="576"/>
      <c r="G489" s="577"/>
      <c r="H489" s="577"/>
      <c r="I489" s="577"/>
      <c r="J489" s="577"/>
      <c r="K489" s="577"/>
      <c r="L489" s="746"/>
      <c r="M489" s="746"/>
      <c r="N489" s="746"/>
      <c r="O489" s="746"/>
    </row>
    <row r="490">
      <c r="A490" s="67"/>
      <c r="B490" s="764"/>
      <c r="C490" s="757"/>
      <c r="D490" s="576"/>
      <c r="E490" s="576"/>
      <c r="F490" s="576"/>
      <c r="G490" s="577"/>
      <c r="H490" s="577"/>
      <c r="I490" s="577"/>
      <c r="J490" s="577"/>
      <c r="K490" s="577"/>
      <c r="L490" s="746"/>
      <c r="M490" s="746"/>
      <c r="N490" s="746"/>
      <c r="O490" s="746"/>
    </row>
    <row r="491">
      <c r="A491" s="67"/>
      <c r="B491" s="764"/>
      <c r="C491" s="757"/>
      <c r="D491" s="576"/>
      <c r="E491" s="576"/>
      <c r="F491" s="576"/>
      <c r="G491" s="577"/>
      <c r="H491" s="577"/>
      <c r="I491" s="577"/>
      <c r="J491" s="577"/>
      <c r="K491" s="577"/>
      <c r="L491" s="746"/>
      <c r="M491" s="746"/>
      <c r="N491" s="746"/>
      <c r="O491" s="746"/>
    </row>
    <row r="492">
      <c r="A492" s="67"/>
      <c r="B492" s="764"/>
      <c r="C492" s="757"/>
      <c r="D492" s="576"/>
      <c r="E492" s="576"/>
      <c r="F492" s="576"/>
      <c r="G492" s="577"/>
      <c r="H492" s="577"/>
      <c r="I492" s="577"/>
      <c r="J492" s="577"/>
      <c r="K492" s="577"/>
      <c r="L492" s="746"/>
      <c r="M492" s="746"/>
      <c r="N492" s="746"/>
      <c r="O492" s="746"/>
    </row>
    <row r="493">
      <c r="A493" s="67"/>
      <c r="B493" s="764"/>
      <c r="C493" s="757"/>
      <c r="D493" s="576"/>
      <c r="E493" s="576"/>
      <c r="F493" s="576"/>
      <c r="G493" s="577"/>
      <c r="H493" s="577"/>
      <c r="I493" s="577"/>
      <c r="J493" s="577"/>
      <c r="K493" s="577"/>
      <c r="L493" s="746"/>
      <c r="M493" s="746"/>
      <c r="N493" s="746"/>
      <c r="O493" s="746"/>
    </row>
    <row r="494">
      <c r="A494" s="67"/>
      <c r="B494" s="764"/>
      <c r="C494" s="757"/>
      <c r="D494" s="576"/>
      <c r="E494" s="576"/>
      <c r="F494" s="576"/>
      <c r="G494" s="577"/>
      <c r="H494" s="577"/>
      <c r="I494" s="577"/>
      <c r="J494" s="577"/>
      <c r="K494" s="577"/>
      <c r="L494" s="746"/>
      <c r="M494" s="746"/>
      <c r="N494" s="746"/>
      <c r="O494" s="746"/>
    </row>
    <row r="495">
      <c r="A495" s="67"/>
      <c r="B495" s="764"/>
      <c r="C495" s="757"/>
      <c r="D495" s="576"/>
      <c r="E495" s="576"/>
      <c r="F495" s="576"/>
      <c r="G495" s="577"/>
      <c r="H495" s="577"/>
      <c r="I495" s="577"/>
      <c r="J495" s="577"/>
      <c r="K495" s="577"/>
      <c r="L495" s="746"/>
      <c r="M495" s="746"/>
      <c r="N495" s="746"/>
      <c r="O495" s="746"/>
    </row>
    <row r="496">
      <c r="A496" s="67"/>
      <c r="B496" s="764"/>
      <c r="C496" s="757"/>
      <c r="D496" s="576"/>
      <c r="E496" s="576"/>
      <c r="F496" s="576"/>
      <c r="G496" s="577"/>
      <c r="H496" s="577"/>
      <c r="I496" s="577"/>
      <c r="J496" s="577"/>
      <c r="K496" s="577"/>
      <c r="L496" s="746"/>
      <c r="M496" s="746"/>
      <c r="N496" s="746"/>
      <c r="O496" s="746"/>
    </row>
    <row r="497">
      <c r="A497" s="67"/>
      <c r="B497" s="764"/>
      <c r="C497" s="757"/>
      <c r="D497" s="576"/>
      <c r="E497" s="576"/>
      <c r="F497" s="576"/>
      <c r="G497" s="577"/>
      <c r="H497" s="577"/>
      <c r="I497" s="577"/>
      <c r="J497" s="577"/>
      <c r="K497" s="577"/>
      <c r="L497" s="746"/>
      <c r="M497" s="746"/>
      <c r="N497" s="746"/>
      <c r="O497" s="746"/>
    </row>
    <row r="498">
      <c r="A498" s="67"/>
      <c r="B498" s="764"/>
      <c r="C498" s="757"/>
      <c r="D498" s="576"/>
      <c r="E498" s="576"/>
      <c r="F498" s="576"/>
      <c r="G498" s="577"/>
      <c r="H498" s="577"/>
      <c r="I498" s="577"/>
      <c r="J498" s="577"/>
      <c r="K498" s="577"/>
      <c r="L498" s="746"/>
      <c r="M498" s="746"/>
      <c r="N498" s="746"/>
      <c r="O498" s="746"/>
    </row>
    <row r="499">
      <c r="A499" s="67"/>
      <c r="B499" s="764"/>
      <c r="C499" s="757"/>
      <c r="D499" s="576"/>
      <c r="E499" s="576"/>
      <c r="F499" s="576"/>
      <c r="G499" s="577"/>
      <c r="H499" s="577"/>
      <c r="I499" s="577"/>
      <c r="J499" s="577"/>
      <c r="K499" s="577"/>
      <c r="L499" s="746"/>
      <c r="M499" s="746"/>
      <c r="N499" s="746"/>
      <c r="O499" s="746"/>
    </row>
    <row r="500">
      <c r="A500" s="67"/>
      <c r="B500" s="764"/>
      <c r="C500" s="757"/>
      <c r="D500" s="576"/>
      <c r="E500" s="576"/>
      <c r="F500" s="576"/>
      <c r="G500" s="577"/>
      <c r="H500" s="577"/>
      <c r="I500" s="577"/>
      <c r="J500" s="577"/>
      <c r="K500" s="577"/>
      <c r="L500" s="746"/>
      <c r="M500" s="746"/>
      <c r="N500" s="746"/>
      <c r="O500" s="746"/>
    </row>
    <row r="501">
      <c r="A501" s="67"/>
      <c r="B501" s="764"/>
      <c r="C501" s="757"/>
      <c r="D501" s="576"/>
      <c r="E501" s="576"/>
      <c r="F501" s="576"/>
      <c r="G501" s="577"/>
      <c r="H501" s="577"/>
      <c r="I501" s="577"/>
      <c r="J501" s="577"/>
      <c r="K501" s="577"/>
      <c r="L501" s="746"/>
      <c r="M501" s="746"/>
      <c r="N501" s="746"/>
      <c r="O501" s="746"/>
    </row>
    <row r="502">
      <c r="A502" s="67"/>
      <c r="B502" s="764"/>
      <c r="C502" s="757"/>
      <c r="D502" s="576"/>
      <c r="E502" s="576"/>
      <c r="F502" s="576"/>
      <c r="G502" s="577"/>
      <c r="H502" s="577"/>
      <c r="I502" s="577"/>
      <c r="J502" s="577"/>
      <c r="K502" s="577"/>
      <c r="L502" s="746"/>
      <c r="M502" s="746"/>
      <c r="N502" s="746"/>
      <c r="O502" s="746"/>
    </row>
    <row r="503">
      <c r="A503" s="67"/>
      <c r="B503" s="764"/>
      <c r="C503" s="757"/>
      <c r="D503" s="576"/>
      <c r="E503" s="576"/>
      <c r="F503" s="576"/>
      <c r="G503" s="577"/>
      <c r="H503" s="577"/>
      <c r="I503" s="577"/>
      <c r="J503" s="577"/>
      <c r="K503" s="577"/>
      <c r="L503" s="746"/>
      <c r="M503" s="746"/>
      <c r="N503" s="746"/>
      <c r="O503" s="746"/>
    </row>
    <row r="504">
      <c r="A504" s="67"/>
      <c r="B504" s="764"/>
      <c r="C504" s="757"/>
      <c r="D504" s="576"/>
      <c r="E504" s="576"/>
      <c r="F504" s="576"/>
      <c r="G504" s="577"/>
      <c r="H504" s="577"/>
      <c r="I504" s="577"/>
      <c r="J504" s="577"/>
      <c r="K504" s="577"/>
      <c r="L504" s="746"/>
      <c r="M504" s="746"/>
      <c r="N504" s="746"/>
      <c r="O504" s="746"/>
    </row>
    <row r="505">
      <c r="A505" s="67"/>
      <c r="B505" s="764"/>
      <c r="C505" s="757"/>
      <c r="D505" s="576"/>
      <c r="E505" s="576"/>
      <c r="F505" s="576"/>
      <c r="G505" s="577"/>
      <c r="H505" s="577"/>
      <c r="I505" s="577"/>
      <c r="J505" s="577"/>
      <c r="K505" s="577"/>
      <c r="L505" s="746"/>
      <c r="M505" s="746"/>
      <c r="N505" s="746"/>
      <c r="O505" s="746"/>
    </row>
    <row r="506">
      <c r="A506" s="67"/>
      <c r="B506" s="764"/>
      <c r="C506" s="757"/>
      <c r="D506" s="576"/>
      <c r="E506" s="576"/>
      <c r="F506" s="576"/>
      <c r="G506" s="577"/>
      <c r="H506" s="577"/>
      <c r="I506" s="577"/>
      <c r="J506" s="577"/>
      <c r="K506" s="577"/>
      <c r="L506" s="746"/>
      <c r="M506" s="746"/>
      <c r="N506" s="746"/>
      <c r="O506" s="746"/>
    </row>
    <row r="507">
      <c r="A507" s="67"/>
      <c r="B507" s="764"/>
      <c r="C507" s="757"/>
      <c r="D507" s="576"/>
      <c r="E507" s="576"/>
      <c r="F507" s="576"/>
      <c r="G507" s="577"/>
      <c r="H507" s="577"/>
      <c r="I507" s="577"/>
      <c r="J507" s="577"/>
      <c r="K507" s="577"/>
      <c r="L507" s="746"/>
      <c r="M507" s="746"/>
      <c r="N507" s="746"/>
      <c r="O507" s="746"/>
    </row>
    <row r="508">
      <c r="A508" s="67"/>
      <c r="B508" s="764"/>
      <c r="C508" s="757"/>
      <c r="D508" s="576"/>
      <c r="E508" s="576"/>
      <c r="F508" s="576"/>
      <c r="G508" s="577"/>
      <c r="H508" s="577"/>
      <c r="I508" s="577"/>
      <c r="J508" s="577"/>
      <c r="K508" s="577"/>
      <c r="L508" s="746"/>
      <c r="M508" s="746"/>
      <c r="N508" s="746"/>
      <c r="O508" s="746"/>
    </row>
    <row r="509">
      <c r="A509" s="67"/>
      <c r="B509" s="764"/>
      <c r="C509" s="757"/>
      <c r="D509" s="576"/>
      <c r="E509" s="576"/>
      <c r="F509" s="576"/>
      <c r="G509" s="577"/>
      <c r="H509" s="577"/>
      <c r="I509" s="577"/>
      <c r="J509" s="577"/>
      <c r="K509" s="577"/>
      <c r="L509" s="746"/>
      <c r="M509" s="746"/>
      <c r="N509" s="746"/>
      <c r="O509" s="746"/>
    </row>
    <row r="510">
      <c r="A510" s="67"/>
      <c r="B510" s="764"/>
      <c r="C510" s="757"/>
      <c r="D510" s="576"/>
      <c r="E510" s="576"/>
      <c r="F510" s="576"/>
      <c r="G510" s="577"/>
      <c r="H510" s="577"/>
      <c r="I510" s="577"/>
      <c r="J510" s="577"/>
      <c r="K510" s="577"/>
      <c r="L510" s="746"/>
      <c r="M510" s="746"/>
      <c r="N510" s="746"/>
      <c r="O510" s="746"/>
    </row>
    <row r="511">
      <c r="A511" s="67"/>
      <c r="B511" s="764"/>
      <c r="C511" s="757"/>
      <c r="D511" s="576"/>
      <c r="E511" s="576"/>
      <c r="F511" s="576"/>
      <c r="G511" s="577"/>
      <c r="H511" s="577"/>
      <c r="I511" s="577"/>
      <c r="J511" s="577"/>
      <c r="K511" s="577"/>
      <c r="L511" s="746"/>
      <c r="M511" s="746"/>
      <c r="N511" s="746"/>
      <c r="O511" s="746"/>
    </row>
    <row r="512">
      <c r="A512" s="67"/>
      <c r="B512" s="764"/>
      <c r="C512" s="757"/>
      <c r="D512" s="576"/>
      <c r="E512" s="576"/>
      <c r="F512" s="576"/>
      <c r="G512" s="577"/>
      <c r="H512" s="577"/>
      <c r="I512" s="577"/>
      <c r="J512" s="577"/>
      <c r="K512" s="577"/>
      <c r="L512" s="746"/>
      <c r="M512" s="746"/>
      <c r="N512" s="746"/>
      <c r="O512" s="746"/>
    </row>
    <row r="513">
      <c r="A513" s="67"/>
      <c r="B513" s="764"/>
      <c r="C513" s="757"/>
      <c r="D513" s="576"/>
      <c r="E513" s="576"/>
      <c r="F513" s="576"/>
      <c r="G513" s="577"/>
      <c r="H513" s="577"/>
      <c r="I513" s="577"/>
      <c r="J513" s="577"/>
      <c r="K513" s="577"/>
      <c r="L513" s="746"/>
      <c r="M513" s="746"/>
      <c r="N513" s="746"/>
      <c r="O513" s="746"/>
    </row>
    <row r="514">
      <c r="A514" s="67"/>
      <c r="B514" s="764"/>
      <c r="C514" s="757"/>
      <c r="D514" s="576"/>
      <c r="E514" s="576"/>
      <c r="F514" s="576"/>
      <c r="G514" s="577"/>
      <c r="H514" s="577"/>
      <c r="I514" s="577"/>
      <c r="J514" s="577"/>
      <c r="K514" s="577"/>
      <c r="L514" s="746"/>
      <c r="M514" s="746"/>
      <c r="N514" s="746"/>
      <c r="O514" s="746"/>
    </row>
    <row r="515">
      <c r="A515" s="67"/>
      <c r="B515" s="764"/>
      <c r="C515" s="757"/>
      <c r="D515" s="576"/>
      <c r="E515" s="576"/>
      <c r="F515" s="576"/>
      <c r="G515" s="577"/>
      <c r="H515" s="577"/>
      <c r="I515" s="577"/>
      <c r="J515" s="577"/>
      <c r="K515" s="577"/>
      <c r="L515" s="746"/>
      <c r="M515" s="746"/>
      <c r="N515" s="746"/>
      <c r="O515" s="746"/>
    </row>
    <row r="516">
      <c r="A516" s="67"/>
      <c r="B516" s="764"/>
      <c r="C516" s="757"/>
      <c r="D516" s="576"/>
      <c r="E516" s="576"/>
      <c r="F516" s="576"/>
      <c r="G516" s="577"/>
      <c r="H516" s="577"/>
      <c r="I516" s="577"/>
      <c r="J516" s="577"/>
      <c r="K516" s="577"/>
      <c r="L516" s="746"/>
      <c r="M516" s="746"/>
      <c r="N516" s="746"/>
      <c r="O516" s="746"/>
    </row>
    <row r="517">
      <c r="A517" s="67"/>
      <c r="B517" s="764"/>
      <c r="C517" s="757"/>
      <c r="D517" s="576"/>
      <c r="E517" s="576"/>
      <c r="F517" s="576"/>
      <c r="G517" s="577"/>
      <c r="H517" s="577"/>
      <c r="I517" s="577"/>
      <c r="J517" s="577"/>
      <c r="K517" s="577"/>
      <c r="L517" s="746"/>
      <c r="M517" s="746"/>
      <c r="N517" s="746"/>
      <c r="O517" s="746"/>
    </row>
    <row r="518">
      <c r="A518" s="67"/>
      <c r="B518" s="764"/>
      <c r="C518" s="757"/>
      <c r="D518" s="576"/>
      <c r="E518" s="576"/>
      <c r="F518" s="576"/>
      <c r="G518" s="577"/>
      <c r="H518" s="577"/>
      <c r="I518" s="577"/>
      <c r="J518" s="577"/>
      <c r="K518" s="577"/>
      <c r="L518" s="746"/>
      <c r="M518" s="746"/>
      <c r="N518" s="746"/>
      <c r="O518" s="746"/>
    </row>
    <row r="519">
      <c r="A519" s="67"/>
      <c r="B519" s="764"/>
      <c r="C519" s="757"/>
      <c r="D519" s="576"/>
      <c r="E519" s="576"/>
      <c r="F519" s="576"/>
      <c r="G519" s="577"/>
      <c r="H519" s="577"/>
      <c r="I519" s="577"/>
      <c r="J519" s="577"/>
      <c r="K519" s="577"/>
      <c r="L519" s="746"/>
      <c r="M519" s="746"/>
      <c r="N519" s="746"/>
      <c r="O519" s="746"/>
    </row>
    <row r="520">
      <c r="A520" s="67"/>
      <c r="B520" s="764"/>
      <c r="C520" s="757"/>
      <c r="D520" s="576"/>
      <c r="E520" s="576"/>
      <c r="F520" s="576"/>
      <c r="G520" s="577"/>
      <c r="H520" s="577"/>
      <c r="I520" s="577"/>
      <c r="J520" s="577"/>
      <c r="K520" s="577"/>
      <c r="L520" s="746"/>
      <c r="M520" s="746"/>
      <c r="N520" s="746"/>
      <c r="O520" s="746"/>
    </row>
    <row r="521">
      <c r="A521" s="67"/>
      <c r="B521" s="764"/>
      <c r="C521" s="757"/>
      <c r="D521" s="576"/>
      <c r="E521" s="576"/>
      <c r="F521" s="576"/>
      <c r="G521" s="577"/>
      <c r="H521" s="577"/>
      <c r="I521" s="577"/>
      <c r="J521" s="577"/>
      <c r="K521" s="577"/>
      <c r="L521" s="746"/>
      <c r="M521" s="746"/>
      <c r="N521" s="746"/>
      <c r="O521" s="746"/>
    </row>
    <row r="522">
      <c r="A522" s="67"/>
      <c r="B522" s="764"/>
      <c r="C522" s="757"/>
      <c r="D522" s="576"/>
      <c r="E522" s="576"/>
      <c r="F522" s="576"/>
      <c r="G522" s="577"/>
      <c r="H522" s="577"/>
      <c r="I522" s="577"/>
      <c r="J522" s="577"/>
      <c r="K522" s="577"/>
      <c r="L522" s="746"/>
      <c r="M522" s="746"/>
      <c r="N522" s="746"/>
      <c r="O522" s="746"/>
    </row>
    <row r="523">
      <c r="A523" s="67"/>
      <c r="B523" s="764"/>
      <c r="C523" s="757"/>
      <c r="D523" s="576"/>
      <c r="E523" s="576"/>
      <c r="F523" s="576"/>
      <c r="G523" s="577"/>
      <c r="H523" s="577"/>
      <c r="I523" s="577"/>
      <c r="J523" s="577"/>
      <c r="K523" s="577"/>
      <c r="L523" s="746"/>
      <c r="M523" s="746"/>
      <c r="N523" s="746"/>
      <c r="O523" s="746"/>
    </row>
    <row r="524">
      <c r="A524" s="67"/>
      <c r="B524" s="764"/>
      <c r="C524" s="757"/>
      <c r="D524" s="576"/>
      <c r="E524" s="576"/>
      <c r="F524" s="576"/>
      <c r="G524" s="577"/>
      <c r="H524" s="577"/>
      <c r="I524" s="577"/>
      <c r="J524" s="577"/>
      <c r="K524" s="577"/>
      <c r="L524" s="746"/>
      <c r="M524" s="746"/>
      <c r="N524" s="746"/>
      <c r="O524" s="746"/>
    </row>
    <row r="525">
      <c r="A525" s="67"/>
      <c r="B525" s="764"/>
      <c r="C525" s="757"/>
      <c r="D525" s="576"/>
      <c r="E525" s="576"/>
      <c r="F525" s="576"/>
      <c r="G525" s="577"/>
      <c r="H525" s="577"/>
      <c r="I525" s="577"/>
      <c r="J525" s="577"/>
      <c r="K525" s="577"/>
      <c r="L525" s="746"/>
      <c r="M525" s="746"/>
      <c r="N525" s="746"/>
      <c r="O525" s="746"/>
    </row>
    <row r="526">
      <c r="A526" s="67"/>
      <c r="B526" s="764"/>
      <c r="C526" s="757"/>
      <c r="D526" s="576"/>
      <c r="E526" s="576"/>
      <c r="F526" s="576"/>
      <c r="G526" s="577"/>
      <c r="H526" s="577"/>
      <c r="I526" s="577"/>
      <c r="J526" s="577"/>
      <c r="K526" s="577"/>
      <c r="L526" s="746"/>
      <c r="M526" s="746"/>
      <c r="N526" s="746"/>
      <c r="O526" s="746"/>
    </row>
    <row r="527">
      <c r="A527" s="67"/>
      <c r="B527" s="764"/>
      <c r="C527" s="757"/>
      <c r="D527" s="576"/>
      <c r="E527" s="576"/>
      <c r="F527" s="576"/>
      <c r="G527" s="577"/>
      <c r="H527" s="577"/>
      <c r="I527" s="577"/>
      <c r="J527" s="577"/>
      <c r="K527" s="577"/>
      <c r="L527" s="746"/>
      <c r="M527" s="746"/>
      <c r="N527" s="746"/>
      <c r="O527" s="746"/>
    </row>
    <row r="528">
      <c r="A528" s="67"/>
      <c r="B528" s="764"/>
      <c r="C528" s="757"/>
      <c r="D528" s="576"/>
      <c r="E528" s="576"/>
      <c r="F528" s="576"/>
      <c r="G528" s="577"/>
      <c r="H528" s="577"/>
      <c r="I528" s="577"/>
      <c r="J528" s="577"/>
      <c r="K528" s="577"/>
      <c r="L528" s="746"/>
      <c r="M528" s="746"/>
      <c r="N528" s="746"/>
      <c r="O528" s="746"/>
    </row>
    <row r="529">
      <c r="A529" s="67"/>
      <c r="B529" s="764"/>
      <c r="C529" s="757"/>
      <c r="D529" s="576"/>
      <c r="E529" s="576"/>
      <c r="F529" s="576"/>
      <c r="G529" s="577"/>
      <c r="H529" s="577"/>
      <c r="I529" s="577"/>
      <c r="J529" s="577"/>
      <c r="K529" s="577"/>
      <c r="L529" s="746"/>
      <c r="M529" s="746"/>
      <c r="N529" s="746"/>
      <c r="O529" s="746"/>
    </row>
    <row r="530">
      <c r="A530" s="67"/>
      <c r="B530" s="764"/>
      <c r="C530" s="757"/>
      <c r="D530" s="576"/>
      <c r="E530" s="576"/>
      <c r="F530" s="576"/>
      <c r="G530" s="577"/>
      <c r="H530" s="577"/>
      <c r="I530" s="577"/>
      <c r="J530" s="577"/>
      <c r="K530" s="577"/>
      <c r="L530" s="746"/>
      <c r="M530" s="746"/>
      <c r="N530" s="746"/>
      <c r="O530" s="746"/>
    </row>
    <row r="531">
      <c r="A531" s="67"/>
      <c r="B531" s="764"/>
      <c r="C531" s="757"/>
      <c r="D531" s="576"/>
      <c r="E531" s="576"/>
      <c r="F531" s="576"/>
      <c r="G531" s="577"/>
      <c r="H531" s="577"/>
      <c r="I531" s="577"/>
      <c r="J531" s="577"/>
      <c r="K531" s="577"/>
      <c r="L531" s="746"/>
      <c r="M531" s="746"/>
      <c r="N531" s="746"/>
      <c r="O531" s="746"/>
    </row>
    <row r="532">
      <c r="A532" s="67"/>
      <c r="B532" s="764"/>
      <c r="C532" s="757"/>
      <c r="D532" s="576"/>
      <c r="E532" s="576"/>
      <c r="F532" s="576"/>
      <c r="G532" s="577"/>
      <c r="H532" s="577"/>
      <c r="I532" s="577"/>
      <c r="J532" s="577"/>
      <c r="K532" s="577"/>
      <c r="L532" s="746"/>
      <c r="M532" s="746"/>
      <c r="N532" s="746"/>
      <c r="O532" s="746"/>
    </row>
    <row r="533">
      <c r="A533" s="67"/>
      <c r="B533" s="764"/>
      <c r="C533" s="757"/>
      <c r="D533" s="576"/>
      <c r="E533" s="576"/>
      <c r="F533" s="576"/>
      <c r="G533" s="577"/>
      <c r="H533" s="577"/>
      <c r="I533" s="577"/>
      <c r="J533" s="577"/>
      <c r="K533" s="577"/>
      <c r="L533" s="746"/>
      <c r="M533" s="746"/>
      <c r="N533" s="746"/>
      <c r="O533" s="746"/>
    </row>
    <row r="534">
      <c r="A534" s="67"/>
      <c r="B534" s="764"/>
      <c r="C534" s="757"/>
      <c r="D534" s="576"/>
      <c r="E534" s="576"/>
      <c r="F534" s="576"/>
      <c r="G534" s="577"/>
      <c r="H534" s="577"/>
      <c r="I534" s="577"/>
      <c r="J534" s="577"/>
      <c r="K534" s="577"/>
      <c r="L534" s="746"/>
      <c r="M534" s="746"/>
      <c r="N534" s="746"/>
      <c r="O534" s="746"/>
    </row>
    <row r="535">
      <c r="A535" s="67"/>
      <c r="B535" s="764"/>
      <c r="C535" s="757"/>
      <c r="D535" s="576"/>
      <c r="E535" s="576"/>
      <c r="F535" s="576"/>
      <c r="G535" s="577"/>
      <c r="H535" s="577"/>
      <c r="I535" s="577"/>
      <c r="J535" s="577"/>
      <c r="K535" s="577"/>
      <c r="L535" s="746"/>
      <c r="M535" s="746"/>
      <c r="N535" s="746"/>
      <c r="O535" s="746"/>
    </row>
    <row r="536">
      <c r="A536" s="67"/>
      <c r="B536" s="764"/>
      <c r="C536" s="757"/>
      <c r="D536" s="576"/>
      <c r="E536" s="576"/>
      <c r="F536" s="576"/>
      <c r="G536" s="577"/>
      <c r="H536" s="577"/>
      <c r="I536" s="577"/>
      <c r="J536" s="577"/>
      <c r="K536" s="577"/>
      <c r="L536" s="746"/>
      <c r="M536" s="746"/>
      <c r="N536" s="746"/>
      <c r="O536" s="746"/>
    </row>
    <row r="537">
      <c r="A537" s="67"/>
      <c r="B537" s="764"/>
      <c r="C537" s="757"/>
      <c r="D537" s="576"/>
      <c r="E537" s="576"/>
      <c r="F537" s="576"/>
      <c r="G537" s="577"/>
      <c r="H537" s="577"/>
      <c r="I537" s="577"/>
      <c r="J537" s="577"/>
      <c r="K537" s="577"/>
      <c r="L537" s="746"/>
      <c r="M537" s="746"/>
      <c r="N537" s="746"/>
      <c r="O537" s="746"/>
    </row>
    <row r="538">
      <c r="A538" s="67"/>
      <c r="B538" s="764"/>
      <c r="C538" s="757"/>
      <c r="D538" s="576"/>
      <c r="E538" s="576"/>
      <c r="F538" s="576"/>
      <c r="G538" s="577"/>
      <c r="H538" s="577"/>
      <c r="I538" s="577"/>
      <c r="J538" s="577"/>
      <c r="K538" s="577"/>
      <c r="L538" s="746"/>
      <c r="M538" s="746"/>
      <c r="N538" s="746"/>
      <c r="O538" s="746"/>
    </row>
    <row r="539">
      <c r="A539" s="67"/>
      <c r="B539" s="764"/>
      <c r="C539" s="757"/>
      <c r="D539" s="576"/>
      <c r="E539" s="576"/>
      <c r="F539" s="576"/>
      <c r="G539" s="577"/>
      <c r="H539" s="577"/>
      <c r="I539" s="577"/>
      <c r="J539" s="577"/>
      <c r="K539" s="577"/>
      <c r="L539" s="746"/>
      <c r="M539" s="746"/>
      <c r="N539" s="746"/>
      <c r="O539" s="746"/>
    </row>
    <row r="540">
      <c r="A540" s="67"/>
      <c r="B540" s="764"/>
      <c r="C540" s="757"/>
      <c r="D540" s="576"/>
      <c r="E540" s="576"/>
      <c r="F540" s="576"/>
      <c r="G540" s="577"/>
      <c r="H540" s="577"/>
      <c r="I540" s="577"/>
      <c r="J540" s="577"/>
      <c r="K540" s="577"/>
      <c r="L540" s="746"/>
      <c r="M540" s="746"/>
      <c r="N540" s="746"/>
      <c r="O540" s="746"/>
    </row>
    <row r="541">
      <c r="A541" s="67"/>
      <c r="B541" s="764"/>
      <c r="C541" s="757"/>
      <c r="D541" s="576"/>
      <c r="E541" s="576"/>
      <c r="F541" s="576"/>
      <c r="G541" s="577"/>
      <c r="H541" s="577"/>
      <c r="I541" s="577"/>
      <c r="J541" s="577"/>
      <c r="K541" s="577"/>
      <c r="L541" s="746"/>
      <c r="M541" s="746"/>
      <c r="N541" s="746"/>
      <c r="O541" s="746"/>
    </row>
    <row r="542">
      <c r="A542" s="67"/>
      <c r="B542" s="764"/>
      <c r="C542" s="757"/>
      <c r="D542" s="576"/>
      <c r="E542" s="576"/>
      <c r="F542" s="576"/>
      <c r="G542" s="577"/>
      <c r="H542" s="577"/>
      <c r="I542" s="577"/>
      <c r="J542" s="577"/>
      <c r="K542" s="577"/>
      <c r="L542" s="746"/>
      <c r="M542" s="746"/>
      <c r="N542" s="746"/>
      <c r="O542" s="746"/>
    </row>
    <row r="543">
      <c r="A543" s="67"/>
      <c r="B543" s="764"/>
      <c r="C543" s="757"/>
      <c r="D543" s="576"/>
      <c r="E543" s="576"/>
      <c r="F543" s="576"/>
      <c r="G543" s="577"/>
      <c r="H543" s="577"/>
      <c r="I543" s="577"/>
      <c r="J543" s="577"/>
      <c r="K543" s="577"/>
      <c r="L543" s="746"/>
      <c r="M543" s="746"/>
      <c r="N543" s="746"/>
      <c r="O543" s="746"/>
    </row>
    <row r="544">
      <c r="A544" s="67"/>
      <c r="B544" s="764"/>
      <c r="C544" s="757"/>
      <c r="D544" s="576"/>
      <c r="E544" s="576"/>
      <c r="F544" s="576"/>
      <c r="G544" s="577"/>
      <c r="H544" s="577"/>
      <c r="I544" s="577"/>
      <c r="J544" s="577"/>
      <c r="K544" s="577"/>
      <c r="L544" s="746"/>
      <c r="M544" s="746"/>
      <c r="N544" s="746"/>
      <c r="O544" s="746"/>
    </row>
    <row r="545">
      <c r="A545" s="67"/>
      <c r="B545" s="764"/>
      <c r="C545" s="757"/>
      <c r="D545" s="576"/>
      <c r="E545" s="576"/>
      <c r="F545" s="576"/>
      <c r="G545" s="577"/>
      <c r="H545" s="577"/>
      <c r="I545" s="577"/>
      <c r="J545" s="577"/>
      <c r="K545" s="577"/>
      <c r="L545" s="746"/>
      <c r="M545" s="746"/>
      <c r="N545" s="746"/>
      <c r="O545" s="746"/>
    </row>
    <row r="546">
      <c r="A546" s="67"/>
      <c r="B546" s="764"/>
      <c r="C546" s="757"/>
      <c r="D546" s="576"/>
      <c r="E546" s="576"/>
      <c r="F546" s="576"/>
      <c r="G546" s="577"/>
      <c r="H546" s="577"/>
      <c r="I546" s="577"/>
      <c r="J546" s="577"/>
      <c r="K546" s="577"/>
      <c r="L546" s="746"/>
      <c r="M546" s="746"/>
      <c r="N546" s="746"/>
      <c r="O546" s="746"/>
    </row>
    <row r="547">
      <c r="A547" s="67"/>
      <c r="B547" s="764"/>
      <c r="C547" s="757"/>
      <c r="D547" s="576"/>
      <c r="E547" s="576"/>
      <c r="F547" s="576"/>
      <c r="G547" s="577"/>
      <c r="H547" s="577"/>
      <c r="I547" s="577"/>
      <c r="J547" s="577"/>
      <c r="K547" s="577"/>
      <c r="L547" s="746"/>
      <c r="M547" s="746"/>
      <c r="N547" s="746"/>
      <c r="O547" s="746"/>
    </row>
    <row r="548">
      <c r="A548" s="67"/>
      <c r="B548" s="764"/>
      <c r="C548" s="757"/>
      <c r="D548" s="576"/>
      <c r="E548" s="576"/>
      <c r="F548" s="576"/>
      <c r="G548" s="577"/>
      <c r="H548" s="577"/>
      <c r="I548" s="577"/>
      <c r="J548" s="577"/>
      <c r="K548" s="577"/>
      <c r="L548" s="746"/>
      <c r="M548" s="746"/>
      <c r="N548" s="746"/>
      <c r="O548" s="746"/>
    </row>
    <row r="549">
      <c r="A549" s="67"/>
      <c r="B549" s="764"/>
      <c r="C549" s="757"/>
      <c r="D549" s="576"/>
      <c r="E549" s="576"/>
      <c r="F549" s="576"/>
      <c r="G549" s="577"/>
      <c r="H549" s="577"/>
      <c r="I549" s="577"/>
      <c r="J549" s="577"/>
      <c r="K549" s="577"/>
      <c r="L549" s="746"/>
      <c r="M549" s="746"/>
      <c r="N549" s="746"/>
      <c r="O549" s="746"/>
    </row>
    <row r="550">
      <c r="A550" s="67"/>
      <c r="B550" s="764"/>
      <c r="C550" s="757"/>
      <c r="D550" s="576"/>
      <c r="E550" s="576"/>
      <c r="F550" s="576"/>
      <c r="G550" s="577"/>
      <c r="H550" s="577"/>
      <c r="I550" s="577"/>
      <c r="J550" s="577"/>
      <c r="K550" s="577"/>
      <c r="L550" s="746"/>
      <c r="M550" s="746"/>
      <c r="N550" s="746"/>
      <c r="O550" s="746"/>
    </row>
    <row r="551">
      <c r="A551" s="67"/>
      <c r="B551" s="764"/>
      <c r="C551" s="757"/>
      <c r="D551" s="576"/>
      <c r="E551" s="576"/>
      <c r="F551" s="576"/>
      <c r="G551" s="577"/>
      <c r="H551" s="577"/>
      <c r="I551" s="577"/>
      <c r="J551" s="577"/>
      <c r="K551" s="577"/>
      <c r="L551" s="746"/>
      <c r="M551" s="746"/>
      <c r="N551" s="746"/>
      <c r="O551" s="746"/>
    </row>
    <row r="552">
      <c r="A552" s="67"/>
      <c r="B552" s="764"/>
      <c r="C552" s="757"/>
      <c r="D552" s="576"/>
      <c r="E552" s="576"/>
      <c r="F552" s="576"/>
      <c r="G552" s="577"/>
      <c r="H552" s="577"/>
      <c r="I552" s="577"/>
      <c r="J552" s="577"/>
      <c r="K552" s="577"/>
      <c r="L552" s="746"/>
      <c r="M552" s="746"/>
      <c r="N552" s="746"/>
      <c r="O552" s="746"/>
    </row>
    <row r="553">
      <c r="A553" s="67"/>
      <c r="B553" s="764"/>
      <c r="C553" s="757"/>
      <c r="D553" s="576"/>
      <c r="E553" s="576"/>
      <c r="F553" s="576"/>
      <c r="G553" s="577"/>
      <c r="H553" s="577"/>
      <c r="I553" s="577"/>
      <c r="J553" s="577"/>
      <c r="K553" s="577"/>
      <c r="L553" s="746"/>
      <c r="M553" s="746"/>
      <c r="N553" s="746"/>
      <c r="O553" s="746"/>
    </row>
    <row r="554">
      <c r="A554" s="67"/>
      <c r="B554" s="764"/>
      <c r="C554" s="757"/>
      <c r="D554" s="576"/>
      <c r="E554" s="576"/>
      <c r="F554" s="576"/>
      <c r="G554" s="577"/>
      <c r="H554" s="577"/>
      <c r="I554" s="577"/>
      <c r="J554" s="577"/>
      <c r="K554" s="577"/>
      <c r="L554" s="746"/>
      <c r="M554" s="746"/>
      <c r="N554" s="746"/>
      <c r="O554" s="746"/>
    </row>
    <row r="555">
      <c r="A555" s="67"/>
      <c r="B555" s="764"/>
      <c r="C555" s="757"/>
      <c r="D555" s="576"/>
      <c r="E555" s="576"/>
      <c r="F555" s="576"/>
      <c r="G555" s="577"/>
      <c r="H555" s="577"/>
      <c r="I555" s="577"/>
      <c r="J555" s="577"/>
      <c r="K555" s="577"/>
      <c r="L555" s="746"/>
      <c r="M555" s="746"/>
      <c r="N555" s="746"/>
      <c r="O555" s="746"/>
    </row>
    <row r="556">
      <c r="A556" s="67"/>
      <c r="B556" s="764"/>
      <c r="C556" s="757"/>
      <c r="D556" s="576"/>
      <c r="E556" s="576"/>
      <c r="F556" s="576"/>
      <c r="G556" s="577"/>
      <c r="H556" s="577"/>
      <c r="I556" s="577"/>
      <c r="J556" s="577"/>
      <c r="K556" s="577"/>
      <c r="L556" s="746"/>
      <c r="M556" s="746"/>
      <c r="N556" s="746"/>
      <c r="O556" s="746"/>
    </row>
    <row r="557">
      <c r="A557" s="67"/>
      <c r="B557" s="764"/>
      <c r="C557" s="757"/>
      <c r="D557" s="576"/>
      <c r="E557" s="576"/>
      <c r="F557" s="576"/>
      <c r="G557" s="577"/>
      <c r="H557" s="577"/>
      <c r="I557" s="577"/>
      <c r="J557" s="577"/>
      <c r="K557" s="577"/>
      <c r="L557" s="746"/>
      <c r="M557" s="746"/>
      <c r="N557" s="746"/>
      <c r="O557" s="746"/>
    </row>
    <row r="558">
      <c r="A558" s="67"/>
      <c r="B558" s="764"/>
      <c r="C558" s="757"/>
      <c r="D558" s="576"/>
      <c r="E558" s="576"/>
      <c r="F558" s="576"/>
      <c r="G558" s="577"/>
      <c r="H558" s="577"/>
      <c r="I558" s="577"/>
      <c r="J558" s="577"/>
      <c r="K558" s="577"/>
      <c r="L558" s="746"/>
      <c r="M558" s="746"/>
      <c r="N558" s="746"/>
      <c r="O558" s="746"/>
    </row>
    <row r="559">
      <c r="A559" s="67"/>
      <c r="B559" s="764"/>
      <c r="C559" s="757"/>
      <c r="D559" s="576"/>
      <c r="E559" s="576"/>
      <c r="F559" s="576"/>
      <c r="G559" s="577"/>
      <c r="H559" s="577"/>
      <c r="I559" s="577"/>
      <c r="J559" s="577"/>
      <c r="K559" s="577"/>
      <c r="L559" s="746"/>
      <c r="M559" s="746"/>
      <c r="N559" s="746"/>
      <c r="O559" s="746"/>
    </row>
    <row r="560">
      <c r="A560" s="67"/>
      <c r="B560" s="764"/>
      <c r="C560" s="757"/>
      <c r="D560" s="576"/>
      <c r="E560" s="576"/>
      <c r="F560" s="576"/>
      <c r="G560" s="577"/>
      <c r="H560" s="577"/>
      <c r="I560" s="577"/>
      <c r="J560" s="577"/>
      <c r="K560" s="577"/>
      <c r="L560" s="746"/>
      <c r="M560" s="746"/>
      <c r="N560" s="746"/>
      <c r="O560" s="746"/>
    </row>
    <row r="561">
      <c r="A561" s="67"/>
      <c r="B561" s="764"/>
      <c r="C561" s="757"/>
      <c r="D561" s="576"/>
      <c r="E561" s="576"/>
      <c r="F561" s="576"/>
      <c r="G561" s="577"/>
      <c r="H561" s="577"/>
      <c r="I561" s="577"/>
      <c r="J561" s="577"/>
      <c r="K561" s="577"/>
      <c r="L561" s="746"/>
      <c r="M561" s="746"/>
      <c r="N561" s="746"/>
      <c r="O561" s="746"/>
    </row>
    <row r="562">
      <c r="A562" s="67"/>
      <c r="B562" s="764"/>
      <c r="C562" s="757"/>
      <c r="D562" s="576"/>
      <c r="E562" s="576"/>
      <c r="F562" s="576"/>
      <c r="G562" s="577"/>
      <c r="H562" s="577"/>
      <c r="I562" s="577"/>
      <c r="J562" s="577"/>
      <c r="K562" s="577"/>
      <c r="L562" s="746"/>
      <c r="M562" s="746"/>
      <c r="N562" s="746"/>
      <c r="O562" s="746"/>
    </row>
    <row r="563">
      <c r="A563" s="67"/>
      <c r="B563" s="764"/>
      <c r="C563" s="757"/>
      <c r="D563" s="576"/>
      <c r="E563" s="576"/>
      <c r="F563" s="576"/>
      <c r="G563" s="577"/>
      <c r="H563" s="577"/>
      <c r="I563" s="577"/>
      <c r="J563" s="577"/>
      <c r="K563" s="577"/>
      <c r="L563" s="746"/>
      <c r="M563" s="746"/>
      <c r="N563" s="746"/>
      <c r="O563" s="746"/>
    </row>
    <row r="564">
      <c r="A564" s="67"/>
      <c r="B564" s="764"/>
      <c r="C564" s="757"/>
      <c r="D564" s="576"/>
      <c r="E564" s="576"/>
      <c r="F564" s="576"/>
      <c r="G564" s="577"/>
      <c r="H564" s="577"/>
      <c r="I564" s="577"/>
      <c r="J564" s="577"/>
      <c r="K564" s="577"/>
      <c r="L564" s="746"/>
      <c r="M564" s="746"/>
      <c r="N564" s="746"/>
      <c r="O564" s="746"/>
    </row>
    <row r="565">
      <c r="A565" s="67"/>
      <c r="B565" s="764"/>
      <c r="C565" s="757"/>
      <c r="D565" s="576"/>
      <c r="E565" s="576"/>
      <c r="F565" s="576"/>
      <c r="G565" s="577"/>
      <c r="H565" s="577"/>
      <c r="I565" s="577"/>
      <c r="J565" s="577"/>
      <c r="K565" s="577"/>
      <c r="L565" s="746"/>
      <c r="M565" s="746"/>
      <c r="N565" s="746"/>
      <c r="O565" s="746"/>
    </row>
    <row r="566">
      <c r="A566" s="67"/>
      <c r="B566" s="764"/>
      <c r="C566" s="757"/>
      <c r="D566" s="576"/>
      <c r="E566" s="576"/>
      <c r="F566" s="576"/>
      <c r="G566" s="577"/>
      <c r="H566" s="577"/>
      <c r="I566" s="577"/>
      <c r="J566" s="577"/>
      <c r="K566" s="577"/>
      <c r="L566" s="746"/>
      <c r="M566" s="746"/>
      <c r="N566" s="746"/>
      <c r="O566" s="746"/>
    </row>
    <row r="567">
      <c r="A567" s="67"/>
      <c r="B567" s="764"/>
      <c r="C567" s="757"/>
      <c r="D567" s="576"/>
      <c r="E567" s="576"/>
      <c r="F567" s="576"/>
      <c r="G567" s="577"/>
      <c r="H567" s="577"/>
      <c r="I567" s="577"/>
      <c r="J567" s="577"/>
      <c r="K567" s="577"/>
      <c r="L567" s="746"/>
      <c r="M567" s="746"/>
      <c r="N567" s="746"/>
      <c r="O567" s="746"/>
    </row>
    <row r="568">
      <c r="A568" s="67"/>
      <c r="B568" s="764"/>
      <c r="C568" s="757"/>
      <c r="D568" s="576"/>
      <c r="E568" s="576"/>
      <c r="F568" s="576"/>
      <c r="G568" s="577"/>
      <c r="H568" s="577"/>
      <c r="I568" s="577"/>
      <c r="J568" s="577"/>
      <c r="K568" s="577"/>
      <c r="L568" s="746"/>
      <c r="M568" s="746"/>
      <c r="N568" s="746"/>
      <c r="O568" s="746"/>
    </row>
    <row r="569">
      <c r="A569" s="67"/>
      <c r="B569" s="764"/>
      <c r="C569" s="757"/>
      <c r="D569" s="576"/>
      <c r="E569" s="576"/>
      <c r="F569" s="576"/>
      <c r="G569" s="577"/>
      <c r="H569" s="577"/>
      <c r="I569" s="577"/>
      <c r="J569" s="577"/>
      <c r="K569" s="577"/>
      <c r="L569" s="746"/>
      <c r="M569" s="746"/>
      <c r="N569" s="746"/>
      <c r="O569" s="746"/>
    </row>
    <row r="570">
      <c r="A570" s="67"/>
      <c r="B570" s="764"/>
      <c r="C570" s="757"/>
      <c r="D570" s="576"/>
      <c r="E570" s="576"/>
      <c r="F570" s="576"/>
      <c r="G570" s="577"/>
      <c r="H570" s="577"/>
      <c r="I570" s="577"/>
      <c r="J570" s="577"/>
      <c r="K570" s="577"/>
      <c r="L570" s="746"/>
      <c r="M570" s="746"/>
      <c r="N570" s="746"/>
      <c r="O570" s="746"/>
    </row>
    <row r="571">
      <c r="A571" s="67"/>
      <c r="B571" s="764"/>
      <c r="C571" s="757"/>
      <c r="D571" s="576"/>
      <c r="E571" s="576"/>
      <c r="F571" s="576"/>
      <c r="G571" s="577"/>
      <c r="H571" s="577"/>
      <c r="I571" s="577"/>
      <c r="J571" s="577"/>
      <c r="K571" s="577"/>
      <c r="L571" s="746"/>
      <c r="M571" s="746"/>
      <c r="N571" s="746"/>
      <c r="O571" s="746"/>
    </row>
    <row r="572">
      <c r="A572" s="67"/>
      <c r="B572" s="764"/>
      <c r="C572" s="757"/>
      <c r="D572" s="576"/>
      <c r="E572" s="576"/>
      <c r="F572" s="576"/>
      <c r="G572" s="577"/>
      <c r="H572" s="577"/>
      <c r="I572" s="577"/>
      <c r="J572" s="577"/>
      <c r="K572" s="577"/>
      <c r="L572" s="746"/>
      <c r="M572" s="746"/>
      <c r="N572" s="746"/>
      <c r="O572" s="746"/>
    </row>
    <row r="573">
      <c r="A573" s="67"/>
      <c r="B573" s="764"/>
      <c r="C573" s="757"/>
      <c r="D573" s="576"/>
      <c r="E573" s="576"/>
      <c r="F573" s="576"/>
      <c r="G573" s="577"/>
      <c r="H573" s="577"/>
      <c r="I573" s="577"/>
      <c r="J573" s="577"/>
      <c r="K573" s="577"/>
      <c r="L573" s="746"/>
      <c r="M573" s="746"/>
      <c r="N573" s="746"/>
      <c r="O573" s="746"/>
    </row>
    <row r="574">
      <c r="A574" s="67"/>
      <c r="B574" s="764"/>
      <c r="C574" s="757"/>
      <c r="D574" s="576"/>
      <c r="E574" s="576"/>
      <c r="F574" s="576"/>
      <c r="G574" s="577"/>
      <c r="H574" s="577"/>
      <c r="I574" s="577"/>
      <c r="J574" s="577"/>
      <c r="K574" s="577"/>
      <c r="L574" s="746"/>
      <c r="M574" s="746"/>
      <c r="N574" s="746"/>
      <c r="O574" s="746"/>
    </row>
    <row r="575">
      <c r="A575" s="67"/>
      <c r="B575" s="764"/>
      <c r="C575" s="757"/>
      <c r="D575" s="576"/>
      <c r="E575" s="576"/>
      <c r="F575" s="576"/>
      <c r="G575" s="577"/>
      <c r="H575" s="577"/>
      <c r="I575" s="577"/>
      <c r="J575" s="577"/>
      <c r="K575" s="577"/>
      <c r="L575" s="746"/>
      <c r="M575" s="746"/>
      <c r="N575" s="746"/>
      <c r="O575" s="746"/>
    </row>
    <row r="576">
      <c r="A576" s="67"/>
      <c r="B576" s="764"/>
      <c r="C576" s="757"/>
      <c r="D576" s="576"/>
      <c r="E576" s="576"/>
      <c r="F576" s="576"/>
      <c r="G576" s="577"/>
      <c r="H576" s="577"/>
      <c r="I576" s="577"/>
      <c r="J576" s="577"/>
      <c r="K576" s="577"/>
      <c r="L576" s="746"/>
      <c r="M576" s="746"/>
      <c r="N576" s="746"/>
      <c r="O576" s="746"/>
    </row>
    <row r="577">
      <c r="A577" s="67"/>
      <c r="B577" s="764"/>
      <c r="C577" s="757"/>
      <c r="D577" s="576"/>
      <c r="E577" s="576"/>
      <c r="F577" s="576"/>
      <c r="G577" s="577"/>
      <c r="H577" s="577"/>
      <c r="I577" s="577"/>
      <c r="J577" s="577"/>
      <c r="K577" s="577"/>
      <c r="L577" s="746"/>
      <c r="M577" s="746"/>
      <c r="N577" s="746"/>
      <c r="O577" s="746"/>
    </row>
    <row r="578">
      <c r="A578" s="67"/>
      <c r="B578" s="764"/>
      <c r="C578" s="757"/>
      <c r="D578" s="576"/>
      <c r="E578" s="576"/>
      <c r="F578" s="576"/>
      <c r="G578" s="577"/>
      <c r="H578" s="577"/>
      <c r="I578" s="577"/>
      <c r="J578" s="577"/>
      <c r="K578" s="577"/>
      <c r="L578" s="746"/>
      <c r="M578" s="746"/>
      <c r="N578" s="746"/>
      <c r="O578" s="746"/>
    </row>
    <row r="579">
      <c r="A579" s="67"/>
      <c r="B579" s="764"/>
      <c r="C579" s="757"/>
      <c r="D579" s="576"/>
      <c r="E579" s="576"/>
      <c r="F579" s="576"/>
      <c r="G579" s="577"/>
      <c r="H579" s="577"/>
      <c r="I579" s="577"/>
      <c r="J579" s="577"/>
      <c r="K579" s="577"/>
      <c r="L579" s="746"/>
      <c r="M579" s="746"/>
      <c r="N579" s="746"/>
      <c r="O579" s="746"/>
    </row>
    <row r="580">
      <c r="A580" s="67"/>
      <c r="B580" s="764"/>
      <c r="C580" s="757"/>
      <c r="D580" s="576"/>
      <c r="E580" s="576"/>
      <c r="F580" s="576"/>
      <c r="G580" s="577"/>
      <c r="H580" s="577"/>
      <c r="I580" s="577"/>
      <c r="J580" s="577"/>
      <c r="K580" s="577"/>
      <c r="L580" s="746"/>
      <c r="M580" s="746"/>
      <c r="N580" s="746"/>
      <c r="O580" s="746"/>
    </row>
    <row r="581">
      <c r="A581" s="67"/>
      <c r="B581" s="764"/>
      <c r="C581" s="757"/>
      <c r="D581" s="576"/>
      <c r="E581" s="576"/>
      <c r="F581" s="576"/>
      <c r="G581" s="577"/>
      <c r="H581" s="577"/>
      <c r="I581" s="577"/>
      <c r="J581" s="577"/>
      <c r="K581" s="577"/>
      <c r="L581" s="746"/>
      <c r="M581" s="746"/>
      <c r="N581" s="746"/>
      <c r="O581" s="746"/>
    </row>
    <row r="582">
      <c r="A582" s="67"/>
      <c r="B582" s="764"/>
      <c r="C582" s="757"/>
      <c r="D582" s="576"/>
      <c r="E582" s="576"/>
      <c r="F582" s="576"/>
      <c r="G582" s="577"/>
      <c r="H582" s="577"/>
      <c r="I582" s="577"/>
      <c r="J582" s="577"/>
      <c r="K582" s="577"/>
      <c r="L582" s="746"/>
      <c r="M582" s="746"/>
      <c r="N582" s="746"/>
      <c r="O582" s="746"/>
    </row>
    <row r="583">
      <c r="A583" s="67"/>
      <c r="B583" s="764"/>
      <c r="C583" s="757"/>
      <c r="D583" s="576"/>
      <c r="E583" s="576"/>
      <c r="F583" s="576"/>
      <c r="G583" s="577"/>
      <c r="H583" s="577"/>
      <c r="I583" s="577"/>
      <c r="J583" s="577"/>
      <c r="K583" s="577"/>
      <c r="L583" s="746"/>
      <c r="M583" s="746"/>
      <c r="N583" s="746"/>
      <c r="O583" s="746"/>
    </row>
    <row r="584">
      <c r="A584" s="67"/>
      <c r="B584" s="764"/>
      <c r="C584" s="757"/>
      <c r="D584" s="576"/>
      <c r="E584" s="576"/>
      <c r="F584" s="576"/>
      <c r="G584" s="577"/>
      <c r="H584" s="577"/>
      <c r="I584" s="577"/>
      <c r="J584" s="577"/>
      <c r="K584" s="577"/>
      <c r="L584" s="746"/>
      <c r="M584" s="746"/>
      <c r="N584" s="746"/>
      <c r="O584" s="746"/>
    </row>
    <row r="585">
      <c r="A585" s="67"/>
      <c r="B585" s="764"/>
      <c r="C585" s="757"/>
      <c r="D585" s="576"/>
      <c r="E585" s="576"/>
      <c r="F585" s="576"/>
      <c r="G585" s="577"/>
      <c r="H585" s="577"/>
      <c r="I585" s="577"/>
      <c r="J585" s="577"/>
      <c r="K585" s="577"/>
      <c r="L585" s="746"/>
      <c r="M585" s="746"/>
      <c r="N585" s="746"/>
      <c r="O585" s="746"/>
    </row>
    <row r="586">
      <c r="A586" s="67"/>
      <c r="B586" s="764"/>
      <c r="C586" s="757"/>
      <c r="D586" s="576"/>
      <c r="E586" s="576"/>
      <c r="F586" s="576"/>
      <c r="G586" s="577"/>
      <c r="H586" s="577"/>
      <c r="I586" s="577"/>
      <c r="J586" s="577"/>
      <c r="K586" s="577"/>
      <c r="L586" s="746"/>
      <c r="M586" s="746"/>
      <c r="N586" s="746"/>
      <c r="O586" s="746"/>
    </row>
    <row r="587">
      <c r="A587" s="67"/>
      <c r="B587" s="764"/>
      <c r="C587" s="757"/>
      <c r="D587" s="576"/>
      <c r="E587" s="576"/>
      <c r="F587" s="576"/>
      <c r="G587" s="577"/>
      <c r="H587" s="577"/>
      <c r="I587" s="577"/>
      <c r="J587" s="577"/>
      <c r="K587" s="577"/>
      <c r="L587" s="746"/>
      <c r="M587" s="746"/>
      <c r="N587" s="746"/>
      <c r="O587" s="746"/>
    </row>
    <row r="588">
      <c r="A588" s="67"/>
      <c r="B588" s="764"/>
      <c r="C588" s="757"/>
      <c r="D588" s="576"/>
      <c r="E588" s="576"/>
      <c r="F588" s="576"/>
      <c r="G588" s="577"/>
      <c r="H588" s="577"/>
      <c r="I588" s="577"/>
      <c r="J588" s="577"/>
      <c r="K588" s="577"/>
      <c r="L588" s="746"/>
      <c r="M588" s="746"/>
      <c r="N588" s="746"/>
      <c r="O588" s="746"/>
    </row>
    <row r="589">
      <c r="A589" s="67"/>
      <c r="B589" s="764"/>
      <c r="C589" s="757"/>
      <c r="D589" s="576"/>
      <c r="E589" s="576"/>
      <c r="F589" s="576"/>
      <c r="G589" s="577"/>
      <c r="H589" s="577"/>
      <c r="I589" s="577"/>
      <c r="J589" s="577"/>
      <c r="K589" s="577"/>
      <c r="L589" s="746"/>
      <c r="M589" s="746"/>
      <c r="N589" s="746"/>
      <c r="O589" s="746"/>
    </row>
    <row r="590">
      <c r="A590" s="67"/>
      <c r="B590" s="764"/>
      <c r="C590" s="757"/>
      <c r="D590" s="576"/>
      <c r="E590" s="576"/>
      <c r="F590" s="576"/>
      <c r="G590" s="577"/>
      <c r="H590" s="577"/>
      <c r="I590" s="577"/>
      <c r="J590" s="577"/>
      <c r="K590" s="577"/>
      <c r="L590" s="746"/>
      <c r="M590" s="746"/>
      <c r="N590" s="746"/>
      <c r="O590" s="746"/>
    </row>
    <row r="591">
      <c r="A591" s="67"/>
      <c r="B591" s="764"/>
      <c r="C591" s="757"/>
      <c r="D591" s="576"/>
      <c r="E591" s="576"/>
      <c r="F591" s="576"/>
      <c r="G591" s="577"/>
      <c r="H591" s="577"/>
      <c r="I591" s="577"/>
      <c r="J591" s="577"/>
      <c r="K591" s="577"/>
      <c r="L591" s="746"/>
      <c r="M591" s="746"/>
      <c r="N591" s="746"/>
      <c r="O591" s="746"/>
    </row>
    <row r="592">
      <c r="A592" s="67"/>
      <c r="B592" s="764"/>
      <c r="C592" s="757"/>
      <c r="D592" s="576"/>
      <c r="E592" s="576"/>
      <c r="F592" s="576"/>
      <c r="G592" s="577"/>
      <c r="H592" s="577"/>
      <c r="I592" s="577"/>
      <c r="J592" s="577"/>
      <c r="K592" s="577"/>
      <c r="L592" s="746"/>
      <c r="M592" s="746"/>
      <c r="N592" s="746"/>
      <c r="O592" s="746"/>
    </row>
    <row r="593">
      <c r="A593" s="67"/>
      <c r="B593" s="764"/>
      <c r="C593" s="757"/>
      <c r="D593" s="576"/>
      <c r="E593" s="576"/>
      <c r="F593" s="576"/>
      <c r="G593" s="577"/>
      <c r="H593" s="577"/>
      <c r="I593" s="577"/>
      <c r="J593" s="577"/>
      <c r="K593" s="577"/>
      <c r="L593" s="746"/>
      <c r="M593" s="746"/>
      <c r="N593" s="746"/>
      <c r="O593" s="746"/>
    </row>
    <row r="594">
      <c r="A594" s="67"/>
      <c r="B594" s="764"/>
      <c r="C594" s="757"/>
      <c r="D594" s="576"/>
      <c r="E594" s="576"/>
      <c r="F594" s="576"/>
      <c r="G594" s="577"/>
      <c r="H594" s="577"/>
      <c r="I594" s="577"/>
      <c r="J594" s="577"/>
      <c r="K594" s="577"/>
      <c r="L594" s="746"/>
      <c r="M594" s="746"/>
      <c r="N594" s="746"/>
      <c r="O594" s="746"/>
    </row>
    <row r="595">
      <c r="A595" s="67"/>
      <c r="B595" s="764"/>
      <c r="C595" s="757"/>
      <c r="D595" s="576"/>
      <c r="E595" s="576"/>
      <c r="F595" s="576"/>
      <c r="G595" s="577"/>
      <c r="H595" s="577"/>
      <c r="I595" s="577"/>
      <c r="J595" s="577"/>
      <c r="K595" s="577"/>
      <c r="L595" s="746"/>
      <c r="M595" s="746"/>
      <c r="N595" s="746"/>
      <c r="O595" s="746"/>
    </row>
    <row r="596">
      <c r="A596" s="67"/>
      <c r="B596" s="764"/>
      <c r="C596" s="757"/>
      <c r="D596" s="576"/>
      <c r="E596" s="576"/>
      <c r="F596" s="576"/>
      <c r="G596" s="577"/>
      <c r="H596" s="577"/>
      <c r="I596" s="577"/>
      <c r="J596" s="577"/>
      <c r="K596" s="577"/>
      <c r="L596" s="746"/>
      <c r="M596" s="746"/>
      <c r="N596" s="746"/>
      <c r="O596" s="746"/>
    </row>
    <row r="597">
      <c r="A597" s="67"/>
      <c r="B597" s="764"/>
      <c r="C597" s="757"/>
      <c r="D597" s="576"/>
      <c r="E597" s="576"/>
      <c r="F597" s="576"/>
      <c r="G597" s="577"/>
      <c r="H597" s="577"/>
      <c r="I597" s="577"/>
      <c r="J597" s="577"/>
      <c r="K597" s="577"/>
      <c r="L597" s="746"/>
      <c r="M597" s="746"/>
      <c r="N597" s="746"/>
      <c r="O597" s="746"/>
    </row>
    <row r="598">
      <c r="A598" s="67"/>
      <c r="B598" s="764"/>
      <c r="C598" s="757"/>
      <c r="D598" s="576"/>
      <c r="E598" s="576"/>
      <c r="F598" s="576"/>
      <c r="G598" s="577"/>
      <c r="H598" s="577"/>
      <c r="I598" s="577"/>
      <c r="J598" s="577"/>
      <c r="K598" s="577"/>
      <c r="L598" s="746"/>
      <c r="M598" s="746"/>
      <c r="N598" s="746"/>
      <c r="O598" s="746"/>
    </row>
    <row r="599">
      <c r="A599" s="67"/>
      <c r="B599" s="764"/>
      <c r="C599" s="757"/>
      <c r="D599" s="576"/>
      <c r="E599" s="576"/>
      <c r="F599" s="576"/>
      <c r="G599" s="577"/>
      <c r="H599" s="577"/>
      <c r="I599" s="577"/>
      <c r="J599" s="577"/>
      <c r="K599" s="577"/>
      <c r="L599" s="746"/>
      <c r="M599" s="746"/>
      <c r="N599" s="746"/>
      <c r="O599" s="746"/>
    </row>
    <row r="600">
      <c r="A600" s="67"/>
      <c r="B600" s="764"/>
      <c r="C600" s="757"/>
      <c r="D600" s="576"/>
      <c r="E600" s="576"/>
      <c r="F600" s="576"/>
      <c r="G600" s="577"/>
      <c r="H600" s="577"/>
      <c r="I600" s="577"/>
      <c r="J600" s="577"/>
      <c r="K600" s="577"/>
      <c r="L600" s="746"/>
      <c r="M600" s="746"/>
      <c r="N600" s="746"/>
      <c r="O600" s="746"/>
    </row>
    <row r="601">
      <c r="A601" s="67"/>
      <c r="B601" s="764"/>
      <c r="C601" s="757"/>
      <c r="D601" s="576"/>
      <c r="E601" s="576"/>
      <c r="F601" s="576"/>
      <c r="G601" s="577"/>
      <c r="H601" s="577"/>
      <c r="I601" s="577"/>
      <c r="J601" s="577"/>
      <c r="K601" s="577"/>
      <c r="L601" s="746"/>
      <c r="M601" s="746"/>
      <c r="N601" s="746"/>
      <c r="O601" s="746"/>
    </row>
    <row r="602">
      <c r="A602" s="67"/>
      <c r="B602" s="764"/>
      <c r="C602" s="757"/>
      <c r="D602" s="576"/>
      <c r="E602" s="576"/>
      <c r="F602" s="576"/>
      <c r="G602" s="577"/>
      <c r="H602" s="577"/>
      <c r="I602" s="577"/>
      <c r="J602" s="577"/>
      <c r="K602" s="577"/>
      <c r="L602" s="746"/>
      <c r="M602" s="746"/>
      <c r="N602" s="746"/>
      <c r="O602" s="746"/>
    </row>
    <row r="603">
      <c r="A603" s="67"/>
      <c r="B603" s="764"/>
      <c r="C603" s="757"/>
      <c r="D603" s="576"/>
      <c r="E603" s="576"/>
      <c r="F603" s="576"/>
      <c r="G603" s="577"/>
      <c r="H603" s="577"/>
      <c r="I603" s="577"/>
      <c r="J603" s="577"/>
      <c r="K603" s="577"/>
      <c r="L603" s="746"/>
      <c r="M603" s="746"/>
      <c r="N603" s="746"/>
      <c r="O603" s="746"/>
    </row>
    <row r="604">
      <c r="A604" s="67"/>
      <c r="B604" s="764"/>
      <c r="C604" s="757"/>
      <c r="D604" s="576"/>
      <c r="E604" s="576"/>
      <c r="F604" s="576"/>
      <c r="G604" s="577"/>
      <c r="H604" s="577"/>
      <c r="I604" s="577"/>
      <c r="J604" s="577"/>
      <c r="K604" s="577"/>
      <c r="L604" s="746"/>
      <c r="M604" s="746"/>
      <c r="N604" s="746"/>
      <c r="O604" s="746"/>
    </row>
    <row r="605">
      <c r="A605" s="67"/>
      <c r="B605" s="764"/>
      <c r="C605" s="757"/>
      <c r="D605" s="576"/>
      <c r="E605" s="576"/>
      <c r="F605" s="576"/>
      <c r="G605" s="577"/>
      <c r="H605" s="577"/>
      <c r="I605" s="577"/>
      <c r="J605" s="577"/>
      <c r="K605" s="577"/>
      <c r="L605" s="746"/>
      <c r="M605" s="746"/>
      <c r="N605" s="746"/>
      <c r="O605" s="746"/>
    </row>
    <row r="606">
      <c r="A606" s="67"/>
      <c r="B606" s="764"/>
      <c r="C606" s="757"/>
      <c r="D606" s="576"/>
      <c r="E606" s="576"/>
      <c r="F606" s="576"/>
      <c r="G606" s="577"/>
      <c r="H606" s="577"/>
      <c r="I606" s="577"/>
      <c r="J606" s="577"/>
      <c r="K606" s="577"/>
      <c r="L606" s="746"/>
      <c r="M606" s="746"/>
      <c r="N606" s="746"/>
      <c r="O606" s="746"/>
    </row>
    <row r="607">
      <c r="A607" s="67"/>
      <c r="B607" s="764"/>
      <c r="C607" s="757"/>
      <c r="D607" s="576"/>
      <c r="E607" s="576"/>
      <c r="F607" s="576"/>
      <c r="G607" s="577"/>
      <c r="H607" s="577"/>
      <c r="I607" s="577"/>
      <c r="J607" s="577"/>
      <c r="K607" s="577"/>
      <c r="L607" s="746"/>
      <c r="M607" s="746"/>
      <c r="N607" s="746"/>
      <c r="O607" s="746"/>
    </row>
    <row r="608">
      <c r="A608" s="67"/>
      <c r="B608" s="764"/>
      <c r="C608" s="757"/>
      <c r="D608" s="576"/>
      <c r="E608" s="576"/>
      <c r="F608" s="576"/>
      <c r="G608" s="577"/>
      <c r="H608" s="577"/>
      <c r="I608" s="577"/>
      <c r="J608" s="577"/>
      <c r="K608" s="577"/>
      <c r="L608" s="746"/>
      <c r="M608" s="746"/>
      <c r="N608" s="746"/>
      <c r="O608" s="746"/>
    </row>
    <row r="609">
      <c r="A609" s="67"/>
      <c r="B609" s="764"/>
      <c r="C609" s="757"/>
      <c r="D609" s="576"/>
      <c r="E609" s="576"/>
      <c r="F609" s="576"/>
      <c r="G609" s="577"/>
      <c r="H609" s="577"/>
      <c r="I609" s="577"/>
      <c r="J609" s="577"/>
      <c r="K609" s="577"/>
      <c r="L609" s="746"/>
      <c r="M609" s="746"/>
      <c r="N609" s="746"/>
      <c r="O609" s="746"/>
    </row>
    <row r="610">
      <c r="A610" s="67"/>
      <c r="B610" s="764"/>
      <c r="C610" s="757"/>
      <c r="D610" s="576"/>
      <c r="E610" s="576"/>
      <c r="F610" s="576"/>
      <c r="G610" s="577"/>
      <c r="H610" s="577"/>
      <c r="I610" s="577"/>
      <c r="J610" s="577"/>
      <c r="K610" s="577"/>
      <c r="L610" s="746"/>
      <c r="M610" s="746"/>
      <c r="N610" s="746"/>
      <c r="O610" s="746"/>
    </row>
    <row r="611">
      <c r="A611" s="67"/>
      <c r="B611" s="764"/>
      <c r="C611" s="757"/>
      <c r="D611" s="576"/>
      <c r="E611" s="576"/>
      <c r="F611" s="576"/>
      <c r="G611" s="577"/>
      <c r="H611" s="577"/>
      <c r="I611" s="577"/>
      <c r="J611" s="577"/>
      <c r="K611" s="577"/>
      <c r="L611" s="746"/>
      <c r="M611" s="746"/>
      <c r="N611" s="746"/>
      <c r="O611" s="746"/>
    </row>
    <row r="612">
      <c r="A612" s="67"/>
      <c r="B612" s="764"/>
      <c r="C612" s="757"/>
      <c r="D612" s="576"/>
      <c r="E612" s="576"/>
      <c r="F612" s="576"/>
      <c r="G612" s="577"/>
      <c r="H612" s="577"/>
      <c r="I612" s="577"/>
      <c r="J612" s="577"/>
      <c r="K612" s="577"/>
      <c r="L612" s="746"/>
      <c r="M612" s="746"/>
      <c r="N612" s="746"/>
      <c r="O612" s="746"/>
    </row>
    <row r="613">
      <c r="A613" s="67"/>
      <c r="B613" s="764"/>
      <c r="C613" s="757"/>
      <c r="D613" s="576"/>
      <c r="E613" s="576"/>
      <c r="F613" s="576"/>
      <c r="G613" s="577"/>
      <c r="H613" s="577"/>
      <c r="I613" s="577"/>
      <c r="J613" s="577"/>
      <c r="K613" s="577"/>
      <c r="L613" s="746"/>
      <c r="M613" s="746"/>
      <c r="N613" s="746"/>
      <c r="O613" s="746"/>
    </row>
    <row r="614">
      <c r="A614" s="67"/>
      <c r="B614" s="764"/>
      <c r="C614" s="757"/>
      <c r="D614" s="576"/>
      <c r="E614" s="576"/>
      <c r="F614" s="576"/>
      <c r="G614" s="577"/>
      <c r="H614" s="577"/>
      <c r="I614" s="577"/>
      <c r="J614" s="577"/>
      <c r="K614" s="577"/>
      <c r="L614" s="746"/>
      <c r="M614" s="746"/>
      <c r="N614" s="746"/>
      <c r="O614" s="746"/>
    </row>
    <row r="615">
      <c r="A615" s="67"/>
      <c r="B615" s="764"/>
      <c r="C615" s="757"/>
      <c r="D615" s="576"/>
      <c r="E615" s="576"/>
      <c r="F615" s="576"/>
      <c r="G615" s="577"/>
      <c r="H615" s="577"/>
      <c r="I615" s="577"/>
      <c r="J615" s="577"/>
      <c r="K615" s="577"/>
      <c r="L615" s="746"/>
      <c r="M615" s="746"/>
      <c r="N615" s="746"/>
      <c r="O615" s="746"/>
    </row>
    <row r="616">
      <c r="A616" s="67"/>
      <c r="B616" s="764"/>
      <c r="C616" s="757"/>
      <c r="D616" s="576"/>
      <c r="E616" s="576"/>
      <c r="F616" s="576"/>
      <c r="G616" s="577"/>
      <c r="H616" s="577"/>
      <c r="I616" s="577"/>
      <c r="J616" s="577"/>
      <c r="K616" s="577"/>
      <c r="L616" s="746"/>
      <c r="M616" s="746"/>
      <c r="N616" s="746"/>
      <c r="O616" s="746"/>
    </row>
    <row r="617">
      <c r="A617" s="67"/>
      <c r="B617" s="764"/>
      <c r="C617" s="757"/>
      <c r="D617" s="576"/>
      <c r="E617" s="576"/>
      <c r="F617" s="576"/>
      <c r="G617" s="577"/>
      <c r="H617" s="577"/>
      <c r="I617" s="577"/>
      <c r="J617" s="577"/>
      <c r="K617" s="577"/>
      <c r="L617" s="746"/>
      <c r="M617" s="746"/>
      <c r="N617" s="746"/>
      <c r="O617" s="746"/>
    </row>
    <row r="618">
      <c r="A618" s="67"/>
      <c r="B618" s="764"/>
      <c r="C618" s="757"/>
      <c r="D618" s="576"/>
      <c r="E618" s="576"/>
      <c r="F618" s="576"/>
      <c r="G618" s="577"/>
      <c r="H618" s="577"/>
      <c r="I618" s="577"/>
      <c r="J618" s="577"/>
      <c r="K618" s="577"/>
      <c r="L618" s="746"/>
      <c r="M618" s="746"/>
      <c r="N618" s="746"/>
      <c r="O618" s="746"/>
    </row>
    <row r="619">
      <c r="A619" s="67"/>
      <c r="B619" s="764"/>
      <c r="C619" s="757"/>
      <c r="D619" s="576"/>
      <c r="E619" s="576"/>
      <c r="F619" s="576"/>
      <c r="G619" s="577"/>
      <c r="H619" s="577"/>
      <c r="I619" s="577"/>
      <c r="J619" s="577"/>
      <c r="K619" s="577"/>
      <c r="L619" s="746"/>
      <c r="M619" s="746"/>
      <c r="N619" s="746"/>
      <c r="O619" s="746"/>
    </row>
    <row r="620">
      <c r="A620" s="67"/>
      <c r="B620" s="764"/>
      <c r="C620" s="757"/>
      <c r="D620" s="576"/>
      <c r="E620" s="576"/>
      <c r="F620" s="576"/>
      <c r="G620" s="577"/>
      <c r="H620" s="577"/>
      <c r="I620" s="577"/>
      <c r="J620" s="577"/>
      <c r="K620" s="577"/>
      <c r="L620" s="746"/>
      <c r="M620" s="746"/>
      <c r="N620" s="746"/>
      <c r="O620" s="746"/>
    </row>
    <row r="621">
      <c r="A621" s="67"/>
      <c r="B621" s="764"/>
      <c r="C621" s="757"/>
      <c r="D621" s="576"/>
      <c r="E621" s="576"/>
      <c r="F621" s="576"/>
      <c r="G621" s="577"/>
      <c r="H621" s="577"/>
      <c r="I621" s="577"/>
      <c r="J621" s="577"/>
      <c r="K621" s="577"/>
      <c r="L621" s="746"/>
      <c r="M621" s="746"/>
      <c r="N621" s="746"/>
      <c r="O621" s="746"/>
    </row>
    <row r="622">
      <c r="A622" s="67"/>
      <c r="B622" s="764"/>
      <c r="C622" s="757"/>
      <c r="D622" s="576"/>
      <c r="E622" s="576"/>
      <c r="F622" s="576"/>
      <c r="G622" s="577"/>
      <c r="H622" s="577"/>
      <c r="I622" s="577"/>
      <c r="J622" s="577"/>
      <c r="K622" s="577"/>
      <c r="L622" s="746"/>
      <c r="M622" s="746"/>
      <c r="N622" s="746"/>
      <c r="O622" s="746"/>
    </row>
    <row r="623">
      <c r="A623" s="67"/>
      <c r="B623" s="764"/>
      <c r="C623" s="757"/>
      <c r="D623" s="576"/>
      <c r="E623" s="576"/>
      <c r="F623" s="576"/>
      <c r="G623" s="577"/>
      <c r="H623" s="577"/>
      <c r="I623" s="577"/>
      <c r="J623" s="577"/>
      <c r="K623" s="577"/>
      <c r="L623" s="746"/>
      <c r="M623" s="746"/>
      <c r="N623" s="746"/>
      <c r="O623" s="746"/>
    </row>
    <row r="624">
      <c r="A624" s="67"/>
      <c r="B624" s="764"/>
      <c r="C624" s="757"/>
      <c r="D624" s="576"/>
      <c r="E624" s="576"/>
      <c r="F624" s="576"/>
      <c r="G624" s="577"/>
      <c r="H624" s="577"/>
      <c r="I624" s="577"/>
      <c r="J624" s="577"/>
      <c r="K624" s="577"/>
      <c r="L624" s="746"/>
      <c r="M624" s="746"/>
      <c r="N624" s="746"/>
      <c r="O624" s="746"/>
    </row>
    <row r="625">
      <c r="A625" s="67"/>
      <c r="B625" s="764"/>
      <c r="C625" s="757"/>
      <c r="D625" s="576"/>
      <c r="E625" s="576"/>
      <c r="F625" s="576"/>
      <c r="G625" s="577"/>
      <c r="H625" s="577"/>
      <c r="I625" s="577"/>
      <c r="J625" s="577"/>
      <c r="K625" s="577"/>
      <c r="L625" s="746"/>
      <c r="M625" s="746"/>
      <c r="N625" s="746"/>
      <c r="O625" s="746"/>
    </row>
    <row r="626">
      <c r="A626" s="67"/>
      <c r="B626" s="764"/>
      <c r="C626" s="757"/>
      <c r="D626" s="576"/>
      <c r="E626" s="576"/>
      <c r="F626" s="576"/>
      <c r="G626" s="577"/>
      <c r="H626" s="577"/>
      <c r="I626" s="577"/>
      <c r="J626" s="577"/>
      <c r="K626" s="577"/>
      <c r="L626" s="746"/>
      <c r="M626" s="746"/>
      <c r="N626" s="746"/>
      <c r="O626" s="746"/>
    </row>
    <row r="627">
      <c r="A627" s="67"/>
      <c r="B627" s="764"/>
      <c r="C627" s="757"/>
      <c r="D627" s="576"/>
      <c r="E627" s="576"/>
      <c r="F627" s="576"/>
      <c r="G627" s="577"/>
      <c r="H627" s="577"/>
      <c r="I627" s="577"/>
      <c r="J627" s="577"/>
      <c r="K627" s="577"/>
      <c r="L627" s="746"/>
      <c r="M627" s="746"/>
      <c r="N627" s="746"/>
      <c r="O627" s="746"/>
    </row>
    <row r="628">
      <c r="A628" s="67"/>
      <c r="B628" s="764"/>
      <c r="C628" s="757"/>
      <c r="D628" s="576"/>
      <c r="E628" s="576"/>
      <c r="F628" s="576"/>
      <c r="G628" s="577"/>
      <c r="H628" s="577"/>
      <c r="I628" s="577"/>
      <c r="J628" s="577"/>
      <c r="K628" s="577"/>
      <c r="L628" s="746"/>
      <c r="M628" s="746"/>
      <c r="N628" s="746"/>
      <c r="O628" s="746"/>
    </row>
    <row r="629">
      <c r="A629" s="67"/>
      <c r="B629" s="764"/>
      <c r="C629" s="757"/>
      <c r="D629" s="576"/>
      <c r="E629" s="576"/>
      <c r="F629" s="576"/>
      <c r="G629" s="577"/>
      <c r="H629" s="577"/>
      <c r="I629" s="577"/>
      <c r="J629" s="577"/>
      <c r="K629" s="577"/>
      <c r="L629" s="746"/>
      <c r="M629" s="746"/>
      <c r="N629" s="746"/>
      <c r="O629" s="746"/>
    </row>
    <row r="630">
      <c r="A630" s="67"/>
      <c r="B630" s="764"/>
      <c r="C630" s="757"/>
      <c r="D630" s="576"/>
      <c r="E630" s="576"/>
      <c r="F630" s="576"/>
      <c r="G630" s="577"/>
      <c r="H630" s="577"/>
      <c r="I630" s="577"/>
      <c r="J630" s="577"/>
      <c r="K630" s="577"/>
      <c r="L630" s="746"/>
      <c r="M630" s="746"/>
      <c r="N630" s="746"/>
      <c r="O630" s="746"/>
    </row>
    <row r="631">
      <c r="A631" s="67"/>
      <c r="B631" s="764"/>
      <c r="C631" s="757"/>
      <c r="D631" s="576"/>
      <c r="E631" s="576"/>
      <c r="F631" s="576"/>
      <c r="G631" s="577"/>
      <c r="H631" s="577"/>
      <c r="I631" s="577"/>
      <c r="J631" s="577"/>
      <c r="K631" s="577"/>
      <c r="L631" s="746"/>
      <c r="M631" s="746"/>
      <c r="N631" s="746"/>
      <c r="O631" s="746"/>
    </row>
    <row r="632">
      <c r="A632" s="67"/>
      <c r="B632" s="764"/>
      <c r="C632" s="757"/>
      <c r="D632" s="576"/>
      <c r="E632" s="576"/>
      <c r="F632" s="576"/>
      <c r="G632" s="577"/>
      <c r="H632" s="577"/>
      <c r="I632" s="577"/>
      <c r="J632" s="577"/>
      <c r="K632" s="577"/>
      <c r="L632" s="746"/>
      <c r="M632" s="746"/>
      <c r="N632" s="746"/>
      <c r="O632" s="746"/>
    </row>
    <row r="633">
      <c r="A633" s="67"/>
      <c r="B633" s="764"/>
      <c r="C633" s="757"/>
      <c r="D633" s="576"/>
      <c r="E633" s="576"/>
      <c r="F633" s="576"/>
      <c r="G633" s="577"/>
      <c r="H633" s="577"/>
      <c r="I633" s="577"/>
      <c r="J633" s="577"/>
      <c r="K633" s="577"/>
      <c r="L633" s="746"/>
      <c r="M633" s="746"/>
      <c r="N633" s="746"/>
      <c r="O633" s="746"/>
    </row>
    <row r="634">
      <c r="A634" s="67"/>
      <c r="B634" s="764"/>
      <c r="C634" s="757"/>
      <c r="D634" s="576"/>
      <c r="E634" s="576"/>
      <c r="F634" s="576"/>
      <c r="G634" s="577"/>
      <c r="H634" s="577"/>
      <c r="I634" s="577"/>
      <c r="J634" s="577"/>
      <c r="K634" s="577"/>
      <c r="L634" s="746"/>
      <c r="M634" s="746"/>
      <c r="N634" s="746"/>
      <c r="O634" s="746"/>
    </row>
    <row r="635">
      <c r="A635" s="67"/>
      <c r="B635" s="764"/>
      <c r="C635" s="757"/>
      <c r="D635" s="576"/>
      <c r="E635" s="576"/>
      <c r="F635" s="576"/>
      <c r="G635" s="577"/>
      <c r="H635" s="577"/>
      <c r="I635" s="577"/>
      <c r="J635" s="577"/>
      <c r="K635" s="577"/>
      <c r="L635" s="746"/>
      <c r="M635" s="746"/>
      <c r="N635" s="746"/>
      <c r="O635" s="746"/>
    </row>
    <row r="636">
      <c r="A636" s="67"/>
      <c r="B636" s="764"/>
      <c r="C636" s="757"/>
      <c r="D636" s="576"/>
      <c r="E636" s="576"/>
      <c r="F636" s="576"/>
      <c r="G636" s="577"/>
      <c r="H636" s="577"/>
      <c r="I636" s="577"/>
      <c r="J636" s="577"/>
      <c r="K636" s="577"/>
      <c r="L636" s="746"/>
      <c r="M636" s="746"/>
      <c r="N636" s="746"/>
      <c r="O636" s="746"/>
    </row>
    <row r="637">
      <c r="A637" s="67"/>
      <c r="B637" s="764"/>
      <c r="C637" s="757"/>
      <c r="D637" s="576"/>
      <c r="E637" s="576"/>
      <c r="F637" s="576"/>
      <c r="G637" s="577"/>
      <c r="H637" s="577"/>
      <c r="I637" s="577"/>
      <c r="J637" s="577"/>
      <c r="K637" s="577"/>
      <c r="L637" s="746"/>
      <c r="M637" s="746"/>
      <c r="N637" s="746"/>
      <c r="O637" s="746"/>
    </row>
    <row r="638">
      <c r="A638" s="67"/>
      <c r="B638" s="764"/>
      <c r="C638" s="757"/>
      <c r="D638" s="576"/>
      <c r="E638" s="576"/>
      <c r="F638" s="576"/>
      <c r="G638" s="577"/>
      <c r="H638" s="577"/>
      <c r="I638" s="577"/>
      <c r="J638" s="577"/>
      <c r="K638" s="577"/>
      <c r="L638" s="746"/>
      <c r="M638" s="746"/>
      <c r="N638" s="746"/>
      <c r="O638" s="746"/>
    </row>
    <row r="639">
      <c r="A639" s="67"/>
      <c r="B639" s="764"/>
      <c r="C639" s="757"/>
      <c r="D639" s="576"/>
      <c r="E639" s="576"/>
      <c r="F639" s="576"/>
      <c r="G639" s="577"/>
      <c r="H639" s="577"/>
      <c r="I639" s="577"/>
      <c r="J639" s="577"/>
      <c r="K639" s="577"/>
      <c r="L639" s="746"/>
      <c r="M639" s="746"/>
      <c r="N639" s="746"/>
      <c r="O639" s="746"/>
    </row>
    <row r="640">
      <c r="A640" s="67"/>
      <c r="B640" s="764"/>
      <c r="C640" s="757"/>
      <c r="D640" s="576"/>
      <c r="E640" s="576"/>
      <c r="F640" s="576"/>
      <c r="G640" s="577"/>
      <c r="H640" s="577"/>
      <c r="I640" s="577"/>
      <c r="J640" s="577"/>
      <c r="K640" s="577"/>
      <c r="L640" s="746"/>
      <c r="M640" s="746"/>
      <c r="N640" s="746"/>
      <c r="O640" s="746"/>
    </row>
    <row r="641">
      <c r="A641" s="67"/>
      <c r="B641" s="764"/>
      <c r="C641" s="757"/>
      <c r="D641" s="576"/>
      <c r="E641" s="576"/>
      <c r="F641" s="576"/>
      <c r="G641" s="577"/>
      <c r="H641" s="577"/>
      <c r="I641" s="577"/>
      <c r="J641" s="577"/>
      <c r="K641" s="577"/>
      <c r="L641" s="746"/>
      <c r="M641" s="746"/>
      <c r="N641" s="746"/>
      <c r="O641" s="746"/>
    </row>
    <row r="642">
      <c r="A642" s="67"/>
      <c r="B642" s="764"/>
      <c r="C642" s="757"/>
      <c r="D642" s="576"/>
      <c r="E642" s="576"/>
      <c r="F642" s="576"/>
      <c r="G642" s="577"/>
      <c r="H642" s="577"/>
      <c r="I642" s="577"/>
      <c r="J642" s="577"/>
      <c r="K642" s="577"/>
      <c r="L642" s="746"/>
      <c r="M642" s="746"/>
      <c r="N642" s="746"/>
      <c r="O642" s="746"/>
    </row>
    <row r="643">
      <c r="A643" s="67"/>
      <c r="B643" s="764"/>
      <c r="C643" s="757"/>
      <c r="D643" s="576"/>
      <c r="E643" s="576"/>
      <c r="F643" s="576"/>
      <c r="G643" s="577"/>
      <c r="H643" s="577"/>
      <c r="I643" s="577"/>
      <c r="J643" s="577"/>
      <c r="K643" s="577"/>
      <c r="L643" s="746"/>
      <c r="M643" s="746"/>
      <c r="N643" s="746"/>
      <c r="O643" s="746"/>
    </row>
    <row r="644">
      <c r="A644" s="67"/>
      <c r="B644" s="764"/>
      <c r="C644" s="757"/>
      <c r="D644" s="576"/>
      <c r="E644" s="576"/>
      <c r="F644" s="576"/>
      <c r="G644" s="577"/>
      <c r="H644" s="577"/>
      <c r="I644" s="577"/>
      <c r="J644" s="577"/>
      <c r="K644" s="577"/>
      <c r="L644" s="746"/>
      <c r="M644" s="746"/>
      <c r="N644" s="746"/>
      <c r="O644" s="746"/>
    </row>
    <row r="645">
      <c r="A645" s="67"/>
      <c r="B645" s="764"/>
      <c r="C645" s="757"/>
      <c r="D645" s="576"/>
      <c r="E645" s="576"/>
      <c r="F645" s="576"/>
      <c r="G645" s="577"/>
      <c r="H645" s="577"/>
      <c r="I645" s="577"/>
      <c r="J645" s="577"/>
      <c r="K645" s="577"/>
      <c r="L645" s="746"/>
      <c r="M645" s="746"/>
      <c r="N645" s="746"/>
      <c r="O645" s="746"/>
    </row>
    <row r="646">
      <c r="A646" s="67"/>
      <c r="B646" s="764"/>
      <c r="C646" s="757"/>
      <c r="D646" s="576"/>
      <c r="E646" s="576"/>
      <c r="F646" s="576"/>
      <c r="G646" s="577"/>
      <c r="H646" s="577"/>
      <c r="I646" s="577"/>
      <c r="J646" s="577"/>
      <c r="K646" s="577"/>
      <c r="L646" s="746"/>
      <c r="M646" s="746"/>
      <c r="N646" s="746"/>
      <c r="O646" s="746"/>
    </row>
    <row r="647">
      <c r="A647" s="67"/>
      <c r="B647" s="764"/>
      <c r="C647" s="757"/>
      <c r="D647" s="576"/>
      <c r="E647" s="576"/>
      <c r="F647" s="576"/>
      <c r="G647" s="577"/>
      <c r="H647" s="577"/>
      <c r="I647" s="577"/>
      <c r="J647" s="577"/>
      <c r="K647" s="577"/>
      <c r="L647" s="746"/>
      <c r="M647" s="746"/>
      <c r="N647" s="746"/>
      <c r="O647" s="746"/>
    </row>
    <row r="648">
      <c r="A648" s="67"/>
      <c r="B648" s="764"/>
      <c r="C648" s="757"/>
      <c r="D648" s="576"/>
      <c r="E648" s="576"/>
      <c r="F648" s="576"/>
      <c r="G648" s="577"/>
      <c r="H648" s="577"/>
      <c r="I648" s="577"/>
      <c r="J648" s="577"/>
      <c r="K648" s="577"/>
      <c r="L648" s="746"/>
      <c r="M648" s="746"/>
      <c r="N648" s="746"/>
      <c r="O648" s="746"/>
    </row>
    <row r="649">
      <c r="A649" s="67"/>
      <c r="B649" s="764"/>
      <c r="C649" s="757"/>
      <c r="D649" s="576"/>
      <c r="E649" s="576"/>
      <c r="F649" s="576"/>
      <c r="G649" s="577"/>
      <c r="H649" s="577"/>
      <c r="I649" s="577"/>
      <c r="J649" s="577"/>
      <c r="K649" s="577"/>
      <c r="L649" s="746"/>
      <c r="M649" s="746"/>
      <c r="N649" s="746"/>
      <c r="O649" s="746"/>
    </row>
    <row r="650">
      <c r="A650" s="67"/>
      <c r="B650" s="764"/>
      <c r="C650" s="757"/>
      <c r="D650" s="576"/>
      <c r="E650" s="576"/>
      <c r="F650" s="576"/>
      <c r="G650" s="577"/>
      <c r="H650" s="577"/>
      <c r="I650" s="577"/>
      <c r="J650" s="577"/>
      <c r="K650" s="577"/>
      <c r="L650" s="746"/>
      <c r="M650" s="746"/>
      <c r="N650" s="746"/>
      <c r="O650" s="746"/>
    </row>
    <row r="651">
      <c r="A651" s="67"/>
      <c r="B651" s="764"/>
      <c r="C651" s="757"/>
      <c r="D651" s="576"/>
      <c r="E651" s="576"/>
      <c r="F651" s="576"/>
      <c r="G651" s="577"/>
      <c r="H651" s="577"/>
      <c r="I651" s="577"/>
      <c r="J651" s="577"/>
      <c r="K651" s="577"/>
      <c r="L651" s="746"/>
      <c r="M651" s="746"/>
      <c r="N651" s="746"/>
      <c r="O651" s="746"/>
    </row>
    <row r="652">
      <c r="A652" s="67"/>
      <c r="B652" s="764"/>
      <c r="C652" s="757"/>
      <c r="D652" s="576"/>
      <c r="E652" s="576"/>
      <c r="F652" s="576"/>
      <c r="G652" s="577"/>
      <c r="H652" s="577"/>
      <c r="I652" s="577"/>
      <c r="J652" s="577"/>
      <c r="K652" s="577"/>
      <c r="L652" s="746"/>
      <c r="M652" s="746"/>
      <c r="N652" s="746"/>
      <c r="O652" s="746"/>
    </row>
    <row r="653">
      <c r="A653" s="67"/>
      <c r="B653" s="764"/>
      <c r="C653" s="757"/>
      <c r="D653" s="576"/>
      <c r="E653" s="576"/>
      <c r="F653" s="576"/>
      <c r="G653" s="577"/>
      <c r="H653" s="577"/>
      <c r="I653" s="577"/>
      <c r="J653" s="577"/>
      <c r="K653" s="577"/>
      <c r="L653" s="746"/>
      <c r="M653" s="746"/>
      <c r="N653" s="746"/>
      <c r="O653" s="746"/>
    </row>
    <row r="654">
      <c r="A654" s="67"/>
      <c r="B654" s="764"/>
      <c r="C654" s="757"/>
      <c r="D654" s="576"/>
      <c r="E654" s="576"/>
      <c r="F654" s="576"/>
      <c r="G654" s="577"/>
      <c r="H654" s="577"/>
      <c r="I654" s="577"/>
      <c r="J654" s="577"/>
      <c r="K654" s="577"/>
      <c r="L654" s="746"/>
      <c r="M654" s="746"/>
      <c r="N654" s="746"/>
      <c r="O654" s="746"/>
    </row>
    <row r="655">
      <c r="A655" s="67"/>
      <c r="B655" s="764"/>
      <c r="C655" s="757"/>
      <c r="D655" s="576"/>
      <c r="E655" s="576"/>
      <c r="F655" s="576"/>
      <c r="G655" s="577"/>
      <c r="H655" s="577"/>
      <c r="I655" s="577"/>
      <c r="J655" s="577"/>
      <c r="K655" s="577"/>
      <c r="L655" s="746"/>
      <c r="M655" s="746"/>
      <c r="N655" s="746"/>
      <c r="O655" s="746"/>
    </row>
    <row r="656">
      <c r="A656" s="67"/>
      <c r="B656" s="764"/>
      <c r="C656" s="757"/>
      <c r="D656" s="576"/>
      <c r="E656" s="576"/>
      <c r="F656" s="576"/>
      <c r="G656" s="577"/>
      <c r="H656" s="577"/>
      <c r="I656" s="577"/>
      <c r="J656" s="577"/>
      <c r="K656" s="577"/>
      <c r="L656" s="746"/>
      <c r="M656" s="746"/>
      <c r="N656" s="746"/>
      <c r="O656" s="746"/>
    </row>
    <row r="657">
      <c r="A657" s="67"/>
      <c r="B657" s="764"/>
      <c r="C657" s="757"/>
      <c r="D657" s="576"/>
      <c r="E657" s="576"/>
      <c r="F657" s="576"/>
      <c r="G657" s="577"/>
      <c r="H657" s="577"/>
      <c r="I657" s="577"/>
      <c r="J657" s="577"/>
      <c r="K657" s="577"/>
      <c r="L657" s="746"/>
      <c r="M657" s="746"/>
      <c r="N657" s="746"/>
      <c r="O657" s="746"/>
    </row>
    <row r="658">
      <c r="A658" s="67"/>
      <c r="B658" s="764"/>
      <c r="C658" s="757"/>
      <c r="D658" s="576"/>
      <c r="E658" s="576"/>
      <c r="F658" s="576"/>
      <c r="G658" s="577"/>
      <c r="H658" s="577"/>
      <c r="I658" s="577"/>
      <c r="J658" s="577"/>
      <c r="K658" s="577"/>
      <c r="L658" s="746"/>
      <c r="M658" s="746"/>
      <c r="N658" s="746"/>
      <c r="O658" s="746"/>
    </row>
    <row r="659">
      <c r="A659" s="67"/>
      <c r="B659" s="764"/>
      <c r="C659" s="757"/>
      <c r="D659" s="576"/>
      <c r="E659" s="576"/>
      <c r="F659" s="576"/>
      <c r="G659" s="577"/>
      <c r="H659" s="577"/>
      <c r="I659" s="577"/>
      <c r="J659" s="577"/>
      <c r="K659" s="577"/>
      <c r="L659" s="746"/>
      <c r="M659" s="746"/>
      <c r="N659" s="746"/>
      <c r="O659" s="746"/>
    </row>
    <row r="660">
      <c r="A660" s="67"/>
      <c r="B660" s="764"/>
      <c r="C660" s="757"/>
      <c r="D660" s="576"/>
      <c r="E660" s="576"/>
      <c r="F660" s="576"/>
      <c r="G660" s="577"/>
      <c r="H660" s="577"/>
      <c r="I660" s="577"/>
      <c r="J660" s="577"/>
      <c r="K660" s="577"/>
      <c r="L660" s="746"/>
      <c r="M660" s="746"/>
      <c r="N660" s="746"/>
      <c r="O660" s="746"/>
    </row>
    <row r="661">
      <c r="A661" s="67"/>
      <c r="B661" s="764"/>
      <c r="C661" s="757"/>
      <c r="D661" s="576"/>
      <c r="E661" s="576"/>
      <c r="F661" s="576"/>
      <c r="G661" s="577"/>
      <c r="H661" s="577"/>
      <c r="I661" s="577"/>
      <c r="J661" s="577"/>
      <c r="K661" s="577"/>
      <c r="L661" s="746"/>
      <c r="M661" s="746"/>
      <c r="N661" s="746"/>
      <c r="O661" s="746"/>
    </row>
    <row r="662">
      <c r="A662" s="67"/>
      <c r="B662" s="764"/>
      <c r="C662" s="757"/>
      <c r="D662" s="576"/>
      <c r="E662" s="576"/>
      <c r="F662" s="576"/>
      <c r="G662" s="577"/>
      <c r="H662" s="577"/>
      <c r="I662" s="577"/>
      <c r="J662" s="577"/>
      <c r="K662" s="577"/>
      <c r="L662" s="746"/>
      <c r="M662" s="746"/>
      <c r="N662" s="746"/>
      <c r="O662" s="746"/>
    </row>
    <row r="663">
      <c r="A663" s="67"/>
      <c r="B663" s="764"/>
      <c r="C663" s="757"/>
      <c r="D663" s="576"/>
      <c r="E663" s="576"/>
      <c r="F663" s="576"/>
      <c r="G663" s="577"/>
      <c r="H663" s="577"/>
      <c r="I663" s="577"/>
      <c r="J663" s="577"/>
      <c r="K663" s="577"/>
      <c r="L663" s="746"/>
      <c r="M663" s="746"/>
      <c r="N663" s="746"/>
      <c r="O663" s="746"/>
    </row>
    <row r="664">
      <c r="A664" s="67"/>
      <c r="B664" s="764"/>
      <c r="C664" s="757"/>
      <c r="D664" s="576"/>
      <c r="E664" s="576"/>
      <c r="F664" s="576"/>
      <c r="G664" s="577"/>
      <c r="H664" s="577"/>
      <c r="I664" s="577"/>
      <c r="J664" s="577"/>
      <c r="K664" s="577"/>
      <c r="L664" s="746"/>
      <c r="M664" s="746"/>
      <c r="N664" s="746"/>
      <c r="O664" s="746"/>
    </row>
    <row r="665">
      <c r="A665" s="67"/>
      <c r="B665" s="764"/>
      <c r="C665" s="757"/>
      <c r="D665" s="576"/>
      <c r="E665" s="576"/>
      <c r="F665" s="576"/>
      <c r="G665" s="577"/>
      <c r="H665" s="577"/>
      <c r="I665" s="577"/>
      <c r="J665" s="577"/>
      <c r="K665" s="577"/>
      <c r="L665" s="746"/>
      <c r="M665" s="746"/>
      <c r="N665" s="746"/>
      <c r="O665" s="746"/>
    </row>
    <row r="666">
      <c r="A666" s="67"/>
      <c r="B666" s="764"/>
      <c r="C666" s="757"/>
      <c r="D666" s="576"/>
      <c r="E666" s="576"/>
      <c r="F666" s="576"/>
      <c r="G666" s="577"/>
      <c r="H666" s="577"/>
      <c r="I666" s="577"/>
      <c r="J666" s="577"/>
      <c r="K666" s="577"/>
      <c r="L666" s="746"/>
      <c r="M666" s="746"/>
      <c r="N666" s="746"/>
      <c r="O666" s="746"/>
    </row>
    <row r="667">
      <c r="A667" s="67"/>
      <c r="B667" s="764"/>
      <c r="C667" s="757"/>
      <c r="D667" s="576"/>
      <c r="E667" s="576"/>
      <c r="F667" s="576"/>
      <c r="G667" s="577"/>
      <c r="H667" s="577"/>
      <c r="I667" s="577"/>
      <c r="J667" s="577"/>
      <c r="K667" s="577"/>
      <c r="L667" s="746"/>
      <c r="M667" s="746"/>
      <c r="N667" s="746"/>
      <c r="O667" s="746"/>
    </row>
    <row r="668">
      <c r="A668" s="67"/>
      <c r="B668" s="764"/>
      <c r="C668" s="757"/>
      <c r="D668" s="576"/>
      <c r="E668" s="576"/>
      <c r="F668" s="576"/>
      <c r="G668" s="577"/>
      <c r="H668" s="577"/>
      <c r="I668" s="577"/>
      <c r="J668" s="577"/>
      <c r="K668" s="577"/>
      <c r="L668" s="746"/>
      <c r="M668" s="746"/>
      <c r="N668" s="746"/>
      <c r="O668" s="746"/>
    </row>
    <row r="669">
      <c r="A669" s="67"/>
      <c r="B669" s="764"/>
      <c r="C669" s="757"/>
      <c r="D669" s="576"/>
      <c r="E669" s="576"/>
      <c r="F669" s="576"/>
      <c r="G669" s="577"/>
      <c r="H669" s="577"/>
      <c r="I669" s="577"/>
      <c r="J669" s="577"/>
      <c r="K669" s="577"/>
      <c r="L669" s="746"/>
      <c r="M669" s="746"/>
      <c r="N669" s="746"/>
      <c r="O669" s="746"/>
    </row>
    <row r="670">
      <c r="A670" s="67"/>
      <c r="B670" s="764"/>
      <c r="C670" s="757"/>
      <c r="D670" s="576"/>
      <c r="E670" s="576"/>
      <c r="F670" s="576"/>
      <c r="G670" s="577"/>
      <c r="H670" s="577"/>
      <c r="I670" s="577"/>
      <c r="J670" s="577"/>
      <c r="K670" s="577"/>
      <c r="L670" s="746"/>
      <c r="M670" s="746"/>
      <c r="N670" s="746"/>
      <c r="O670" s="746"/>
    </row>
    <row r="671">
      <c r="A671" s="67"/>
      <c r="B671" s="764"/>
      <c r="C671" s="757"/>
      <c r="D671" s="576"/>
      <c r="E671" s="576"/>
      <c r="F671" s="576"/>
      <c r="G671" s="577"/>
      <c r="H671" s="577"/>
      <c r="I671" s="577"/>
      <c r="J671" s="577"/>
      <c r="K671" s="577"/>
      <c r="L671" s="746"/>
      <c r="M671" s="746"/>
      <c r="N671" s="746"/>
      <c r="O671" s="746"/>
    </row>
    <row r="672">
      <c r="A672" s="67"/>
      <c r="B672" s="764"/>
      <c r="C672" s="757"/>
      <c r="D672" s="576"/>
      <c r="E672" s="576"/>
      <c r="F672" s="576"/>
      <c r="G672" s="577"/>
      <c r="H672" s="577"/>
      <c r="I672" s="577"/>
      <c r="J672" s="577"/>
      <c r="K672" s="577"/>
      <c r="L672" s="746"/>
      <c r="M672" s="746"/>
      <c r="N672" s="746"/>
      <c r="O672" s="746"/>
    </row>
    <row r="673">
      <c r="A673" s="67"/>
      <c r="B673" s="764"/>
      <c r="C673" s="757"/>
      <c r="D673" s="576"/>
      <c r="E673" s="576"/>
      <c r="F673" s="576"/>
      <c r="G673" s="577"/>
      <c r="H673" s="577"/>
      <c r="I673" s="577"/>
      <c r="J673" s="577"/>
      <c r="K673" s="577"/>
      <c r="L673" s="746"/>
      <c r="M673" s="746"/>
      <c r="N673" s="746"/>
      <c r="O673" s="746"/>
    </row>
    <row r="674">
      <c r="A674" s="67"/>
      <c r="B674" s="764"/>
      <c r="C674" s="757"/>
      <c r="D674" s="576"/>
      <c r="E674" s="576"/>
      <c r="F674" s="576"/>
      <c r="G674" s="577"/>
      <c r="H674" s="577"/>
      <c r="I674" s="577"/>
      <c r="J674" s="577"/>
      <c r="K674" s="577"/>
      <c r="L674" s="746"/>
      <c r="M674" s="746"/>
      <c r="N674" s="746"/>
      <c r="O674" s="746"/>
    </row>
    <row r="675">
      <c r="A675" s="67"/>
      <c r="B675" s="764"/>
      <c r="C675" s="757"/>
      <c r="D675" s="576"/>
      <c r="E675" s="576"/>
      <c r="F675" s="576"/>
      <c r="G675" s="577"/>
      <c r="H675" s="577"/>
      <c r="I675" s="577"/>
      <c r="J675" s="577"/>
      <c r="K675" s="577"/>
      <c r="L675" s="746"/>
      <c r="M675" s="746"/>
      <c r="N675" s="746"/>
      <c r="O675" s="746"/>
    </row>
    <row r="676">
      <c r="A676" s="67"/>
      <c r="B676" s="764"/>
      <c r="C676" s="757"/>
      <c r="D676" s="576"/>
      <c r="E676" s="576"/>
      <c r="F676" s="576"/>
      <c r="G676" s="577"/>
      <c r="H676" s="577"/>
      <c r="I676" s="577"/>
      <c r="J676" s="577"/>
      <c r="K676" s="577"/>
      <c r="L676" s="746"/>
      <c r="M676" s="746"/>
      <c r="N676" s="746"/>
      <c r="O676" s="746"/>
    </row>
    <row r="677">
      <c r="A677" s="67"/>
      <c r="B677" s="764"/>
      <c r="C677" s="757"/>
      <c r="D677" s="576"/>
      <c r="E677" s="576"/>
      <c r="F677" s="576"/>
      <c r="G677" s="577"/>
      <c r="H677" s="577"/>
      <c r="I677" s="577"/>
      <c r="J677" s="577"/>
      <c r="K677" s="577"/>
      <c r="L677" s="746"/>
      <c r="M677" s="746"/>
      <c r="N677" s="746"/>
      <c r="O677" s="746"/>
    </row>
    <row r="678">
      <c r="A678" s="67"/>
      <c r="B678" s="764"/>
      <c r="C678" s="757"/>
      <c r="D678" s="576"/>
      <c r="E678" s="576"/>
      <c r="F678" s="576"/>
      <c r="G678" s="577"/>
      <c r="H678" s="577"/>
      <c r="I678" s="577"/>
      <c r="J678" s="577"/>
      <c r="K678" s="577"/>
      <c r="L678" s="746"/>
      <c r="M678" s="746"/>
      <c r="N678" s="746"/>
      <c r="O678" s="746"/>
    </row>
    <row r="679">
      <c r="A679" s="67"/>
      <c r="B679" s="764"/>
      <c r="C679" s="757"/>
      <c r="D679" s="576"/>
      <c r="E679" s="576"/>
      <c r="F679" s="576"/>
      <c r="G679" s="577"/>
      <c r="H679" s="577"/>
      <c r="I679" s="577"/>
      <c r="J679" s="577"/>
      <c r="K679" s="577"/>
      <c r="L679" s="746"/>
      <c r="M679" s="746"/>
      <c r="N679" s="746"/>
      <c r="O679" s="746"/>
    </row>
    <row r="680">
      <c r="A680" s="67"/>
      <c r="B680" s="764"/>
      <c r="C680" s="757"/>
      <c r="D680" s="576"/>
      <c r="E680" s="576"/>
      <c r="F680" s="576"/>
      <c r="G680" s="577"/>
      <c r="H680" s="577"/>
      <c r="I680" s="577"/>
      <c r="J680" s="577"/>
      <c r="K680" s="577"/>
      <c r="L680" s="746"/>
      <c r="M680" s="746"/>
      <c r="N680" s="746"/>
      <c r="O680" s="746"/>
    </row>
    <row r="681">
      <c r="A681" s="67"/>
      <c r="B681" s="764"/>
      <c r="C681" s="757"/>
      <c r="D681" s="576"/>
      <c r="E681" s="576"/>
      <c r="F681" s="576"/>
      <c r="G681" s="577"/>
      <c r="H681" s="577"/>
      <c r="I681" s="577"/>
      <c r="J681" s="577"/>
      <c r="K681" s="577"/>
      <c r="L681" s="746"/>
      <c r="M681" s="746"/>
      <c r="N681" s="746"/>
      <c r="O681" s="746"/>
    </row>
    <row r="682">
      <c r="A682" s="67"/>
      <c r="B682" s="764"/>
      <c r="C682" s="757"/>
      <c r="D682" s="576"/>
      <c r="E682" s="576"/>
      <c r="F682" s="576"/>
      <c r="G682" s="577"/>
      <c r="H682" s="577"/>
      <c r="I682" s="577"/>
      <c r="J682" s="577"/>
      <c r="K682" s="577"/>
      <c r="L682" s="746"/>
      <c r="M682" s="746"/>
      <c r="N682" s="746"/>
      <c r="O682" s="746"/>
    </row>
    <row r="683">
      <c r="A683" s="67"/>
      <c r="B683" s="764"/>
      <c r="C683" s="757"/>
      <c r="D683" s="576"/>
      <c r="E683" s="576"/>
      <c r="F683" s="576"/>
      <c r="G683" s="577"/>
      <c r="H683" s="577"/>
      <c r="I683" s="577"/>
      <c r="J683" s="577"/>
      <c r="K683" s="577"/>
      <c r="L683" s="746"/>
      <c r="M683" s="746"/>
      <c r="N683" s="746"/>
      <c r="O683" s="746"/>
    </row>
    <row r="684">
      <c r="A684" s="67"/>
      <c r="B684" s="764"/>
      <c r="C684" s="757"/>
      <c r="D684" s="576"/>
      <c r="E684" s="576"/>
      <c r="F684" s="576"/>
      <c r="G684" s="577"/>
      <c r="H684" s="577"/>
      <c r="I684" s="577"/>
      <c r="J684" s="577"/>
      <c r="K684" s="577"/>
      <c r="L684" s="746"/>
      <c r="M684" s="746"/>
      <c r="N684" s="746"/>
      <c r="O684" s="746"/>
    </row>
    <row r="685">
      <c r="A685" s="67"/>
      <c r="B685" s="764"/>
      <c r="C685" s="757"/>
      <c r="D685" s="576"/>
      <c r="E685" s="576"/>
      <c r="F685" s="576"/>
      <c r="G685" s="577"/>
      <c r="H685" s="577"/>
      <c r="I685" s="577"/>
      <c r="J685" s="577"/>
      <c r="K685" s="577"/>
      <c r="L685" s="746"/>
      <c r="M685" s="746"/>
      <c r="N685" s="746"/>
      <c r="O685" s="746"/>
    </row>
    <row r="686">
      <c r="A686" s="67"/>
      <c r="B686" s="764"/>
      <c r="C686" s="757"/>
      <c r="D686" s="576"/>
      <c r="E686" s="576"/>
      <c r="F686" s="576"/>
      <c r="G686" s="577"/>
      <c r="H686" s="577"/>
      <c r="I686" s="577"/>
      <c r="J686" s="577"/>
      <c r="K686" s="577"/>
      <c r="L686" s="746"/>
      <c r="M686" s="746"/>
      <c r="N686" s="746"/>
      <c r="O686" s="746"/>
    </row>
    <row r="687">
      <c r="A687" s="67"/>
      <c r="B687" s="764"/>
      <c r="C687" s="757"/>
      <c r="D687" s="576"/>
      <c r="E687" s="576"/>
      <c r="F687" s="576"/>
      <c r="G687" s="577"/>
      <c r="H687" s="577"/>
      <c r="I687" s="577"/>
      <c r="J687" s="577"/>
      <c r="K687" s="577"/>
      <c r="L687" s="746"/>
      <c r="M687" s="746"/>
      <c r="N687" s="746"/>
      <c r="O687" s="746"/>
    </row>
    <row r="688">
      <c r="A688" s="67"/>
      <c r="B688" s="764"/>
      <c r="C688" s="757"/>
      <c r="D688" s="576"/>
      <c r="E688" s="576"/>
      <c r="F688" s="576"/>
      <c r="G688" s="577"/>
      <c r="H688" s="577"/>
      <c r="I688" s="577"/>
      <c r="J688" s="577"/>
      <c r="K688" s="577"/>
      <c r="L688" s="746"/>
      <c r="M688" s="746"/>
      <c r="N688" s="746"/>
      <c r="O688" s="746"/>
    </row>
    <row r="689">
      <c r="A689" s="67"/>
      <c r="B689" s="764"/>
      <c r="C689" s="757"/>
      <c r="D689" s="576"/>
      <c r="E689" s="576"/>
      <c r="F689" s="576"/>
      <c r="G689" s="577"/>
      <c r="H689" s="577"/>
      <c r="I689" s="577"/>
      <c r="J689" s="577"/>
      <c r="K689" s="577"/>
      <c r="L689" s="746"/>
      <c r="M689" s="746"/>
      <c r="N689" s="746"/>
      <c r="O689" s="746"/>
    </row>
    <row r="690">
      <c r="A690" s="67"/>
      <c r="B690" s="764"/>
      <c r="C690" s="757"/>
      <c r="D690" s="576"/>
      <c r="E690" s="576"/>
      <c r="F690" s="576"/>
      <c r="G690" s="577"/>
      <c r="H690" s="577"/>
      <c r="I690" s="577"/>
      <c r="J690" s="577"/>
      <c r="K690" s="577"/>
      <c r="L690" s="746"/>
      <c r="M690" s="746"/>
      <c r="N690" s="746"/>
      <c r="O690" s="746"/>
    </row>
    <row r="691">
      <c r="A691" s="67"/>
      <c r="B691" s="764"/>
      <c r="C691" s="757"/>
      <c r="D691" s="576"/>
      <c r="E691" s="576"/>
      <c r="F691" s="576"/>
      <c r="G691" s="577"/>
      <c r="H691" s="577"/>
      <c r="I691" s="577"/>
      <c r="J691" s="577"/>
      <c r="K691" s="577"/>
      <c r="L691" s="746"/>
      <c r="M691" s="746"/>
      <c r="N691" s="746"/>
      <c r="O691" s="746"/>
    </row>
    <row r="692">
      <c r="A692" s="67"/>
      <c r="B692" s="764"/>
      <c r="C692" s="757"/>
      <c r="D692" s="576"/>
      <c r="E692" s="576"/>
      <c r="F692" s="576"/>
      <c r="G692" s="577"/>
      <c r="H692" s="577"/>
      <c r="I692" s="577"/>
      <c r="J692" s="577"/>
      <c r="K692" s="577"/>
      <c r="L692" s="746"/>
      <c r="M692" s="746"/>
      <c r="N692" s="746"/>
      <c r="O692" s="746"/>
    </row>
  </sheetData>
  <mergeCells count="2">
    <mergeCell ref="B1:F4"/>
    <mergeCell ref="A6:D6"/>
  </mergeCells>
  <dataValidations>
    <dataValidation type="list" allowBlank="1" showErrorMessage="1" sqref="B9:B314">
      <formula1>Listas!$B$3:$B$9</formula1>
    </dataValidation>
  </dataValidations>
  <hyperlinks>
    <hyperlink r:id="rId1" ref="B5"/>
    <hyperlink r:id="rId2" ref="G9"/>
    <hyperlink r:id="rId3" ref="J9"/>
    <hyperlink r:id="rId4" ref="K9"/>
    <hyperlink r:id="rId5" ref="G10"/>
    <hyperlink r:id="rId6" ref="J10"/>
    <hyperlink r:id="rId7" ref="K10"/>
    <hyperlink r:id="rId8" ref="G11"/>
    <hyperlink r:id="rId9" ref="J11"/>
    <hyperlink r:id="rId10" ref="K11"/>
    <hyperlink r:id="rId11" ref="O11"/>
    <hyperlink r:id="rId12" ref="G12"/>
    <hyperlink r:id="rId13" ref="J12"/>
    <hyperlink r:id="rId14" ref="K12"/>
    <hyperlink r:id="rId15" ref="O12"/>
    <hyperlink r:id="rId16" ref="G13"/>
    <hyperlink r:id="rId17" ref="J13"/>
    <hyperlink r:id="rId18" ref="K13"/>
    <hyperlink r:id="rId19" ref="O13"/>
    <hyperlink r:id="rId20" ref="G14"/>
    <hyperlink r:id="rId21" ref="J14"/>
    <hyperlink r:id="rId22" ref="K14"/>
    <hyperlink r:id="rId23" ref="O14"/>
    <hyperlink r:id="rId24" ref="G15"/>
    <hyperlink r:id="rId25" ref="J15"/>
    <hyperlink r:id="rId26" ref="K15"/>
    <hyperlink r:id="rId27" ref="O15"/>
    <hyperlink r:id="rId28" ref="G16"/>
    <hyperlink r:id="rId29" ref="J16"/>
    <hyperlink r:id="rId30" ref="K16"/>
    <hyperlink r:id="rId31" ref="O16"/>
    <hyperlink r:id="rId32" ref="G17"/>
    <hyperlink r:id="rId33" ref="J17"/>
    <hyperlink r:id="rId34" ref="K17"/>
    <hyperlink r:id="rId35" ref="O17"/>
    <hyperlink r:id="rId36" ref="G18"/>
    <hyperlink r:id="rId37" ref="J18"/>
    <hyperlink r:id="rId38" ref="K18"/>
    <hyperlink r:id="rId39" ref="O18"/>
    <hyperlink r:id="rId40" ref="G19"/>
    <hyperlink r:id="rId41" ref="J19"/>
    <hyperlink r:id="rId42" ref="K19"/>
    <hyperlink r:id="rId43" ref="O19"/>
    <hyperlink r:id="rId44" ref="G20"/>
    <hyperlink r:id="rId45" ref="J20"/>
    <hyperlink r:id="rId46" ref="K20"/>
    <hyperlink r:id="rId47" ref="O20"/>
    <hyperlink r:id="rId48" ref="G21"/>
    <hyperlink r:id="rId49" ref="J21"/>
    <hyperlink r:id="rId50" ref="K21"/>
    <hyperlink r:id="rId51" ref="O21"/>
    <hyperlink r:id="rId52" ref="G22"/>
    <hyperlink r:id="rId53" ref="J22"/>
    <hyperlink r:id="rId54" ref="K22"/>
    <hyperlink r:id="rId55" ref="O22"/>
    <hyperlink r:id="rId56" ref="G23"/>
    <hyperlink r:id="rId57" ref="J23"/>
    <hyperlink r:id="rId58" ref="K23"/>
    <hyperlink r:id="rId59" ref="O23"/>
    <hyperlink r:id="rId60" ref="G24"/>
    <hyperlink r:id="rId61" ref="J24"/>
    <hyperlink r:id="rId62" ref="K24"/>
    <hyperlink r:id="rId63" ref="O24"/>
    <hyperlink r:id="rId64" ref="G25"/>
    <hyperlink r:id="rId65" ref="J25"/>
    <hyperlink r:id="rId66" ref="K25"/>
    <hyperlink r:id="rId67" ref="O25"/>
    <hyperlink r:id="rId68" ref="G26"/>
    <hyperlink r:id="rId69" ref="J26"/>
    <hyperlink r:id="rId70" ref="K26"/>
    <hyperlink r:id="rId71" ref="O26"/>
    <hyperlink r:id="rId72" ref="G27"/>
    <hyperlink r:id="rId73" ref="J27"/>
    <hyperlink r:id="rId74" ref="K27"/>
    <hyperlink r:id="rId75" ref="O27"/>
    <hyperlink r:id="rId76" ref="G28"/>
    <hyperlink r:id="rId77" ref="J28"/>
    <hyperlink r:id="rId78" ref="K28"/>
    <hyperlink r:id="rId79" ref="O28"/>
    <hyperlink r:id="rId80" ref="G29"/>
    <hyperlink r:id="rId81" ref="J29"/>
    <hyperlink r:id="rId82" ref="K29"/>
    <hyperlink r:id="rId83" ref="O29"/>
    <hyperlink r:id="rId84" ref="G30"/>
    <hyperlink r:id="rId85" ref="J30"/>
    <hyperlink r:id="rId86" ref="K30"/>
    <hyperlink r:id="rId87" ref="O30"/>
    <hyperlink r:id="rId88" ref="G31"/>
    <hyperlink r:id="rId89" ref="J31"/>
    <hyperlink r:id="rId90" ref="K31"/>
    <hyperlink r:id="rId91" ref="O31"/>
    <hyperlink r:id="rId92" ref="G32"/>
    <hyperlink r:id="rId93" ref="J32"/>
    <hyperlink r:id="rId94" ref="K32"/>
    <hyperlink r:id="rId95" ref="O32"/>
    <hyperlink r:id="rId96" ref="G33"/>
    <hyperlink r:id="rId97" ref="J33"/>
    <hyperlink r:id="rId98" ref="K33"/>
    <hyperlink r:id="rId99" ref="O33"/>
    <hyperlink r:id="rId100" ref="G34"/>
    <hyperlink r:id="rId101" ref="J34"/>
    <hyperlink r:id="rId102" ref="K34"/>
    <hyperlink r:id="rId103" ref="O34"/>
    <hyperlink r:id="rId104" ref="G35"/>
    <hyperlink r:id="rId105" ref="J35"/>
    <hyperlink r:id="rId106" ref="K35"/>
    <hyperlink r:id="rId107" ref="O35"/>
    <hyperlink r:id="rId108" ref="G36"/>
    <hyperlink r:id="rId109" ref="J36"/>
    <hyperlink r:id="rId110" ref="K36"/>
    <hyperlink r:id="rId111" ref="O36"/>
    <hyperlink r:id="rId112" ref="G37"/>
    <hyperlink r:id="rId113" ref="J37"/>
    <hyperlink r:id="rId114" ref="K37"/>
    <hyperlink r:id="rId115" ref="O37"/>
    <hyperlink r:id="rId116" ref="G38"/>
    <hyperlink r:id="rId117" ref="J38"/>
    <hyperlink r:id="rId118" ref="K38"/>
    <hyperlink r:id="rId119" ref="O38"/>
    <hyperlink r:id="rId120" ref="G39"/>
    <hyperlink r:id="rId121" ref="J39"/>
    <hyperlink r:id="rId122" ref="K39"/>
    <hyperlink r:id="rId123" ref="O39"/>
    <hyperlink r:id="rId124" ref="G40"/>
    <hyperlink r:id="rId125" ref="J40"/>
    <hyperlink r:id="rId126" ref="K40"/>
    <hyperlink r:id="rId127" ref="O40"/>
    <hyperlink r:id="rId128" ref="G41"/>
    <hyperlink r:id="rId129" ref="J41"/>
    <hyperlink r:id="rId130" ref="K41"/>
    <hyperlink r:id="rId131" ref="O41"/>
    <hyperlink r:id="rId132" ref="G42"/>
    <hyperlink r:id="rId133" ref="J42"/>
    <hyperlink r:id="rId134" ref="K42"/>
    <hyperlink r:id="rId135" ref="O42"/>
    <hyperlink r:id="rId136" ref="G43"/>
    <hyperlink r:id="rId137" ref="J43"/>
    <hyperlink r:id="rId138" ref="K43"/>
    <hyperlink r:id="rId139" ref="O43"/>
    <hyperlink r:id="rId140" ref="G44"/>
    <hyperlink r:id="rId141" ref="J44"/>
    <hyperlink r:id="rId142" ref="K44"/>
    <hyperlink r:id="rId143" ref="O44"/>
    <hyperlink r:id="rId144" ref="G45"/>
    <hyperlink r:id="rId145" ref="J45"/>
    <hyperlink r:id="rId146" ref="K45"/>
    <hyperlink r:id="rId147" ref="O45"/>
    <hyperlink r:id="rId148" ref="G46"/>
    <hyperlink r:id="rId149" ref="J46"/>
    <hyperlink r:id="rId150" ref="K46"/>
    <hyperlink r:id="rId151" ref="O46"/>
    <hyperlink r:id="rId152" ref="G47"/>
    <hyperlink r:id="rId153" ref="J47"/>
    <hyperlink r:id="rId154" ref="K47"/>
    <hyperlink r:id="rId155" ref="O47"/>
    <hyperlink r:id="rId156" ref="G48"/>
    <hyperlink r:id="rId157" ref="J48"/>
    <hyperlink r:id="rId158" ref="K48"/>
    <hyperlink r:id="rId159" ref="O48"/>
    <hyperlink r:id="rId160" ref="G49"/>
    <hyperlink r:id="rId161" ref="J49"/>
    <hyperlink r:id="rId162" ref="K49"/>
    <hyperlink r:id="rId163" ref="O49"/>
    <hyperlink r:id="rId164" ref="G50"/>
    <hyperlink r:id="rId165" ref="J50"/>
    <hyperlink r:id="rId166" ref="K50"/>
    <hyperlink r:id="rId167" ref="O50"/>
    <hyperlink r:id="rId168" ref="G51"/>
    <hyperlink r:id="rId169" ref="J51"/>
    <hyperlink r:id="rId170" ref="K51"/>
    <hyperlink r:id="rId171" ref="O51"/>
    <hyperlink r:id="rId172" ref="G52"/>
    <hyperlink r:id="rId173" ref="J52"/>
    <hyperlink r:id="rId174" ref="K52"/>
    <hyperlink r:id="rId175" ref="O52"/>
    <hyperlink r:id="rId176" ref="G53"/>
    <hyperlink r:id="rId177" ref="J53"/>
    <hyperlink r:id="rId178" ref="K53"/>
    <hyperlink r:id="rId179" ref="O53"/>
    <hyperlink r:id="rId180" ref="G54"/>
    <hyperlink r:id="rId181" ref="J54"/>
    <hyperlink r:id="rId182" ref="K54"/>
    <hyperlink r:id="rId183" ref="O54"/>
    <hyperlink r:id="rId184" ref="G55"/>
    <hyperlink r:id="rId185" ref="J55"/>
    <hyperlink r:id="rId186" ref="K55"/>
    <hyperlink r:id="rId187" ref="O55"/>
    <hyperlink r:id="rId188" ref="G56"/>
    <hyperlink r:id="rId189" ref="J56"/>
    <hyperlink r:id="rId190" ref="K56"/>
    <hyperlink r:id="rId191" ref="O56"/>
    <hyperlink r:id="rId192" ref="G57"/>
    <hyperlink r:id="rId193" ref="J57"/>
    <hyperlink r:id="rId194" ref="K57"/>
    <hyperlink r:id="rId195" ref="O57"/>
    <hyperlink r:id="rId196" ref="G58"/>
    <hyperlink r:id="rId197" ref="J58"/>
    <hyperlink r:id="rId198" ref="K58"/>
    <hyperlink r:id="rId199" ref="O58"/>
    <hyperlink r:id="rId200" ref="G59"/>
    <hyperlink r:id="rId201" ref="J59"/>
    <hyperlink r:id="rId202" ref="K59"/>
    <hyperlink r:id="rId203" ref="O59"/>
    <hyperlink r:id="rId204" ref="G60"/>
    <hyperlink r:id="rId205" ref="J60"/>
    <hyperlink r:id="rId206" ref="K60"/>
    <hyperlink r:id="rId207" ref="O60"/>
    <hyperlink r:id="rId208" ref="G61"/>
    <hyperlink r:id="rId209" ref="J61"/>
    <hyperlink r:id="rId210" ref="K61"/>
    <hyperlink r:id="rId211" ref="O61"/>
    <hyperlink r:id="rId212" ref="G62"/>
    <hyperlink r:id="rId213" ref="J62"/>
    <hyperlink r:id="rId214" ref="K62"/>
    <hyperlink r:id="rId215" ref="O62"/>
    <hyperlink r:id="rId216" ref="G63"/>
    <hyperlink r:id="rId217" ref="J63"/>
    <hyperlink r:id="rId218" ref="K63"/>
    <hyperlink r:id="rId219" ref="O63"/>
    <hyperlink r:id="rId220" ref="G64"/>
    <hyperlink r:id="rId221" ref="J64"/>
    <hyperlink r:id="rId222" ref="K64"/>
    <hyperlink r:id="rId223" ref="O64"/>
    <hyperlink r:id="rId224" ref="G65"/>
    <hyperlink r:id="rId225" ref="J65"/>
    <hyperlink r:id="rId226" ref="K65"/>
    <hyperlink r:id="rId227" ref="O65"/>
    <hyperlink r:id="rId228" ref="G66"/>
    <hyperlink r:id="rId229" ref="J66"/>
    <hyperlink r:id="rId230" ref="K66"/>
    <hyperlink r:id="rId231" ref="O66"/>
    <hyperlink r:id="rId232" ref="G67"/>
    <hyperlink r:id="rId233" ref="J67"/>
    <hyperlink r:id="rId234" ref="K67"/>
    <hyperlink r:id="rId235" ref="O67"/>
    <hyperlink r:id="rId236" ref="G68"/>
    <hyperlink r:id="rId237" ref="J68"/>
    <hyperlink r:id="rId238" ref="K68"/>
    <hyperlink r:id="rId239" ref="O68"/>
    <hyperlink r:id="rId240" ref="G69"/>
    <hyperlink r:id="rId241" ref="J69"/>
    <hyperlink r:id="rId242" ref="K69"/>
    <hyperlink r:id="rId243" ref="O69"/>
    <hyperlink r:id="rId244" ref="G70"/>
    <hyperlink r:id="rId245" ref="J70"/>
    <hyperlink r:id="rId246" ref="K70"/>
    <hyperlink r:id="rId247" ref="O70"/>
    <hyperlink r:id="rId248" ref="G71"/>
    <hyperlink r:id="rId249" ref="J71"/>
    <hyperlink r:id="rId250" ref="K71"/>
    <hyperlink r:id="rId251" ref="O71"/>
    <hyperlink r:id="rId252" ref="G72"/>
    <hyperlink r:id="rId253" ref="J72"/>
    <hyperlink r:id="rId254" ref="K72"/>
    <hyperlink r:id="rId255" ref="O72"/>
    <hyperlink r:id="rId256" ref="G73"/>
    <hyperlink r:id="rId257" ref="J73"/>
    <hyperlink r:id="rId258" ref="K73"/>
    <hyperlink r:id="rId259" ref="O73"/>
    <hyperlink r:id="rId260" ref="G74"/>
    <hyperlink r:id="rId261" ref="J74"/>
    <hyperlink r:id="rId262" ref="K74"/>
    <hyperlink r:id="rId263" ref="O74"/>
    <hyperlink r:id="rId264" ref="G75"/>
    <hyperlink r:id="rId265" ref="J75"/>
    <hyperlink r:id="rId266" ref="K75"/>
    <hyperlink r:id="rId267" ref="O75"/>
    <hyperlink r:id="rId268" ref="G76"/>
    <hyperlink r:id="rId269" ref="J76"/>
    <hyperlink r:id="rId270" ref="K76"/>
    <hyperlink r:id="rId271" ref="O76"/>
    <hyperlink r:id="rId272" ref="G77"/>
    <hyperlink r:id="rId273" ref="J77"/>
    <hyperlink r:id="rId274" ref="K77"/>
    <hyperlink r:id="rId275" ref="O77"/>
    <hyperlink r:id="rId276" ref="G78"/>
    <hyperlink r:id="rId277" ref="J78"/>
    <hyperlink r:id="rId278" ref="K78"/>
    <hyperlink r:id="rId279" ref="O78"/>
    <hyperlink r:id="rId280" ref="G79"/>
    <hyperlink r:id="rId281" ref="J79"/>
    <hyperlink r:id="rId282" ref="K79"/>
    <hyperlink r:id="rId283" ref="O79"/>
    <hyperlink r:id="rId284" ref="G80"/>
    <hyperlink r:id="rId285" ref="J80"/>
    <hyperlink r:id="rId286" ref="K80"/>
    <hyperlink r:id="rId287" ref="O80"/>
    <hyperlink r:id="rId288" ref="G81"/>
    <hyperlink r:id="rId289" ref="J81"/>
    <hyperlink r:id="rId290" ref="K81"/>
    <hyperlink r:id="rId291" ref="O81"/>
    <hyperlink r:id="rId292" ref="G82"/>
    <hyperlink r:id="rId293" ref="J82"/>
    <hyperlink r:id="rId294" ref="K82"/>
    <hyperlink r:id="rId295" ref="O82"/>
    <hyperlink r:id="rId296" ref="G83"/>
    <hyperlink r:id="rId297" ref="J83"/>
    <hyperlink r:id="rId298" ref="K83"/>
    <hyperlink r:id="rId299" ref="O83"/>
    <hyperlink r:id="rId300" ref="G84"/>
    <hyperlink r:id="rId301" ref="J84"/>
    <hyperlink r:id="rId302" ref="K84"/>
    <hyperlink r:id="rId303" ref="G85"/>
    <hyperlink r:id="rId304" ref="J85"/>
    <hyperlink r:id="rId305" ref="K85"/>
    <hyperlink r:id="rId306" ref="O85"/>
    <hyperlink r:id="rId307" ref="G86"/>
    <hyperlink r:id="rId308" ref="J86"/>
    <hyperlink r:id="rId309" ref="K86"/>
    <hyperlink r:id="rId310" ref="O86"/>
    <hyperlink r:id="rId311" ref="G87"/>
    <hyperlink r:id="rId312" ref="J87"/>
    <hyperlink r:id="rId313" ref="K87"/>
    <hyperlink r:id="rId314" ref="O87"/>
    <hyperlink r:id="rId315" ref="G88"/>
    <hyperlink r:id="rId316" ref="J88"/>
    <hyperlink r:id="rId317" ref="K88"/>
    <hyperlink r:id="rId318" ref="O88"/>
    <hyperlink r:id="rId319" ref="G89"/>
    <hyperlink r:id="rId320" ref="J89"/>
    <hyperlink r:id="rId321" ref="K89"/>
    <hyperlink r:id="rId322" ref="O89"/>
    <hyperlink r:id="rId323" ref="G90"/>
    <hyperlink r:id="rId324" ref="J90"/>
    <hyperlink r:id="rId325" ref="K90"/>
    <hyperlink r:id="rId326" ref="O90"/>
    <hyperlink r:id="rId327" ref="G91"/>
    <hyperlink r:id="rId328" ref="J91"/>
    <hyperlink r:id="rId329" ref="K91"/>
    <hyperlink r:id="rId330" ref="O91"/>
    <hyperlink r:id="rId331" ref="G92"/>
    <hyperlink r:id="rId332" ref="J92"/>
    <hyperlink r:id="rId333" ref="K92"/>
    <hyperlink r:id="rId334" ref="O92"/>
    <hyperlink r:id="rId335" ref="G93"/>
    <hyperlink r:id="rId336" ref="J93"/>
    <hyperlink r:id="rId337" ref="K93"/>
    <hyperlink r:id="rId338" ref="O93"/>
    <hyperlink r:id="rId339" ref="G94"/>
    <hyperlink r:id="rId340" ref="J94"/>
    <hyperlink r:id="rId341" ref="K94"/>
    <hyperlink r:id="rId342" ref="O94"/>
    <hyperlink r:id="rId343" ref="G95"/>
    <hyperlink r:id="rId344" ref="J95"/>
    <hyperlink r:id="rId345" ref="K95"/>
    <hyperlink r:id="rId346" ref="O95"/>
    <hyperlink r:id="rId347" ref="G96"/>
    <hyperlink r:id="rId348" ref="J96"/>
    <hyperlink r:id="rId349" ref="K96"/>
    <hyperlink r:id="rId350" ref="O96"/>
    <hyperlink r:id="rId351" ref="G97"/>
    <hyperlink r:id="rId352" ref="J97"/>
    <hyperlink r:id="rId353" ref="K97"/>
    <hyperlink r:id="rId354" ref="O97"/>
    <hyperlink r:id="rId355" ref="G98"/>
    <hyperlink r:id="rId356" ref="J98"/>
    <hyperlink r:id="rId357" ref="K98"/>
    <hyperlink r:id="rId358" ref="O98"/>
    <hyperlink r:id="rId359" ref="G99"/>
    <hyperlink r:id="rId360" ref="J99"/>
    <hyperlink r:id="rId361" ref="K99"/>
    <hyperlink r:id="rId362" ref="O99"/>
    <hyperlink r:id="rId363" ref="G100"/>
    <hyperlink r:id="rId364" ref="J100"/>
    <hyperlink r:id="rId365" ref="K100"/>
    <hyperlink r:id="rId366" ref="O100"/>
    <hyperlink r:id="rId367" ref="G101"/>
    <hyperlink r:id="rId368" ref="J101"/>
    <hyperlink r:id="rId369" ref="K101"/>
    <hyperlink r:id="rId370" ref="O101"/>
    <hyperlink r:id="rId371" ref="G102"/>
    <hyperlink r:id="rId372" ref="J102"/>
    <hyperlink r:id="rId373" ref="K102"/>
    <hyperlink r:id="rId374" ref="O102"/>
    <hyperlink r:id="rId375" ref="G103"/>
    <hyperlink r:id="rId376" ref="J103"/>
    <hyperlink r:id="rId377" ref="K103"/>
    <hyperlink r:id="rId378" ref="O103"/>
    <hyperlink r:id="rId379" ref="G104"/>
    <hyperlink r:id="rId380" ref="J104"/>
    <hyperlink r:id="rId381" ref="K104"/>
    <hyperlink r:id="rId382" ref="O104"/>
    <hyperlink r:id="rId383" ref="G105"/>
    <hyperlink r:id="rId384" ref="J105"/>
    <hyperlink r:id="rId385" ref="K105"/>
    <hyperlink r:id="rId386" ref="O105"/>
    <hyperlink r:id="rId387" ref="G106"/>
    <hyperlink r:id="rId388" ref="J106"/>
    <hyperlink r:id="rId389" ref="K106"/>
    <hyperlink r:id="rId390" ref="O106"/>
    <hyperlink r:id="rId391" ref="G107"/>
    <hyperlink r:id="rId392" ref="J107"/>
    <hyperlink r:id="rId393" ref="K107"/>
    <hyperlink r:id="rId394" ref="O107"/>
    <hyperlink r:id="rId395" ref="G108"/>
    <hyperlink r:id="rId396" ref="J108"/>
    <hyperlink r:id="rId397" ref="K108"/>
    <hyperlink r:id="rId398" ref="O108"/>
    <hyperlink r:id="rId399" ref="G109"/>
    <hyperlink r:id="rId400" ref="J109"/>
    <hyperlink r:id="rId401" ref="K109"/>
    <hyperlink r:id="rId402" ref="O109"/>
    <hyperlink r:id="rId403" ref="G110"/>
    <hyperlink r:id="rId404" ref="J110"/>
    <hyperlink r:id="rId405" ref="K110"/>
    <hyperlink r:id="rId406" ref="O110"/>
    <hyperlink r:id="rId407" ref="G111"/>
    <hyperlink r:id="rId408" ref="J111"/>
    <hyperlink r:id="rId409" ref="K111"/>
    <hyperlink r:id="rId410" ref="O111"/>
    <hyperlink r:id="rId411" ref="G112"/>
    <hyperlink r:id="rId412" ref="J112"/>
    <hyperlink r:id="rId413" ref="K112"/>
    <hyperlink r:id="rId414" ref="O112"/>
    <hyperlink r:id="rId415" ref="G113"/>
    <hyperlink r:id="rId416" ref="J113"/>
    <hyperlink r:id="rId417" ref="K113"/>
    <hyperlink r:id="rId418" ref="O113"/>
    <hyperlink r:id="rId419" ref="G114"/>
    <hyperlink r:id="rId420" ref="J114"/>
    <hyperlink r:id="rId421" ref="K114"/>
    <hyperlink r:id="rId422" ref="O114"/>
    <hyperlink r:id="rId423" ref="G115"/>
    <hyperlink r:id="rId424" ref="J115"/>
    <hyperlink r:id="rId425" ref="K115"/>
    <hyperlink r:id="rId426" ref="O115"/>
    <hyperlink r:id="rId427" ref="G116"/>
    <hyperlink r:id="rId428" ref="J116"/>
    <hyperlink r:id="rId429" ref="K116"/>
    <hyperlink r:id="rId430" ref="O116"/>
    <hyperlink r:id="rId431" ref="G117"/>
    <hyperlink r:id="rId432" ref="J117"/>
    <hyperlink r:id="rId433" ref="K117"/>
    <hyperlink r:id="rId434" ref="O117"/>
    <hyperlink r:id="rId435" ref="G118"/>
    <hyperlink r:id="rId436" ref="J118"/>
    <hyperlink r:id="rId437" ref="K118"/>
    <hyperlink r:id="rId438" ref="O118"/>
    <hyperlink r:id="rId439" ref="G119"/>
    <hyperlink r:id="rId440" ref="J119"/>
    <hyperlink r:id="rId441" ref="K119"/>
    <hyperlink r:id="rId442" ref="O119"/>
    <hyperlink r:id="rId443" ref="G120"/>
    <hyperlink r:id="rId444" ref="J120"/>
    <hyperlink r:id="rId445" ref="K120"/>
    <hyperlink r:id="rId446" ref="O120"/>
    <hyperlink r:id="rId447" ref="G121"/>
    <hyperlink r:id="rId448" ref="J121"/>
    <hyperlink r:id="rId449" ref="K121"/>
    <hyperlink r:id="rId450" ref="O121"/>
    <hyperlink r:id="rId451" ref="G122"/>
    <hyperlink r:id="rId452" ref="J122"/>
    <hyperlink r:id="rId453" ref="K122"/>
    <hyperlink r:id="rId454" ref="O122"/>
    <hyperlink r:id="rId455" ref="G123"/>
    <hyperlink r:id="rId456" ref="J123"/>
    <hyperlink r:id="rId457" ref="K123"/>
    <hyperlink r:id="rId458" ref="O123"/>
    <hyperlink r:id="rId459" ref="G124"/>
    <hyperlink r:id="rId460" ref="J124"/>
    <hyperlink r:id="rId461" ref="K124"/>
    <hyperlink r:id="rId462" ref="O124"/>
    <hyperlink r:id="rId463" ref="G125"/>
    <hyperlink r:id="rId464" ref="J125"/>
    <hyperlink r:id="rId465" ref="K125"/>
    <hyperlink r:id="rId466" ref="O125"/>
    <hyperlink r:id="rId467" ref="G126"/>
    <hyperlink r:id="rId468" ref="J126"/>
    <hyperlink r:id="rId469" ref="K126"/>
    <hyperlink r:id="rId470" ref="O126"/>
    <hyperlink r:id="rId471" ref="G127"/>
    <hyperlink r:id="rId472" ref="J127"/>
    <hyperlink r:id="rId473" ref="K127"/>
    <hyperlink r:id="rId474" ref="O127"/>
    <hyperlink r:id="rId475" ref="G128"/>
    <hyperlink r:id="rId476" ref="J128"/>
    <hyperlink r:id="rId477" ref="K128"/>
    <hyperlink r:id="rId478" ref="O128"/>
    <hyperlink r:id="rId479" ref="F129"/>
    <hyperlink r:id="rId480" ref="G129"/>
    <hyperlink r:id="rId481" ref="J129"/>
    <hyperlink r:id="rId482" ref="K129"/>
    <hyperlink r:id="rId483" ref="O129"/>
    <hyperlink r:id="rId484" ref="G130"/>
    <hyperlink r:id="rId485" ref="J130"/>
    <hyperlink r:id="rId486" ref="K130"/>
    <hyperlink r:id="rId487" ref="O130"/>
    <hyperlink r:id="rId488" ref="G131"/>
    <hyperlink r:id="rId489" ref="J131"/>
    <hyperlink r:id="rId490" ref="K131"/>
    <hyperlink r:id="rId491" ref="O131"/>
    <hyperlink r:id="rId492" ref="J132"/>
    <hyperlink r:id="rId493" ref="K132"/>
    <hyperlink r:id="rId494" ref="O132"/>
    <hyperlink r:id="rId495" ref="J133"/>
    <hyperlink r:id="rId496" ref="K133"/>
    <hyperlink r:id="rId497" ref="O133"/>
    <hyperlink r:id="rId498" ref="J134"/>
    <hyperlink r:id="rId499" ref="K134"/>
    <hyperlink r:id="rId500" ref="O134"/>
    <hyperlink r:id="rId501" ref="G135"/>
    <hyperlink r:id="rId502" ref="J135"/>
    <hyperlink r:id="rId503" ref="K135"/>
    <hyperlink r:id="rId504" ref="O135"/>
    <hyperlink r:id="rId505" ref="G136"/>
    <hyperlink r:id="rId506" ref="J136"/>
    <hyperlink r:id="rId507" ref="K136"/>
    <hyperlink r:id="rId508" ref="O136"/>
    <hyperlink r:id="rId509" ref="G137"/>
    <hyperlink r:id="rId510" ref="J137"/>
    <hyperlink r:id="rId511" ref="K137"/>
    <hyperlink r:id="rId512" ref="O137"/>
    <hyperlink r:id="rId513" ref="G138"/>
    <hyperlink r:id="rId514" ref="J138"/>
    <hyperlink r:id="rId515" ref="K138"/>
    <hyperlink r:id="rId516" ref="O138"/>
    <hyperlink r:id="rId517" ref="G139"/>
    <hyperlink r:id="rId518" ref="J139"/>
    <hyperlink r:id="rId519" ref="K139"/>
    <hyperlink r:id="rId520" ref="O139"/>
    <hyperlink r:id="rId521" ref="G140"/>
    <hyperlink r:id="rId522" ref="J140"/>
    <hyperlink r:id="rId523" ref="K140"/>
    <hyperlink r:id="rId524" ref="O140"/>
    <hyperlink r:id="rId525" ref="G141"/>
    <hyperlink r:id="rId526" ref="J141"/>
    <hyperlink r:id="rId527" ref="K141"/>
    <hyperlink r:id="rId528" ref="O141"/>
    <hyperlink r:id="rId529" ref="G142"/>
    <hyperlink r:id="rId530" ref="J142"/>
    <hyperlink r:id="rId531" ref="K142"/>
    <hyperlink r:id="rId532" ref="O142"/>
    <hyperlink r:id="rId533" ref="G143"/>
    <hyperlink r:id="rId534" ref="J143"/>
    <hyperlink r:id="rId535" ref="K143"/>
    <hyperlink r:id="rId536" ref="O143"/>
    <hyperlink r:id="rId537" ref="G144"/>
    <hyperlink r:id="rId538" ref="J144"/>
    <hyperlink r:id="rId539" ref="K144"/>
    <hyperlink r:id="rId540" ref="O144"/>
    <hyperlink r:id="rId541" ref="G145"/>
    <hyperlink r:id="rId542" ref="J145"/>
    <hyperlink r:id="rId543" ref="K145"/>
    <hyperlink r:id="rId544" ref="O145"/>
    <hyperlink r:id="rId545" ref="G146"/>
    <hyperlink r:id="rId546" ref="J146"/>
    <hyperlink r:id="rId547" ref="K146"/>
    <hyperlink r:id="rId548" ref="O146"/>
    <hyperlink r:id="rId549" ref="G147"/>
    <hyperlink r:id="rId550" ref="J147"/>
    <hyperlink r:id="rId551" ref="K147"/>
    <hyperlink r:id="rId552" ref="O147"/>
    <hyperlink r:id="rId553" ref="G148"/>
    <hyperlink r:id="rId554" ref="J148"/>
    <hyperlink r:id="rId555" ref="K148"/>
    <hyperlink r:id="rId556" ref="O148"/>
    <hyperlink r:id="rId557" ref="G149"/>
    <hyperlink r:id="rId558" ref="J149"/>
    <hyperlink r:id="rId559" ref="K149"/>
    <hyperlink r:id="rId560" ref="O149"/>
    <hyperlink r:id="rId561" ref="G150"/>
    <hyperlink r:id="rId562" ref="J150"/>
    <hyperlink r:id="rId563" ref="K150"/>
    <hyperlink r:id="rId564" ref="O150"/>
    <hyperlink r:id="rId565" ref="G151"/>
    <hyperlink r:id="rId566" ref="J151"/>
    <hyperlink r:id="rId567" ref="K151"/>
    <hyperlink r:id="rId568" ref="O151"/>
    <hyperlink r:id="rId569" ref="G152"/>
    <hyperlink r:id="rId570" ref="J152"/>
    <hyperlink r:id="rId571" ref="K152"/>
    <hyperlink r:id="rId572" ref="G153"/>
    <hyperlink r:id="rId573" ref="J153"/>
    <hyperlink r:id="rId574" ref="K153"/>
    <hyperlink r:id="rId575" ref="G154"/>
    <hyperlink r:id="rId576" ref="J154"/>
    <hyperlink r:id="rId577" ref="K154"/>
    <hyperlink r:id="rId578" ref="G155"/>
    <hyperlink r:id="rId579" ref="J155"/>
    <hyperlink r:id="rId580" ref="K155"/>
    <hyperlink r:id="rId581" ref="G156"/>
    <hyperlink r:id="rId582" ref="J156"/>
    <hyperlink r:id="rId583" ref="K156"/>
    <hyperlink r:id="rId584" ref="G157"/>
    <hyperlink r:id="rId585" ref="J157"/>
    <hyperlink r:id="rId586" ref="K157"/>
    <hyperlink r:id="rId587" ref="G158"/>
    <hyperlink r:id="rId588" ref="J158"/>
    <hyperlink r:id="rId589" ref="K158"/>
    <hyperlink r:id="rId590" ref="G159"/>
    <hyperlink r:id="rId591" ref="J159"/>
    <hyperlink r:id="rId592" ref="K159"/>
    <hyperlink r:id="rId593" ref="G160"/>
    <hyperlink r:id="rId594" ref="J160"/>
    <hyperlink r:id="rId595" ref="K160"/>
    <hyperlink r:id="rId596" ref="G161"/>
    <hyperlink r:id="rId597" ref="J161"/>
    <hyperlink r:id="rId598" ref="K161"/>
    <hyperlink r:id="rId599" ref="G162"/>
    <hyperlink r:id="rId600" ref="J162"/>
    <hyperlink r:id="rId601" ref="K162"/>
    <hyperlink r:id="rId602" ref="G163"/>
    <hyperlink r:id="rId603" ref="J163"/>
    <hyperlink r:id="rId604" ref="K163"/>
    <hyperlink r:id="rId605" ref="G164"/>
    <hyperlink r:id="rId606" ref="J164"/>
    <hyperlink r:id="rId607" ref="K164"/>
    <hyperlink r:id="rId608" ref="J165"/>
    <hyperlink r:id="rId609" ref="G166"/>
    <hyperlink r:id="rId610" ref="J166"/>
    <hyperlink r:id="rId611" ref="K166"/>
    <hyperlink r:id="rId612" ref="G167"/>
    <hyperlink r:id="rId613" ref="J167"/>
    <hyperlink r:id="rId614" ref="K167"/>
    <hyperlink r:id="rId615" ref="G168"/>
    <hyperlink r:id="rId616" ref="J168"/>
    <hyperlink r:id="rId617" ref="K168"/>
    <hyperlink r:id="rId618" ref="G169"/>
    <hyperlink r:id="rId619" ref="J169"/>
    <hyperlink r:id="rId620" ref="K169"/>
    <hyperlink r:id="rId621" ref="G170"/>
    <hyperlink r:id="rId622" ref="J170"/>
    <hyperlink r:id="rId623" ref="K170"/>
    <hyperlink r:id="rId624" ref="G171"/>
    <hyperlink r:id="rId625" ref="J171"/>
    <hyperlink r:id="rId626" ref="K171"/>
    <hyperlink r:id="rId627" ref="G172"/>
    <hyperlink r:id="rId628" ref="J172"/>
    <hyperlink r:id="rId629" ref="K172"/>
    <hyperlink r:id="rId630" ref="G173"/>
    <hyperlink r:id="rId631" ref="J173"/>
    <hyperlink r:id="rId632" ref="K173"/>
    <hyperlink r:id="rId633" ref="J174"/>
    <hyperlink r:id="rId634" ref="K174"/>
    <hyperlink r:id="rId635" ref="G175"/>
    <hyperlink r:id="rId636" ref="J175"/>
    <hyperlink r:id="rId637" ref="G176"/>
    <hyperlink r:id="rId638" ref="J176"/>
    <hyperlink r:id="rId639" ref="G177"/>
    <hyperlink r:id="rId640" ref="J177"/>
    <hyperlink r:id="rId641" ref="G178"/>
    <hyperlink r:id="rId642" ref="J178"/>
    <hyperlink r:id="rId643" ref="J179"/>
    <hyperlink r:id="rId644" ref="G180"/>
    <hyperlink r:id="rId645" ref="J180"/>
    <hyperlink r:id="rId646" ref="G181"/>
    <hyperlink r:id="rId647" ref="J181"/>
    <hyperlink r:id="rId648" ref="G182"/>
    <hyperlink r:id="rId649" ref="J182"/>
    <hyperlink r:id="rId650" ref="G183"/>
    <hyperlink r:id="rId651" ref="J183"/>
    <hyperlink r:id="rId652" ref="G184"/>
    <hyperlink r:id="rId653" ref="J184"/>
    <hyperlink r:id="rId654" ref="G185"/>
    <hyperlink r:id="rId655" ref="J185"/>
    <hyperlink r:id="rId656" ref="G186"/>
    <hyperlink r:id="rId657" ref="J186"/>
    <hyperlink r:id="rId658" ref="G187"/>
    <hyperlink r:id="rId659" ref="J187"/>
    <hyperlink r:id="rId660" ref="G188"/>
    <hyperlink r:id="rId661" ref="J188"/>
    <hyperlink r:id="rId662" ref="G189"/>
    <hyperlink r:id="rId663" ref="J189"/>
    <hyperlink r:id="rId664" ref="G190"/>
    <hyperlink r:id="rId665" ref="J190"/>
    <hyperlink r:id="rId666" ref="G191"/>
    <hyperlink r:id="rId667" ref="J191"/>
    <hyperlink r:id="rId668" ref="G192"/>
    <hyperlink r:id="rId669" ref="J192"/>
    <hyperlink r:id="rId670" ref="G193"/>
    <hyperlink r:id="rId671" ref="J193"/>
    <hyperlink r:id="rId672" ref="G194"/>
    <hyperlink r:id="rId673" ref="J194"/>
    <hyperlink r:id="rId674" ref="K194"/>
  </hyperlinks>
  <drawing r:id="rId675"/>
  <tableParts count="8">
    <tablePart r:id="rId684"/>
    <tablePart r:id="rId685"/>
    <tablePart r:id="rId686"/>
    <tablePart r:id="rId687"/>
    <tablePart r:id="rId688"/>
    <tablePart r:id="rId689"/>
    <tablePart r:id="rId690"/>
    <tablePart r:id="rId69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8.0" topLeftCell="A9" activePane="bottomLeft" state="frozen"/>
      <selection activeCell="B10" sqref="B10" pane="bottomLeft"/>
    </sheetView>
  </sheetViews>
  <sheetFormatPr customHeight="1" defaultColWidth="14.43" defaultRowHeight="15.75" outlineLevelCol="1"/>
  <cols>
    <col customWidth="1" min="1" max="1" width="2.29"/>
    <col customWidth="1" min="2" max="2" width="29.86"/>
    <col customWidth="1" min="3" max="3" width="80.14"/>
    <col customWidth="1" min="4" max="4" width="29.14"/>
    <col customWidth="1" min="5" max="5" width="49.86"/>
    <col customWidth="1" min="6" max="6" width="30.71"/>
    <col customWidth="1" min="7" max="7" width="65.29"/>
    <col customWidth="1" min="8" max="8" width="29.0"/>
    <col customWidth="1" min="9" max="9" width="36.57"/>
    <col customWidth="1" min="10" max="15" width="33.14"/>
  </cols>
  <sheetData>
    <row r="1">
      <c r="A1" s="8" t="s">
        <v>3635</v>
      </c>
      <c r="B1" s="9" t="s">
        <v>3636</v>
      </c>
      <c r="C1" s="10"/>
      <c r="D1" s="10"/>
      <c r="E1" s="10"/>
      <c r="F1" s="11"/>
      <c r="G1" s="15"/>
      <c r="H1" s="15"/>
      <c r="I1" s="15"/>
      <c r="J1" s="18"/>
      <c r="K1" s="18"/>
      <c r="L1" s="54"/>
      <c r="M1" s="54"/>
      <c r="N1" s="54"/>
      <c r="O1" s="54"/>
    </row>
    <row r="2">
      <c r="A2" s="21"/>
      <c r="B2" s="22"/>
      <c r="F2" s="24"/>
      <c r="G2" s="15"/>
      <c r="H2" s="15"/>
      <c r="I2" s="15"/>
      <c r="J2" s="18"/>
      <c r="K2" s="18"/>
      <c r="L2" s="54"/>
      <c r="M2" s="54"/>
      <c r="N2" s="54"/>
      <c r="O2" s="54"/>
    </row>
    <row r="3" ht="11.25" customHeight="1">
      <c r="A3" s="21"/>
      <c r="B3" s="22"/>
      <c r="F3" s="24"/>
      <c r="G3" s="15"/>
      <c r="H3" s="15"/>
      <c r="I3" s="15"/>
      <c r="J3" s="18"/>
      <c r="K3" s="18"/>
      <c r="L3" s="54"/>
      <c r="M3" s="54"/>
      <c r="N3" s="54"/>
      <c r="O3" s="54"/>
    </row>
    <row r="4" ht="15.0" customHeight="1">
      <c r="A4" s="21"/>
      <c r="B4" s="26"/>
      <c r="C4" s="27"/>
      <c r="D4" s="27"/>
      <c r="E4" s="27"/>
      <c r="F4" s="28"/>
      <c r="G4" s="18"/>
      <c r="H4" s="18"/>
      <c r="I4" s="18"/>
      <c r="J4" s="18"/>
      <c r="K4" s="18"/>
      <c r="L4" s="54"/>
      <c r="M4" s="54"/>
      <c r="N4" s="54"/>
      <c r="O4" s="54"/>
    </row>
    <row r="5" ht="16.5" customHeight="1">
      <c r="A5" s="21"/>
      <c r="B5" s="49" t="s">
        <v>39</v>
      </c>
      <c r="C5" s="33"/>
      <c r="D5" s="50"/>
      <c r="E5" s="50"/>
      <c r="F5" s="50"/>
      <c r="G5" s="18"/>
      <c r="H5" s="18"/>
      <c r="I5" s="18"/>
      <c r="J5" s="18"/>
      <c r="K5" s="18"/>
      <c r="L5" s="54"/>
      <c r="M5" s="54"/>
      <c r="N5" s="54"/>
      <c r="O5" s="54"/>
    </row>
    <row r="6" ht="12.0" customHeight="1">
      <c r="A6" s="106"/>
      <c r="B6" s="52"/>
      <c r="C6" s="52"/>
      <c r="D6" s="53"/>
      <c r="E6" s="107"/>
      <c r="F6" s="50"/>
      <c r="G6" s="18"/>
      <c r="H6" s="18"/>
      <c r="I6" s="18"/>
      <c r="J6" s="18"/>
      <c r="K6" s="54"/>
      <c r="L6" s="54"/>
      <c r="M6" s="54"/>
      <c r="N6" s="54"/>
      <c r="O6" s="54"/>
    </row>
    <row r="7">
      <c r="A7" s="56"/>
      <c r="B7" s="57"/>
      <c r="C7" s="58"/>
      <c r="D7" s="60"/>
      <c r="E7" s="111"/>
      <c r="F7" s="60"/>
      <c r="G7" s="61"/>
      <c r="H7" s="61"/>
      <c r="I7" s="61"/>
      <c r="J7" s="61"/>
      <c r="K7" s="61"/>
      <c r="L7" s="651"/>
      <c r="M7" s="651"/>
      <c r="N7" s="651"/>
      <c r="O7" s="651"/>
    </row>
    <row r="8">
      <c r="A8" s="67"/>
      <c r="B8" s="68" t="s">
        <v>0</v>
      </c>
      <c r="C8" s="68" t="s">
        <v>150</v>
      </c>
      <c r="D8" s="70" t="s">
        <v>152</v>
      </c>
      <c r="E8" s="70" t="s">
        <v>153</v>
      </c>
      <c r="F8" s="70" t="s">
        <v>154</v>
      </c>
      <c r="G8" s="72" t="s">
        <v>156</v>
      </c>
      <c r="H8" s="72" t="s">
        <v>158</v>
      </c>
      <c r="I8" s="72" t="s">
        <v>159</v>
      </c>
      <c r="J8" s="72" t="s">
        <v>160</v>
      </c>
      <c r="K8" s="72" t="s">
        <v>162</v>
      </c>
      <c r="L8" s="653" t="s">
        <v>163</v>
      </c>
      <c r="M8" s="653" t="s">
        <v>164</v>
      </c>
      <c r="N8" s="653" t="s">
        <v>165</v>
      </c>
      <c r="O8" s="653" t="s">
        <v>166</v>
      </c>
    </row>
    <row r="9">
      <c r="A9" s="67"/>
      <c r="B9" s="7" t="s">
        <v>595</v>
      </c>
      <c r="C9" s="195" t="s">
        <v>3653</v>
      </c>
      <c r="D9" s="195" t="s">
        <v>3654</v>
      </c>
      <c r="E9" s="195" t="s">
        <v>3655</v>
      </c>
      <c r="F9" s="165" t="s">
        <v>3656</v>
      </c>
      <c r="G9" s="658" t="s">
        <v>3657</v>
      </c>
      <c r="H9" s="659" t="s">
        <v>485</v>
      </c>
      <c r="I9" s="660" t="s">
        <v>386</v>
      </c>
      <c r="J9" s="431" t="s">
        <v>3659</v>
      </c>
      <c r="K9" s="99" t="s">
        <v>3661</v>
      </c>
      <c r="L9" s="661" t="s">
        <v>1421</v>
      </c>
      <c r="M9" s="662" t="s">
        <v>3663</v>
      </c>
      <c r="N9" s="662" t="s">
        <v>1050</v>
      </c>
      <c r="O9" s="663" t="s">
        <v>3665</v>
      </c>
    </row>
    <row r="10">
      <c r="A10" s="67"/>
      <c r="B10" s="88" t="s">
        <v>595</v>
      </c>
      <c r="C10" s="162" t="s">
        <v>3670</v>
      </c>
      <c r="D10" s="162" t="s">
        <v>3671</v>
      </c>
      <c r="E10" s="162" t="s">
        <v>410</v>
      </c>
      <c r="F10" s="162" t="s">
        <v>3672</v>
      </c>
      <c r="G10" s="664" t="s">
        <v>3673</v>
      </c>
      <c r="H10" s="665" t="s">
        <v>192</v>
      </c>
      <c r="I10" s="666" t="s">
        <v>195</v>
      </c>
      <c r="J10" s="238" t="s">
        <v>3675</v>
      </c>
      <c r="K10" s="99" t="s">
        <v>3675</v>
      </c>
      <c r="L10" s="402" t="s">
        <v>1421</v>
      </c>
      <c r="M10" s="620" t="s">
        <v>3678</v>
      </c>
      <c r="N10" s="620" t="s">
        <v>257</v>
      </c>
      <c r="O10" s="670" t="s">
        <v>3679</v>
      </c>
    </row>
    <row r="11">
      <c r="A11" s="67"/>
      <c r="B11" s="88" t="s">
        <v>595</v>
      </c>
      <c r="C11" s="165" t="s">
        <v>3684</v>
      </c>
      <c r="D11" s="165" t="s">
        <v>3685</v>
      </c>
      <c r="E11" s="165" t="s">
        <v>3686</v>
      </c>
      <c r="F11" s="165" t="s">
        <v>3687</v>
      </c>
      <c r="G11" s="671" t="s">
        <v>3688</v>
      </c>
      <c r="H11" s="672" t="s">
        <v>461</v>
      </c>
      <c r="I11" s="673" t="s">
        <v>462</v>
      </c>
      <c r="J11" s="238" t="s">
        <v>3690</v>
      </c>
      <c r="K11" s="99" t="s">
        <v>3690</v>
      </c>
      <c r="L11" s="402" t="s">
        <v>1354</v>
      </c>
      <c r="M11" s="620" t="s">
        <v>3693</v>
      </c>
      <c r="N11" s="620" t="s">
        <v>1192</v>
      </c>
      <c r="O11" s="670" t="s">
        <v>3694</v>
      </c>
    </row>
    <row r="12">
      <c r="A12" s="67"/>
      <c r="B12" s="88" t="s">
        <v>595</v>
      </c>
      <c r="C12" s="162" t="s">
        <v>3699</v>
      </c>
      <c r="D12" s="253" t="s">
        <v>3701</v>
      </c>
      <c r="E12" s="171" t="s">
        <v>3702</v>
      </c>
      <c r="F12" s="162" t="s">
        <v>3703</v>
      </c>
      <c r="G12" s="664" t="s">
        <v>3704</v>
      </c>
      <c r="H12" s="665" t="s">
        <v>461</v>
      </c>
      <c r="I12" s="666" t="s">
        <v>462</v>
      </c>
      <c r="J12" s="238" t="s">
        <v>3705</v>
      </c>
      <c r="K12" s="99" t="s">
        <v>3705</v>
      </c>
      <c r="L12" s="402" t="s">
        <v>1354</v>
      </c>
      <c r="M12" s="620" t="s">
        <v>3708</v>
      </c>
      <c r="N12" s="620" t="s">
        <v>1192</v>
      </c>
      <c r="O12" s="670" t="s">
        <v>3709</v>
      </c>
    </row>
    <row r="13">
      <c r="A13" s="67"/>
      <c r="B13" s="88" t="s">
        <v>595</v>
      </c>
      <c r="C13" s="165" t="s">
        <v>3713</v>
      </c>
      <c r="D13" s="165" t="s">
        <v>3714</v>
      </c>
      <c r="E13" s="165" t="s">
        <v>3715</v>
      </c>
      <c r="F13" s="165" t="s">
        <v>3716</v>
      </c>
      <c r="G13" s="674" t="s">
        <v>3717</v>
      </c>
      <c r="H13" s="672" t="s">
        <v>461</v>
      </c>
      <c r="I13" s="673" t="s">
        <v>462</v>
      </c>
      <c r="J13" s="238" t="s">
        <v>3719</v>
      </c>
      <c r="K13" s="99" t="s">
        <v>3719</v>
      </c>
      <c r="L13" s="402" t="s">
        <v>1354</v>
      </c>
      <c r="M13" s="620" t="s">
        <v>3721</v>
      </c>
      <c r="N13" s="620" t="s">
        <v>1192</v>
      </c>
      <c r="O13" s="670" t="s">
        <v>3723</v>
      </c>
    </row>
    <row r="14">
      <c r="A14" s="67"/>
      <c r="B14" s="88" t="s">
        <v>595</v>
      </c>
      <c r="C14" s="162" t="s">
        <v>3726</v>
      </c>
      <c r="D14" s="162" t="s">
        <v>3728</v>
      </c>
      <c r="E14" s="162" t="s">
        <v>3730</v>
      </c>
      <c r="F14" s="162" t="s">
        <v>500</v>
      </c>
      <c r="G14" s="244" t="s">
        <v>3731</v>
      </c>
      <c r="H14" s="665" t="s">
        <v>461</v>
      </c>
      <c r="I14" s="665" t="s">
        <v>462</v>
      </c>
      <c r="J14" s="238" t="s">
        <v>3733</v>
      </c>
      <c r="K14" s="99" t="s">
        <v>3733</v>
      </c>
      <c r="L14" s="402" t="s">
        <v>1354</v>
      </c>
      <c r="M14" s="620" t="s">
        <v>3736</v>
      </c>
      <c r="N14" s="620" t="s">
        <v>1192</v>
      </c>
      <c r="O14" s="670" t="s">
        <v>3737</v>
      </c>
    </row>
    <row r="15">
      <c r="A15" s="67"/>
      <c r="B15" s="88" t="s">
        <v>595</v>
      </c>
      <c r="C15" s="165" t="s">
        <v>3738</v>
      </c>
      <c r="D15" s="165" t="s">
        <v>3740</v>
      </c>
      <c r="E15" s="212" t="s">
        <v>3741</v>
      </c>
      <c r="F15" s="212" t="s">
        <v>437</v>
      </c>
      <c r="G15" s="236" t="s">
        <v>439</v>
      </c>
      <c r="H15" s="672" t="s">
        <v>461</v>
      </c>
      <c r="I15" s="672" t="s">
        <v>462</v>
      </c>
      <c r="J15" s="238" t="s">
        <v>3746</v>
      </c>
      <c r="K15" s="99" t="s">
        <v>3746</v>
      </c>
      <c r="L15" s="402" t="s">
        <v>2180</v>
      </c>
      <c r="M15" s="620" t="s">
        <v>3748</v>
      </c>
      <c r="N15" s="620" t="s">
        <v>1192</v>
      </c>
      <c r="O15" s="670" t="s">
        <v>3749</v>
      </c>
    </row>
    <row r="16">
      <c r="A16" s="67"/>
      <c r="B16" s="88" t="s">
        <v>595</v>
      </c>
      <c r="C16" s="162" t="s">
        <v>3754</v>
      </c>
      <c r="D16" s="162" t="s">
        <v>3756</v>
      </c>
      <c r="E16" s="210" t="s">
        <v>3759</v>
      </c>
      <c r="F16" s="210" t="s">
        <v>3760</v>
      </c>
      <c r="G16" s="244" t="s">
        <v>3761</v>
      </c>
      <c r="H16" s="665" t="s">
        <v>461</v>
      </c>
      <c r="I16" s="665" t="s">
        <v>462</v>
      </c>
      <c r="J16" s="431" t="s">
        <v>3763</v>
      </c>
      <c r="K16" s="99" t="s">
        <v>3763</v>
      </c>
      <c r="L16" s="402" t="s">
        <v>2180</v>
      </c>
      <c r="M16" s="620" t="s">
        <v>3764</v>
      </c>
      <c r="N16" s="620" t="s">
        <v>1192</v>
      </c>
      <c r="O16" s="670" t="s">
        <v>3765</v>
      </c>
    </row>
    <row r="17">
      <c r="A17" s="67"/>
      <c r="B17" s="88" t="s">
        <v>595</v>
      </c>
      <c r="C17" s="165" t="s">
        <v>3771</v>
      </c>
      <c r="D17" s="165" t="s">
        <v>3772</v>
      </c>
      <c r="E17" s="212" t="s">
        <v>3773</v>
      </c>
      <c r="F17" s="212" t="s">
        <v>1484</v>
      </c>
      <c r="G17" s="236" t="s">
        <v>3774</v>
      </c>
      <c r="H17" s="237" t="s">
        <v>461</v>
      </c>
      <c r="I17" s="672" t="s">
        <v>462</v>
      </c>
      <c r="J17" s="238" t="s">
        <v>3782</v>
      </c>
      <c r="K17" s="99" t="s">
        <v>3782</v>
      </c>
      <c r="L17" s="402" t="s">
        <v>2180</v>
      </c>
      <c r="M17" s="620" t="s">
        <v>3784</v>
      </c>
      <c r="N17" s="620" t="s">
        <v>1192</v>
      </c>
      <c r="O17" s="670" t="s">
        <v>3785</v>
      </c>
    </row>
    <row r="18">
      <c r="A18" s="67"/>
      <c r="B18" s="88" t="s">
        <v>595</v>
      </c>
      <c r="C18" s="162" t="s">
        <v>3793</v>
      </c>
      <c r="D18" s="162" t="s">
        <v>3794</v>
      </c>
      <c r="E18" s="210" t="s">
        <v>3795</v>
      </c>
      <c r="F18" s="210" t="s">
        <v>3796</v>
      </c>
      <c r="G18" s="244" t="s">
        <v>3797</v>
      </c>
      <c r="H18" s="246" t="s">
        <v>461</v>
      </c>
      <c r="I18" s="246" t="s">
        <v>462</v>
      </c>
      <c r="J18" s="238" t="s">
        <v>3800</v>
      </c>
      <c r="K18" s="99" t="s">
        <v>3800</v>
      </c>
      <c r="L18" s="402" t="s">
        <v>2180</v>
      </c>
      <c r="M18" s="620" t="s">
        <v>3804</v>
      </c>
      <c r="N18" s="620" t="s">
        <v>791</v>
      </c>
      <c r="O18" s="670" t="s">
        <v>3805</v>
      </c>
    </row>
    <row r="19">
      <c r="A19" s="67"/>
      <c r="B19" s="88" t="s">
        <v>595</v>
      </c>
      <c r="C19" s="165" t="s">
        <v>3807</v>
      </c>
      <c r="D19" s="165" t="s">
        <v>3808</v>
      </c>
      <c r="E19" s="212" t="s">
        <v>3809</v>
      </c>
      <c r="F19" s="212" t="s">
        <v>1100</v>
      </c>
      <c r="G19" s="236" t="s">
        <v>3810</v>
      </c>
      <c r="H19" s="237" t="s">
        <v>485</v>
      </c>
      <c r="I19" s="237" t="s">
        <v>486</v>
      </c>
      <c r="J19" s="238" t="s">
        <v>3817</v>
      </c>
      <c r="K19" s="99" t="s">
        <v>3817</v>
      </c>
      <c r="L19" s="402" t="s">
        <v>2180</v>
      </c>
      <c r="M19" s="620" t="s">
        <v>3821</v>
      </c>
      <c r="N19" s="620" t="s">
        <v>493</v>
      </c>
      <c r="O19" s="670" t="s">
        <v>3823</v>
      </c>
    </row>
    <row r="20">
      <c r="A20" s="67"/>
      <c r="B20" s="88" t="s">
        <v>595</v>
      </c>
      <c r="C20" s="162" t="s">
        <v>3830</v>
      </c>
      <c r="D20" s="162" t="s">
        <v>3831</v>
      </c>
      <c r="E20" s="210" t="s">
        <v>3832</v>
      </c>
      <c r="F20" s="210" t="s">
        <v>948</v>
      </c>
      <c r="G20" s="244" t="s">
        <v>3833</v>
      </c>
      <c r="H20" s="246" t="s">
        <v>192</v>
      </c>
      <c r="I20" s="246" t="s">
        <v>350</v>
      </c>
      <c r="J20" s="238" t="s">
        <v>3840</v>
      </c>
      <c r="K20" s="99" t="s">
        <v>3840</v>
      </c>
      <c r="L20" s="402" t="s">
        <v>1421</v>
      </c>
      <c r="M20" s="620" t="s">
        <v>3842</v>
      </c>
      <c r="N20" s="620" t="s">
        <v>352</v>
      </c>
      <c r="O20" s="670" t="s">
        <v>3844</v>
      </c>
    </row>
    <row r="21">
      <c r="A21" s="67"/>
      <c r="B21" s="88" t="s">
        <v>595</v>
      </c>
      <c r="C21" s="165" t="s">
        <v>3850</v>
      </c>
      <c r="D21" s="165" t="s">
        <v>3851</v>
      </c>
      <c r="E21" s="165" t="s">
        <v>3852</v>
      </c>
      <c r="F21" s="212" t="s">
        <v>3853</v>
      </c>
      <c r="G21" s="236" t="s">
        <v>3854</v>
      </c>
      <c r="H21" s="237" t="s">
        <v>192</v>
      </c>
      <c r="I21" s="237" t="s">
        <v>195</v>
      </c>
      <c r="J21" s="238" t="s">
        <v>3855</v>
      </c>
      <c r="K21" s="99" t="s">
        <v>3855</v>
      </c>
      <c r="L21" s="100">
        <v>2.0</v>
      </c>
      <c r="M21" s="101">
        <v>45127.0</v>
      </c>
      <c r="N21" s="102" t="s">
        <v>208</v>
      </c>
      <c r="O21" s="371" t="s">
        <v>3864</v>
      </c>
    </row>
    <row r="22">
      <c r="A22" s="67"/>
      <c r="B22" s="88" t="s">
        <v>595</v>
      </c>
      <c r="C22" s="162" t="s">
        <v>3868</v>
      </c>
      <c r="D22" s="162" t="s">
        <v>3869</v>
      </c>
      <c r="E22" s="162" t="s">
        <v>3870</v>
      </c>
      <c r="F22" s="210" t="s">
        <v>3871</v>
      </c>
      <c r="G22" s="244" t="s">
        <v>3874</v>
      </c>
      <c r="H22" s="246" t="s">
        <v>192</v>
      </c>
      <c r="I22" s="246" t="s">
        <v>195</v>
      </c>
      <c r="J22" s="238" t="s">
        <v>3879</v>
      </c>
      <c r="K22" s="99" t="s">
        <v>3879</v>
      </c>
      <c r="L22" s="100">
        <v>3.0</v>
      </c>
      <c r="M22" s="101">
        <v>45134.0</v>
      </c>
      <c r="N22" s="102" t="s">
        <v>257</v>
      </c>
      <c r="O22" s="371" t="s">
        <v>3882</v>
      </c>
    </row>
    <row r="23">
      <c r="A23" s="67"/>
      <c r="B23" s="88" t="s">
        <v>595</v>
      </c>
      <c r="C23" s="165" t="s">
        <v>3883</v>
      </c>
      <c r="D23" s="165" t="s">
        <v>3884</v>
      </c>
      <c r="E23" s="165" t="s">
        <v>3885</v>
      </c>
      <c r="F23" s="212" t="s">
        <v>490</v>
      </c>
      <c r="G23" s="236" t="s">
        <v>3887</v>
      </c>
      <c r="H23" s="237" t="s">
        <v>461</v>
      </c>
      <c r="I23" s="237" t="s">
        <v>462</v>
      </c>
      <c r="J23" s="238" t="s">
        <v>3891</v>
      </c>
      <c r="K23" s="99" t="s">
        <v>3891</v>
      </c>
      <c r="L23" s="402" t="s">
        <v>1354</v>
      </c>
      <c r="M23" s="620" t="s">
        <v>3893</v>
      </c>
      <c r="N23" s="620" t="s">
        <v>1192</v>
      </c>
      <c r="O23" s="620" t="s">
        <v>3894</v>
      </c>
    </row>
    <row r="24">
      <c r="A24" s="67"/>
      <c r="B24" s="88" t="s">
        <v>595</v>
      </c>
      <c r="C24" s="162" t="s">
        <v>3895</v>
      </c>
      <c r="D24" s="162" t="s">
        <v>3896</v>
      </c>
      <c r="E24" s="162" t="s">
        <v>3897</v>
      </c>
      <c r="F24" s="253" t="s">
        <v>3898</v>
      </c>
      <c r="G24" s="244" t="s">
        <v>3900</v>
      </c>
      <c r="H24" s="246" t="s">
        <v>461</v>
      </c>
      <c r="I24" s="602" t="s">
        <v>462</v>
      </c>
      <c r="J24" s="238" t="s">
        <v>3908</v>
      </c>
      <c r="K24" s="99" t="s">
        <v>3908</v>
      </c>
      <c r="L24" s="402" t="s">
        <v>2180</v>
      </c>
      <c r="M24" s="620" t="s">
        <v>3911</v>
      </c>
      <c r="N24" s="620" t="s">
        <v>791</v>
      </c>
      <c r="O24" s="670" t="s">
        <v>3912</v>
      </c>
    </row>
    <row r="25">
      <c r="A25" s="67"/>
      <c r="B25" s="88" t="s">
        <v>595</v>
      </c>
      <c r="C25" s="165" t="s">
        <v>3917</v>
      </c>
      <c r="D25" s="165" t="s">
        <v>3918</v>
      </c>
      <c r="E25" s="694" t="s">
        <v>3920</v>
      </c>
      <c r="F25" s="165" t="s">
        <v>1455</v>
      </c>
      <c r="G25" s="236" t="s">
        <v>3922</v>
      </c>
      <c r="H25" s="672" t="s">
        <v>461</v>
      </c>
      <c r="I25" s="672" t="s">
        <v>462</v>
      </c>
      <c r="J25" s="238" t="s">
        <v>3924</v>
      </c>
      <c r="K25" s="99" t="s">
        <v>3924</v>
      </c>
      <c r="L25" s="402" t="s">
        <v>1354</v>
      </c>
      <c r="M25" s="620" t="s">
        <v>3925</v>
      </c>
      <c r="N25" s="620" t="s">
        <v>1192</v>
      </c>
      <c r="O25" s="670" t="s">
        <v>3927</v>
      </c>
    </row>
    <row r="26">
      <c r="A26" s="67"/>
      <c r="B26" s="88" t="s">
        <v>595</v>
      </c>
      <c r="C26" s="162" t="s">
        <v>3933</v>
      </c>
      <c r="D26" s="162" t="s">
        <v>3934</v>
      </c>
      <c r="E26" s="210" t="s">
        <v>2186</v>
      </c>
      <c r="F26" s="210" t="s">
        <v>3935</v>
      </c>
      <c r="G26" s="244" t="s">
        <v>3936</v>
      </c>
      <c r="H26" s="246" t="s">
        <v>485</v>
      </c>
      <c r="I26" s="246" t="s">
        <v>486</v>
      </c>
      <c r="J26" s="238" t="s">
        <v>3938</v>
      </c>
      <c r="K26" s="99" t="s">
        <v>3938</v>
      </c>
      <c r="L26" s="402" t="s">
        <v>1578</v>
      </c>
      <c r="M26" s="620" t="s">
        <v>3939</v>
      </c>
      <c r="N26" s="620" t="s">
        <v>1027</v>
      </c>
      <c r="O26" s="670" t="s">
        <v>3940</v>
      </c>
    </row>
    <row r="27">
      <c r="A27" s="67"/>
      <c r="B27" s="88" t="s">
        <v>595</v>
      </c>
      <c r="C27" s="165" t="s">
        <v>3947</v>
      </c>
      <c r="D27" s="165" t="s">
        <v>3948</v>
      </c>
      <c r="E27" s="212" t="s">
        <v>3949</v>
      </c>
      <c r="F27" s="212" t="s">
        <v>727</v>
      </c>
      <c r="G27" s="236" t="s">
        <v>3950</v>
      </c>
      <c r="H27" s="237" t="s">
        <v>461</v>
      </c>
      <c r="I27" s="237" t="s">
        <v>462</v>
      </c>
      <c r="J27" s="238" t="s">
        <v>3952</v>
      </c>
      <c r="K27" s="99" t="s">
        <v>3952</v>
      </c>
      <c r="L27" s="402" t="s">
        <v>1354</v>
      </c>
      <c r="M27" s="620" t="s">
        <v>3962</v>
      </c>
      <c r="N27" s="620" t="s">
        <v>1192</v>
      </c>
      <c r="O27" s="670" t="s">
        <v>3963</v>
      </c>
    </row>
    <row r="28">
      <c r="A28" s="67"/>
      <c r="B28" s="703" t="s">
        <v>595</v>
      </c>
      <c r="C28" s="162" t="s">
        <v>3966</v>
      </c>
      <c r="D28" s="162" t="s">
        <v>3967</v>
      </c>
      <c r="E28" s="210" t="s">
        <v>1340</v>
      </c>
      <c r="F28" s="210" t="s">
        <v>3968</v>
      </c>
      <c r="G28" s="244" t="s">
        <v>3969</v>
      </c>
      <c r="H28" s="246" t="s">
        <v>192</v>
      </c>
      <c r="I28" s="246" t="s">
        <v>195</v>
      </c>
      <c r="J28" s="238" t="s">
        <v>3972</v>
      </c>
      <c r="K28" s="99" t="s">
        <v>3972</v>
      </c>
      <c r="L28" s="402" t="s">
        <v>1421</v>
      </c>
      <c r="M28" s="620" t="s">
        <v>3974</v>
      </c>
      <c r="N28" s="620" t="s">
        <v>362</v>
      </c>
      <c r="O28" s="670" t="s">
        <v>3976</v>
      </c>
    </row>
    <row r="29">
      <c r="A29" s="67"/>
      <c r="B29" s="88" t="s">
        <v>595</v>
      </c>
      <c r="C29" s="165" t="s">
        <v>3978</v>
      </c>
      <c r="D29" s="165" t="s">
        <v>3979</v>
      </c>
      <c r="E29" s="212" t="s">
        <v>3980</v>
      </c>
      <c r="F29" s="212" t="s">
        <v>3981</v>
      </c>
      <c r="G29" s="236" t="s">
        <v>3983</v>
      </c>
      <c r="H29" s="711" t="s">
        <v>461</v>
      </c>
      <c r="I29" s="711" t="s">
        <v>462</v>
      </c>
      <c r="J29" s="238" t="s">
        <v>3988</v>
      </c>
      <c r="K29" s="99" t="s">
        <v>3988</v>
      </c>
      <c r="L29" s="402" t="s">
        <v>1354</v>
      </c>
      <c r="M29" s="620" t="s">
        <v>3991</v>
      </c>
      <c r="N29" s="620" t="s">
        <v>1192</v>
      </c>
      <c r="O29" s="670" t="s">
        <v>3992</v>
      </c>
    </row>
    <row r="30">
      <c r="A30" s="67"/>
      <c r="B30" s="88" t="s">
        <v>595</v>
      </c>
      <c r="C30" s="162" t="s">
        <v>3999</v>
      </c>
      <c r="D30" s="162" t="s">
        <v>4000</v>
      </c>
      <c r="E30" s="210" t="s">
        <v>4001</v>
      </c>
      <c r="F30" s="210" t="s">
        <v>948</v>
      </c>
      <c r="G30" s="244" t="s">
        <v>4004</v>
      </c>
      <c r="H30" s="712" t="s">
        <v>192</v>
      </c>
      <c r="I30" s="712" t="s">
        <v>195</v>
      </c>
      <c r="J30" s="431" t="s">
        <v>4005</v>
      </c>
      <c r="K30" s="99" t="s">
        <v>4005</v>
      </c>
      <c r="L30" s="402" t="s">
        <v>1421</v>
      </c>
      <c r="M30" s="620" t="s">
        <v>4010</v>
      </c>
      <c r="N30" s="620" t="s">
        <v>257</v>
      </c>
      <c r="O30" s="670" t="s">
        <v>4011</v>
      </c>
    </row>
    <row r="31">
      <c r="A31" s="67"/>
      <c r="B31" s="88" t="s">
        <v>595</v>
      </c>
      <c r="C31" s="165" t="s">
        <v>4018</v>
      </c>
      <c r="D31" s="165" t="s">
        <v>4020</v>
      </c>
      <c r="E31" s="165" t="s">
        <v>447</v>
      </c>
      <c r="F31" s="165" t="s">
        <v>447</v>
      </c>
      <c r="G31" s="236" t="s">
        <v>4021</v>
      </c>
      <c r="H31" s="711" t="s">
        <v>192</v>
      </c>
      <c r="I31" s="711" t="s">
        <v>195</v>
      </c>
      <c r="J31" s="238" t="s">
        <v>4026</v>
      </c>
      <c r="K31" s="99" t="s">
        <v>4026</v>
      </c>
      <c r="L31" s="402" t="s">
        <v>1806</v>
      </c>
      <c r="M31" s="620" t="s">
        <v>4029</v>
      </c>
      <c r="N31" s="620" t="s">
        <v>257</v>
      </c>
      <c r="O31" s="670" t="s">
        <v>4031</v>
      </c>
    </row>
    <row r="32">
      <c r="A32" s="67"/>
      <c r="B32" s="205" t="s">
        <v>595</v>
      </c>
      <c r="C32" s="162" t="s">
        <v>4035</v>
      </c>
      <c r="D32" s="162" t="s">
        <v>4036</v>
      </c>
      <c r="E32" s="162" t="s">
        <v>1913</v>
      </c>
      <c r="F32" s="162" t="s">
        <v>4037</v>
      </c>
      <c r="G32" s="244" t="s">
        <v>4039</v>
      </c>
      <c r="H32" s="246" t="s">
        <v>192</v>
      </c>
      <c r="I32" s="246" t="s">
        <v>195</v>
      </c>
      <c r="J32" s="238" t="s">
        <v>4042</v>
      </c>
      <c r="K32" s="99" t="s">
        <v>4042</v>
      </c>
      <c r="L32" s="402" t="s">
        <v>2180</v>
      </c>
      <c r="M32" s="620" t="s">
        <v>4043</v>
      </c>
      <c r="N32" s="620" t="s">
        <v>257</v>
      </c>
      <c r="O32" s="670" t="s">
        <v>4045</v>
      </c>
    </row>
    <row r="33">
      <c r="A33" s="67"/>
      <c r="B33" s="213" t="s">
        <v>595</v>
      </c>
      <c r="C33" s="165" t="s">
        <v>4052</v>
      </c>
      <c r="D33" s="165" t="s">
        <v>4053</v>
      </c>
      <c r="E33" s="165" t="s">
        <v>1039</v>
      </c>
      <c r="F33" s="165" t="s">
        <v>4054</v>
      </c>
      <c r="G33" s="236" t="s">
        <v>4055</v>
      </c>
      <c r="H33" s="237" t="s">
        <v>485</v>
      </c>
      <c r="I33" s="237" t="s">
        <v>486</v>
      </c>
      <c r="J33" s="238" t="s">
        <v>4057</v>
      </c>
      <c r="K33" s="99" t="s">
        <v>4057</v>
      </c>
      <c r="L33" s="402" t="s">
        <v>1421</v>
      </c>
      <c r="M33" s="620" t="s">
        <v>4059</v>
      </c>
      <c r="N33" s="620" t="s">
        <v>482</v>
      </c>
      <c r="O33" s="670" t="s">
        <v>4062</v>
      </c>
    </row>
    <row r="34">
      <c r="A34" s="67"/>
      <c r="B34" s="213" t="s">
        <v>595</v>
      </c>
      <c r="C34" s="162" t="s">
        <v>4071</v>
      </c>
      <c r="D34" s="162" t="s">
        <v>4072</v>
      </c>
      <c r="E34" s="162" t="s">
        <v>4073</v>
      </c>
      <c r="F34" s="162" t="s">
        <v>4074</v>
      </c>
      <c r="G34" s="244" t="s">
        <v>4075</v>
      </c>
      <c r="H34" s="246" t="s">
        <v>485</v>
      </c>
      <c r="I34" s="246" t="s">
        <v>386</v>
      </c>
      <c r="J34" s="238" t="s">
        <v>4076</v>
      </c>
      <c r="K34" s="160" t="s">
        <v>4076</v>
      </c>
      <c r="L34" s="402" t="s">
        <v>1421</v>
      </c>
      <c r="M34" s="620" t="s">
        <v>4085</v>
      </c>
      <c r="N34" s="620" t="s">
        <v>1050</v>
      </c>
      <c r="O34" s="670" t="s">
        <v>4087</v>
      </c>
    </row>
    <row r="35">
      <c r="A35" s="67"/>
      <c r="B35" s="213" t="s">
        <v>595</v>
      </c>
      <c r="C35" s="165" t="s">
        <v>4091</v>
      </c>
      <c r="D35" s="165" t="s">
        <v>4092</v>
      </c>
      <c r="E35" s="165" t="s">
        <v>1039</v>
      </c>
      <c r="F35" s="165" t="s">
        <v>3672</v>
      </c>
      <c r="G35" s="236" t="s">
        <v>3673</v>
      </c>
      <c r="H35" s="237" t="s">
        <v>192</v>
      </c>
      <c r="I35" s="237" t="s">
        <v>350</v>
      </c>
      <c r="J35" s="238" t="s">
        <v>4093</v>
      </c>
      <c r="K35" s="99" t="s">
        <v>4093</v>
      </c>
      <c r="L35" s="730">
        <v>2.0</v>
      </c>
      <c r="M35" s="731">
        <v>45225.0</v>
      </c>
      <c r="N35" s="373" t="s">
        <v>352</v>
      </c>
      <c r="O35" s="733" t="s">
        <v>4098</v>
      </c>
    </row>
    <row r="36">
      <c r="A36" s="67"/>
      <c r="B36" s="213" t="s">
        <v>595</v>
      </c>
      <c r="C36" s="162" t="s">
        <v>4101</v>
      </c>
      <c r="D36" s="162" t="s">
        <v>4102</v>
      </c>
      <c r="E36" s="162" t="s">
        <v>1155</v>
      </c>
      <c r="F36" s="162" t="s">
        <v>4103</v>
      </c>
      <c r="G36" s="244" t="s">
        <v>4104</v>
      </c>
      <c r="H36" s="246" t="s">
        <v>485</v>
      </c>
      <c r="I36" s="246" t="s">
        <v>386</v>
      </c>
      <c r="J36" s="238" t="s">
        <v>4107</v>
      </c>
      <c r="K36" s="99" t="s">
        <v>4107</v>
      </c>
      <c r="L36" s="402" t="s">
        <v>2337</v>
      </c>
      <c r="M36" s="620" t="s">
        <v>4112</v>
      </c>
      <c r="N36" s="620" t="s">
        <v>1050</v>
      </c>
      <c r="O36" s="670" t="s">
        <v>4114</v>
      </c>
    </row>
    <row r="37">
      <c r="A37" s="67"/>
      <c r="B37" s="213" t="s">
        <v>595</v>
      </c>
      <c r="C37" s="165" t="s">
        <v>4115</v>
      </c>
      <c r="D37" s="165" t="s">
        <v>4116</v>
      </c>
      <c r="E37" s="165" t="s">
        <v>4117</v>
      </c>
      <c r="F37" s="165" t="s">
        <v>1962</v>
      </c>
      <c r="G37" s="236" t="s">
        <v>4119</v>
      </c>
      <c r="H37" s="237" t="s">
        <v>192</v>
      </c>
      <c r="I37" s="237" t="s">
        <v>195</v>
      </c>
      <c r="J37" s="238" t="s">
        <v>4125</v>
      </c>
      <c r="K37" s="99" t="s">
        <v>4125</v>
      </c>
      <c r="L37" s="402" t="s">
        <v>2180</v>
      </c>
      <c r="M37" s="620" t="s">
        <v>4128</v>
      </c>
      <c r="N37" s="620" t="s">
        <v>257</v>
      </c>
      <c r="O37" s="670" t="s">
        <v>4129</v>
      </c>
    </row>
    <row r="38">
      <c r="A38" s="67"/>
      <c r="B38" s="205" t="s">
        <v>595</v>
      </c>
      <c r="C38" s="162" t="s">
        <v>4133</v>
      </c>
      <c r="D38" s="162" t="s">
        <v>4135</v>
      </c>
      <c r="E38" s="162" t="s">
        <v>4137</v>
      </c>
      <c r="F38" s="162" t="s">
        <v>4103</v>
      </c>
      <c r="G38" s="244" t="s">
        <v>4138</v>
      </c>
      <c r="H38" s="246" t="s">
        <v>192</v>
      </c>
      <c r="I38" s="246" t="s">
        <v>195</v>
      </c>
      <c r="J38" s="238" t="s">
        <v>4143</v>
      </c>
      <c r="K38" s="99" t="s">
        <v>4143</v>
      </c>
      <c r="L38" s="402" t="s">
        <v>1421</v>
      </c>
      <c r="M38" s="620" t="s">
        <v>4149</v>
      </c>
      <c r="N38" s="620" t="s">
        <v>257</v>
      </c>
      <c r="O38" s="670" t="s">
        <v>4150</v>
      </c>
    </row>
    <row r="39">
      <c r="A39" s="67"/>
      <c r="B39" s="213" t="s">
        <v>595</v>
      </c>
      <c r="C39" s="165" t="s">
        <v>4155</v>
      </c>
      <c r="D39" s="165" t="s">
        <v>4135</v>
      </c>
      <c r="E39" s="165" t="s">
        <v>4137</v>
      </c>
      <c r="F39" s="165" t="s">
        <v>4103</v>
      </c>
      <c r="G39" s="236" t="s">
        <v>4138</v>
      </c>
      <c r="H39" s="237" t="s">
        <v>192</v>
      </c>
      <c r="I39" s="237" t="s">
        <v>195</v>
      </c>
      <c r="J39" s="238" t="s">
        <v>4158</v>
      </c>
      <c r="K39" s="99" t="s">
        <v>4158</v>
      </c>
      <c r="L39" s="402" t="s">
        <v>2180</v>
      </c>
      <c r="M39" s="620" t="s">
        <v>4165</v>
      </c>
      <c r="N39" s="620" t="s">
        <v>257</v>
      </c>
      <c r="O39" s="670" t="s">
        <v>4166</v>
      </c>
    </row>
    <row r="40">
      <c r="A40" s="67"/>
      <c r="B40" s="213" t="s">
        <v>595</v>
      </c>
      <c r="C40" s="162" t="s">
        <v>4171</v>
      </c>
      <c r="D40" s="162" t="s">
        <v>4172</v>
      </c>
      <c r="E40" s="162" t="s">
        <v>1870</v>
      </c>
      <c r="F40" s="162" t="s">
        <v>4174</v>
      </c>
      <c r="G40" s="244" t="s">
        <v>4176</v>
      </c>
      <c r="H40" s="246" t="s">
        <v>461</v>
      </c>
      <c r="I40" s="246" t="s">
        <v>462</v>
      </c>
      <c r="J40" s="238" t="s">
        <v>4182</v>
      </c>
      <c r="K40" s="99" t="s">
        <v>4182</v>
      </c>
      <c r="L40" s="402" t="s">
        <v>1421</v>
      </c>
      <c r="M40" s="620" t="s">
        <v>4189</v>
      </c>
      <c r="N40" s="620" t="s">
        <v>880</v>
      </c>
      <c r="O40" s="670" t="s">
        <v>4190</v>
      </c>
    </row>
    <row r="41">
      <c r="A41" s="67"/>
      <c r="B41" s="213" t="s">
        <v>595</v>
      </c>
      <c r="C41" s="165" t="s">
        <v>4197</v>
      </c>
      <c r="D41" s="165" t="s">
        <v>1102</v>
      </c>
      <c r="E41" s="165" t="s">
        <v>4198</v>
      </c>
      <c r="F41" s="165" t="s">
        <v>4199</v>
      </c>
      <c r="G41" s="236" t="s">
        <v>1107</v>
      </c>
      <c r="H41" s="237" t="s">
        <v>192</v>
      </c>
      <c r="I41" s="237" t="s">
        <v>195</v>
      </c>
      <c r="J41" s="238" t="s">
        <v>4201</v>
      </c>
      <c r="K41" s="99" t="s">
        <v>4201</v>
      </c>
      <c r="L41" s="402" t="s">
        <v>1578</v>
      </c>
      <c r="M41" s="620" t="s">
        <v>4210</v>
      </c>
      <c r="N41" s="620" t="s">
        <v>257</v>
      </c>
      <c r="O41" s="670" t="s">
        <v>4211</v>
      </c>
    </row>
    <row r="42">
      <c r="A42" s="67"/>
      <c r="B42" s="213" t="s">
        <v>595</v>
      </c>
      <c r="C42" s="162" t="s">
        <v>4214</v>
      </c>
      <c r="D42" s="162" t="s">
        <v>4215</v>
      </c>
      <c r="E42" s="162" t="s">
        <v>3460</v>
      </c>
      <c r="F42" s="162" t="s">
        <v>537</v>
      </c>
      <c r="G42" s="244" t="s">
        <v>4216</v>
      </c>
      <c r="H42" s="246" t="s">
        <v>192</v>
      </c>
      <c r="I42" s="246" t="s">
        <v>195</v>
      </c>
      <c r="J42" s="238" t="s">
        <v>4226</v>
      </c>
      <c r="K42" s="99" t="s">
        <v>4226</v>
      </c>
      <c r="L42" s="730">
        <v>1.0</v>
      </c>
      <c r="M42" s="731">
        <v>45274.0</v>
      </c>
      <c r="N42" s="373" t="s">
        <v>257</v>
      </c>
      <c r="O42" s="733" t="s">
        <v>4231</v>
      </c>
    </row>
    <row r="43">
      <c r="A43" s="67"/>
      <c r="B43" s="222" t="s">
        <v>595</v>
      </c>
      <c r="C43" s="245" t="s">
        <v>4232</v>
      </c>
      <c r="D43" s="245" t="s">
        <v>4234</v>
      </c>
      <c r="E43" s="245" t="s">
        <v>4235</v>
      </c>
      <c r="F43" s="245" t="s">
        <v>4236</v>
      </c>
      <c r="G43" s="297" t="s">
        <v>4237</v>
      </c>
      <c r="H43" s="298" t="s">
        <v>485</v>
      </c>
      <c r="I43" s="298" t="s">
        <v>386</v>
      </c>
      <c r="J43" s="238" t="s">
        <v>4245</v>
      </c>
      <c r="K43" s="99" t="s">
        <v>4245</v>
      </c>
      <c r="L43" s="402" t="s">
        <v>2180</v>
      </c>
      <c r="M43" s="620" t="s">
        <v>4249</v>
      </c>
      <c r="N43" s="620" t="s">
        <v>549</v>
      </c>
      <c r="O43" s="670" t="s">
        <v>4252</v>
      </c>
    </row>
    <row r="44">
      <c r="A44" s="67"/>
      <c r="B44" s="213" t="s">
        <v>595</v>
      </c>
      <c r="C44" s="172" t="s">
        <v>4258</v>
      </c>
      <c r="D44" s="172" t="s">
        <v>4259</v>
      </c>
      <c r="E44" s="172" t="s">
        <v>447</v>
      </c>
      <c r="F44" s="172" t="s">
        <v>447</v>
      </c>
      <c r="G44" s="291" t="s">
        <v>4260</v>
      </c>
      <c r="H44" s="176" t="s">
        <v>485</v>
      </c>
      <c r="I44" s="176" t="s">
        <v>386</v>
      </c>
      <c r="J44" s="238" t="s">
        <v>4262</v>
      </c>
      <c r="K44" s="99" t="s">
        <v>4262</v>
      </c>
      <c r="L44" s="402" t="s">
        <v>2180</v>
      </c>
      <c r="M44" s="620" t="s">
        <v>4268</v>
      </c>
      <c r="N44" s="620" t="s">
        <v>549</v>
      </c>
      <c r="O44" s="670" t="s">
        <v>4271</v>
      </c>
    </row>
    <row r="45">
      <c r="A45" s="67"/>
      <c r="B45" s="222" t="s">
        <v>595</v>
      </c>
      <c r="C45" s="245" t="s">
        <v>4276</v>
      </c>
      <c r="D45" s="245" t="s">
        <v>4277</v>
      </c>
      <c r="E45" s="245" t="s">
        <v>4278</v>
      </c>
      <c r="F45" s="245" t="s">
        <v>801</v>
      </c>
      <c r="G45" s="297" t="s">
        <v>4279</v>
      </c>
      <c r="H45" s="298" t="s">
        <v>461</v>
      </c>
      <c r="I45" s="298" t="s">
        <v>462</v>
      </c>
      <c r="J45" s="238" t="s">
        <v>4286</v>
      </c>
      <c r="K45" s="99" t="s">
        <v>4286</v>
      </c>
      <c r="L45" s="402" t="s">
        <v>1920</v>
      </c>
      <c r="M45" s="620" t="s">
        <v>4290</v>
      </c>
      <c r="N45" s="620" t="s">
        <v>463</v>
      </c>
      <c r="O45" s="670" t="s">
        <v>4292</v>
      </c>
    </row>
    <row r="46">
      <c r="A46" s="67"/>
      <c r="B46" s="213" t="s">
        <v>595</v>
      </c>
      <c r="C46" s="298" t="s">
        <v>4295</v>
      </c>
      <c r="D46" s="172" t="s">
        <v>4296</v>
      </c>
      <c r="E46" s="172" t="s">
        <v>1518</v>
      </c>
      <c r="F46" s="172" t="s">
        <v>4297</v>
      </c>
      <c r="G46" s="291" t="s">
        <v>4298</v>
      </c>
      <c r="H46" s="176" t="s">
        <v>192</v>
      </c>
      <c r="I46" s="176" t="s">
        <v>350</v>
      </c>
      <c r="J46" s="238" t="s">
        <v>4305</v>
      </c>
      <c r="K46" s="99" t="s">
        <v>4305</v>
      </c>
      <c r="L46" s="402" t="s">
        <v>2481</v>
      </c>
      <c r="M46" s="620" t="s">
        <v>4308</v>
      </c>
      <c r="N46" s="620" t="s">
        <v>352</v>
      </c>
      <c r="O46" s="670" t="s">
        <v>4309</v>
      </c>
    </row>
    <row r="47">
      <c r="A47" s="67"/>
      <c r="B47" s="222" t="s">
        <v>595</v>
      </c>
      <c r="C47" s="245" t="s">
        <v>4314</v>
      </c>
      <c r="D47" s="245" t="s">
        <v>4315</v>
      </c>
      <c r="E47" s="245" t="s">
        <v>4316</v>
      </c>
      <c r="F47" s="245" t="s">
        <v>4317</v>
      </c>
      <c r="G47" s="297" t="s">
        <v>2970</v>
      </c>
      <c r="H47" s="298" t="s">
        <v>192</v>
      </c>
      <c r="I47" s="298" t="s">
        <v>195</v>
      </c>
      <c r="J47" s="238" t="s">
        <v>4318</v>
      </c>
      <c r="K47" s="99" t="s">
        <v>4318</v>
      </c>
      <c r="L47" s="402" t="s">
        <v>2180</v>
      </c>
      <c r="M47" s="620" t="s">
        <v>4322</v>
      </c>
      <c r="N47" s="620" t="s">
        <v>257</v>
      </c>
      <c r="O47" s="670" t="s">
        <v>4323</v>
      </c>
    </row>
    <row r="48">
      <c r="A48" s="67"/>
      <c r="B48" s="213" t="s">
        <v>595</v>
      </c>
      <c r="C48" s="172" t="s">
        <v>4324</v>
      </c>
      <c r="D48" s="172" t="s">
        <v>4326</v>
      </c>
      <c r="E48" s="172" t="s">
        <v>4327</v>
      </c>
      <c r="F48" s="172" t="s">
        <v>4328</v>
      </c>
      <c r="G48" s="291" t="s">
        <v>4330</v>
      </c>
      <c r="H48" s="176" t="s">
        <v>192</v>
      </c>
      <c r="I48" s="176" t="s">
        <v>2414</v>
      </c>
      <c r="J48" s="238" t="s">
        <v>4331</v>
      </c>
      <c r="K48" s="99" t="s">
        <v>4331</v>
      </c>
      <c r="L48" s="402" t="s">
        <v>1354</v>
      </c>
      <c r="M48" s="620" t="s">
        <v>4333</v>
      </c>
      <c r="N48" s="620" t="s">
        <v>843</v>
      </c>
      <c r="O48" s="670" t="s">
        <v>4334</v>
      </c>
    </row>
    <row r="49">
      <c r="A49" s="67"/>
      <c r="B49" s="222" t="s">
        <v>595</v>
      </c>
      <c r="C49" s="245" t="s">
        <v>4336</v>
      </c>
      <c r="D49" s="245" t="s">
        <v>4337</v>
      </c>
      <c r="E49" s="245" t="s">
        <v>4339</v>
      </c>
      <c r="F49" s="245" t="s">
        <v>415</v>
      </c>
      <c r="G49" s="297" t="s">
        <v>4340</v>
      </c>
      <c r="H49" s="298" t="s">
        <v>192</v>
      </c>
      <c r="I49" s="298" t="s">
        <v>195</v>
      </c>
      <c r="J49" s="238" t="s">
        <v>4341</v>
      </c>
      <c r="K49" s="99" t="s">
        <v>4341</v>
      </c>
      <c r="L49" s="402" t="s">
        <v>1524</v>
      </c>
      <c r="M49" s="620" t="s">
        <v>4343</v>
      </c>
      <c r="N49" s="620" t="s">
        <v>257</v>
      </c>
      <c r="O49" s="670" t="s">
        <v>4344</v>
      </c>
    </row>
    <row r="50">
      <c r="A50" s="67"/>
      <c r="B50" s="213" t="s">
        <v>595</v>
      </c>
      <c r="C50" s="172" t="s">
        <v>4351</v>
      </c>
      <c r="D50" s="172" t="s">
        <v>4352</v>
      </c>
      <c r="E50" s="172" t="s">
        <v>4353</v>
      </c>
      <c r="F50" s="172" t="s">
        <v>4354</v>
      </c>
      <c r="G50" s="291" t="s">
        <v>4355</v>
      </c>
      <c r="H50" s="176" t="s">
        <v>485</v>
      </c>
      <c r="I50" s="176" t="s">
        <v>486</v>
      </c>
      <c r="J50" s="238" t="s">
        <v>4357</v>
      </c>
      <c r="K50" s="99" t="s">
        <v>4357</v>
      </c>
      <c r="L50" s="402" t="s">
        <v>1444</v>
      </c>
      <c r="M50" s="620" t="s">
        <v>4358</v>
      </c>
      <c r="N50" s="620" t="s">
        <v>449</v>
      </c>
      <c r="O50" s="670" t="s">
        <v>4359</v>
      </c>
    </row>
    <row r="51">
      <c r="A51" s="67"/>
      <c r="B51" s="222" t="s">
        <v>595</v>
      </c>
      <c r="C51" s="245" t="s">
        <v>4362</v>
      </c>
      <c r="D51" s="245" t="s">
        <v>4363</v>
      </c>
      <c r="E51" s="245" t="s">
        <v>4364</v>
      </c>
      <c r="F51" s="245" t="s">
        <v>4365</v>
      </c>
      <c r="G51" s="297" t="s">
        <v>4366</v>
      </c>
      <c r="H51" s="298" t="s">
        <v>192</v>
      </c>
      <c r="I51" s="298" t="s">
        <v>195</v>
      </c>
      <c r="J51" s="238" t="s">
        <v>4368</v>
      </c>
      <c r="K51" s="99" t="s">
        <v>4368</v>
      </c>
      <c r="L51" s="402" t="s">
        <v>2180</v>
      </c>
      <c r="M51" s="620" t="s">
        <v>4369</v>
      </c>
      <c r="N51" s="620" t="s">
        <v>362</v>
      </c>
      <c r="O51" s="670" t="s">
        <v>4371</v>
      </c>
    </row>
    <row r="52">
      <c r="A52" s="67"/>
      <c r="B52" s="213" t="s">
        <v>595</v>
      </c>
      <c r="C52" s="172" t="s">
        <v>4377</v>
      </c>
      <c r="D52" s="172" t="s">
        <v>4378</v>
      </c>
      <c r="E52" s="172" t="s">
        <v>1378</v>
      </c>
      <c r="F52" s="172" t="s">
        <v>4379</v>
      </c>
      <c r="G52" s="291" t="s">
        <v>4380</v>
      </c>
      <c r="H52" s="176" t="s">
        <v>485</v>
      </c>
      <c r="I52" s="176" t="s">
        <v>486</v>
      </c>
      <c r="J52" s="238" t="s">
        <v>4382</v>
      </c>
      <c r="K52" s="99" t="s">
        <v>4382</v>
      </c>
      <c r="L52" s="402" t="s">
        <v>1578</v>
      </c>
      <c r="M52" s="620" t="s">
        <v>4388</v>
      </c>
      <c r="N52" s="620" t="s">
        <v>449</v>
      </c>
      <c r="O52" s="670" t="s">
        <v>4389</v>
      </c>
    </row>
    <row r="53">
      <c r="A53" s="67"/>
      <c r="B53" s="222" t="s">
        <v>595</v>
      </c>
      <c r="C53" s="245" t="s">
        <v>4391</v>
      </c>
      <c r="D53" s="245" t="s">
        <v>4392</v>
      </c>
      <c r="E53" s="245" t="s">
        <v>213</v>
      </c>
      <c r="F53" s="245" t="s">
        <v>4393</v>
      </c>
      <c r="G53" s="297" t="s">
        <v>4394</v>
      </c>
      <c r="H53" s="298" t="s">
        <v>192</v>
      </c>
      <c r="I53" s="298" t="s">
        <v>276</v>
      </c>
      <c r="J53" s="238" t="s">
        <v>4395</v>
      </c>
      <c r="K53" s="99" t="s">
        <v>4395</v>
      </c>
      <c r="L53" s="759">
        <v>2.0</v>
      </c>
      <c r="M53" s="760">
        <v>45351.0</v>
      </c>
      <c r="N53" s="761" t="s">
        <v>749</v>
      </c>
      <c r="O53" s="762" t="s">
        <v>4401</v>
      </c>
    </row>
    <row r="54">
      <c r="A54" s="67"/>
      <c r="B54" s="213" t="s">
        <v>595</v>
      </c>
      <c r="C54" s="172" t="s">
        <v>71</v>
      </c>
      <c r="D54" s="172" t="s">
        <v>212</v>
      </c>
      <c r="E54" s="172" t="s">
        <v>213</v>
      </c>
      <c r="F54" s="172" t="s">
        <v>215</v>
      </c>
      <c r="G54" s="291" t="s">
        <v>216</v>
      </c>
      <c r="H54" s="176" t="s">
        <v>385</v>
      </c>
      <c r="I54" s="176" t="s">
        <v>448</v>
      </c>
      <c r="J54" s="238" t="s">
        <v>847</v>
      </c>
      <c r="K54" s="99" t="s">
        <v>847</v>
      </c>
      <c r="L54" s="402" t="s">
        <v>2337</v>
      </c>
      <c r="M54" s="620" t="s">
        <v>4407</v>
      </c>
      <c r="N54" s="620" t="s">
        <v>449</v>
      </c>
      <c r="O54" s="670" t="s">
        <v>4408</v>
      </c>
    </row>
    <row r="55">
      <c r="A55" s="67"/>
      <c r="B55" s="222" t="s">
        <v>595</v>
      </c>
      <c r="C55" s="245" t="s">
        <v>4409</v>
      </c>
      <c r="D55" s="245" t="s">
        <v>4410</v>
      </c>
      <c r="E55" s="245" t="s">
        <v>4411</v>
      </c>
      <c r="F55" s="245" t="s">
        <v>447</v>
      </c>
      <c r="G55" s="763" t="s">
        <v>4413</v>
      </c>
      <c r="H55" s="298" t="s">
        <v>192</v>
      </c>
      <c r="I55" s="298" t="s">
        <v>195</v>
      </c>
      <c r="J55" s="238" t="s">
        <v>4418</v>
      </c>
      <c r="K55" s="99" t="s">
        <v>4418</v>
      </c>
      <c r="L55" s="402" t="s">
        <v>2772</v>
      </c>
      <c r="M55" s="620" t="s">
        <v>4419</v>
      </c>
      <c r="N55" s="620" t="s">
        <v>897</v>
      </c>
      <c r="O55" s="670" t="s">
        <v>4420</v>
      </c>
    </row>
    <row r="56">
      <c r="A56" s="67"/>
      <c r="B56" s="213" t="s">
        <v>595</v>
      </c>
      <c r="C56" s="172" t="s">
        <v>4422</v>
      </c>
      <c r="D56" s="172" t="s">
        <v>4423</v>
      </c>
      <c r="E56" s="172" t="s">
        <v>1864</v>
      </c>
      <c r="F56" s="172" t="s">
        <v>4424</v>
      </c>
      <c r="G56" s="291" t="s">
        <v>1874</v>
      </c>
      <c r="H56" s="176" t="s">
        <v>461</v>
      </c>
      <c r="I56" s="176" t="s">
        <v>530</v>
      </c>
      <c r="J56" s="238" t="s">
        <v>4425</v>
      </c>
      <c r="K56" s="99" t="s">
        <v>4425</v>
      </c>
      <c r="L56" s="402" t="s">
        <v>1354</v>
      </c>
      <c r="M56" s="620" t="s">
        <v>4429</v>
      </c>
      <c r="N56" s="620" t="s">
        <v>1131</v>
      </c>
      <c r="O56" s="670" t="s">
        <v>4430</v>
      </c>
    </row>
    <row r="57">
      <c r="A57" s="67"/>
      <c r="B57" s="222" t="s">
        <v>595</v>
      </c>
      <c r="C57" s="245" t="s">
        <v>4431</v>
      </c>
      <c r="D57" s="245" t="s">
        <v>4432</v>
      </c>
      <c r="E57" s="245" t="s">
        <v>4433</v>
      </c>
      <c r="F57" s="245" t="s">
        <v>4434</v>
      </c>
      <c r="G57" s="297" t="s">
        <v>4436</v>
      </c>
      <c r="H57" s="298" t="s">
        <v>192</v>
      </c>
      <c r="I57" s="298" t="s">
        <v>195</v>
      </c>
      <c r="J57" s="238" t="s">
        <v>4437</v>
      </c>
      <c r="K57" s="99" t="s">
        <v>4437</v>
      </c>
      <c r="L57" s="402" t="s">
        <v>1421</v>
      </c>
      <c r="M57" s="620" t="s">
        <v>4438</v>
      </c>
      <c r="N57" s="620" t="s">
        <v>257</v>
      </c>
      <c r="O57" s="670" t="s">
        <v>4439</v>
      </c>
    </row>
    <row r="58">
      <c r="A58" s="67"/>
      <c r="B58" s="213" t="s">
        <v>595</v>
      </c>
      <c r="C58" s="172" t="s">
        <v>4440</v>
      </c>
      <c r="D58" s="172" t="s">
        <v>4441</v>
      </c>
      <c r="E58" s="172" t="s">
        <v>4442</v>
      </c>
      <c r="F58" s="172" t="s">
        <v>4443</v>
      </c>
      <c r="G58" s="291" t="s">
        <v>4444</v>
      </c>
      <c r="H58" s="176" t="s">
        <v>192</v>
      </c>
      <c r="I58" s="176" t="s">
        <v>195</v>
      </c>
      <c r="J58" s="238" t="s">
        <v>4445</v>
      </c>
      <c r="K58" s="99" t="s">
        <v>4445</v>
      </c>
      <c r="L58" s="402" t="s">
        <v>2180</v>
      </c>
      <c r="M58" s="620" t="s">
        <v>4446</v>
      </c>
      <c r="N58" s="620" t="s">
        <v>257</v>
      </c>
      <c r="O58" s="670" t="s">
        <v>4447</v>
      </c>
    </row>
    <row r="59">
      <c r="A59" s="67"/>
      <c r="B59" s="222" t="s">
        <v>595</v>
      </c>
      <c r="C59" s="245" t="s">
        <v>4449</v>
      </c>
      <c r="D59" s="245" t="s">
        <v>4450</v>
      </c>
      <c r="E59" s="245" t="s">
        <v>4451</v>
      </c>
      <c r="F59" s="245" t="s">
        <v>1399</v>
      </c>
      <c r="G59" s="297" t="s">
        <v>4452</v>
      </c>
      <c r="H59" s="298" t="s">
        <v>192</v>
      </c>
      <c r="I59" s="298" t="s">
        <v>195</v>
      </c>
      <c r="J59" s="238" t="s">
        <v>4453</v>
      </c>
      <c r="K59" s="99" t="s">
        <v>4453</v>
      </c>
      <c r="L59" s="402" t="s">
        <v>2180</v>
      </c>
      <c r="M59" s="620" t="s">
        <v>4458</v>
      </c>
      <c r="N59" s="620" t="s">
        <v>257</v>
      </c>
      <c r="O59" s="670" t="s">
        <v>4459</v>
      </c>
    </row>
    <row r="60">
      <c r="A60" s="67"/>
      <c r="B60" s="213" t="s">
        <v>595</v>
      </c>
      <c r="C60" s="172" t="s">
        <v>4461</v>
      </c>
      <c r="D60" s="172" t="s">
        <v>4462</v>
      </c>
      <c r="E60" s="172" t="s">
        <v>4463</v>
      </c>
      <c r="F60" s="172" t="s">
        <v>447</v>
      </c>
      <c r="G60" s="291" t="s">
        <v>4464</v>
      </c>
      <c r="H60" s="176" t="s">
        <v>485</v>
      </c>
      <c r="I60" s="176" t="s">
        <v>448</v>
      </c>
      <c r="J60" s="238" t="s">
        <v>4465</v>
      </c>
      <c r="K60" s="99" t="s">
        <v>4465</v>
      </c>
      <c r="L60" s="402" t="s">
        <v>2180</v>
      </c>
      <c r="M60" s="620" t="s">
        <v>4471</v>
      </c>
      <c r="N60" s="620" t="s">
        <v>482</v>
      </c>
      <c r="O60" s="670" t="s">
        <v>4472</v>
      </c>
    </row>
    <row r="61">
      <c r="A61" s="67"/>
      <c r="B61" s="222" t="s">
        <v>595</v>
      </c>
      <c r="C61" s="245" t="s">
        <v>4474</v>
      </c>
      <c r="D61" s="245" t="s">
        <v>4475</v>
      </c>
      <c r="E61" s="245" t="s">
        <v>1530</v>
      </c>
      <c r="F61" s="245" t="s">
        <v>4476</v>
      </c>
      <c r="G61" s="297" t="s">
        <v>4477</v>
      </c>
      <c r="H61" s="298" t="s">
        <v>192</v>
      </c>
      <c r="I61" s="298" t="s">
        <v>195</v>
      </c>
      <c r="J61" s="238" t="s">
        <v>4482</v>
      </c>
      <c r="K61" s="99" t="s">
        <v>4482</v>
      </c>
      <c r="L61" s="402" t="s">
        <v>2180</v>
      </c>
      <c r="M61" s="620" t="s">
        <v>4484</v>
      </c>
      <c r="N61" s="620" t="s">
        <v>843</v>
      </c>
      <c r="O61" s="670" t="s">
        <v>4485</v>
      </c>
    </row>
    <row r="62">
      <c r="A62" s="67"/>
      <c r="B62" s="213" t="s">
        <v>595</v>
      </c>
      <c r="C62" s="172" t="s">
        <v>4492</v>
      </c>
      <c r="D62" s="172" t="s">
        <v>1138</v>
      </c>
      <c r="E62" s="172" t="s">
        <v>4493</v>
      </c>
      <c r="F62" s="779" t="s">
        <v>957</v>
      </c>
      <c r="G62" s="291" t="s">
        <v>1142</v>
      </c>
      <c r="H62" s="176" t="s">
        <v>485</v>
      </c>
      <c r="I62" s="176" t="s">
        <v>448</v>
      </c>
      <c r="J62" s="238" t="s">
        <v>4495</v>
      </c>
      <c r="K62" s="99" t="s">
        <v>4495</v>
      </c>
      <c r="L62" s="402" t="s">
        <v>2180</v>
      </c>
      <c r="M62" s="620" t="s">
        <v>4499</v>
      </c>
      <c r="N62" s="620" t="s">
        <v>482</v>
      </c>
      <c r="O62" s="670" t="s">
        <v>4500</v>
      </c>
    </row>
    <row r="63">
      <c r="A63" s="67"/>
      <c r="B63" s="222" t="s">
        <v>595</v>
      </c>
      <c r="C63" s="245" t="s">
        <v>4504</v>
      </c>
      <c r="D63" s="245" t="s">
        <v>4505</v>
      </c>
      <c r="E63" s="245" t="s">
        <v>592</v>
      </c>
      <c r="F63" s="245" t="s">
        <v>4506</v>
      </c>
      <c r="G63" s="297" t="s">
        <v>4507</v>
      </c>
      <c r="H63" s="298" t="s">
        <v>485</v>
      </c>
      <c r="I63" s="298" t="s">
        <v>386</v>
      </c>
      <c r="J63" s="238" t="s">
        <v>4510</v>
      </c>
      <c r="K63" s="99" t="s">
        <v>4510</v>
      </c>
      <c r="L63" s="402" t="s">
        <v>1524</v>
      </c>
      <c r="M63" s="620" t="s">
        <v>4514</v>
      </c>
      <c r="N63" s="620" t="s">
        <v>1050</v>
      </c>
      <c r="O63" s="670" t="s">
        <v>4516</v>
      </c>
    </row>
    <row r="64">
      <c r="A64" s="67"/>
      <c r="B64" s="213" t="s">
        <v>595</v>
      </c>
      <c r="C64" s="172" t="s">
        <v>4518</v>
      </c>
      <c r="D64" s="172" t="s">
        <v>4519</v>
      </c>
      <c r="E64" s="172" t="s">
        <v>4520</v>
      </c>
      <c r="F64" s="172" t="s">
        <v>4521</v>
      </c>
      <c r="G64" s="291" t="s">
        <v>4522</v>
      </c>
      <c r="H64" s="176" t="s">
        <v>485</v>
      </c>
      <c r="I64" s="176" t="s">
        <v>486</v>
      </c>
      <c r="J64" s="238" t="s">
        <v>4524</v>
      </c>
      <c r="K64" s="99" t="s">
        <v>4524</v>
      </c>
      <c r="L64" s="142">
        <v>2.0</v>
      </c>
      <c r="M64" s="225">
        <v>45428.0</v>
      </c>
      <c r="N64" s="144" t="s">
        <v>493</v>
      </c>
      <c r="O64" s="792" t="s">
        <v>4529</v>
      </c>
    </row>
    <row r="65">
      <c r="A65" s="67"/>
      <c r="B65" s="222" t="s">
        <v>595</v>
      </c>
      <c r="C65" s="245" t="s">
        <v>4534</v>
      </c>
      <c r="D65" s="245" t="s">
        <v>4536</v>
      </c>
      <c r="E65" s="245" t="s">
        <v>4537</v>
      </c>
      <c r="F65" s="245" t="s">
        <v>4538</v>
      </c>
      <c r="G65" s="297" t="s">
        <v>4539</v>
      </c>
      <c r="H65" s="298" t="s">
        <v>192</v>
      </c>
      <c r="I65" s="298" t="s">
        <v>195</v>
      </c>
      <c r="J65" s="238" t="s">
        <v>4540</v>
      </c>
      <c r="K65" s="99" t="s">
        <v>4540</v>
      </c>
      <c r="L65" s="402" t="s">
        <v>2180</v>
      </c>
      <c r="M65" s="620" t="s">
        <v>4542</v>
      </c>
      <c r="N65" s="620" t="s">
        <v>362</v>
      </c>
      <c r="O65" s="670" t="s">
        <v>4543</v>
      </c>
    </row>
    <row r="66">
      <c r="A66" s="67"/>
      <c r="B66" s="213" t="s">
        <v>595</v>
      </c>
      <c r="C66" s="172" t="s">
        <v>4548</v>
      </c>
      <c r="D66" s="172" t="s">
        <v>4549</v>
      </c>
      <c r="E66" s="172" t="s">
        <v>3358</v>
      </c>
      <c r="F66" s="172" t="s">
        <v>4550</v>
      </c>
      <c r="G66" s="291" t="s">
        <v>4551</v>
      </c>
      <c r="H66" s="176" t="s">
        <v>192</v>
      </c>
      <c r="I66" s="176" t="s">
        <v>195</v>
      </c>
      <c r="J66" s="238" t="s">
        <v>4553</v>
      </c>
      <c r="K66" s="99" t="s">
        <v>4553</v>
      </c>
      <c r="L66" s="142">
        <v>2.0</v>
      </c>
      <c r="M66" s="225">
        <v>45442.0</v>
      </c>
      <c r="N66" s="144" t="s">
        <v>257</v>
      </c>
      <c r="O66" s="792" t="s">
        <v>4555</v>
      </c>
    </row>
    <row r="67">
      <c r="A67" s="67"/>
      <c r="B67" s="222" t="s">
        <v>595</v>
      </c>
      <c r="C67" s="245" t="s">
        <v>4558</v>
      </c>
      <c r="D67" s="245" t="s">
        <v>4559</v>
      </c>
      <c r="E67" s="245" t="s">
        <v>213</v>
      </c>
      <c r="F67" s="245" t="s">
        <v>4560</v>
      </c>
      <c r="G67" s="297" t="s">
        <v>4561</v>
      </c>
      <c r="H67" s="298" t="s">
        <v>192</v>
      </c>
      <c r="I67" s="298" t="s">
        <v>350</v>
      </c>
      <c r="J67" s="238" t="s">
        <v>4563</v>
      </c>
      <c r="K67" s="99" t="s">
        <v>4563</v>
      </c>
      <c r="L67" s="402" t="s">
        <v>2481</v>
      </c>
      <c r="M67" s="620" t="s">
        <v>4564</v>
      </c>
      <c r="N67" s="620" t="s">
        <v>600</v>
      </c>
      <c r="O67" s="670" t="s">
        <v>4565</v>
      </c>
    </row>
    <row r="68">
      <c r="A68" s="67"/>
      <c r="B68" s="213" t="s">
        <v>595</v>
      </c>
      <c r="C68" s="172" t="s">
        <v>4571</v>
      </c>
      <c r="D68" s="172" t="s">
        <v>4572</v>
      </c>
      <c r="E68" s="172" t="s">
        <v>317</v>
      </c>
      <c r="F68" s="172" t="s">
        <v>4573</v>
      </c>
      <c r="G68" s="291" t="s">
        <v>4574</v>
      </c>
      <c r="H68" s="176" t="s">
        <v>485</v>
      </c>
      <c r="I68" s="176" t="s">
        <v>448</v>
      </c>
      <c r="J68" s="238" t="s">
        <v>4575</v>
      </c>
      <c r="K68" s="99" t="s">
        <v>4575</v>
      </c>
      <c r="L68" s="402" t="s">
        <v>1578</v>
      </c>
      <c r="M68" s="620" t="s">
        <v>4578</v>
      </c>
      <c r="N68" s="620" t="s">
        <v>482</v>
      </c>
      <c r="O68" s="670" t="s">
        <v>4579</v>
      </c>
    </row>
    <row r="69">
      <c r="A69" s="67"/>
      <c r="B69" s="222" t="s">
        <v>595</v>
      </c>
      <c r="C69" s="245" t="s">
        <v>4580</v>
      </c>
      <c r="D69" s="245" t="s">
        <v>4582</v>
      </c>
      <c r="E69" s="245" t="s">
        <v>4583</v>
      </c>
      <c r="F69" s="245" t="s">
        <v>1640</v>
      </c>
      <c r="G69" s="297" t="s">
        <v>4584</v>
      </c>
      <c r="H69" s="298" t="s">
        <v>192</v>
      </c>
      <c r="I69" s="298" t="s">
        <v>195</v>
      </c>
      <c r="J69" s="238" t="s">
        <v>4585</v>
      </c>
      <c r="K69" s="99" t="s">
        <v>4585</v>
      </c>
      <c r="L69" s="402" t="s">
        <v>1421</v>
      </c>
      <c r="M69" s="620" t="s">
        <v>4588</v>
      </c>
      <c r="N69" s="620" t="s">
        <v>362</v>
      </c>
      <c r="O69" s="670" t="s">
        <v>4589</v>
      </c>
    </row>
    <row r="70">
      <c r="A70" s="67"/>
      <c r="B70" s="213" t="s">
        <v>595</v>
      </c>
      <c r="C70" s="172" t="s">
        <v>4591</v>
      </c>
      <c r="D70" s="172" t="s">
        <v>4592</v>
      </c>
      <c r="E70" s="172" t="s">
        <v>4593</v>
      </c>
      <c r="F70" s="172" t="s">
        <v>4594</v>
      </c>
      <c r="G70" s="291" t="s">
        <v>4595</v>
      </c>
      <c r="H70" s="176" t="s">
        <v>192</v>
      </c>
      <c r="I70" s="176" t="s">
        <v>195</v>
      </c>
      <c r="J70" s="238" t="s">
        <v>4599</v>
      </c>
      <c r="K70" s="99" t="s">
        <v>4599</v>
      </c>
      <c r="L70" s="402" t="s">
        <v>2180</v>
      </c>
      <c r="M70" s="620" t="s">
        <v>4600</v>
      </c>
      <c r="N70" s="620" t="s">
        <v>362</v>
      </c>
      <c r="O70" s="670" t="s">
        <v>4601</v>
      </c>
    </row>
    <row r="71">
      <c r="A71" s="67"/>
      <c r="B71" s="222" t="s">
        <v>595</v>
      </c>
      <c r="C71" s="323" t="s">
        <v>4605</v>
      </c>
      <c r="D71" s="245" t="s">
        <v>2204</v>
      </c>
      <c r="E71" s="245" t="s">
        <v>4606</v>
      </c>
      <c r="F71" s="245" t="s">
        <v>2206</v>
      </c>
      <c r="G71" s="297" t="s">
        <v>2207</v>
      </c>
      <c r="H71" s="298" t="s">
        <v>461</v>
      </c>
      <c r="I71" s="298" t="s">
        <v>462</v>
      </c>
      <c r="J71" s="238" t="s">
        <v>4607</v>
      </c>
      <c r="K71" s="99" t="s">
        <v>4607</v>
      </c>
      <c r="L71" s="402" t="s">
        <v>1354</v>
      </c>
      <c r="M71" s="620" t="s">
        <v>4613</v>
      </c>
      <c r="N71" s="620" t="s">
        <v>1192</v>
      </c>
      <c r="O71" s="670" t="s">
        <v>4614</v>
      </c>
    </row>
    <row r="72">
      <c r="A72" s="67"/>
      <c r="B72" s="213" t="s">
        <v>595</v>
      </c>
      <c r="C72" s="172" t="s">
        <v>4615</v>
      </c>
      <c r="D72" s="172" t="s">
        <v>4616</v>
      </c>
      <c r="E72" s="172" t="s">
        <v>4617</v>
      </c>
      <c r="F72" s="172" t="s">
        <v>4618</v>
      </c>
      <c r="G72" s="291" t="s">
        <v>4619</v>
      </c>
      <c r="H72" s="176" t="s">
        <v>385</v>
      </c>
      <c r="I72" s="176" t="s">
        <v>448</v>
      </c>
      <c r="J72" s="238" t="s">
        <v>4621</v>
      </c>
      <c r="K72" s="99" t="s">
        <v>4621</v>
      </c>
      <c r="L72" s="402" t="s">
        <v>1578</v>
      </c>
      <c r="M72" s="620" t="s">
        <v>4624</v>
      </c>
      <c r="N72" s="620" t="s">
        <v>449</v>
      </c>
      <c r="O72" s="670" t="s">
        <v>4625</v>
      </c>
    </row>
    <row r="73">
      <c r="A73" s="67"/>
      <c r="B73" s="222" t="s">
        <v>595</v>
      </c>
      <c r="C73" s="245" t="s">
        <v>4626</v>
      </c>
      <c r="D73" s="245" t="s">
        <v>4627</v>
      </c>
      <c r="E73" s="245" t="s">
        <v>4628</v>
      </c>
      <c r="F73" s="245" t="s">
        <v>2054</v>
      </c>
      <c r="G73" s="297" t="s">
        <v>4629</v>
      </c>
      <c r="H73" s="298" t="s">
        <v>192</v>
      </c>
      <c r="I73" s="298" t="s">
        <v>195</v>
      </c>
      <c r="J73" s="238" t="s">
        <v>4631</v>
      </c>
      <c r="K73" s="99" t="s">
        <v>4631</v>
      </c>
      <c r="L73" s="402" t="s">
        <v>1421</v>
      </c>
      <c r="M73" s="620" t="s">
        <v>4635</v>
      </c>
      <c r="N73" s="620" t="s">
        <v>362</v>
      </c>
      <c r="O73" s="670" t="s">
        <v>4636</v>
      </c>
    </row>
    <row r="74">
      <c r="A74" s="67"/>
      <c r="B74" s="213" t="s">
        <v>595</v>
      </c>
      <c r="C74" s="172" t="s">
        <v>4637</v>
      </c>
      <c r="D74" s="172" t="s">
        <v>4638</v>
      </c>
      <c r="E74" s="172" t="s">
        <v>4639</v>
      </c>
      <c r="F74" s="172" t="s">
        <v>3031</v>
      </c>
      <c r="G74" s="291" t="s">
        <v>4640</v>
      </c>
      <c r="H74" s="176" t="s">
        <v>461</v>
      </c>
      <c r="I74" s="176" t="s">
        <v>462</v>
      </c>
      <c r="J74" s="238" t="s">
        <v>4644</v>
      </c>
      <c r="K74" s="99" t="s">
        <v>4644</v>
      </c>
      <c r="L74" s="402" t="s">
        <v>1354</v>
      </c>
      <c r="M74" s="620" t="s">
        <v>4645</v>
      </c>
      <c r="N74" s="620" t="s">
        <v>1192</v>
      </c>
      <c r="O74" s="670" t="s">
        <v>4646</v>
      </c>
    </row>
    <row r="75">
      <c r="A75" s="67"/>
      <c r="B75" s="222" t="s">
        <v>595</v>
      </c>
      <c r="C75" s="245" t="s">
        <v>4649</v>
      </c>
      <c r="D75" s="245" t="s">
        <v>4650</v>
      </c>
      <c r="E75" s="245" t="s">
        <v>447</v>
      </c>
      <c r="F75" s="245" t="s">
        <v>447</v>
      </c>
      <c r="G75" s="297" t="s">
        <v>4651</v>
      </c>
      <c r="H75" s="298" t="s">
        <v>192</v>
      </c>
      <c r="I75" s="298" t="s">
        <v>350</v>
      </c>
      <c r="J75" s="238" t="s">
        <v>4652</v>
      </c>
      <c r="K75" s="99" t="s">
        <v>4652</v>
      </c>
      <c r="L75" s="402" t="s">
        <v>1421</v>
      </c>
      <c r="M75" s="620" t="s">
        <v>4654</v>
      </c>
      <c r="N75" s="620" t="s">
        <v>352</v>
      </c>
      <c r="O75" s="670" t="s">
        <v>4655</v>
      </c>
    </row>
    <row r="76">
      <c r="A76" s="67"/>
      <c r="B76" s="213" t="s">
        <v>595</v>
      </c>
      <c r="C76" s="172" t="s">
        <v>4656</v>
      </c>
      <c r="D76" s="172" t="s">
        <v>4657</v>
      </c>
      <c r="E76" s="172" t="s">
        <v>3790</v>
      </c>
      <c r="F76" s="172" t="s">
        <v>1021</v>
      </c>
      <c r="G76" s="291" t="s">
        <v>4658</v>
      </c>
      <c r="H76" s="176" t="s">
        <v>192</v>
      </c>
      <c r="I76" s="176" t="s">
        <v>195</v>
      </c>
      <c r="J76" s="238" t="s">
        <v>4664</v>
      </c>
      <c r="K76" s="99" t="s">
        <v>4664</v>
      </c>
      <c r="L76" s="402" t="s">
        <v>1421</v>
      </c>
      <c r="M76" s="620" t="s">
        <v>4666</v>
      </c>
      <c r="N76" s="620" t="s">
        <v>843</v>
      </c>
      <c r="O76" s="670" t="s">
        <v>4667</v>
      </c>
    </row>
    <row r="77">
      <c r="A77" s="67"/>
      <c r="B77" s="222" t="s">
        <v>595</v>
      </c>
      <c r="C77" s="245" t="s">
        <v>4668</v>
      </c>
      <c r="D77" s="245" t="s">
        <v>4669</v>
      </c>
      <c r="E77" s="245" t="s">
        <v>4670</v>
      </c>
      <c r="F77" s="245" t="s">
        <v>948</v>
      </c>
      <c r="G77" s="297" t="s">
        <v>4671</v>
      </c>
      <c r="H77" s="298" t="s">
        <v>192</v>
      </c>
      <c r="I77" s="298" t="s">
        <v>195</v>
      </c>
      <c r="J77" s="238" t="s">
        <v>4677</v>
      </c>
      <c r="K77" s="99" t="s">
        <v>4677</v>
      </c>
      <c r="L77" s="402" t="s">
        <v>1779</v>
      </c>
      <c r="M77" s="620" t="s">
        <v>4679</v>
      </c>
      <c r="N77" s="620" t="s">
        <v>257</v>
      </c>
      <c r="O77" s="670" t="s">
        <v>4680</v>
      </c>
    </row>
    <row r="78">
      <c r="A78" s="67"/>
      <c r="B78" s="213" t="s">
        <v>595</v>
      </c>
      <c r="C78" s="172" t="s">
        <v>4686</v>
      </c>
      <c r="D78" s="172" t="s">
        <v>1657</v>
      </c>
      <c r="E78" s="172" t="s">
        <v>1351</v>
      </c>
      <c r="F78" s="172" t="s">
        <v>1658</v>
      </c>
      <c r="G78" s="291" t="s">
        <v>4687</v>
      </c>
      <c r="H78" s="176" t="s">
        <v>192</v>
      </c>
      <c r="I78" s="176" t="s">
        <v>195</v>
      </c>
      <c r="J78" s="238" t="s">
        <v>4689</v>
      </c>
      <c r="K78" s="99" t="s">
        <v>4689</v>
      </c>
      <c r="L78" s="802">
        <v>1.0</v>
      </c>
      <c r="M78" s="803">
        <v>45526.0</v>
      </c>
      <c r="N78" s="804" t="s">
        <v>208</v>
      </c>
      <c r="O78" s="805" t="s">
        <v>4695</v>
      </c>
    </row>
    <row r="79">
      <c r="A79" s="67"/>
      <c r="B79" s="222" t="s">
        <v>595</v>
      </c>
      <c r="C79" s="245" t="s">
        <v>4697</v>
      </c>
      <c r="D79" s="245" t="s">
        <v>4698</v>
      </c>
      <c r="E79" s="245" t="s">
        <v>4699</v>
      </c>
      <c r="F79" s="245" t="s">
        <v>4700</v>
      </c>
      <c r="G79" s="297" t="s">
        <v>4701</v>
      </c>
      <c r="H79" s="298" t="s">
        <v>192</v>
      </c>
      <c r="I79" s="298" t="s">
        <v>195</v>
      </c>
      <c r="J79" s="238" t="s">
        <v>4707</v>
      </c>
      <c r="K79" s="99" t="s">
        <v>4707</v>
      </c>
      <c r="L79" s="402" t="s">
        <v>2180</v>
      </c>
      <c r="M79" s="620" t="s">
        <v>4709</v>
      </c>
      <c r="N79" s="620" t="s">
        <v>257</v>
      </c>
      <c r="O79" s="670" t="s">
        <v>4710</v>
      </c>
    </row>
    <row r="80">
      <c r="A80" s="67"/>
      <c r="B80" s="213" t="s">
        <v>595</v>
      </c>
      <c r="C80" s="172" t="s">
        <v>4712</v>
      </c>
      <c r="D80" s="172" t="s">
        <v>4713</v>
      </c>
      <c r="E80" s="172" t="s">
        <v>4714</v>
      </c>
      <c r="F80" s="172" t="s">
        <v>1366</v>
      </c>
      <c r="G80" s="291" t="s">
        <v>4715</v>
      </c>
      <c r="H80" s="176" t="s">
        <v>385</v>
      </c>
      <c r="I80" s="176" t="s">
        <v>448</v>
      </c>
      <c r="J80" s="238" t="s">
        <v>4717</v>
      </c>
      <c r="K80" s="99" t="s">
        <v>4717</v>
      </c>
      <c r="L80" s="402" t="s">
        <v>1421</v>
      </c>
      <c r="M80" s="620" t="s">
        <v>4722</v>
      </c>
      <c r="N80" s="620" t="s">
        <v>449</v>
      </c>
      <c r="O80" s="670" t="s">
        <v>4723</v>
      </c>
    </row>
    <row r="81">
      <c r="A81" s="67"/>
      <c r="B81" s="222" t="s">
        <v>595</v>
      </c>
      <c r="C81" s="245" t="s">
        <v>4725</v>
      </c>
      <c r="D81" s="245" t="s">
        <v>4726</v>
      </c>
      <c r="E81" s="245" t="s">
        <v>317</v>
      </c>
      <c r="F81" s="245" t="s">
        <v>4727</v>
      </c>
      <c r="G81" s="297" t="s">
        <v>4728</v>
      </c>
      <c r="H81" s="298" t="s">
        <v>385</v>
      </c>
      <c r="I81" s="298" t="s">
        <v>386</v>
      </c>
      <c r="J81" s="238" t="s">
        <v>4729</v>
      </c>
      <c r="K81" s="99" t="s">
        <v>4729</v>
      </c>
      <c r="L81" s="402" t="s">
        <v>2180</v>
      </c>
      <c r="M81" s="620" t="s">
        <v>4732</v>
      </c>
      <c r="N81" s="620" t="s">
        <v>549</v>
      </c>
      <c r="O81" s="670" t="s">
        <v>4733</v>
      </c>
    </row>
    <row r="82">
      <c r="A82" s="67"/>
      <c r="B82" s="213" t="s">
        <v>595</v>
      </c>
      <c r="C82" s="172" t="s">
        <v>4735</v>
      </c>
      <c r="D82" s="172" t="s">
        <v>4736</v>
      </c>
      <c r="E82" s="172" t="s">
        <v>4737</v>
      </c>
      <c r="F82" s="172" t="s">
        <v>4738</v>
      </c>
      <c r="G82" s="291" t="s">
        <v>4739</v>
      </c>
      <c r="H82" s="176" t="s">
        <v>485</v>
      </c>
      <c r="I82" s="176" t="s">
        <v>448</v>
      </c>
      <c r="J82" s="238" t="s">
        <v>4742</v>
      </c>
      <c r="K82" s="99" t="s">
        <v>4742</v>
      </c>
      <c r="L82" s="402" t="s">
        <v>1421</v>
      </c>
      <c r="M82" s="620" t="s">
        <v>4744</v>
      </c>
      <c r="N82" s="620" t="s">
        <v>482</v>
      </c>
      <c r="O82" s="670" t="s">
        <v>4745</v>
      </c>
    </row>
    <row r="83">
      <c r="A83" s="67"/>
      <c r="B83" s="222" t="s">
        <v>595</v>
      </c>
      <c r="C83" s="245" t="s">
        <v>101</v>
      </c>
      <c r="D83" s="245" t="s">
        <v>1717</v>
      </c>
      <c r="E83" s="245" t="s">
        <v>1718</v>
      </c>
      <c r="F83" s="245" t="s">
        <v>447</v>
      </c>
      <c r="G83" s="297" t="s">
        <v>1724</v>
      </c>
      <c r="H83" s="298" t="s">
        <v>224</v>
      </c>
      <c r="I83" s="298" t="s">
        <v>226</v>
      </c>
      <c r="J83" s="238" t="s">
        <v>1719</v>
      </c>
      <c r="K83" s="99" t="s">
        <v>1719</v>
      </c>
      <c r="L83" s="402" t="s">
        <v>2180</v>
      </c>
      <c r="M83" s="620" t="s">
        <v>4752</v>
      </c>
      <c r="N83" s="620" t="s">
        <v>238</v>
      </c>
      <c r="O83" s="620"/>
    </row>
    <row r="84">
      <c r="A84" s="67"/>
      <c r="B84" s="213" t="s">
        <v>595</v>
      </c>
      <c r="C84" s="172" t="s">
        <v>4753</v>
      </c>
      <c r="D84" s="172" t="s">
        <v>4754</v>
      </c>
      <c r="E84" s="172" t="s">
        <v>4755</v>
      </c>
      <c r="F84" s="172" t="s">
        <v>1412</v>
      </c>
      <c r="G84" s="291" t="s">
        <v>4756</v>
      </c>
      <c r="H84" s="176" t="s">
        <v>192</v>
      </c>
      <c r="I84" s="176" t="s">
        <v>195</v>
      </c>
      <c r="J84" s="238" t="s">
        <v>4759</v>
      </c>
      <c r="K84" s="99" t="s">
        <v>4759</v>
      </c>
      <c r="L84" s="402" t="s">
        <v>2772</v>
      </c>
      <c r="M84" s="620" t="s">
        <v>4761</v>
      </c>
      <c r="N84" s="620" t="s">
        <v>257</v>
      </c>
      <c r="O84" s="670" t="s">
        <v>4762</v>
      </c>
    </row>
    <row r="85">
      <c r="A85" s="67"/>
      <c r="B85" s="222" t="s">
        <v>595</v>
      </c>
      <c r="C85" s="245" t="s">
        <v>4764</v>
      </c>
      <c r="D85" s="245" t="s">
        <v>4765</v>
      </c>
      <c r="E85" s="245" t="s">
        <v>1378</v>
      </c>
      <c r="F85" s="245" t="s">
        <v>4766</v>
      </c>
      <c r="G85" s="297" t="s">
        <v>4767</v>
      </c>
      <c r="H85" s="298" t="s">
        <v>192</v>
      </c>
      <c r="I85" s="298" t="s">
        <v>195</v>
      </c>
      <c r="J85" s="238" t="s">
        <v>4768</v>
      </c>
      <c r="K85" s="99" t="s">
        <v>4768</v>
      </c>
      <c r="L85" s="402" t="s">
        <v>2180</v>
      </c>
      <c r="M85" s="620" t="s">
        <v>4772</v>
      </c>
      <c r="N85" s="620" t="s">
        <v>257</v>
      </c>
      <c r="O85" s="670" t="s">
        <v>4773</v>
      </c>
    </row>
    <row r="86">
      <c r="A86" s="67"/>
      <c r="B86" s="213" t="s">
        <v>595</v>
      </c>
      <c r="C86" s="172" t="s">
        <v>4775</v>
      </c>
      <c r="D86" s="172" t="s">
        <v>4776</v>
      </c>
      <c r="E86" s="172" t="s">
        <v>621</v>
      </c>
      <c r="F86" s="172" t="s">
        <v>4777</v>
      </c>
      <c r="G86" s="291" t="s">
        <v>4778</v>
      </c>
      <c r="H86" s="176" t="s">
        <v>192</v>
      </c>
      <c r="I86" s="176" t="s">
        <v>195</v>
      </c>
      <c r="J86" s="238" t="s">
        <v>4779</v>
      </c>
      <c r="K86" s="99" t="s">
        <v>4779</v>
      </c>
      <c r="L86" s="402" t="s">
        <v>1524</v>
      </c>
      <c r="M86" s="620" t="s">
        <v>4782</v>
      </c>
      <c r="N86" s="620" t="s">
        <v>362</v>
      </c>
      <c r="O86" s="670" t="s">
        <v>4783</v>
      </c>
    </row>
    <row r="87">
      <c r="A87" s="67"/>
      <c r="B87" s="222" t="s">
        <v>595</v>
      </c>
      <c r="C87" s="245" t="s">
        <v>4785</v>
      </c>
      <c r="D87" s="245" t="s">
        <v>4786</v>
      </c>
      <c r="E87" s="245" t="s">
        <v>4787</v>
      </c>
      <c r="F87" s="245" t="s">
        <v>1681</v>
      </c>
      <c r="G87" s="297" t="s">
        <v>4788</v>
      </c>
      <c r="H87" s="298" t="s">
        <v>192</v>
      </c>
      <c r="I87" s="298" t="s">
        <v>195</v>
      </c>
      <c r="J87" s="238" t="s">
        <v>4794</v>
      </c>
      <c r="K87" s="99" t="s">
        <v>4794</v>
      </c>
      <c r="L87" s="402" t="s">
        <v>1524</v>
      </c>
      <c r="M87" s="620" t="s">
        <v>4796</v>
      </c>
      <c r="N87" s="620" t="s">
        <v>257</v>
      </c>
      <c r="O87" s="670" t="s">
        <v>4797</v>
      </c>
    </row>
    <row r="88">
      <c r="A88" s="67"/>
      <c r="B88" s="213" t="s">
        <v>595</v>
      </c>
      <c r="C88" s="172" t="s">
        <v>4798</v>
      </c>
      <c r="D88" s="172" t="s">
        <v>4799</v>
      </c>
      <c r="E88" s="172" t="s">
        <v>4800</v>
      </c>
      <c r="F88" s="172" t="s">
        <v>2191</v>
      </c>
      <c r="G88" s="291" t="s">
        <v>4801</v>
      </c>
      <c r="H88" s="176" t="s">
        <v>192</v>
      </c>
      <c r="I88" s="176" t="s">
        <v>195</v>
      </c>
      <c r="J88" s="238" t="s">
        <v>4809</v>
      </c>
      <c r="K88" s="99" t="s">
        <v>4809</v>
      </c>
      <c r="L88" s="402" t="s">
        <v>1444</v>
      </c>
      <c r="M88" s="620" t="s">
        <v>4810</v>
      </c>
      <c r="N88" s="620" t="s">
        <v>843</v>
      </c>
      <c r="O88" s="670" t="s">
        <v>4811</v>
      </c>
    </row>
    <row r="89">
      <c r="A89" s="67"/>
      <c r="B89" s="222" t="s">
        <v>595</v>
      </c>
      <c r="C89" s="245" t="s">
        <v>4814</v>
      </c>
      <c r="D89" s="245" t="s">
        <v>4815</v>
      </c>
      <c r="E89" s="245" t="s">
        <v>4816</v>
      </c>
      <c r="F89" s="245" t="s">
        <v>1021</v>
      </c>
      <c r="G89" s="297" t="s">
        <v>4817</v>
      </c>
      <c r="H89" s="298" t="s">
        <v>192</v>
      </c>
      <c r="I89" s="298" t="s">
        <v>195</v>
      </c>
      <c r="J89" s="238" t="s">
        <v>4819</v>
      </c>
      <c r="K89" s="99" t="s">
        <v>4819</v>
      </c>
      <c r="L89" s="402" t="s">
        <v>1444</v>
      </c>
      <c r="M89" s="620" t="s">
        <v>4822</v>
      </c>
      <c r="N89" s="620" t="s">
        <v>362</v>
      </c>
      <c r="O89" s="670" t="s">
        <v>4825</v>
      </c>
    </row>
    <row r="90">
      <c r="A90" s="67"/>
      <c r="B90" s="213" t="s">
        <v>595</v>
      </c>
      <c r="C90" s="172" t="s">
        <v>4829</v>
      </c>
      <c r="D90" s="172" t="s">
        <v>4830</v>
      </c>
      <c r="E90" s="172" t="s">
        <v>436</v>
      </c>
      <c r="F90" s="172" t="s">
        <v>4831</v>
      </c>
      <c r="G90" s="291" t="s">
        <v>4832</v>
      </c>
      <c r="H90" s="176" t="s">
        <v>192</v>
      </c>
      <c r="I90" s="176" t="s">
        <v>195</v>
      </c>
      <c r="J90" s="238" t="s">
        <v>4835</v>
      </c>
      <c r="K90" s="99" t="s">
        <v>4835</v>
      </c>
      <c r="L90" s="402" t="s">
        <v>1624</v>
      </c>
      <c r="M90" s="620" t="s">
        <v>4837</v>
      </c>
      <c r="N90" s="620" t="s">
        <v>257</v>
      </c>
      <c r="O90" s="670" t="s">
        <v>4838</v>
      </c>
    </row>
    <row r="91">
      <c r="A91" s="67"/>
      <c r="B91" s="222" t="s">
        <v>595</v>
      </c>
      <c r="C91" s="245" t="s">
        <v>4844</v>
      </c>
      <c r="D91" s="245" t="s">
        <v>4845</v>
      </c>
      <c r="E91" s="245" t="s">
        <v>4846</v>
      </c>
      <c r="F91" s="245" t="s">
        <v>948</v>
      </c>
      <c r="G91" s="297" t="s">
        <v>4848</v>
      </c>
      <c r="H91" s="298" t="s">
        <v>192</v>
      </c>
      <c r="I91" s="298" t="s">
        <v>195</v>
      </c>
      <c r="J91" s="238" t="s">
        <v>4849</v>
      </c>
      <c r="K91" s="99" t="s">
        <v>4849</v>
      </c>
      <c r="L91" s="402" t="s">
        <v>1578</v>
      </c>
      <c r="M91" s="620" t="s">
        <v>4854</v>
      </c>
      <c r="N91" s="620" t="s">
        <v>362</v>
      </c>
      <c r="O91" s="670" t="s">
        <v>4855</v>
      </c>
    </row>
    <row r="92">
      <c r="A92" s="67"/>
      <c r="B92" s="213" t="s">
        <v>595</v>
      </c>
      <c r="C92" s="172" t="s">
        <v>4858</v>
      </c>
      <c r="D92" s="172" t="s">
        <v>4020</v>
      </c>
      <c r="E92" s="172" t="s">
        <v>447</v>
      </c>
      <c r="F92" s="172" t="s">
        <v>447</v>
      </c>
      <c r="G92" s="291" t="s">
        <v>4021</v>
      </c>
      <c r="H92" s="176" t="s">
        <v>192</v>
      </c>
      <c r="I92" s="176" t="s">
        <v>350</v>
      </c>
      <c r="J92" s="238" t="s">
        <v>4859</v>
      </c>
      <c r="K92" s="99" t="s">
        <v>4859</v>
      </c>
      <c r="L92" s="402" t="s">
        <v>1602</v>
      </c>
      <c r="M92" s="620" t="s">
        <v>4864</v>
      </c>
      <c r="N92" s="620" t="s">
        <v>600</v>
      </c>
      <c r="O92" s="670" t="s">
        <v>4865</v>
      </c>
    </row>
    <row r="93">
      <c r="A93" s="67"/>
      <c r="B93" s="222" t="s">
        <v>595</v>
      </c>
      <c r="C93" s="245" t="s">
        <v>4867</v>
      </c>
      <c r="D93" s="245" t="s">
        <v>4868</v>
      </c>
      <c r="E93" s="245" t="s">
        <v>4096</v>
      </c>
      <c r="F93" s="245" t="s">
        <v>1021</v>
      </c>
      <c r="G93" s="297" t="s">
        <v>4869</v>
      </c>
      <c r="H93" s="298" t="s">
        <v>385</v>
      </c>
      <c r="I93" s="298" t="s">
        <v>448</v>
      </c>
      <c r="J93" s="238" t="s">
        <v>4871</v>
      </c>
      <c r="K93" s="99" t="s">
        <v>4871</v>
      </c>
      <c r="L93" s="759">
        <v>4.29</v>
      </c>
      <c r="M93" s="760">
        <v>45631.0</v>
      </c>
      <c r="N93" s="761" t="s">
        <v>449</v>
      </c>
      <c r="O93" s="762" t="s">
        <v>4878</v>
      </c>
    </row>
    <row r="94">
      <c r="A94" s="67"/>
      <c r="B94" s="213" t="s">
        <v>595</v>
      </c>
      <c r="C94" s="172" t="s">
        <v>4885</v>
      </c>
      <c r="D94" s="172" t="s">
        <v>4886</v>
      </c>
      <c r="E94" s="172" t="s">
        <v>4887</v>
      </c>
      <c r="F94" s="172" t="s">
        <v>4888</v>
      </c>
      <c r="G94" s="291" t="s">
        <v>4889</v>
      </c>
      <c r="H94" s="176" t="s">
        <v>461</v>
      </c>
      <c r="I94" s="176" t="s">
        <v>462</v>
      </c>
      <c r="J94" s="238" t="s">
        <v>4892</v>
      </c>
      <c r="K94" s="99" t="s">
        <v>4892</v>
      </c>
      <c r="L94" s="402" t="s">
        <v>2180</v>
      </c>
      <c r="M94" s="620" t="s">
        <v>4896</v>
      </c>
      <c r="N94" s="620" t="s">
        <v>880</v>
      </c>
      <c r="O94" s="670" t="s">
        <v>4898</v>
      </c>
    </row>
    <row r="95">
      <c r="A95" s="67"/>
      <c r="B95" s="222" t="s">
        <v>595</v>
      </c>
      <c r="C95" s="245" t="s">
        <v>4900</v>
      </c>
      <c r="D95" s="245" t="s">
        <v>4901</v>
      </c>
      <c r="E95" s="245" t="s">
        <v>4902</v>
      </c>
      <c r="F95" s="245" t="s">
        <v>1583</v>
      </c>
      <c r="G95" s="297" t="s">
        <v>4903</v>
      </c>
      <c r="H95" s="298" t="s">
        <v>192</v>
      </c>
      <c r="I95" s="298" t="s">
        <v>195</v>
      </c>
      <c r="J95" s="238" t="s">
        <v>4906</v>
      </c>
      <c r="K95" s="99" t="s">
        <v>4906</v>
      </c>
      <c r="L95" s="802">
        <v>1.0</v>
      </c>
      <c r="M95" s="837">
        <v>45645.0</v>
      </c>
      <c r="N95" s="804" t="s">
        <v>257</v>
      </c>
      <c r="O95" s="805" t="s">
        <v>4912</v>
      </c>
    </row>
    <row r="96">
      <c r="A96" s="67"/>
      <c r="B96" s="213" t="s">
        <v>595</v>
      </c>
      <c r="C96" s="172" t="s">
        <v>4914</v>
      </c>
      <c r="D96" s="172" t="s">
        <v>4915</v>
      </c>
      <c r="E96" s="172" t="s">
        <v>4916</v>
      </c>
      <c r="F96" s="172" t="s">
        <v>3935</v>
      </c>
      <c r="G96" s="291" t="s">
        <v>4918</v>
      </c>
      <c r="H96" s="176" t="s">
        <v>461</v>
      </c>
      <c r="I96" s="176" t="s">
        <v>462</v>
      </c>
      <c r="J96" s="238" t="s">
        <v>4923</v>
      </c>
      <c r="K96" s="99" t="s">
        <v>4923</v>
      </c>
      <c r="L96" s="802">
        <v>1.0</v>
      </c>
      <c r="M96" s="837">
        <v>45652.0</v>
      </c>
      <c r="N96" s="804" t="s">
        <v>778</v>
      </c>
      <c r="O96" s="805" t="s">
        <v>4926</v>
      </c>
    </row>
    <row r="97">
      <c r="A97" s="67"/>
      <c r="B97" s="222" t="s">
        <v>595</v>
      </c>
      <c r="C97" s="245" t="s">
        <v>4927</v>
      </c>
      <c r="D97" s="245" t="s">
        <v>4928</v>
      </c>
      <c r="E97" s="245" t="s">
        <v>4929</v>
      </c>
      <c r="F97" s="245" t="s">
        <v>3687</v>
      </c>
      <c r="G97" s="297" t="s">
        <v>4930</v>
      </c>
      <c r="H97" s="298" t="s">
        <v>385</v>
      </c>
      <c r="I97" s="298" t="s">
        <v>386</v>
      </c>
      <c r="J97" s="238" t="s">
        <v>4931</v>
      </c>
      <c r="K97" s="99" t="s">
        <v>4931</v>
      </c>
      <c r="L97" s="802">
        <v>1.0</v>
      </c>
      <c r="M97" s="803">
        <v>45659.0</v>
      </c>
      <c r="N97" s="804" t="s">
        <v>1050</v>
      </c>
      <c r="O97" s="805" t="s">
        <v>4936</v>
      </c>
    </row>
    <row r="98">
      <c r="A98" s="67"/>
      <c r="B98" s="213" t="s">
        <v>595</v>
      </c>
      <c r="C98" s="172" t="s">
        <v>117</v>
      </c>
      <c r="D98" s="172" t="s">
        <v>212</v>
      </c>
      <c r="E98" s="172" t="s">
        <v>213</v>
      </c>
      <c r="F98" s="172" t="s">
        <v>215</v>
      </c>
      <c r="G98" s="291" t="s">
        <v>216</v>
      </c>
      <c r="H98" s="176" t="s">
        <v>385</v>
      </c>
      <c r="I98" s="176" t="s">
        <v>448</v>
      </c>
      <c r="J98" s="238" t="s">
        <v>1895</v>
      </c>
      <c r="K98" s="99" t="s">
        <v>1895</v>
      </c>
      <c r="L98" s="402" t="s">
        <v>2527</v>
      </c>
      <c r="M98" s="620" t="s">
        <v>4938</v>
      </c>
      <c r="N98" s="620" t="s">
        <v>449</v>
      </c>
      <c r="O98" s="670" t="s">
        <v>4939</v>
      </c>
    </row>
    <row r="99">
      <c r="A99" s="67"/>
      <c r="B99" s="222" t="s">
        <v>595</v>
      </c>
      <c r="C99" s="245" t="s">
        <v>4942</v>
      </c>
      <c r="D99" s="245" t="s">
        <v>4943</v>
      </c>
      <c r="E99" s="245" t="s">
        <v>4944</v>
      </c>
      <c r="F99" s="849"/>
      <c r="G99" s="297" t="s">
        <v>4945</v>
      </c>
      <c r="H99" s="298" t="s">
        <v>192</v>
      </c>
      <c r="I99" s="298" t="s">
        <v>195</v>
      </c>
      <c r="J99" s="238" t="s">
        <v>4947</v>
      </c>
      <c r="K99" s="99" t="s">
        <v>4947</v>
      </c>
      <c r="L99" s="802">
        <v>1.0</v>
      </c>
      <c r="M99" s="803">
        <v>45673.0</v>
      </c>
      <c r="N99" s="804" t="s">
        <v>257</v>
      </c>
      <c r="O99" s="805" t="s">
        <v>4952</v>
      </c>
    </row>
    <row r="100">
      <c r="A100" s="67"/>
      <c r="B100" s="213" t="s">
        <v>595</v>
      </c>
      <c r="C100" s="172" t="s">
        <v>4954</v>
      </c>
      <c r="D100" s="172" t="s">
        <v>4955</v>
      </c>
      <c r="E100" s="172" t="s">
        <v>4956</v>
      </c>
      <c r="F100" s="172" t="s">
        <v>948</v>
      </c>
      <c r="G100" s="291" t="s">
        <v>4957</v>
      </c>
      <c r="H100" s="176" t="s">
        <v>461</v>
      </c>
      <c r="I100" s="176" t="s">
        <v>462</v>
      </c>
      <c r="J100" s="238" t="s">
        <v>4958</v>
      </c>
      <c r="K100" s="99" t="s">
        <v>4958</v>
      </c>
      <c r="L100" s="402" t="s">
        <v>3530</v>
      </c>
      <c r="M100" s="620" t="s">
        <v>4961</v>
      </c>
      <c r="N100" s="620" t="s">
        <v>778</v>
      </c>
      <c r="O100" s="670" t="s">
        <v>4962</v>
      </c>
    </row>
    <row r="101">
      <c r="A101" s="67"/>
      <c r="B101" s="222" t="s">
        <v>595</v>
      </c>
      <c r="C101" s="245" t="s">
        <v>4964</v>
      </c>
      <c r="D101" s="245" t="s">
        <v>212</v>
      </c>
      <c r="E101" s="245" t="s">
        <v>213</v>
      </c>
      <c r="F101" s="245" t="s">
        <v>215</v>
      </c>
      <c r="G101" s="297" t="s">
        <v>216</v>
      </c>
      <c r="H101" s="298" t="s">
        <v>485</v>
      </c>
      <c r="I101" s="298" t="s">
        <v>448</v>
      </c>
      <c r="J101" s="238" t="s">
        <v>4965</v>
      </c>
      <c r="K101" s="160" t="s">
        <v>4965</v>
      </c>
      <c r="L101" s="402" t="s">
        <v>3530</v>
      </c>
      <c r="M101" s="620" t="s">
        <v>4969</v>
      </c>
      <c r="N101" s="620" t="s">
        <v>482</v>
      </c>
      <c r="O101" s="670" t="s">
        <v>4970</v>
      </c>
    </row>
    <row r="102">
      <c r="A102" s="67"/>
      <c r="B102" s="213" t="s">
        <v>595</v>
      </c>
      <c r="C102" s="172" t="s">
        <v>4972</v>
      </c>
      <c r="D102" s="172" t="s">
        <v>4973</v>
      </c>
      <c r="E102" s="172" t="s">
        <v>4974</v>
      </c>
      <c r="F102" s="172" t="s">
        <v>4975</v>
      </c>
      <c r="G102" s="291" t="s">
        <v>4976</v>
      </c>
      <c r="H102" s="176" t="s">
        <v>485</v>
      </c>
      <c r="I102" s="176" t="s">
        <v>386</v>
      </c>
      <c r="J102" s="238" t="s">
        <v>4978</v>
      </c>
      <c r="K102" s="160" t="s">
        <v>4978</v>
      </c>
      <c r="L102" s="402" t="s">
        <v>2180</v>
      </c>
      <c r="M102" s="620" t="s">
        <v>4981</v>
      </c>
      <c r="N102" s="620" t="s">
        <v>1050</v>
      </c>
      <c r="O102" s="670" t="s">
        <v>4982</v>
      </c>
    </row>
    <row r="103">
      <c r="A103" s="67"/>
      <c r="B103" s="222" t="s">
        <v>595</v>
      </c>
      <c r="C103" s="245" t="s">
        <v>4983</v>
      </c>
      <c r="D103" s="245" t="s">
        <v>4984</v>
      </c>
      <c r="E103" s="245" t="s">
        <v>4985</v>
      </c>
      <c r="F103" s="245" t="s">
        <v>1139</v>
      </c>
      <c r="G103" s="297" t="s">
        <v>4986</v>
      </c>
      <c r="H103" s="298" t="s">
        <v>192</v>
      </c>
      <c r="I103" s="298" t="s">
        <v>195</v>
      </c>
      <c r="J103" s="238" t="s">
        <v>4988</v>
      </c>
      <c r="K103" s="160" t="s">
        <v>4988</v>
      </c>
      <c r="L103" s="402" t="s">
        <v>2180</v>
      </c>
      <c r="M103" s="620" t="s">
        <v>4990</v>
      </c>
      <c r="N103" s="620" t="s">
        <v>208</v>
      </c>
      <c r="O103" s="670" t="s">
        <v>4991</v>
      </c>
    </row>
    <row r="104">
      <c r="A104" s="67"/>
      <c r="B104" s="213" t="s">
        <v>595</v>
      </c>
      <c r="C104" s="172" t="s">
        <v>4992</v>
      </c>
      <c r="D104" s="172" t="s">
        <v>4994</v>
      </c>
      <c r="E104" s="172" t="s">
        <v>4995</v>
      </c>
      <c r="F104" s="172" t="s">
        <v>1021</v>
      </c>
      <c r="G104" s="291" t="s">
        <v>4996</v>
      </c>
      <c r="H104" s="176" t="s">
        <v>192</v>
      </c>
      <c r="I104" s="176" t="s">
        <v>195</v>
      </c>
      <c r="J104" s="238" t="s">
        <v>5000</v>
      </c>
      <c r="K104" s="160" t="s">
        <v>5000</v>
      </c>
      <c r="L104" s="402" t="s">
        <v>1421</v>
      </c>
      <c r="M104" s="620" t="s">
        <v>5003</v>
      </c>
      <c r="N104" s="620" t="s">
        <v>257</v>
      </c>
      <c r="O104" s="670" t="s">
        <v>5004</v>
      </c>
    </row>
    <row r="105">
      <c r="A105" s="67"/>
      <c r="B105" s="213" t="s">
        <v>595</v>
      </c>
      <c r="C105" s="245" t="s">
        <v>5006</v>
      </c>
      <c r="D105" s="245" t="s">
        <v>4020</v>
      </c>
      <c r="E105" s="245" t="s">
        <v>447</v>
      </c>
      <c r="F105" s="849"/>
      <c r="G105" s="297" t="s">
        <v>4021</v>
      </c>
      <c r="H105" s="298" t="s">
        <v>192</v>
      </c>
      <c r="I105" s="298" t="s">
        <v>195</v>
      </c>
      <c r="J105" s="238" t="s">
        <v>5008</v>
      </c>
      <c r="K105" s="160" t="s">
        <v>5008</v>
      </c>
      <c r="L105" s="402" t="s">
        <v>1524</v>
      </c>
      <c r="M105" s="620" t="s">
        <v>5009</v>
      </c>
      <c r="N105" s="620" t="s">
        <v>257</v>
      </c>
      <c r="O105" s="670" t="s">
        <v>5010</v>
      </c>
    </row>
    <row r="106">
      <c r="A106" s="67"/>
      <c r="B106" s="213" t="s">
        <v>595</v>
      </c>
      <c r="C106" s="172" t="s">
        <v>5013</v>
      </c>
      <c r="D106" s="172" t="s">
        <v>5014</v>
      </c>
      <c r="E106" s="172" t="s">
        <v>5016</v>
      </c>
      <c r="F106" s="172" t="s">
        <v>5017</v>
      </c>
      <c r="G106" s="291" t="s">
        <v>5018</v>
      </c>
      <c r="H106" s="176" t="s">
        <v>192</v>
      </c>
      <c r="I106" s="176" t="s">
        <v>195</v>
      </c>
      <c r="J106" s="238" t="s">
        <v>5019</v>
      </c>
      <c r="K106" s="160" t="s">
        <v>5019</v>
      </c>
      <c r="L106" s="402" t="s">
        <v>1578</v>
      </c>
      <c r="M106" s="620" t="s">
        <v>5021</v>
      </c>
      <c r="N106" s="620" t="s">
        <v>362</v>
      </c>
      <c r="O106" s="670" t="s">
        <v>5022</v>
      </c>
    </row>
    <row r="107">
      <c r="A107" s="67"/>
      <c r="B107" s="213" t="s">
        <v>595</v>
      </c>
      <c r="C107" s="245" t="s">
        <v>5023</v>
      </c>
      <c r="D107" s="245" t="s">
        <v>5024</v>
      </c>
      <c r="E107" s="245" t="s">
        <v>5025</v>
      </c>
      <c r="F107" s="849"/>
      <c r="G107" s="297" t="s">
        <v>5026</v>
      </c>
      <c r="H107" s="298" t="s">
        <v>461</v>
      </c>
      <c r="I107" s="298" t="s">
        <v>462</v>
      </c>
      <c r="J107" s="238" t="s">
        <v>5031</v>
      </c>
      <c r="K107" s="160" t="s">
        <v>5031</v>
      </c>
      <c r="L107" s="402" t="s">
        <v>1322</v>
      </c>
      <c r="M107" s="620" t="s">
        <v>5034</v>
      </c>
      <c r="N107" s="620" t="s">
        <v>778</v>
      </c>
      <c r="O107" s="670" t="s">
        <v>5035</v>
      </c>
    </row>
    <row r="108">
      <c r="A108" s="67"/>
      <c r="B108" s="213" t="s">
        <v>595</v>
      </c>
      <c r="C108" s="172" t="s">
        <v>5036</v>
      </c>
      <c r="D108" s="172" t="s">
        <v>4536</v>
      </c>
      <c r="E108" s="172" t="s">
        <v>4537</v>
      </c>
      <c r="F108" s="172" t="s">
        <v>4538</v>
      </c>
      <c r="G108" s="291" t="s">
        <v>4539</v>
      </c>
      <c r="H108" s="176" t="s">
        <v>192</v>
      </c>
      <c r="I108" s="176" t="s">
        <v>276</v>
      </c>
      <c r="J108" s="238" t="s">
        <v>5037</v>
      </c>
      <c r="K108" s="160" t="s">
        <v>5037</v>
      </c>
      <c r="L108" s="402" t="s">
        <v>2180</v>
      </c>
      <c r="M108" s="620" t="s">
        <v>5040</v>
      </c>
      <c r="N108" s="620" t="s">
        <v>284</v>
      </c>
      <c r="O108" s="670" t="s">
        <v>5041</v>
      </c>
    </row>
    <row r="109">
      <c r="A109" s="67"/>
      <c r="B109" s="213" t="s">
        <v>595</v>
      </c>
      <c r="C109" s="245" t="s">
        <v>5042</v>
      </c>
      <c r="D109" s="245" t="s">
        <v>5043</v>
      </c>
      <c r="E109" s="245" t="s">
        <v>5045</v>
      </c>
      <c r="F109" s="245" t="s">
        <v>948</v>
      </c>
      <c r="G109" s="297" t="s">
        <v>5046</v>
      </c>
      <c r="H109" s="298" t="s">
        <v>192</v>
      </c>
      <c r="I109" s="298" t="s">
        <v>350</v>
      </c>
      <c r="J109" s="238" t="s">
        <v>5051</v>
      </c>
      <c r="K109" s="160" t="s">
        <v>5051</v>
      </c>
      <c r="L109" s="402" t="s">
        <v>3530</v>
      </c>
      <c r="M109" s="620" t="s">
        <v>5053</v>
      </c>
      <c r="N109" s="620" t="s">
        <v>352</v>
      </c>
      <c r="O109" s="670" t="s">
        <v>5054</v>
      </c>
    </row>
    <row r="110">
      <c r="A110" s="67"/>
      <c r="B110" s="213" t="s">
        <v>595</v>
      </c>
      <c r="C110" s="172" t="s">
        <v>5056</v>
      </c>
      <c r="D110" s="172" t="s">
        <v>524</v>
      </c>
      <c r="E110" s="172" t="s">
        <v>5057</v>
      </c>
      <c r="F110" s="172" t="s">
        <v>5058</v>
      </c>
      <c r="G110" s="291" t="s">
        <v>529</v>
      </c>
      <c r="H110" s="176" t="s">
        <v>192</v>
      </c>
      <c r="I110" s="176" t="s">
        <v>195</v>
      </c>
      <c r="J110" s="238" t="s">
        <v>5060</v>
      </c>
      <c r="K110" s="160" t="s">
        <v>5060</v>
      </c>
      <c r="L110" s="402" t="s">
        <v>1421</v>
      </c>
      <c r="M110" s="620" t="s">
        <v>5061</v>
      </c>
      <c r="N110" s="620" t="s">
        <v>843</v>
      </c>
      <c r="O110" s="670" t="s">
        <v>5062</v>
      </c>
    </row>
    <row r="111">
      <c r="A111" s="67"/>
      <c r="B111" s="213" t="s">
        <v>595</v>
      </c>
      <c r="C111" s="245" t="s">
        <v>5067</v>
      </c>
      <c r="D111" s="245" t="s">
        <v>5068</v>
      </c>
      <c r="E111" s="245" t="s">
        <v>5069</v>
      </c>
      <c r="F111" s="245" t="s">
        <v>2571</v>
      </c>
      <c r="G111" s="297" t="s">
        <v>5070</v>
      </c>
      <c r="H111" s="298" t="s">
        <v>485</v>
      </c>
      <c r="I111" s="298" t="s">
        <v>386</v>
      </c>
      <c r="J111" s="238" t="s">
        <v>5072</v>
      </c>
      <c r="K111" s="160" t="s">
        <v>5072</v>
      </c>
      <c r="L111" s="802">
        <v>1.0</v>
      </c>
      <c r="M111" s="803">
        <v>45757.0</v>
      </c>
      <c r="N111" s="804" t="s">
        <v>549</v>
      </c>
      <c r="O111" s="805" t="s">
        <v>5073</v>
      </c>
    </row>
    <row r="112">
      <c r="A112" s="67"/>
      <c r="B112" s="213" t="s">
        <v>595</v>
      </c>
      <c r="C112" s="172" t="s">
        <v>5075</v>
      </c>
      <c r="D112" s="172" t="s">
        <v>5076</v>
      </c>
      <c r="E112" s="172" t="s">
        <v>5077</v>
      </c>
      <c r="F112" s="172" t="s">
        <v>5078</v>
      </c>
      <c r="G112" s="291" t="s">
        <v>5079</v>
      </c>
      <c r="H112" s="176" t="s">
        <v>192</v>
      </c>
      <c r="I112" s="176" t="s">
        <v>195</v>
      </c>
      <c r="J112" s="238" t="s">
        <v>5082</v>
      </c>
      <c r="K112" s="160" t="s">
        <v>5082</v>
      </c>
      <c r="L112" s="802">
        <v>1.0</v>
      </c>
      <c r="M112" s="803">
        <v>45764.0</v>
      </c>
      <c r="N112" s="804" t="s">
        <v>362</v>
      </c>
      <c r="O112" s="805" t="s">
        <v>5083</v>
      </c>
    </row>
    <row r="113">
      <c r="A113" s="67"/>
      <c r="B113" s="213" t="s">
        <v>595</v>
      </c>
      <c r="C113" s="172" t="s">
        <v>5084</v>
      </c>
      <c r="D113" s="245" t="s">
        <v>5085</v>
      </c>
      <c r="E113" s="245" t="s">
        <v>1039</v>
      </c>
      <c r="F113" s="245" t="s">
        <v>3672</v>
      </c>
      <c r="G113" s="297" t="s">
        <v>3673</v>
      </c>
      <c r="H113" s="298" t="s">
        <v>485</v>
      </c>
      <c r="I113" s="298" t="s">
        <v>448</v>
      </c>
      <c r="J113" s="152" t="s">
        <v>5086</v>
      </c>
      <c r="K113" s="160" t="s">
        <v>5086</v>
      </c>
      <c r="L113" s="402" t="s">
        <v>5087</v>
      </c>
      <c r="M113" s="620" t="s">
        <v>5088</v>
      </c>
      <c r="N113" s="620" t="s">
        <v>482</v>
      </c>
      <c r="O113" s="670" t="s">
        <v>5089</v>
      </c>
    </row>
    <row r="114">
      <c r="A114" s="67"/>
      <c r="B114" s="213" t="s">
        <v>595</v>
      </c>
      <c r="C114" s="245" t="s">
        <v>5090</v>
      </c>
      <c r="D114" s="172" t="s">
        <v>5091</v>
      </c>
      <c r="E114" s="172" t="s">
        <v>213</v>
      </c>
      <c r="F114" s="172" t="s">
        <v>5092</v>
      </c>
      <c r="G114" s="291" t="s">
        <v>5093</v>
      </c>
      <c r="H114" s="176" t="s">
        <v>192</v>
      </c>
      <c r="I114" s="176" t="s">
        <v>195</v>
      </c>
      <c r="J114" s="152" t="s">
        <v>5094</v>
      </c>
      <c r="K114" s="160" t="s">
        <v>5094</v>
      </c>
      <c r="L114" s="402" t="s">
        <v>2180</v>
      </c>
      <c r="M114" s="620" t="s">
        <v>5099</v>
      </c>
      <c r="N114" s="620" t="s">
        <v>257</v>
      </c>
      <c r="O114" s="670" t="s">
        <v>5100</v>
      </c>
    </row>
    <row r="115">
      <c r="A115" s="67"/>
      <c r="B115" s="213" t="s">
        <v>595</v>
      </c>
      <c r="C115" s="241" t="s">
        <v>134</v>
      </c>
      <c r="D115" s="241" t="s">
        <v>2101</v>
      </c>
      <c r="E115" s="241" t="s">
        <v>2102</v>
      </c>
      <c r="F115" s="241" t="s">
        <v>215</v>
      </c>
      <c r="G115" s="514" t="s">
        <v>2113</v>
      </c>
      <c r="H115" s="464" t="s">
        <v>461</v>
      </c>
      <c r="I115" s="464" t="s">
        <v>530</v>
      </c>
      <c r="J115" s="238" t="s">
        <v>2104</v>
      </c>
      <c r="K115" s="160" t="s">
        <v>2104</v>
      </c>
      <c r="L115" s="402" t="s">
        <v>2337</v>
      </c>
      <c r="M115" s="620" t="s">
        <v>5104</v>
      </c>
      <c r="N115" s="620" t="s">
        <v>867</v>
      </c>
      <c r="O115" s="670" t="s">
        <v>5105</v>
      </c>
    </row>
    <row r="116">
      <c r="A116" s="67"/>
      <c r="B116" s="213" t="s">
        <v>595</v>
      </c>
      <c r="C116" s="195" t="s">
        <v>5112</v>
      </c>
      <c r="D116" s="195" t="s">
        <v>5113</v>
      </c>
      <c r="E116" s="195" t="s">
        <v>5114</v>
      </c>
      <c r="F116" s="195" t="s">
        <v>447</v>
      </c>
      <c r="G116" s="606" t="s">
        <v>5115</v>
      </c>
      <c r="H116" s="393" t="s">
        <v>485</v>
      </c>
      <c r="I116" s="393" t="s">
        <v>386</v>
      </c>
      <c r="J116" s="98" t="s">
        <v>5117</v>
      </c>
      <c r="K116" s="160" t="s">
        <v>5117</v>
      </c>
      <c r="L116" s="802">
        <v>1.0</v>
      </c>
      <c r="M116" s="803">
        <v>45792.0</v>
      </c>
      <c r="N116" s="804" t="s">
        <v>386</v>
      </c>
      <c r="O116" s="805" t="s">
        <v>5119</v>
      </c>
    </row>
    <row r="117">
      <c r="A117" s="67"/>
      <c r="B117" s="213" t="s">
        <v>595</v>
      </c>
      <c r="C117" s="241" t="s">
        <v>5124</v>
      </c>
      <c r="D117" s="241" t="s">
        <v>5125</v>
      </c>
      <c r="E117" s="241" t="s">
        <v>1146</v>
      </c>
      <c r="F117" s="241" t="s">
        <v>4174</v>
      </c>
      <c r="G117" s="514" t="s">
        <v>5126</v>
      </c>
      <c r="H117" s="464" t="s">
        <v>461</v>
      </c>
      <c r="I117" s="464" t="s">
        <v>462</v>
      </c>
      <c r="J117" s="238" t="s">
        <v>5131</v>
      </c>
      <c r="K117" s="160" t="s">
        <v>5131</v>
      </c>
      <c r="L117" s="402" t="s">
        <v>1806</v>
      </c>
      <c r="M117" s="620" t="s">
        <v>5133</v>
      </c>
      <c r="N117" s="620" t="s">
        <v>791</v>
      </c>
      <c r="O117" s="670" t="s">
        <v>5134</v>
      </c>
    </row>
    <row r="118">
      <c r="A118" s="67"/>
      <c r="B118" s="213" t="s">
        <v>595</v>
      </c>
      <c r="C118" s="195" t="s">
        <v>5135</v>
      </c>
      <c r="D118" s="195" t="s">
        <v>1257</v>
      </c>
      <c r="E118" s="195" t="s">
        <v>1913</v>
      </c>
      <c r="F118" s="195" t="s">
        <v>215</v>
      </c>
      <c r="G118" s="606" t="s">
        <v>1258</v>
      </c>
      <c r="H118" s="393" t="s">
        <v>224</v>
      </c>
      <c r="I118" s="393" t="s">
        <v>440</v>
      </c>
      <c r="J118" s="98" t="s">
        <v>5136</v>
      </c>
      <c r="K118" s="160" t="s">
        <v>5136</v>
      </c>
      <c r="L118" s="402" t="s">
        <v>3183</v>
      </c>
      <c r="M118" s="620" t="s">
        <v>5137</v>
      </c>
      <c r="N118" s="620" t="s">
        <v>1096</v>
      </c>
      <c r="O118" s="670" t="s">
        <v>5138</v>
      </c>
    </row>
    <row r="119">
      <c r="A119" s="67"/>
      <c r="B119" s="213" t="s">
        <v>595</v>
      </c>
      <c r="C119" s="897" t="s">
        <v>5139</v>
      </c>
      <c r="D119" s="897" t="s">
        <v>5140</v>
      </c>
      <c r="E119" s="897" t="s">
        <v>5141</v>
      </c>
      <c r="F119" s="897" t="s">
        <v>5142</v>
      </c>
      <c r="G119" s="898" t="s">
        <v>5143</v>
      </c>
      <c r="H119" s="899" t="s">
        <v>192</v>
      </c>
      <c r="I119" s="899" t="s">
        <v>195</v>
      </c>
      <c r="J119" s="98" t="s">
        <v>5144</v>
      </c>
      <c r="K119" s="160" t="s">
        <v>5144</v>
      </c>
      <c r="L119" s="402" t="s">
        <v>2180</v>
      </c>
      <c r="M119" s="620" t="s">
        <v>5145</v>
      </c>
      <c r="N119" s="620" t="s">
        <v>257</v>
      </c>
      <c r="O119" s="670" t="s">
        <v>5146</v>
      </c>
    </row>
    <row r="120">
      <c r="A120" s="67"/>
      <c r="B120" s="213" t="s">
        <v>595</v>
      </c>
      <c r="C120" s="310" t="s">
        <v>5147</v>
      </c>
      <c r="D120" s="310" t="s">
        <v>5148</v>
      </c>
      <c r="E120" s="310" t="s">
        <v>5149</v>
      </c>
      <c r="F120" s="310" t="s">
        <v>5150</v>
      </c>
      <c r="G120" s="625" t="s">
        <v>5151</v>
      </c>
      <c r="H120" s="626" t="s">
        <v>192</v>
      </c>
      <c r="I120" s="626" t="s">
        <v>195</v>
      </c>
      <c r="J120" s="98" t="s">
        <v>5152</v>
      </c>
      <c r="K120" s="160" t="s">
        <v>5152</v>
      </c>
      <c r="L120" s="402" t="s">
        <v>3541</v>
      </c>
      <c r="M120" s="620" t="s">
        <v>5153</v>
      </c>
      <c r="N120" s="620" t="s">
        <v>843</v>
      </c>
      <c r="O120" s="670" t="s">
        <v>5154</v>
      </c>
    </row>
    <row r="121">
      <c r="A121" s="67"/>
      <c r="B121" s="213" t="s">
        <v>595</v>
      </c>
      <c r="C121" s="310" t="s">
        <v>5155</v>
      </c>
      <c r="D121" s="310" t="s">
        <v>5156</v>
      </c>
      <c r="E121" s="313" t="s">
        <v>5157</v>
      </c>
      <c r="F121" s="313" t="s">
        <v>5158</v>
      </c>
      <c r="G121" s="616" t="s">
        <v>5159</v>
      </c>
      <c r="H121" s="618" t="s">
        <v>461</v>
      </c>
      <c r="I121" s="618" t="s">
        <v>462</v>
      </c>
      <c r="J121" s="238" t="s">
        <v>5160</v>
      </c>
      <c r="K121" s="160" t="s">
        <v>5160</v>
      </c>
      <c r="L121" s="402" t="s">
        <v>2180</v>
      </c>
      <c r="M121" s="620" t="s">
        <v>5161</v>
      </c>
      <c r="N121" s="620" t="s">
        <v>791</v>
      </c>
      <c r="O121" s="670" t="s">
        <v>5162</v>
      </c>
    </row>
    <row r="122">
      <c r="A122" s="67"/>
      <c r="B122" s="213" t="s">
        <v>595</v>
      </c>
      <c r="C122" s="310" t="s">
        <v>5163</v>
      </c>
      <c r="D122" s="310" t="s">
        <v>5164</v>
      </c>
      <c r="E122" s="310" t="s">
        <v>5165</v>
      </c>
      <c r="F122" s="310" t="s">
        <v>5166</v>
      </c>
      <c r="G122" s="625" t="s">
        <v>5167</v>
      </c>
      <c r="H122" s="618" t="s">
        <v>485</v>
      </c>
      <c r="I122" s="618" t="s">
        <v>448</v>
      </c>
      <c r="J122" s="238" t="s">
        <v>5168</v>
      </c>
      <c r="K122" s="160" t="s">
        <v>5168</v>
      </c>
      <c r="L122" s="402" t="s">
        <v>2180</v>
      </c>
      <c r="M122" s="620" t="s">
        <v>5169</v>
      </c>
      <c r="N122" s="620" t="s">
        <v>493</v>
      </c>
      <c r="O122" s="670" t="s">
        <v>5170</v>
      </c>
    </row>
    <row r="123">
      <c r="A123" s="67"/>
      <c r="B123" s="213" t="s">
        <v>595</v>
      </c>
      <c r="C123" s="310" t="s">
        <v>5171</v>
      </c>
      <c r="D123" s="310" t="s">
        <v>5172</v>
      </c>
      <c r="E123" s="631" t="s">
        <v>5173</v>
      </c>
      <c r="F123" s="901"/>
      <c r="G123" s="632" t="s">
        <v>5174</v>
      </c>
      <c r="H123" s="902" t="s">
        <v>461</v>
      </c>
      <c r="I123" s="618" t="s">
        <v>462</v>
      </c>
      <c r="J123" s="238" t="s">
        <v>5175</v>
      </c>
      <c r="K123" s="160" t="s">
        <v>5175</v>
      </c>
      <c r="L123" s="802">
        <v>1.0</v>
      </c>
      <c r="M123" s="803">
        <v>45841.0</v>
      </c>
      <c r="N123" s="804" t="s">
        <v>791</v>
      </c>
      <c r="O123" s="805" t="s">
        <v>5176</v>
      </c>
    </row>
    <row r="124">
      <c r="A124" s="67"/>
      <c r="B124" s="213" t="s">
        <v>595</v>
      </c>
      <c r="C124" s="310" t="s">
        <v>5177</v>
      </c>
      <c r="D124" s="310" t="s">
        <v>2101</v>
      </c>
      <c r="E124" s="313" t="s">
        <v>2102</v>
      </c>
      <c r="F124" s="313" t="s">
        <v>215</v>
      </c>
      <c r="G124" s="616" t="s">
        <v>2113</v>
      </c>
      <c r="H124" s="626" t="s">
        <v>224</v>
      </c>
      <c r="I124" s="618" t="s">
        <v>440</v>
      </c>
      <c r="J124" s="238" t="s">
        <v>5178</v>
      </c>
      <c r="K124" s="160" t="s">
        <v>5178</v>
      </c>
      <c r="L124" s="402" t="s">
        <v>2337</v>
      </c>
      <c r="M124" s="620" t="s">
        <v>5179</v>
      </c>
      <c r="N124" s="620" t="s">
        <v>616</v>
      </c>
      <c r="O124" s="670" t="s">
        <v>5180</v>
      </c>
    </row>
    <row r="125">
      <c r="A125" s="67"/>
      <c r="B125" s="213" t="s">
        <v>595</v>
      </c>
      <c r="C125" s="310" t="s">
        <v>5181</v>
      </c>
      <c r="D125" s="310" t="s">
        <v>5182</v>
      </c>
      <c r="E125" s="313" t="s">
        <v>592</v>
      </c>
      <c r="F125" s="313" t="s">
        <v>5183</v>
      </c>
      <c r="G125" s="616" t="s">
        <v>5184</v>
      </c>
      <c r="H125" s="618" t="s">
        <v>192</v>
      </c>
      <c r="I125" s="618" t="s">
        <v>195</v>
      </c>
      <c r="J125" s="238" t="s">
        <v>5185</v>
      </c>
      <c r="K125" s="160" t="s">
        <v>5185</v>
      </c>
      <c r="L125" s="802">
        <v>4.29</v>
      </c>
      <c r="M125" s="803">
        <v>45855.0</v>
      </c>
      <c r="N125" s="804" t="s">
        <v>257</v>
      </c>
      <c r="O125" s="805" t="s">
        <v>5187</v>
      </c>
    </row>
    <row r="126">
      <c r="A126" s="67"/>
      <c r="B126" s="213" t="s">
        <v>595</v>
      </c>
      <c r="C126" s="165" t="s">
        <v>5188</v>
      </c>
      <c r="D126" s="165" t="s">
        <v>1257</v>
      </c>
      <c r="E126" s="165" t="s">
        <v>1913</v>
      </c>
      <c r="F126" s="165" t="s">
        <v>215</v>
      </c>
      <c r="G126" s="236" t="s">
        <v>1258</v>
      </c>
      <c r="H126" s="237" t="s">
        <v>461</v>
      </c>
      <c r="I126" s="237" t="s">
        <v>462</v>
      </c>
      <c r="J126" s="238" t="s">
        <v>5189</v>
      </c>
      <c r="K126" s="99" t="s">
        <v>5189</v>
      </c>
      <c r="L126" s="402" t="s">
        <v>2337</v>
      </c>
      <c r="M126" s="620" t="s">
        <v>5190</v>
      </c>
      <c r="N126" s="620" t="s">
        <v>791</v>
      </c>
      <c r="O126" s="670" t="s">
        <v>5191</v>
      </c>
    </row>
    <row r="127">
      <c r="A127" s="67"/>
      <c r="B127" s="213" t="s">
        <v>595</v>
      </c>
      <c r="C127" s="162" t="s">
        <v>5192</v>
      </c>
      <c r="D127" s="162" t="s">
        <v>5193</v>
      </c>
      <c r="E127" s="162" t="s">
        <v>5194</v>
      </c>
      <c r="F127" s="162" t="s">
        <v>4174</v>
      </c>
      <c r="G127" s="244" t="s">
        <v>5195</v>
      </c>
      <c r="H127" s="246" t="s">
        <v>461</v>
      </c>
      <c r="I127" s="246" t="s">
        <v>462</v>
      </c>
      <c r="J127" s="238" t="s">
        <v>5196</v>
      </c>
      <c r="K127" s="99" t="s">
        <v>5196</v>
      </c>
      <c r="L127" s="402" t="s">
        <v>2180</v>
      </c>
      <c r="M127" s="620" t="s">
        <v>5197</v>
      </c>
      <c r="N127" s="620" t="s">
        <v>886</v>
      </c>
      <c r="O127" s="670" t="s">
        <v>5198</v>
      </c>
    </row>
    <row r="128">
      <c r="A128" s="67"/>
      <c r="B128" s="213" t="s">
        <v>595</v>
      </c>
      <c r="C128" s="165" t="s">
        <v>5200</v>
      </c>
      <c r="D128" s="165" t="s">
        <v>5201</v>
      </c>
      <c r="E128" s="165" t="s">
        <v>4699</v>
      </c>
      <c r="F128" s="165" t="s">
        <v>5202</v>
      </c>
      <c r="G128" s="236" t="s">
        <v>5203</v>
      </c>
      <c r="H128" s="237" t="s">
        <v>192</v>
      </c>
      <c r="I128" s="237" t="s">
        <v>195</v>
      </c>
      <c r="J128" s="238" t="s">
        <v>5205</v>
      </c>
      <c r="K128" s="99" t="s">
        <v>5205</v>
      </c>
      <c r="L128" s="402" t="s">
        <v>2180</v>
      </c>
      <c r="M128" s="620" t="s">
        <v>5207</v>
      </c>
      <c r="N128" s="620" t="s">
        <v>257</v>
      </c>
      <c r="O128" s="670" t="s">
        <v>5208</v>
      </c>
    </row>
    <row r="129">
      <c r="A129" s="67"/>
      <c r="B129" s="213" t="s">
        <v>595</v>
      </c>
      <c r="C129" s="162" t="s">
        <v>5210</v>
      </c>
      <c r="D129" s="162" t="s">
        <v>5211</v>
      </c>
      <c r="E129" s="162" t="s">
        <v>3920</v>
      </c>
      <c r="F129" s="162" t="s">
        <v>1455</v>
      </c>
      <c r="G129" s="244" t="s">
        <v>5212</v>
      </c>
      <c r="H129" s="246" t="s">
        <v>461</v>
      </c>
      <c r="I129" s="246" t="s">
        <v>462</v>
      </c>
      <c r="J129" s="238" t="s">
        <v>5215</v>
      </c>
      <c r="K129" s="99" t="s">
        <v>5215</v>
      </c>
      <c r="L129" s="802">
        <v>1.0</v>
      </c>
      <c r="M129" s="803">
        <v>45883.0</v>
      </c>
      <c r="N129" s="804" t="s">
        <v>791</v>
      </c>
      <c r="O129" s="805" t="s">
        <v>5218</v>
      </c>
    </row>
    <row r="130">
      <c r="A130" s="67"/>
      <c r="B130" s="213" t="s">
        <v>595</v>
      </c>
      <c r="C130" s="165" t="s">
        <v>5221</v>
      </c>
      <c r="D130" s="165" t="s">
        <v>5222</v>
      </c>
      <c r="E130" s="165" t="s">
        <v>5223</v>
      </c>
      <c r="F130" s="165" t="s">
        <v>5224</v>
      </c>
      <c r="G130" s="236" t="s">
        <v>5225</v>
      </c>
      <c r="H130" s="237" t="s">
        <v>485</v>
      </c>
      <c r="I130" s="237" t="s">
        <v>386</v>
      </c>
      <c r="J130" s="238" t="s">
        <v>5228</v>
      </c>
      <c r="K130" s="99" t="s">
        <v>5228</v>
      </c>
      <c r="L130" s="402" t="s">
        <v>2180</v>
      </c>
      <c r="M130" s="620" t="s">
        <v>5231</v>
      </c>
      <c r="N130" s="620" t="s">
        <v>1182</v>
      </c>
      <c r="O130" s="670" t="s">
        <v>5232</v>
      </c>
    </row>
    <row r="131">
      <c r="A131" s="67"/>
      <c r="B131" s="213" t="s">
        <v>595</v>
      </c>
      <c r="C131" s="162" t="s">
        <v>5235</v>
      </c>
      <c r="D131" s="162" t="s">
        <v>5236</v>
      </c>
      <c r="E131" s="162" t="s">
        <v>5237</v>
      </c>
      <c r="F131" s="162" t="s">
        <v>1455</v>
      </c>
      <c r="G131" s="244" t="s">
        <v>5238</v>
      </c>
      <c r="H131" s="246" t="s">
        <v>192</v>
      </c>
      <c r="I131" s="246" t="s">
        <v>2254</v>
      </c>
      <c r="J131" s="238" t="s">
        <v>5241</v>
      </c>
      <c r="K131" s="99" t="s">
        <v>5241</v>
      </c>
      <c r="L131" s="402" t="s">
        <v>2772</v>
      </c>
      <c r="M131" s="620" t="s">
        <v>5244</v>
      </c>
      <c r="N131" s="620" t="s">
        <v>362</v>
      </c>
      <c r="O131" s="670" t="s">
        <v>5245</v>
      </c>
    </row>
    <row r="132">
      <c r="A132" s="67"/>
      <c r="B132" s="213" t="s">
        <v>595</v>
      </c>
      <c r="C132" s="165" t="s">
        <v>5246</v>
      </c>
      <c r="D132" s="165" t="s">
        <v>5247</v>
      </c>
      <c r="E132" s="165" t="s">
        <v>4316</v>
      </c>
      <c r="F132" s="165" t="s">
        <v>4594</v>
      </c>
      <c r="G132" s="236" t="s">
        <v>5248</v>
      </c>
      <c r="H132" s="237" t="s">
        <v>192</v>
      </c>
      <c r="I132" s="237" t="s">
        <v>2254</v>
      </c>
      <c r="J132" s="238" t="s">
        <v>5249</v>
      </c>
      <c r="K132" s="99" t="s">
        <v>5249</v>
      </c>
      <c r="L132" s="802">
        <v>1.0</v>
      </c>
      <c r="M132" s="803">
        <v>45904.0</v>
      </c>
      <c r="N132" s="804" t="s">
        <v>362</v>
      </c>
      <c r="O132" s="805" t="s">
        <v>5250</v>
      </c>
    </row>
    <row r="133">
      <c r="A133" s="67"/>
      <c r="B133" s="213" t="s">
        <v>595</v>
      </c>
      <c r="C133" s="162" t="s">
        <v>5251</v>
      </c>
      <c r="D133" s="162" t="s">
        <v>5252</v>
      </c>
      <c r="E133" s="162" t="s">
        <v>5253</v>
      </c>
      <c r="F133" s="227"/>
      <c r="G133" s="244" t="s">
        <v>5254</v>
      </c>
      <c r="H133" s="246" t="s">
        <v>461</v>
      </c>
      <c r="I133" s="246" t="s">
        <v>462</v>
      </c>
      <c r="J133" s="238" t="s">
        <v>5255</v>
      </c>
      <c r="K133" s="99" t="s">
        <v>5255</v>
      </c>
      <c r="L133" s="402" t="s">
        <v>1292</v>
      </c>
      <c r="M133" s="620" t="s">
        <v>5256</v>
      </c>
      <c r="N133" s="620" t="s">
        <v>791</v>
      </c>
      <c r="O133" s="670" t="s">
        <v>5257</v>
      </c>
    </row>
    <row r="134">
      <c r="A134" s="67"/>
      <c r="B134" s="213" t="s">
        <v>595</v>
      </c>
      <c r="C134" s="165" t="s">
        <v>5258</v>
      </c>
      <c r="D134" s="165" t="s">
        <v>5259</v>
      </c>
      <c r="E134" s="165" t="s">
        <v>317</v>
      </c>
      <c r="F134" s="165" t="s">
        <v>5260</v>
      </c>
      <c r="G134" s="236" t="s">
        <v>5261</v>
      </c>
      <c r="H134" s="237" t="s">
        <v>485</v>
      </c>
      <c r="I134" s="237" t="s">
        <v>386</v>
      </c>
      <c r="J134" s="238" t="s">
        <v>5262</v>
      </c>
      <c r="K134" s="99" t="s">
        <v>5262</v>
      </c>
      <c r="L134" s="402" t="s">
        <v>1322</v>
      </c>
      <c r="M134" s="620" t="s">
        <v>5263</v>
      </c>
      <c r="N134" s="620" t="s">
        <v>549</v>
      </c>
      <c r="O134" s="670" t="s">
        <v>5264</v>
      </c>
    </row>
    <row r="135">
      <c r="A135" s="67"/>
      <c r="B135" s="213" t="s">
        <v>595</v>
      </c>
      <c r="C135" s="162" t="s">
        <v>5265</v>
      </c>
      <c r="D135" s="162" t="s">
        <v>3934</v>
      </c>
      <c r="E135" s="162" t="s">
        <v>1146</v>
      </c>
      <c r="F135" s="162" t="s">
        <v>5266</v>
      </c>
      <c r="G135" s="244" t="s">
        <v>3936</v>
      </c>
      <c r="H135" s="246" t="s">
        <v>461</v>
      </c>
      <c r="I135" s="246" t="s">
        <v>462</v>
      </c>
      <c r="J135" s="238" t="s">
        <v>5267</v>
      </c>
      <c r="K135" s="99" t="s">
        <v>5267</v>
      </c>
      <c r="L135" s="402" t="s">
        <v>2772</v>
      </c>
      <c r="M135" s="620" t="s">
        <v>5268</v>
      </c>
      <c r="N135" s="620" t="s">
        <v>791</v>
      </c>
      <c r="O135" s="670" t="s">
        <v>5269</v>
      </c>
    </row>
    <row r="136">
      <c r="A136" s="67"/>
      <c r="B136" s="213" t="s">
        <v>595</v>
      </c>
      <c r="C136" s="165" t="s">
        <v>5270</v>
      </c>
      <c r="D136" s="253" t="s">
        <v>5271</v>
      </c>
      <c r="E136" s="741" t="s">
        <v>4699</v>
      </c>
      <c r="F136" s="741" t="s">
        <v>5272</v>
      </c>
      <c r="G136" s="444" t="s">
        <v>5273</v>
      </c>
      <c r="H136" s="237" t="s">
        <v>192</v>
      </c>
      <c r="I136" s="237" t="s">
        <v>195</v>
      </c>
      <c r="J136" s="238" t="s">
        <v>5274</v>
      </c>
      <c r="K136" s="99" t="s">
        <v>5274</v>
      </c>
      <c r="L136" s="402" t="s">
        <v>2180</v>
      </c>
      <c r="M136" s="620" t="s">
        <v>5275</v>
      </c>
      <c r="N136" s="620" t="s">
        <v>257</v>
      </c>
      <c r="O136" s="670" t="s">
        <v>5276</v>
      </c>
    </row>
    <row r="137">
      <c r="A137" s="67"/>
      <c r="B137" s="213" t="s">
        <v>595</v>
      </c>
      <c r="C137" s="162" t="s">
        <v>5277</v>
      </c>
      <c r="D137" s="162" t="s">
        <v>5278</v>
      </c>
      <c r="E137" s="162" t="s">
        <v>5279</v>
      </c>
      <c r="F137" s="162" t="s">
        <v>5280</v>
      </c>
      <c r="G137" s="244" t="s">
        <v>5281</v>
      </c>
      <c r="H137" s="246" t="s">
        <v>485</v>
      </c>
      <c r="I137" s="246" t="s">
        <v>448</v>
      </c>
      <c r="J137" s="238" t="s">
        <v>5282</v>
      </c>
      <c r="K137" s="99" t="s">
        <v>5282</v>
      </c>
      <c r="L137" s="402" t="s">
        <v>2180</v>
      </c>
      <c r="M137" s="620" t="s">
        <v>5283</v>
      </c>
      <c r="N137" s="620" t="s">
        <v>482</v>
      </c>
      <c r="O137" s="670" t="s">
        <v>5284</v>
      </c>
    </row>
    <row r="138">
      <c r="A138" s="67"/>
      <c r="B138" s="213" t="s">
        <v>595</v>
      </c>
      <c r="C138" s="165" t="s">
        <v>5285</v>
      </c>
      <c r="D138" s="165" t="s">
        <v>5286</v>
      </c>
      <c r="E138" s="165" t="s">
        <v>5287</v>
      </c>
      <c r="F138" s="165" t="s">
        <v>5288</v>
      </c>
      <c r="G138" s="236" t="s">
        <v>5289</v>
      </c>
      <c r="H138" s="237" t="s">
        <v>192</v>
      </c>
      <c r="I138" s="237" t="s">
        <v>350</v>
      </c>
      <c r="J138" s="238" t="s">
        <v>5290</v>
      </c>
      <c r="K138" s="99" t="s">
        <v>5290</v>
      </c>
      <c r="L138" s="402" t="s">
        <v>2180</v>
      </c>
      <c r="M138" s="620" t="s">
        <v>5291</v>
      </c>
      <c r="N138" s="620" t="s">
        <v>352</v>
      </c>
      <c r="O138" s="670" t="s">
        <v>5292</v>
      </c>
    </row>
    <row r="139">
      <c r="A139" s="67"/>
      <c r="B139" s="213" t="s">
        <v>595</v>
      </c>
      <c r="C139" s="162" t="s">
        <v>5293</v>
      </c>
      <c r="D139" s="162" t="s">
        <v>5294</v>
      </c>
      <c r="E139" s="162" t="s">
        <v>5295</v>
      </c>
      <c r="F139" s="162" t="s">
        <v>1583</v>
      </c>
      <c r="G139" s="244" t="s">
        <v>5296</v>
      </c>
      <c r="H139" s="246" t="s">
        <v>192</v>
      </c>
      <c r="I139" s="246" t="s">
        <v>2254</v>
      </c>
      <c r="J139" s="238" t="s">
        <v>5297</v>
      </c>
      <c r="K139" s="99" t="s">
        <v>5297</v>
      </c>
      <c r="L139" s="402" t="s">
        <v>2180</v>
      </c>
      <c r="M139" s="620" t="s">
        <v>5298</v>
      </c>
      <c r="N139" s="620" t="s">
        <v>362</v>
      </c>
      <c r="O139" s="670" t="s">
        <v>5299</v>
      </c>
    </row>
    <row r="140">
      <c r="A140" s="67"/>
      <c r="B140" s="213" t="s">
        <v>595</v>
      </c>
      <c r="C140" s="165" t="s">
        <v>5300</v>
      </c>
      <c r="D140" s="165" t="s">
        <v>5301</v>
      </c>
      <c r="E140" s="212" t="s">
        <v>5302</v>
      </c>
      <c r="F140" s="212" t="s">
        <v>5303</v>
      </c>
      <c r="G140" s="498" t="s">
        <v>3712</v>
      </c>
      <c r="H140" s="237" t="s">
        <v>192</v>
      </c>
      <c r="I140" s="237" t="s">
        <v>276</v>
      </c>
      <c r="J140" s="238" t="s">
        <v>5304</v>
      </c>
      <c r="K140" s="99" t="s">
        <v>5304</v>
      </c>
      <c r="L140" s="324">
        <v>1.0</v>
      </c>
      <c r="M140" s="325">
        <v>45960.0</v>
      </c>
      <c r="N140" s="326" t="s">
        <v>1667</v>
      </c>
      <c r="O140" s="328" t="s">
        <v>5305</v>
      </c>
    </row>
    <row r="141">
      <c r="A141" s="67"/>
      <c r="B141" s="213" t="s">
        <v>595</v>
      </c>
      <c r="C141" s="162" t="s">
        <v>5306</v>
      </c>
      <c r="D141" s="162" t="s">
        <v>5307</v>
      </c>
      <c r="E141" s="210" t="s">
        <v>1039</v>
      </c>
      <c r="F141" s="210" t="s">
        <v>5308</v>
      </c>
      <c r="G141" s="391" t="s">
        <v>5309</v>
      </c>
      <c r="H141" s="246" t="s">
        <v>485</v>
      </c>
      <c r="I141" s="246" t="s">
        <v>386</v>
      </c>
      <c r="J141" s="238" t="s">
        <v>5310</v>
      </c>
      <c r="K141" s="99" t="s">
        <v>5310</v>
      </c>
      <c r="L141" s="324">
        <v>2.0</v>
      </c>
      <c r="M141" s="327">
        <v>45967.0</v>
      </c>
      <c r="N141" s="326" t="s">
        <v>549</v>
      </c>
      <c r="O141" s="328" t="s">
        <v>5311</v>
      </c>
    </row>
    <row r="142">
      <c r="A142" s="67"/>
      <c r="B142" s="213" t="s">
        <v>595</v>
      </c>
      <c r="C142" s="165" t="s">
        <v>5312</v>
      </c>
      <c r="D142" s="165" t="s">
        <v>2547</v>
      </c>
      <c r="E142" s="212" t="s">
        <v>436</v>
      </c>
      <c r="F142" s="212" t="s">
        <v>2548</v>
      </c>
      <c r="G142" s="498" t="s">
        <v>2550</v>
      </c>
      <c r="H142" s="237" t="s">
        <v>224</v>
      </c>
      <c r="I142" s="237" t="s">
        <v>226</v>
      </c>
      <c r="J142" s="238" t="s">
        <v>5313</v>
      </c>
      <c r="K142" s="99" t="s">
        <v>5313</v>
      </c>
      <c r="L142" s="324">
        <v>2.0</v>
      </c>
      <c r="M142" s="325">
        <v>45974.0</v>
      </c>
      <c r="N142" s="326" t="s">
        <v>238</v>
      </c>
      <c r="O142" s="328" t="s">
        <v>5315</v>
      </c>
    </row>
    <row r="143">
      <c r="A143" s="67"/>
      <c r="B143" s="213" t="s">
        <v>595</v>
      </c>
      <c r="C143" s="162" t="s">
        <v>5316</v>
      </c>
      <c r="D143" s="162" t="s">
        <v>5317</v>
      </c>
      <c r="E143" s="210" t="s">
        <v>5318</v>
      </c>
      <c r="F143" s="210" t="s">
        <v>3616</v>
      </c>
      <c r="G143" s="391" t="s">
        <v>5319</v>
      </c>
      <c r="H143" s="246" t="s">
        <v>461</v>
      </c>
      <c r="I143" s="246" t="s">
        <v>530</v>
      </c>
      <c r="J143" s="238" t="s">
        <v>5320</v>
      </c>
      <c r="K143" s="99" t="s">
        <v>5320</v>
      </c>
      <c r="L143" s="324">
        <v>2.0</v>
      </c>
      <c r="M143" s="325">
        <v>45981.0</v>
      </c>
      <c r="N143" s="326" t="s">
        <v>1131</v>
      </c>
      <c r="O143" s="328" t="s">
        <v>5321</v>
      </c>
    </row>
    <row r="144">
      <c r="A144" s="67"/>
      <c r="B144" s="213" t="s">
        <v>595</v>
      </c>
      <c r="C144" s="165" t="s">
        <v>5322</v>
      </c>
      <c r="D144" s="165" t="s">
        <v>5323</v>
      </c>
      <c r="E144" s="212" t="s">
        <v>5324</v>
      </c>
      <c r="F144" s="212" t="s">
        <v>5325</v>
      </c>
      <c r="G144" s="498" t="s">
        <v>5326</v>
      </c>
      <c r="H144" s="237" t="s">
        <v>485</v>
      </c>
      <c r="I144" s="237" t="s">
        <v>386</v>
      </c>
      <c r="J144" s="238" t="s">
        <v>5327</v>
      </c>
      <c r="K144" s="99" t="s">
        <v>5327</v>
      </c>
      <c r="L144" s="324">
        <v>4.71</v>
      </c>
      <c r="M144" s="325">
        <v>45988.0</v>
      </c>
      <c r="N144" s="326" t="s">
        <v>1050</v>
      </c>
      <c r="O144" s="328" t="s">
        <v>5328</v>
      </c>
    </row>
    <row r="145">
      <c r="A145" s="67"/>
      <c r="B145" s="213" t="s">
        <v>595</v>
      </c>
      <c r="C145" s="162" t="s">
        <v>5329</v>
      </c>
      <c r="D145" s="162" t="s">
        <v>5330</v>
      </c>
      <c r="E145" s="210" t="s">
        <v>1812</v>
      </c>
      <c r="F145" s="210" t="s">
        <v>5331</v>
      </c>
      <c r="G145" s="391" t="s">
        <v>5332</v>
      </c>
      <c r="H145" s="246" t="s">
        <v>461</v>
      </c>
      <c r="I145" s="246" t="s">
        <v>530</v>
      </c>
      <c r="J145" s="238" t="s">
        <v>5333</v>
      </c>
      <c r="K145" s="99" t="s">
        <v>5333</v>
      </c>
      <c r="L145" s="324">
        <v>2.0</v>
      </c>
      <c r="M145" s="327">
        <v>45995.0</v>
      </c>
      <c r="N145" s="326" t="s">
        <v>33</v>
      </c>
      <c r="O145" s="328" t="s">
        <v>5334</v>
      </c>
    </row>
    <row r="146">
      <c r="A146" s="67"/>
      <c r="B146" s="213" t="s">
        <v>595</v>
      </c>
      <c r="C146" s="212" t="s">
        <v>5335</v>
      </c>
      <c r="D146" s="212" t="s">
        <v>5336</v>
      </c>
      <c r="E146" s="212" t="s">
        <v>1477</v>
      </c>
      <c r="F146" s="212" t="s">
        <v>5337</v>
      </c>
      <c r="G146" s="498" t="s">
        <v>5338</v>
      </c>
      <c r="H146" s="237" t="s">
        <v>192</v>
      </c>
      <c r="I146" s="237" t="s">
        <v>350</v>
      </c>
      <c r="J146" s="238" t="s">
        <v>5339</v>
      </c>
      <c r="K146" s="99" t="s">
        <v>5339</v>
      </c>
      <c r="L146" s="324">
        <v>5.0</v>
      </c>
      <c r="M146" s="325">
        <v>46002.0</v>
      </c>
      <c r="N146" s="326" t="s">
        <v>600</v>
      </c>
      <c r="O146" s="326" t="s">
        <v>5344</v>
      </c>
    </row>
    <row r="147">
      <c r="A147" s="67"/>
      <c r="B147" s="213" t="s">
        <v>595</v>
      </c>
      <c r="C147" s="210" t="s">
        <v>5345</v>
      </c>
      <c r="D147" s="210" t="s">
        <v>5346</v>
      </c>
      <c r="E147" s="210" t="s">
        <v>1039</v>
      </c>
      <c r="F147" s="210" t="s">
        <v>5347</v>
      </c>
      <c r="G147" s="391" t="s">
        <v>5348</v>
      </c>
      <c r="H147" s="246" t="s">
        <v>192</v>
      </c>
      <c r="I147" s="246" t="s">
        <v>2254</v>
      </c>
      <c r="J147" s="238" t="s">
        <v>5350</v>
      </c>
      <c r="K147" s="99" t="s">
        <v>5350</v>
      </c>
      <c r="L147" s="324">
        <v>1.0</v>
      </c>
      <c r="M147" s="325">
        <v>46009.0</v>
      </c>
      <c r="N147" s="326" t="s">
        <v>208</v>
      </c>
      <c r="O147" s="326" t="s">
        <v>5351</v>
      </c>
    </row>
    <row r="148">
      <c r="A148" s="67"/>
      <c r="B148" s="213" t="s">
        <v>595</v>
      </c>
      <c r="C148" s="212" t="s">
        <v>5352</v>
      </c>
      <c r="D148" s="212" t="s">
        <v>5353</v>
      </c>
      <c r="E148" s="212" t="s">
        <v>5354</v>
      </c>
      <c r="F148" s="212" t="s">
        <v>3616</v>
      </c>
      <c r="G148" s="498" t="s">
        <v>5355</v>
      </c>
      <c r="H148" s="237" t="s">
        <v>461</v>
      </c>
      <c r="I148" s="237" t="s">
        <v>462</v>
      </c>
      <c r="J148" s="238" t="s">
        <v>5357</v>
      </c>
      <c r="K148" s="99" t="s">
        <v>5357</v>
      </c>
      <c r="L148" s="324">
        <v>2.0</v>
      </c>
      <c r="M148" s="325">
        <v>46016.0</v>
      </c>
      <c r="N148" s="326" t="s">
        <v>463</v>
      </c>
      <c r="O148" s="326" t="s">
        <v>5360</v>
      </c>
    </row>
    <row r="149">
      <c r="A149" s="67"/>
      <c r="B149" s="213" t="s">
        <v>595</v>
      </c>
      <c r="C149" s="210" t="s">
        <v>5362</v>
      </c>
      <c r="D149" s="210" t="s">
        <v>5363</v>
      </c>
      <c r="E149" s="210" t="s">
        <v>5364</v>
      </c>
      <c r="F149" s="210" t="s">
        <v>5365</v>
      </c>
      <c r="G149" s="391" t="s">
        <v>5366</v>
      </c>
      <c r="H149" s="246" t="s">
        <v>192</v>
      </c>
      <c r="I149" s="246" t="s">
        <v>2254</v>
      </c>
      <c r="J149" s="238" t="s">
        <v>5367</v>
      </c>
      <c r="K149" s="99" t="s">
        <v>5367</v>
      </c>
      <c r="L149" s="935">
        <v>1.0</v>
      </c>
      <c r="M149" s="101">
        <v>46023.0</v>
      </c>
      <c r="N149" s="102" t="s">
        <v>843</v>
      </c>
      <c r="O149" s="102" t="s">
        <v>5369</v>
      </c>
    </row>
    <row r="150">
      <c r="A150" s="116"/>
      <c r="B150" s="460" t="s">
        <v>595</v>
      </c>
      <c r="C150" s="212" t="s">
        <v>5370</v>
      </c>
      <c r="D150" s="212" t="s">
        <v>4020</v>
      </c>
      <c r="E150" s="212" t="s">
        <v>2306</v>
      </c>
      <c r="F150" s="212" t="s">
        <v>578</v>
      </c>
      <c r="G150" s="498" t="s">
        <v>4021</v>
      </c>
      <c r="H150" s="237" t="s">
        <v>192</v>
      </c>
      <c r="I150" s="237" t="s">
        <v>195</v>
      </c>
      <c r="J150" s="366" t="s">
        <v>5372</v>
      </c>
      <c r="K150" s="366" t="s">
        <v>5372</v>
      </c>
      <c r="L150" s="935">
        <v>4.57</v>
      </c>
      <c r="M150" s="101">
        <v>46030.0</v>
      </c>
      <c r="N150" s="102" t="s">
        <v>257</v>
      </c>
      <c r="O150" s="102" t="s">
        <v>5377</v>
      </c>
    </row>
    <row r="151">
      <c r="A151" s="116"/>
      <c r="B151" s="182" t="s">
        <v>595</v>
      </c>
      <c r="C151" s="210" t="s">
        <v>5378</v>
      </c>
      <c r="D151" s="210" t="s">
        <v>5379</v>
      </c>
      <c r="E151" s="210" t="s">
        <v>2306</v>
      </c>
      <c r="F151" s="210" t="s">
        <v>5380</v>
      </c>
      <c r="G151" s="391" t="s">
        <v>5381</v>
      </c>
      <c r="H151" s="246" t="s">
        <v>224</v>
      </c>
      <c r="I151" s="246" t="s">
        <v>226</v>
      </c>
      <c r="J151" s="338" t="s">
        <v>5385</v>
      </c>
      <c r="K151" s="338" t="s">
        <v>5385</v>
      </c>
      <c r="L151" s="935">
        <v>4.86</v>
      </c>
      <c r="M151" s="101">
        <v>46037.0</v>
      </c>
      <c r="N151" s="102" t="s">
        <v>3269</v>
      </c>
      <c r="O151" s="102" t="s">
        <v>5388</v>
      </c>
    </row>
    <row r="152">
      <c r="A152" s="116"/>
      <c r="B152" s="182" t="s">
        <v>595</v>
      </c>
      <c r="C152" s="212" t="s">
        <v>5389</v>
      </c>
      <c r="D152" s="212" t="s">
        <v>393</v>
      </c>
      <c r="E152" s="212" t="s">
        <v>5390</v>
      </c>
      <c r="F152" s="212" t="s">
        <v>948</v>
      </c>
      <c r="G152" s="498" t="s">
        <v>402</v>
      </c>
      <c r="H152" s="237" t="s">
        <v>192</v>
      </c>
      <c r="I152" s="237" t="s">
        <v>2254</v>
      </c>
      <c r="J152" s="366" t="s">
        <v>5393</v>
      </c>
      <c r="K152" s="366" t="s">
        <v>5393</v>
      </c>
      <c r="L152" s="935">
        <v>2.0</v>
      </c>
      <c r="M152" s="101">
        <v>46044.0</v>
      </c>
      <c r="N152" s="102" t="s">
        <v>257</v>
      </c>
      <c r="O152" s="102" t="s">
        <v>5395</v>
      </c>
    </row>
    <row r="153">
      <c r="A153" s="116"/>
      <c r="B153" s="182" t="s">
        <v>595</v>
      </c>
      <c r="C153" s="210" t="s">
        <v>5396</v>
      </c>
      <c r="D153" s="210" t="s">
        <v>5397</v>
      </c>
      <c r="E153" s="210" t="s">
        <v>5398</v>
      </c>
      <c r="F153" s="210" t="s">
        <v>3368</v>
      </c>
      <c r="G153" s="391" t="s">
        <v>5399</v>
      </c>
      <c r="H153" s="246" t="s">
        <v>461</v>
      </c>
      <c r="I153" s="246" t="s">
        <v>2758</v>
      </c>
      <c r="J153" s="338" t="s">
        <v>5400</v>
      </c>
      <c r="K153" s="338" t="s">
        <v>5400</v>
      </c>
      <c r="L153" s="935">
        <v>2.0</v>
      </c>
      <c r="M153" s="101">
        <v>46051.0</v>
      </c>
      <c r="N153" s="102" t="s">
        <v>3069</v>
      </c>
      <c r="O153" s="102" t="s">
        <v>5401</v>
      </c>
    </row>
    <row r="154">
      <c r="A154" s="116"/>
      <c r="B154" s="182" t="s">
        <v>595</v>
      </c>
      <c r="C154" s="212" t="s">
        <v>5402</v>
      </c>
      <c r="D154" s="212" t="s">
        <v>5403</v>
      </c>
      <c r="E154" s="212" t="s">
        <v>4699</v>
      </c>
      <c r="F154" s="212" t="s">
        <v>1021</v>
      </c>
      <c r="G154" s="498" t="s">
        <v>5404</v>
      </c>
      <c r="H154" s="237" t="s">
        <v>192</v>
      </c>
      <c r="I154" s="237" t="s">
        <v>2254</v>
      </c>
      <c r="J154" s="366" t="s">
        <v>5405</v>
      </c>
      <c r="K154" s="366" t="s">
        <v>5405</v>
      </c>
      <c r="L154" s="935">
        <v>4.0</v>
      </c>
      <c r="M154" s="101">
        <v>46058.0</v>
      </c>
      <c r="N154" s="102" t="s">
        <v>362</v>
      </c>
      <c r="O154" s="102" t="s">
        <v>5406</v>
      </c>
    </row>
    <row r="155">
      <c r="A155" s="116"/>
      <c r="B155" s="182" t="s">
        <v>595</v>
      </c>
      <c r="C155" s="210" t="s">
        <v>5407</v>
      </c>
      <c r="D155" s="210" t="s">
        <v>3671</v>
      </c>
      <c r="E155" s="210" t="s">
        <v>410</v>
      </c>
      <c r="F155" s="210" t="s">
        <v>3672</v>
      </c>
      <c r="G155" s="391" t="s">
        <v>3673</v>
      </c>
      <c r="H155" s="246" t="s">
        <v>192</v>
      </c>
      <c r="I155" s="246" t="s">
        <v>2254</v>
      </c>
      <c r="J155" s="338" t="s">
        <v>5408</v>
      </c>
      <c r="K155" s="338" t="s">
        <v>5408</v>
      </c>
      <c r="L155" s="935">
        <v>4.57</v>
      </c>
      <c r="M155" s="101">
        <v>46065.0</v>
      </c>
      <c r="N155" s="102" t="s">
        <v>257</v>
      </c>
      <c r="O155" s="102" t="s">
        <v>5409</v>
      </c>
    </row>
    <row r="156">
      <c r="A156" s="67"/>
      <c r="B156" s="182" t="s">
        <v>595</v>
      </c>
      <c r="C156" s="212" t="s">
        <v>5410</v>
      </c>
      <c r="D156" s="212" t="s">
        <v>5411</v>
      </c>
      <c r="E156" s="212" t="s">
        <v>5412</v>
      </c>
      <c r="F156" s="212" t="s">
        <v>1100</v>
      </c>
      <c r="G156" s="465" t="s">
        <v>5413</v>
      </c>
      <c r="H156" s="237" t="s">
        <v>461</v>
      </c>
      <c r="I156" s="237" t="s">
        <v>2758</v>
      </c>
      <c r="J156" s="366" t="s">
        <v>5414</v>
      </c>
      <c r="K156" s="366" t="s">
        <v>5414</v>
      </c>
      <c r="L156" s="96">
        <v>4.71</v>
      </c>
      <c r="M156" s="949">
        <v>46072.0</v>
      </c>
      <c r="N156" s="950" t="s">
        <v>880</v>
      </c>
      <c r="O156" s="950" t="s">
        <v>5415</v>
      </c>
    </row>
    <row r="157">
      <c r="A157" s="67"/>
      <c r="B157" s="182" t="s">
        <v>595</v>
      </c>
      <c r="C157" s="210" t="s">
        <v>5416</v>
      </c>
      <c r="D157" s="210" t="s">
        <v>5417</v>
      </c>
      <c r="E157" s="210" t="s">
        <v>5418</v>
      </c>
      <c r="F157" s="210" t="s">
        <v>3330</v>
      </c>
      <c r="G157" s="463" t="s">
        <v>5419</v>
      </c>
      <c r="H157" s="246" t="s">
        <v>224</v>
      </c>
      <c r="I157" s="246" t="s">
        <v>3798</v>
      </c>
      <c r="J157" s="338" t="s">
        <v>5420</v>
      </c>
      <c r="K157" s="338" t="s">
        <v>5420</v>
      </c>
      <c r="L157" s="96">
        <v>4.0</v>
      </c>
      <c r="M157" s="949">
        <v>46079.0</v>
      </c>
      <c r="N157" s="950" t="s">
        <v>332</v>
      </c>
      <c r="O157" s="950" t="s">
        <v>5421</v>
      </c>
    </row>
    <row r="158">
      <c r="A158" s="67"/>
      <c r="B158" s="182" t="s">
        <v>595</v>
      </c>
      <c r="C158" s="212" t="s">
        <v>5422</v>
      </c>
      <c r="D158" s="212" t="s">
        <v>5423</v>
      </c>
      <c r="E158" s="212" t="s">
        <v>5424</v>
      </c>
      <c r="F158" s="212" t="s">
        <v>5425</v>
      </c>
      <c r="G158" s="432" t="s">
        <v>5426</v>
      </c>
      <c r="H158" s="237" t="s">
        <v>485</v>
      </c>
      <c r="I158" s="237" t="s">
        <v>486</v>
      </c>
      <c r="J158" s="436" t="s">
        <v>5427</v>
      </c>
      <c r="K158" s="436" t="s">
        <v>5427</v>
      </c>
      <c r="L158" s="96">
        <v>5.0</v>
      </c>
      <c r="M158" s="949">
        <v>46086.0</v>
      </c>
      <c r="N158" s="950" t="s">
        <v>482</v>
      </c>
      <c r="O158" s="950" t="s">
        <v>5428</v>
      </c>
    </row>
    <row r="159">
      <c r="A159" s="67"/>
      <c r="B159" s="182" t="s">
        <v>595</v>
      </c>
      <c r="C159" s="210" t="s">
        <v>5429</v>
      </c>
      <c r="D159" s="210" t="s">
        <v>5430</v>
      </c>
      <c r="E159" s="210" t="s">
        <v>5431</v>
      </c>
      <c r="F159" s="210" t="s">
        <v>5432</v>
      </c>
      <c r="G159" s="406" t="s">
        <v>5433</v>
      </c>
      <c r="H159" s="246" t="s">
        <v>192</v>
      </c>
      <c r="I159" s="246" t="s">
        <v>2254</v>
      </c>
      <c r="J159" s="408" t="s">
        <v>5434</v>
      </c>
      <c r="K159" s="408" t="s">
        <v>5434</v>
      </c>
      <c r="L159" s="96">
        <v>4.0</v>
      </c>
      <c r="M159" s="949">
        <v>46093.0</v>
      </c>
      <c r="N159" s="950" t="s">
        <v>257</v>
      </c>
      <c r="O159" s="950" t="s">
        <v>5435</v>
      </c>
    </row>
    <row r="160">
      <c r="A160" s="67"/>
      <c r="B160" s="182" t="s">
        <v>595</v>
      </c>
      <c r="C160" s="212" t="s">
        <v>5436</v>
      </c>
      <c r="D160" s="741" t="s">
        <v>2060</v>
      </c>
      <c r="E160" s="212" t="s">
        <v>317</v>
      </c>
      <c r="F160" s="212" t="s">
        <v>5437</v>
      </c>
      <c r="G160" s="498" t="s">
        <v>2066</v>
      </c>
      <c r="H160" s="237" t="s">
        <v>192</v>
      </c>
      <c r="I160" s="237" t="s">
        <v>2254</v>
      </c>
      <c r="J160" s="366" t="s">
        <v>5438</v>
      </c>
      <c r="K160" s="366" t="s">
        <v>5438</v>
      </c>
      <c r="L160" s="96">
        <v>4.14</v>
      </c>
      <c r="M160" s="949">
        <v>46100.0</v>
      </c>
      <c r="N160" s="950" t="s">
        <v>257</v>
      </c>
      <c r="O160" s="950" t="s">
        <v>5439</v>
      </c>
    </row>
    <row r="161">
      <c r="A161" s="67"/>
      <c r="B161" s="182" t="s">
        <v>595</v>
      </c>
      <c r="C161" s="210" t="s">
        <v>5440</v>
      </c>
      <c r="D161" s="210" t="s">
        <v>5441</v>
      </c>
      <c r="E161" s="210" t="s">
        <v>5442</v>
      </c>
      <c r="F161" s="210" t="s">
        <v>5443</v>
      </c>
      <c r="G161" s="463" t="s">
        <v>5444</v>
      </c>
      <c r="H161" s="464" t="s">
        <v>192</v>
      </c>
      <c r="I161" s="464" t="s">
        <v>2254</v>
      </c>
      <c r="J161" s="338" t="s">
        <v>5445</v>
      </c>
      <c r="K161" s="338" t="s">
        <v>5445</v>
      </c>
      <c r="L161" s="96">
        <v>4.36</v>
      </c>
      <c r="M161" s="950"/>
      <c r="N161" s="950" t="s">
        <v>257</v>
      </c>
      <c r="O161" s="950" t="s">
        <v>5446</v>
      </c>
    </row>
    <row r="162">
      <c r="A162" s="67"/>
      <c r="B162" s="182" t="s">
        <v>595</v>
      </c>
      <c r="C162" s="212" t="s">
        <v>5447</v>
      </c>
      <c r="D162" s="212" t="s">
        <v>5448</v>
      </c>
      <c r="E162" s="212" t="s">
        <v>5449</v>
      </c>
      <c r="F162" s="212" t="s">
        <v>5450</v>
      </c>
      <c r="G162" s="881" t="s">
        <v>5451</v>
      </c>
      <c r="H162" s="77" t="s">
        <v>192</v>
      </c>
      <c r="I162" s="77" t="s">
        <v>276</v>
      </c>
      <c r="J162" s="475" t="s">
        <v>5452</v>
      </c>
      <c r="K162" s="366" t="s">
        <v>5452</v>
      </c>
      <c r="L162" s="96">
        <v>4.36</v>
      </c>
      <c r="M162" s="950"/>
      <c r="N162" s="950" t="s">
        <v>996</v>
      </c>
      <c r="O162" s="950" t="s">
        <v>5453</v>
      </c>
    </row>
    <row r="163">
      <c r="A163" s="67"/>
      <c r="B163" s="182" t="s">
        <v>595</v>
      </c>
      <c r="C163" s="210" t="s">
        <v>5454</v>
      </c>
      <c r="D163" s="210" t="s">
        <v>5455</v>
      </c>
      <c r="E163" s="210" t="s">
        <v>5456</v>
      </c>
      <c r="F163" s="210" t="s">
        <v>4684</v>
      </c>
      <c r="G163" s="881" t="s">
        <v>5457</v>
      </c>
      <c r="H163" s="77" t="s">
        <v>485</v>
      </c>
      <c r="I163" s="77" t="s">
        <v>486</v>
      </c>
      <c r="J163" s="475" t="s">
        <v>5458</v>
      </c>
      <c r="K163" s="338" t="s">
        <v>5458</v>
      </c>
      <c r="L163" s="96">
        <v>3.71</v>
      </c>
      <c r="M163" s="950"/>
      <c r="N163" s="950" t="s">
        <v>3866</v>
      </c>
      <c r="O163" s="950" t="s">
        <v>5459</v>
      </c>
    </row>
    <row r="164">
      <c r="A164" s="67"/>
      <c r="B164" s="182" t="s">
        <v>595</v>
      </c>
      <c r="C164" s="212" t="s">
        <v>5460</v>
      </c>
      <c r="D164" s="212" t="s">
        <v>5461</v>
      </c>
      <c r="E164" s="212" t="s">
        <v>5462</v>
      </c>
      <c r="F164" s="212" t="s">
        <v>5463</v>
      </c>
      <c r="G164" s="881" t="s">
        <v>5464</v>
      </c>
      <c r="H164" s="77" t="s">
        <v>192</v>
      </c>
      <c r="I164" s="77" t="s">
        <v>2254</v>
      </c>
      <c r="J164" s="475" t="s">
        <v>5465</v>
      </c>
      <c r="K164" s="366" t="s">
        <v>5465</v>
      </c>
      <c r="L164" s="96">
        <v>4.79</v>
      </c>
      <c r="M164" s="950"/>
      <c r="N164" s="950" t="s">
        <v>257</v>
      </c>
      <c r="O164" s="950" t="s">
        <v>5466</v>
      </c>
    </row>
    <row r="165">
      <c r="A165" s="67"/>
      <c r="B165" s="182" t="s">
        <v>595</v>
      </c>
      <c r="C165" s="157" t="s">
        <v>5467</v>
      </c>
      <c r="D165" s="157" t="s">
        <v>5468</v>
      </c>
      <c r="E165" s="218" t="s">
        <v>4699</v>
      </c>
      <c r="F165" s="667" t="s">
        <v>5469</v>
      </c>
      <c r="G165" s="668" t="s">
        <v>5470</v>
      </c>
      <c r="H165" s="667" t="s">
        <v>461</v>
      </c>
      <c r="I165" s="667" t="s">
        <v>530</v>
      </c>
      <c r="J165" s="422" t="s">
        <v>5471</v>
      </c>
      <c r="K165" s="408" t="s">
        <v>5471</v>
      </c>
      <c r="L165" s="975">
        <v>3.64</v>
      </c>
      <c r="M165" s="976"/>
      <c r="N165" s="975" t="s">
        <v>3069</v>
      </c>
      <c r="O165" s="975" t="s">
        <v>5472</v>
      </c>
    </row>
    <row r="166">
      <c r="A166" s="67"/>
      <c r="B166" s="182" t="s">
        <v>595</v>
      </c>
      <c r="C166" s="212" t="s">
        <v>5473</v>
      </c>
      <c r="D166" s="212" t="s">
        <v>4102</v>
      </c>
      <c r="E166" s="212" t="s">
        <v>1155</v>
      </c>
      <c r="F166" s="212" t="s">
        <v>4103</v>
      </c>
      <c r="G166" s="881" t="s">
        <v>4104</v>
      </c>
      <c r="H166" s="77" t="s">
        <v>485</v>
      </c>
      <c r="I166" s="77" t="s">
        <v>386</v>
      </c>
      <c r="J166" s="475" t="s">
        <v>5475</v>
      </c>
      <c r="K166" s="366" t="s">
        <v>5475</v>
      </c>
      <c r="L166" s="975">
        <v>4.71</v>
      </c>
      <c r="M166" s="976"/>
      <c r="N166" s="975" t="s">
        <v>2133</v>
      </c>
      <c r="O166" s="975" t="s">
        <v>5476</v>
      </c>
    </row>
    <row r="167">
      <c r="A167" s="67"/>
      <c r="B167" s="182" t="s">
        <v>595</v>
      </c>
      <c r="C167" s="210" t="s">
        <v>5477</v>
      </c>
      <c r="D167" s="210" t="s">
        <v>5478</v>
      </c>
      <c r="E167" s="210" t="s">
        <v>213</v>
      </c>
      <c r="F167" s="210" t="s">
        <v>5479</v>
      </c>
      <c r="G167" s="881" t="s">
        <v>5480</v>
      </c>
      <c r="H167" s="77" t="s">
        <v>192</v>
      </c>
      <c r="I167" s="77" t="s">
        <v>2254</v>
      </c>
      <c r="J167" s="475" t="s">
        <v>5481</v>
      </c>
      <c r="K167" s="338" t="s">
        <v>5481</v>
      </c>
      <c r="L167" s="975">
        <v>4.71</v>
      </c>
      <c r="M167" s="976"/>
      <c r="N167" s="975" t="s">
        <v>749</v>
      </c>
      <c r="O167" s="976"/>
    </row>
    <row r="168">
      <c r="A168" s="67"/>
      <c r="B168" s="182" t="s">
        <v>595</v>
      </c>
      <c r="C168" s="212" t="s">
        <v>5482</v>
      </c>
      <c r="D168" s="212" t="s">
        <v>5483</v>
      </c>
      <c r="E168" s="212" t="s">
        <v>5484</v>
      </c>
      <c r="F168" s="212" t="s">
        <v>1021</v>
      </c>
      <c r="G168" s="881" t="s">
        <v>5485</v>
      </c>
      <c r="H168" s="77" t="s">
        <v>224</v>
      </c>
      <c r="I168" s="77" t="s">
        <v>226</v>
      </c>
      <c r="J168" s="475" t="s">
        <v>5486</v>
      </c>
      <c r="K168" s="366" t="s">
        <v>5486</v>
      </c>
      <c r="L168" s="975">
        <v>4.36</v>
      </c>
      <c r="M168" s="976"/>
      <c r="N168" s="975" t="s">
        <v>3269</v>
      </c>
      <c r="O168" s="976"/>
    </row>
    <row r="169">
      <c r="A169" s="67"/>
      <c r="B169" s="182" t="s">
        <v>595</v>
      </c>
      <c r="C169" s="210" t="s">
        <v>5487</v>
      </c>
      <c r="D169" s="210" t="s">
        <v>5488</v>
      </c>
      <c r="E169" s="210" t="s">
        <v>5489</v>
      </c>
      <c r="F169" s="210" t="s">
        <v>5490</v>
      </c>
      <c r="G169" s="881" t="s">
        <v>5491</v>
      </c>
      <c r="H169" s="77" t="s">
        <v>192</v>
      </c>
      <c r="I169" s="77" t="s">
        <v>2254</v>
      </c>
      <c r="J169" s="475" t="s">
        <v>5492</v>
      </c>
      <c r="K169" s="338" t="s">
        <v>5492</v>
      </c>
      <c r="L169" s="975">
        <v>3.93</v>
      </c>
      <c r="M169" s="976"/>
      <c r="N169" s="975" t="s">
        <v>257</v>
      </c>
      <c r="O169" s="976"/>
    </row>
    <row r="170">
      <c r="A170" s="67"/>
      <c r="B170" s="182" t="s">
        <v>595</v>
      </c>
      <c r="C170" s="246" t="s">
        <v>5496</v>
      </c>
      <c r="D170" s="38" t="s">
        <v>5497</v>
      </c>
      <c r="E170" s="38" t="s">
        <v>5498</v>
      </c>
      <c r="F170" s="38" t="s">
        <v>5499</v>
      </c>
      <c r="G170" s="456" t="s">
        <v>5500</v>
      </c>
      <c r="H170" s="987" t="s">
        <v>192</v>
      </c>
      <c r="I170" s="987" t="s">
        <v>2254</v>
      </c>
      <c r="J170" s="456" t="s">
        <v>5502</v>
      </c>
      <c r="K170" s="716" t="s">
        <v>5502</v>
      </c>
      <c r="L170" s="975">
        <v>3.79</v>
      </c>
      <c r="M170" s="976"/>
      <c r="N170" s="975" t="s">
        <v>257</v>
      </c>
      <c r="O170" s="976"/>
    </row>
    <row r="171">
      <c r="A171" s="67"/>
      <c r="B171" s="182" t="s">
        <v>595</v>
      </c>
      <c r="C171" s="246" t="s">
        <v>5505</v>
      </c>
      <c r="D171" s="38" t="s">
        <v>5506</v>
      </c>
      <c r="E171" s="38" t="s">
        <v>5507</v>
      </c>
      <c r="F171" s="38" t="s">
        <v>5508</v>
      </c>
      <c r="G171" s="456" t="s">
        <v>5509</v>
      </c>
      <c r="H171" s="987" t="s">
        <v>485</v>
      </c>
      <c r="I171" s="987" t="s">
        <v>486</v>
      </c>
      <c r="J171" s="456" t="s">
        <v>5511</v>
      </c>
      <c r="K171" s="716" t="s">
        <v>5511</v>
      </c>
      <c r="L171" s="975">
        <v>3.29</v>
      </c>
      <c r="M171" s="976"/>
      <c r="N171" s="975" t="s">
        <v>5513</v>
      </c>
      <c r="O171" s="976"/>
    </row>
    <row r="172">
      <c r="A172" s="67"/>
      <c r="B172" s="182" t="s">
        <v>595</v>
      </c>
      <c r="C172" s="246" t="s">
        <v>5514</v>
      </c>
      <c r="D172" s="38" t="s">
        <v>5515</v>
      </c>
      <c r="E172" s="38" t="s">
        <v>213</v>
      </c>
      <c r="F172" s="38" t="s">
        <v>5516</v>
      </c>
      <c r="G172" s="456" t="s">
        <v>5517</v>
      </c>
      <c r="H172" s="987" t="s">
        <v>192</v>
      </c>
      <c r="I172" s="987" t="s">
        <v>195</v>
      </c>
      <c r="J172" s="456" t="s">
        <v>5519</v>
      </c>
      <c r="K172" s="716" t="s">
        <v>5519</v>
      </c>
      <c r="L172" s="975">
        <v>3.43</v>
      </c>
      <c r="M172" s="976"/>
      <c r="N172" s="975" t="s">
        <v>1372</v>
      </c>
      <c r="O172" s="976"/>
    </row>
    <row r="173">
      <c r="A173" s="67"/>
      <c r="B173" s="182" t="s">
        <v>595</v>
      </c>
      <c r="C173" s="210" t="s">
        <v>5521</v>
      </c>
      <c r="D173" s="210" t="s">
        <v>5522</v>
      </c>
      <c r="E173" s="210" t="s">
        <v>1325</v>
      </c>
      <c r="F173" s="210" t="s">
        <v>5523</v>
      </c>
      <c r="G173" s="881" t="s">
        <v>5524</v>
      </c>
      <c r="H173" s="77" t="s">
        <v>192</v>
      </c>
      <c r="I173" s="77" t="s">
        <v>195</v>
      </c>
      <c r="J173" s="820" t="s">
        <v>5525</v>
      </c>
      <c r="K173" s="227"/>
      <c r="L173" s="400">
        <v>3.43</v>
      </c>
      <c r="M173" s="1000"/>
      <c r="N173" s="821" t="s">
        <v>362</v>
      </c>
      <c r="O173" s="1000"/>
    </row>
    <row r="174">
      <c r="A174" s="67"/>
      <c r="B174" s="213" t="s">
        <v>595</v>
      </c>
      <c r="C174" s="893" t="s">
        <v>5529</v>
      </c>
      <c r="D174" s="893" t="s">
        <v>3260</v>
      </c>
      <c r="E174" s="572" t="s">
        <v>410</v>
      </c>
      <c r="F174" s="572" t="s">
        <v>3262</v>
      </c>
      <c r="G174" s="999" t="s">
        <v>3274</v>
      </c>
      <c r="H174" s="579" t="s">
        <v>192</v>
      </c>
      <c r="I174" s="579" t="s">
        <v>276</v>
      </c>
      <c r="J174" s="1003" t="s">
        <v>5531</v>
      </c>
      <c r="K174" s="603"/>
      <c r="L174" s="400">
        <v>3.79</v>
      </c>
      <c r="M174" s="976"/>
      <c r="N174" s="975" t="s">
        <v>5533</v>
      </c>
      <c r="O174" s="976"/>
    </row>
    <row r="175">
      <c r="A175" s="67"/>
      <c r="B175" s="213" t="s">
        <v>595</v>
      </c>
      <c r="C175" s="400" t="s">
        <v>5534</v>
      </c>
      <c r="D175" s="893" t="s">
        <v>5535</v>
      </c>
      <c r="E175" s="400" t="s">
        <v>5536</v>
      </c>
      <c r="F175" s="400" t="s">
        <v>5537</v>
      </c>
      <c r="G175" s="399" t="s">
        <v>5538</v>
      </c>
      <c r="H175" s="400" t="s">
        <v>461</v>
      </c>
      <c r="I175" s="400" t="s">
        <v>462</v>
      </c>
      <c r="J175" s="1003" t="s">
        <v>5539</v>
      </c>
      <c r="K175" s="603"/>
      <c r="L175" s="400">
        <v>3.29</v>
      </c>
      <c r="M175" s="976"/>
      <c r="N175" s="975" t="s">
        <v>4959</v>
      </c>
      <c r="O175" s="976"/>
    </row>
    <row r="176">
      <c r="A176" s="67"/>
      <c r="B176" s="213" t="s">
        <v>595</v>
      </c>
      <c r="C176" s="1007" t="s">
        <v>5540</v>
      </c>
      <c r="D176" s="88" t="s">
        <v>5541</v>
      </c>
      <c r="E176" s="88" t="s">
        <v>5398</v>
      </c>
      <c r="F176" s="88" t="s">
        <v>5542</v>
      </c>
      <c r="G176" s="457" t="s">
        <v>5543</v>
      </c>
      <c r="H176" s="987" t="s">
        <v>461</v>
      </c>
      <c r="I176" s="987" t="s">
        <v>462</v>
      </c>
      <c r="J176" s="1003" t="s">
        <v>5544</v>
      </c>
      <c r="K176" s="603"/>
      <c r="L176" s="400">
        <v>3.29</v>
      </c>
      <c r="M176" s="976"/>
      <c r="N176" s="975" t="s">
        <v>880</v>
      </c>
      <c r="O176" s="976"/>
    </row>
    <row r="177">
      <c r="A177" s="67"/>
      <c r="B177" s="213" t="s">
        <v>595</v>
      </c>
      <c r="C177" s="1007" t="s">
        <v>5545</v>
      </c>
      <c r="D177" s="88" t="s">
        <v>5546</v>
      </c>
      <c r="E177" s="88" t="s">
        <v>5547</v>
      </c>
      <c r="F177" s="88" t="s">
        <v>5548</v>
      </c>
      <c r="G177" s="457" t="s">
        <v>5549</v>
      </c>
      <c r="H177" s="987" t="s">
        <v>192</v>
      </c>
      <c r="I177" s="987" t="s">
        <v>195</v>
      </c>
      <c r="J177" s="1003" t="s">
        <v>5550</v>
      </c>
      <c r="K177" s="603"/>
      <c r="L177" s="400">
        <v>3.79</v>
      </c>
      <c r="M177" s="976"/>
      <c r="N177" s="975" t="s">
        <v>362</v>
      </c>
      <c r="O177" s="976"/>
    </row>
    <row r="178">
      <c r="A178" s="67"/>
      <c r="B178" s="213" t="s">
        <v>595</v>
      </c>
      <c r="C178" s="1007" t="s">
        <v>5551</v>
      </c>
      <c r="D178" s="88" t="s">
        <v>5552</v>
      </c>
      <c r="E178" s="88" t="s">
        <v>5553</v>
      </c>
      <c r="F178" s="88" t="s">
        <v>5554</v>
      </c>
      <c r="G178" s="457" t="s">
        <v>5555</v>
      </c>
      <c r="H178" s="987" t="s">
        <v>192</v>
      </c>
      <c r="I178" s="987" t="s">
        <v>276</v>
      </c>
      <c r="J178" s="1003" t="s">
        <v>5556</v>
      </c>
      <c r="K178" s="987"/>
      <c r="L178" s="400">
        <v>3.0</v>
      </c>
      <c r="M178" s="976"/>
      <c r="N178" s="975" t="s">
        <v>1667</v>
      </c>
      <c r="O178" s="976"/>
    </row>
    <row r="179">
      <c r="A179" s="67"/>
      <c r="B179" s="213" t="s">
        <v>595</v>
      </c>
      <c r="C179" s="1007" t="s">
        <v>5557</v>
      </c>
      <c r="D179" s="88" t="s">
        <v>5558</v>
      </c>
      <c r="E179" s="88" t="s">
        <v>1433</v>
      </c>
      <c r="F179" s="88" t="s">
        <v>4174</v>
      </c>
      <c r="G179" s="457" t="s">
        <v>5559</v>
      </c>
      <c r="H179" s="987" t="s">
        <v>485</v>
      </c>
      <c r="I179" s="987" t="s">
        <v>350</v>
      </c>
      <c r="J179" s="457" t="s">
        <v>5560</v>
      </c>
      <c r="K179" s="603"/>
      <c r="L179" s="975">
        <v>4.07</v>
      </c>
      <c r="M179" s="976"/>
      <c r="N179" s="975" t="s">
        <v>352</v>
      </c>
      <c r="O179" s="976"/>
    </row>
    <row r="180">
      <c r="A180" s="67"/>
      <c r="B180" s="213" t="s">
        <v>595</v>
      </c>
      <c r="C180" s="212" t="s">
        <v>5561</v>
      </c>
      <c r="D180" s="212" t="s">
        <v>5562</v>
      </c>
      <c r="E180" s="212" t="s">
        <v>5563</v>
      </c>
      <c r="F180" s="212" t="s">
        <v>5564</v>
      </c>
      <c r="G180" s="881" t="s">
        <v>5565</v>
      </c>
      <c r="H180" s="77" t="s">
        <v>461</v>
      </c>
      <c r="I180" s="77" t="s">
        <v>530</v>
      </c>
      <c r="J180" s="517" t="s">
        <v>5566</v>
      </c>
      <c r="K180" s="636"/>
      <c r="L180" s="400">
        <v>3.71</v>
      </c>
      <c r="M180" s="976"/>
      <c r="N180" s="975" t="s">
        <v>1131</v>
      </c>
      <c r="O180" s="976"/>
    </row>
    <row r="181">
      <c r="A181" s="67"/>
      <c r="B181" s="213" t="s">
        <v>595</v>
      </c>
      <c r="C181" s="210" t="s">
        <v>5567</v>
      </c>
      <c r="D181" s="210" t="s">
        <v>3681</v>
      </c>
      <c r="E181" s="210" t="s">
        <v>1039</v>
      </c>
      <c r="F181" s="210" t="s">
        <v>4110</v>
      </c>
      <c r="G181" s="881" t="s">
        <v>3683</v>
      </c>
      <c r="H181" s="77" t="s">
        <v>224</v>
      </c>
      <c r="I181" s="77" t="s">
        <v>440</v>
      </c>
      <c r="J181" s="1010" t="s">
        <v>5568</v>
      </c>
      <c r="K181" s="227"/>
      <c r="L181" s="400">
        <v>3.64</v>
      </c>
      <c r="M181" s="976"/>
      <c r="N181" s="975" t="s">
        <v>1096</v>
      </c>
      <c r="O181" s="976"/>
    </row>
    <row r="182">
      <c r="A182" s="67"/>
      <c r="B182" s="213" t="s">
        <v>595</v>
      </c>
      <c r="C182" s="212" t="s">
        <v>5569</v>
      </c>
      <c r="D182" s="212" t="s">
        <v>5570</v>
      </c>
      <c r="E182" s="212" t="s">
        <v>4364</v>
      </c>
      <c r="F182" s="212" t="s">
        <v>5224</v>
      </c>
      <c r="G182" s="881" t="s">
        <v>5571</v>
      </c>
      <c r="H182" s="77" t="s">
        <v>485</v>
      </c>
      <c r="I182" s="77" t="s">
        <v>486</v>
      </c>
      <c r="J182" s="1012" t="s">
        <v>5572</v>
      </c>
      <c r="K182" s="636"/>
      <c r="L182" s="517">
        <v>4.43</v>
      </c>
      <c r="M182" s="976"/>
      <c r="N182" s="975" t="s">
        <v>3866</v>
      </c>
      <c r="O182" s="976"/>
    </row>
    <row r="183">
      <c r="A183" s="67"/>
      <c r="B183" s="213" t="s">
        <v>595</v>
      </c>
      <c r="C183" s="210" t="s">
        <v>5573</v>
      </c>
      <c r="D183" s="210" t="s">
        <v>5252</v>
      </c>
      <c r="E183" s="210" t="s">
        <v>5574</v>
      </c>
      <c r="F183" s="210" t="s">
        <v>5575</v>
      </c>
      <c r="G183" s="881" t="s">
        <v>5254</v>
      </c>
      <c r="H183" s="77" t="s">
        <v>224</v>
      </c>
      <c r="I183" s="77" t="s">
        <v>324</v>
      </c>
      <c r="J183" s="1013" t="s">
        <v>5576</v>
      </c>
      <c r="K183" s="598"/>
      <c r="L183" s="976"/>
      <c r="M183" s="976"/>
      <c r="N183" s="975" t="s">
        <v>332</v>
      </c>
      <c r="O183" s="976"/>
    </row>
    <row r="184">
      <c r="A184" s="67"/>
      <c r="B184" s="213" t="s">
        <v>595</v>
      </c>
      <c r="C184" s="212" t="s">
        <v>5577</v>
      </c>
      <c r="D184" s="212" t="s">
        <v>5578</v>
      </c>
      <c r="E184" s="212" t="s">
        <v>3497</v>
      </c>
      <c r="F184" s="212" t="s">
        <v>3498</v>
      </c>
      <c r="G184" s="475" t="s">
        <v>5579</v>
      </c>
      <c r="H184" s="575" t="s">
        <v>461</v>
      </c>
      <c r="I184" s="575" t="s">
        <v>462</v>
      </c>
      <c r="J184" s="1015" t="s">
        <v>5580</v>
      </c>
      <c r="K184" s="636"/>
      <c r="M184" s="976"/>
      <c r="N184" s="975" t="s">
        <v>791</v>
      </c>
      <c r="O184" s="976"/>
    </row>
    <row r="185">
      <c r="A185" s="67"/>
      <c r="B185" s="213" t="s">
        <v>595</v>
      </c>
      <c r="C185" s="575"/>
      <c r="D185" s="576"/>
      <c r="E185" s="576"/>
      <c r="F185" s="576"/>
      <c r="G185" s="577"/>
      <c r="H185" s="577"/>
      <c r="I185" s="577"/>
      <c r="J185" s="577"/>
      <c r="K185" s="577"/>
      <c r="L185" s="976"/>
      <c r="M185" s="976"/>
      <c r="N185" s="976"/>
      <c r="O185" s="976"/>
    </row>
    <row r="186">
      <c r="A186" s="67"/>
      <c r="B186" s="213" t="s">
        <v>595</v>
      </c>
      <c r="C186" s="575"/>
      <c r="D186" s="576"/>
      <c r="E186" s="576"/>
      <c r="F186" s="576"/>
      <c r="G186" s="577"/>
      <c r="H186" s="577"/>
      <c r="I186" s="577"/>
      <c r="J186" s="577"/>
      <c r="K186" s="577"/>
      <c r="L186" s="976"/>
      <c r="M186" s="976"/>
      <c r="N186" s="976"/>
      <c r="O186" s="976"/>
    </row>
    <row r="187">
      <c r="A187" s="67"/>
      <c r="B187" s="213" t="s">
        <v>595</v>
      </c>
      <c r="C187" s="575"/>
      <c r="D187" s="576"/>
      <c r="E187" s="576"/>
      <c r="F187" s="576"/>
      <c r="G187" s="577"/>
      <c r="H187" s="577"/>
      <c r="I187" s="577"/>
      <c r="J187" s="577"/>
      <c r="K187" s="577"/>
      <c r="L187" s="976"/>
      <c r="M187" s="976"/>
      <c r="N187" s="976"/>
      <c r="O187" s="976"/>
    </row>
    <row r="188">
      <c r="A188" s="67"/>
      <c r="B188" s="213" t="s">
        <v>595</v>
      </c>
      <c r="C188" s="575"/>
      <c r="D188" s="576"/>
      <c r="E188" s="576"/>
      <c r="F188" s="576"/>
      <c r="G188" s="577"/>
      <c r="H188" s="577"/>
      <c r="I188" s="577"/>
      <c r="J188" s="577"/>
      <c r="K188" s="577"/>
      <c r="L188" s="976"/>
      <c r="M188" s="976"/>
      <c r="N188" s="976"/>
      <c r="O188" s="976"/>
    </row>
    <row r="189">
      <c r="A189" s="67"/>
      <c r="B189" s="213" t="s">
        <v>595</v>
      </c>
      <c r="C189" s="575"/>
      <c r="D189" s="576"/>
      <c r="E189" s="576"/>
      <c r="F189" s="576"/>
      <c r="G189" s="577"/>
      <c r="H189" s="577"/>
      <c r="I189" s="577"/>
      <c r="J189" s="577"/>
      <c r="K189" s="577"/>
      <c r="L189" s="976"/>
      <c r="M189" s="976"/>
      <c r="N189" s="976"/>
      <c r="O189" s="976"/>
    </row>
    <row r="190">
      <c r="A190" s="67"/>
      <c r="B190" s="636"/>
      <c r="C190" s="575"/>
      <c r="D190" s="576"/>
      <c r="E190" s="576"/>
      <c r="F190" s="576"/>
      <c r="G190" s="577"/>
      <c r="H190" s="577"/>
      <c r="I190" s="577"/>
      <c r="J190" s="577"/>
      <c r="K190" s="577"/>
      <c r="L190" s="976"/>
      <c r="M190" s="976"/>
      <c r="N190" s="976"/>
      <c r="O190" s="976"/>
    </row>
    <row r="191">
      <c r="A191" s="67"/>
      <c r="B191" s="636"/>
      <c r="C191" s="575"/>
      <c r="D191" s="576"/>
      <c r="E191" s="576"/>
      <c r="F191" s="576"/>
      <c r="G191" s="577"/>
      <c r="H191" s="577"/>
      <c r="I191" s="577"/>
      <c r="J191" s="577"/>
      <c r="K191" s="577"/>
      <c r="L191" s="976"/>
      <c r="M191" s="976"/>
      <c r="N191" s="976"/>
      <c r="O191" s="976"/>
    </row>
    <row r="192">
      <c r="A192" s="67"/>
      <c r="B192" s="636"/>
      <c r="C192" s="575"/>
      <c r="D192" s="576"/>
      <c r="E192" s="576"/>
      <c r="F192" s="576"/>
      <c r="G192" s="577"/>
      <c r="H192" s="577"/>
      <c r="I192" s="577"/>
      <c r="J192" s="577"/>
      <c r="K192" s="577"/>
      <c r="L192" s="976"/>
      <c r="M192" s="976"/>
      <c r="N192" s="976"/>
      <c r="O192" s="976"/>
    </row>
    <row r="193">
      <c r="A193" s="67"/>
      <c r="B193" s="636"/>
      <c r="C193" s="575"/>
      <c r="D193" s="576"/>
      <c r="E193" s="576"/>
      <c r="F193" s="576"/>
      <c r="G193" s="577"/>
      <c r="H193" s="577"/>
      <c r="I193" s="577"/>
      <c r="J193" s="577"/>
      <c r="K193" s="577"/>
      <c r="L193" s="976"/>
      <c r="M193" s="976"/>
      <c r="N193" s="976"/>
      <c r="O193" s="976"/>
    </row>
    <row r="194">
      <c r="A194" s="67"/>
      <c r="B194" s="636"/>
      <c r="C194" s="575"/>
      <c r="D194" s="576"/>
      <c r="E194" s="576"/>
      <c r="F194" s="576"/>
      <c r="G194" s="577"/>
      <c r="H194" s="577"/>
      <c r="I194" s="577"/>
      <c r="J194" s="577"/>
      <c r="K194" s="577"/>
      <c r="L194" s="976"/>
      <c r="M194" s="976"/>
      <c r="N194" s="976"/>
      <c r="O194" s="976"/>
    </row>
    <row r="195">
      <c r="A195" s="67"/>
      <c r="B195" s="636"/>
      <c r="C195" s="575"/>
      <c r="D195" s="576"/>
      <c r="E195" s="576"/>
      <c r="F195" s="576"/>
      <c r="G195" s="577"/>
      <c r="H195" s="577"/>
      <c r="I195" s="577"/>
      <c r="J195" s="577"/>
      <c r="K195" s="577"/>
      <c r="L195" s="976"/>
      <c r="M195" s="976"/>
      <c r="N195" s="976"/>
      <c r="O195" s="976"/>
    </row>
    <row r="196">
      <c r="A196" s="67"/>
      <c r="B196" s="636"/>
      <c r="C196" s="575"/>
      <c r="D196" s="576"/>
      <c r="E196" s="576"/>
      <c r="F196" s="576"/>
      <c r="G196" s="577"/>
      <c r="H196" s="577"/>
      <c r="I196" s="577"/>
      <c r="J196" s="577"/>
      <c r="K196" s="577"/>
      <c r="L196" s="976"/>
      <c r="M196" s="976"/>
      <c r="N196" s="976"/>
      <c r="O196" s="976"/>
    </row>
    <row r="197">
      <c r="A197" s="67"/>
      <c r="B197" s="636"/>
      <c r="C197" s="575"/>
      <c r="D197" s="576"/>
      <c r="E197" s="576"/>
      <c r="F197" s="576"/>
      <c r="G197" s="577"/>
      <c r="H197" s="577"/>
      <c r="I197" s="577"/>
      <c r="J197" s="577"/>
      <c r="K197" s="577"/>
      <c r="L197" s="976"/>
      <c r="M197" s="976"/>
      <c r="N197" s="976"/>
      <c r="O197" s="976"/>
    </row>
    <row r="198">
      <c r="A198" s="67"/>
      <c r="B198" s="636"/>
      <c r="C198" s="575"/>
      <c r="D198" s="576"/>
      <c r="E198" s="576"/>
      <c r="F198" s="576"/>
      <c r="G198" s="577"/>
      <c r="H198" s="577"/>
      <c r="I198" s="577"/>
      <c r="J198" s="577"/>
      <c r="K198" s="577"/>
      <c r="L198" s="976"/>
      <c r="M198" s="976"/>
      <c r="N198" s="976"/>
      <c r="O198" s="976"/>
    </row>
    <row r="199">
      <c r="A199" s="67"/>
      <c r="B199" s="636"/>
      <c r="C199" s="575"/>
      <c r="D199" s="576"/>
      <c r="E199" s="576"/>
      <c r="F199" s="576"/>
      <c r="G199" s="577"/>
      <c r="H199" s="577"/>
      <c r="I199" s="577"/>
      <c r="J199" s="577"/>
      <c r="K199" s="577"/>
      <c r="L199" s="976"/>
      <c r="M199" s="976"/>
      <c r="N199" s="976"/>
      <c r="O199" s="976"/>
    </row>
    <row r="200">
      <c r="A200" s="67"/>
      <c r="B200" s="636"/>
      <c r="C200" s="575"/>
      <c r="D200" s="576"/>
      <c r="E200" s="576"/>
      <c r="F200" s="576"/>
      <c r="G200" s="577"/>
      <c r="H200" s="577"/>
      <c r="I200" s="577"/>
      <c r="J200" s="577"/>
      <c r="K200" s="577"/>
      <c r="L200" s="976"/>
      <c r="M200" s="976"/>
      <c r="N200" s="976"/>
      <c r="O200" s="976"/>
    </row>
    <row r="201">
      <c r="A201" s="67"/>
      <c r="B201" s="636"/>
      <c r="C201" s="575"/>
      <c r="D201" s="576"/>
      <c r="E201" s="576"/>
      <c r="F201" s="576"/>
      <c r="G201" s="577"/>
      <c r="H201" s="577"/>
      <c r="I201" s="577"/>
      <c r="J201" s="577"/>
      <c r="K201" s="577"/>
      <c r="L201" s="976"/>
      <c r="M201" s="976"/>
      <c r="N201" s="976"/>
      <c r="O201" s="976"/>
    </row>
    <row r="202">
      <c r="A202" s="67"/>
      <c r="B202" s="636"/>
      <c r="C202" s="575"/>
      <c r="D202" s="576"/>
      <c r="E202" s="576"/>
      <c r="F202" s="576"/>
      <c r="G202" s="577"/>
      <c r="H202" s="577"/>
      <c r="I202" s="577"/>
      <c r="J202" s="577"/>
      <c r="K202" s="577"/>
      <c r="L202" s="976"/>
      <c r="M202" s="976"/>
      <c r="N202" s="976"/>
      <c r="O202" s="976"/>
    </row>
    <row r="203">
      <c r="A203" s="67"/>
      <c r="B203" s="636"/>
      <c r="C203" s="575"/>
      <c r="D203" s="576"/>
      <c r="E203" s="576"/>
      <c r="F203" s="576"/>
      <c r="G203" s="577"/>
      <c r="H203" s="577"/>
      <c r="I203" s="577"/>
      <c r="J203" s="577"/>
      <c r="K203" s="577"/>
      <c r="L203" s="976"/>
      <c r="M203" s="976"/>
      <c r="N203" s="976"/>
      <c r="O203" s="976"/>
    </row>
    <row r="204">
      <c r="A204" s="67"/>
      <c r="B204" s="636"/>
      <c r="C204" s="575"/>
      <c r="D204" s="576"/>
      <c r="E204" s="576"/>
      <c r="F204" s="576"/>
      <c r="G204" s="577"/>
      <c r="H204" s="577"/>
      <c r="I204" s="577"/>
      <c r="J204" s="577"/>
      <c r="K204" s="577"/>
      <c r="L204" s="976"/>
      <c r="M204" s="976"/>
      <c r="N204" s="976"/>
      <c r="O204" s="976"/>
    </row>
    <row r="205">
      <c r="A205" s="67"/>
      <c r="B205" s="636"/>
      <c r="C205" s="575"/>
      <c r="D205" s="576"/>
      <c r="E205" s="576"/>
      <c r="F205" s="576"/>
      <c r="G205" s="577"/>
      <c r="H205" s="577"/>
      <c r="I205" s="577"/>
      <c r="J205" s="577"/>
      <c r="K205" s="577"/>
      <c r="L205" s="976"/>
      <c r="M205" s="976"/>
      <c r="N205" s="976"/>
      <c r="O205" s="976"/>
    </row>
    <row r="206">
      <c r="A206" s="67"/>
      <c r="B206" s="636"/>
      <c r="C206" s="575"/>
      <c r="D206" s="576"/>
      <c r="E206" s="576"/>
      <c r="F206" s="576"/>
      <c r="G206" s="577"/>
      <c r="H206" s="577"/>
      <c r="I206" s="577"/>
      <c r="J206" s="577"/>
      <c r="K206" s="577"/>
      <c r="L206" s="976"/>
      <c r="M206" s="976"/>
      <c r="N206" s="976"/>
      <c r="O206" s="976"/>
    </row>
    <row r="207">
      <c r="A207" s="67"/>
      <c r="B207" s="636"/>
      <c r="C207" s="575"/>
      <c r="D207" s="576"/>
      <c r="E207" s="576"/>
      <c r="F207" s="576"/>
      <c r="G207" s="577"/>
      <c r="H207" s="577"/>
      <c r="I207" s="577"/>
      <c r="J207" s="577"/>
      <c r="K207" s="577"/>
      <c r="L207" s="976"/>
      <c r="M207" s="976"/>
      <c r="N207" s="976"/>
      <c r="O207" s="976"/>
    </row>
    <row r="208">
      <c r="A208" s="67"/>
      <c r="B208" s="636"/>
      <c r="C208" s="575"/>
      <c r="D208" s="576"/>
      <c r="E208" s="576"/>
      <c r="F208" s="576"/>
      <c r="G208" s="577"/>
      <c r="H208" s="577"/>
      <c r="I208" s="577"/>
      <c r="J208" s="577"/>
      <c r="K208" s="577"/>
      <c r="L208" s="976"/>
      <c r="M208" s="976"/>
      <c r="N208" s="976"/>
      <c r="O208" s="976"/>
    </row>
    <row r="209">
      <c r="A209" s="67"/>
      <c r="B209" s="636"/>
      <c r="C209" s="575"/>
      <c r="D209" s="576"/>
      <c r="E209" s="576"/>
      <c r="F209" s="576"/>
      <c r="G209" s="577"/>
      <c r="H209" s="577"/>
      <c r="I209" s="577"/>
      <c r="J209" s="577"/>
      <c r="K209" s="577"/>
      <c r="L209" s="976"/>
      <c r="M209" s="976"/>
      <c r="N209" s="976"/>
      <c r="O209" s="976"/>
    </row>
    <row r="210">
      <c r="A210" s="67"/>
      <c r="B210" s="636"/>
      <c r="C210" s="575"/>
      <c r="D210" s="576"/>
      <c r="E210" s="576"/>
      <c r="F210" s="576"/>
      <c r="G210" s="577"/>
      <c r="H210" s="577"/>
      <c r="I210" s="577"/>
      <c r="J210" s="577"/>
      <c r="K210" s="577"/>
      <c r="L210" s="976"/>
      <c r="M210" s="976"/>
      <c r="N210" s="976"/>
      <c r="O210" s="976"/>
    </row>
    <row r="211">
      <c r="A211" s="67"/>
      <c r="B211" s="636"/>
      <c r="C211" s="575"/>
      <c r="D211" s="576"/>
      <c r="E211" s="576"/>
      <c r="F211" s="576"/>
      <c r="G211" s="577"/>
      <c r="H211" s="577"/>
      <c r="I211" s="577"/>
      <c r="J211" s="577"/>
      <c r="K211" s="577"/>
      <c r="L211" s="976"/>
      <c r="M211" s="976"/>
      <c r="N211" s="976"/>
      <c r="O211" s="976"/>
    </row>
    <row r="212">
      <c r="A212" s="67"/>
      <c r="B212" s="636"/>
      <c r="C212" s="575"/>
      <c r="D212" s="576"/>
      <c r="E212" s="576"/>
      <c r="F212" s="576"/>
      <c r="G212" s="577"/>
      <c r="H212" s="577"/>
      <c r="I212" s="577"/>
      <c r="J212" s="577"/>
      <c r="K212" s="577"/>
      <c r="L212" s="976"/>
      <c r="M212" s="976"/>
      <c r="N212" s="976"/>
      <c r="O212" s="976"/>
    </row>
    <row r="213">
      <c r="A213" s="67"/>
      <c r="B213" s="636"/>
      <c r="C213" s="575"/>
      <c r="D213" s="576"/>
      <c r="E213" s="576"/>
      <c r="F213" s="576"/>
      <c r="G213" s="577"/>
      <c r="H213" s="577"/>
      <c r="I213" s="577"/>
      <c r="J213" s="577"/>
      <c r="K213" s="577"/>
      <c r="L213" s="976"/>
      <c r="M213" s="976"/>
      <c r="N213" s="976"/>
      <c r="O213" s="976"/>
    </row>
    <row r="214">
      <c r="A214" s="67"/>
      <c r="B214" s="636"/>
      <c r="C214" s="575"/>
      <c r="D214" s="576"/>
      <c r="E214" s="576"/>
      <c r="F214" s="576"/>
      <c r="G214" s="577"/>
      <c r="H214" s="577"/>
      <c r="I214" s="577"/>
      <c r="J214" s="577"/>
      <c r="K214" s="577"/>
      <c r="L214" s="976"/>
      <c r="M214" s="976"/>
      <c r="N214" s="976"/>
      <c r="O214" s="976"/>
    </row>
    <row r="215">
      <c r="A215" s="67"/>
      <c r="B215" s="636"/>
      <c r="C215" s="575"/>
      <c r="D215" s="576"/>
      <c r="E215" s="576"/>
      <c r="F215" s="576"/>
      <c r="G215" s="577"/>
      <c r="H215" s="577"/>
      <c r="I215" s="577"/>
      <c r="J215" s="577"/>
      <c r="K215" s="577"/>
      <c r="L215" s="976"/>
      <c r="M215" s="976"/>
      <c r="N215" s="976"/>
      <c r="O215" s="976"/>
    </row>
    <row r="216">
      <c r="A216" s="67"/>
      <c r="B216" s="636"/>
      <c r="C216" s="575"/>
      <c r="D216" s="576"/>
      <c r="E216" s="576"/>
      <c r="F216" s="576"/>
      <c r="G216" s="577"/>
      <c r="H216" s="577"/>
      <c r="I216" s="577"/>
      <c r="J216" s="577"/>
      <c r="K216" s="577"/>
      <c r="L216" s="976"/>
      <c r="M216" s="976"/>
      <c r="N216" s="976"/>
      <c r="O216" s="976"/>
    </row>
    <row r="217">
      <c r="A217" s="67"/>
      <c r="B217" s="636"/>
      <c r="C217" s="575"/>
      <c r="D217" s="576"/>
      <c r="E217" s="576"/>
      <c r="F217" s="576"/>
      <c r="G217" s="577"/>
      <c r="H217" s="577"/>
      <c r="I217" s="577"/>
      <c r="J217" s="577"/>
      <c r="K217" s="577"/>
      <c r="L217" s="976"/>
      <c r="M217" s="976"/>
      <c r="N217" s="976"/>
      <c r="O217" s="976"/>
    </row>
    <row r="218">
      <c r="A218" s="67"/>
      <c r="B218" s="636"/>
      <c r="C218" s="575"/>
      <c r="D218" s="576"/>
      <c r="E218" s="576"/>
      <c r="F218" s="576"/>
      <c r="G218" s="577"/>
      <c r="H218" s="577"/>
      <c r="I218" s="577"/>
      <c r="J218" s="577"/>
      <c r="K218" s="577"/>
      <c r="L218" s="976"/>
      <c r="M218" s="976"/>
      <c r="N218" s="976"/>
      <c r="O218" s="976"/>
    </row>
    <row r="219">
      <c r="A219" s="67"/>
      <c r="B219" s="636"/>
      <c r="C219" s="575"/>
      <c r="D219" s="576"/>
      <c r="E219" s="576"/>
      <c r="F219" s="576"/>
      <c r="G219" s="577"/>
      <c r="H219" s="577"/>
      <c r="I219" s="577"/>
      <c r="J219" s="577"/>
      <c r="K219" s="577"/>
      <c r="L219" s="976"/>
      <c r="M219" s="976"/>
      <c r="N219" s="976"/>
      <c r="O219" s="976"/>
    </row>
    <row r="220">
      <c r="A220" s="67"/>
      <c r="B220" s="636"/>
      <c r="C220" s="575"/>
      <c r="D220" s="576"/>
      <c r="E220" s="576"/>
      <c r="F220" s="576"/>
      <c r="G220" s="577"/>
      <c r="H220" s="577"/>
      <c r="I220" s="577"/>
      <c r="J220" s="577"/>
      <c r="K220" s="577"/>
      <c r="L220" s="976"/>
      <c r="M220" s="976"/>
      <c r="N220" s="976"/>
      <c r="O220" s="976"/>
    </row>
    <row r="221">
      <c r="A221" s="67"/>
      <c r="B221" s="636"/>
      <c r="C221" s="575"/>
      <c r="D221" s="576"/>
      <c r="E221" s="576"/>
      <c r="F221" s="576"/>
      <c r="G221" s="577"/>
      <c r="H221" s="577"/>
      <c r="I221" s="577"/>
      <c r="J221" s="577"/>
      <c r="K221" s="577"/>
      <c r="L221" s="976"/>
      <c r="M221" s="976"/>
      <c r="N221" s="976"/>
      <c r="O221" s="976"/>
    </row>
    <row r="222">
      <c r="A222" s="67"/>
      <c r="B222" s="636"/>
      <c r="C222" s="575"/>
      <c r="D222" s="576"/>
      <c r="E222" s="576"/>
      <c r="F222" s="576"/>
      <c r="G222" s="577"/>
      <c r="H222" s="577"/>
      <c r="I222" s="577"/>
      <c r="J222" s="577"/>
      <c r="K222" s="577"/>
      <c r="L222" s="976"/>
      <c r="M222" s="976"/>
      <c r="N222" s="976"/>
      <c r="O222" s="976"/>
    </row>
    <row r="223">
      <c r="A223" s="67"/>
      <c r="B223" s="636"/>
      <c r="C223" s="575"/>
      <c r="D223" s="576"/>
      <c r="E223" s="576"/>
      <c r="F223" s="576"/>
      <c r="G223" s="577"/>
      <c r="H223" s="577"/>
      <c r="I223" s="577"/>
      <c r="J223" s="577"/>
      <c r="K223" s="577"/>
      <c r="L223" s="976"/>
      <c r="M223" s="976"/>
      <c r="N223" s="976"/>
      <c r="O223" s="976"/>
    </row>
    <row r="224">
      <c r="A224" s="67"/>
      <c r="B224" s="636"/>
      <c r="C224" s="575"/>
      <c r="D224" s="576"/>
      <c r="E224" s="576"/>
      <c r="F224" s="576"/>
      <c r="G224" s="577"/>
      <c r="H224" s="577"/>
      <c r="I224" s="577"/>
      <c r="J224" s="577"/>
      <c r="K224" s="577"/>
      <c r="L224" s="976"/>
      <c r="M224" s="976"/>
      <c r="N224" s="976"/>
      <c r="O224" s="976"/>
    </row>
    <row r="225">
      <c r="A225" s="67"/>
      <c r="B225" s="636"/>
      <c r="C225" s="575"/>
      <c r="D225" s="576"/>
      <c r="E225" s="576"/>
      <c r="F225" s="576"/>
      <c r="G225" s="577"/>
      <c r="H225" s="577"/>
      <c r="I225" s="577"/>
      <c r="J225" s="577"/>
      <c r="K225" s="577"/>
      <c r="L225" s="976"/>
      <c r="M225" s="976"/>
      <c r="N225" s="976"/>
      <c r="O225" s="976"/>
    </row>
    <row r="226">
      <c r="A226" s="67"/>
      <c r="B226" s="636"/>
      <c r="C226" s="575"/>
      <c r="D226" s="576"/>
      <c r="E226" s="576"/>
      <c r="F226" s="576"/>
      <c r="G226" s="577"/>
      <c r="H226" s="577"/>
      <c r="I226" s="577"/>
      <c r="J226" s="577"/>
      <c r="K226" s="577"/>
      <c r="L226" s="976"/>
      <c r="M226" s="976"/>
      <c r="N226" s="976"/>
      <c r="O226" s="976"/>
    </row>
    <row r="227">
      <c r="A227" s="67"/>
      <c r="B227" s="636"/>
      <c r="C227" s="575"/>
      <c r="D227" s="576"/>
      <c r="E227" s="576"/>
      <c r="F227" s="576"/>
      <c r="G227" s="577"/>
      <c r="H227" s="577"/>
      <c r="I227" s="577"/>
      <c r="J227" s="577"/>
      <c r="K227" s="577"/>
      <c r="L227" s="976"/>
      <c r="M227" s="976"/>
      <c r="N227" s="976"/>
      <c r="O227" s="976"/>
    </row>
    <row r="228">
      <c r="A228" s="67"/>
      <c r="B228" s="636"/>
      <c r="C228" s="575"/>
      <c r="D228" s="576"/>
      <c r="E228" s="576"/>
      <c r="F228" s="576"/>
      <c r="G228" s="577"/>
      <c r="H228" s="577"/>
      <c r="I228" s="577"/>
      <c r="J228" s="577"/>
      <c r="K228" s="577"/>
      <c r="L228" s="976"/>
      <c r="M228" s="976"/>
      <c r="N228" s="976"/>
      <c r="O228" s="976"/>
    </row>
    <row r="229">
      <c r="A229" s="67"/>
      <c r="B229" s="636"/>
      <c r="C229" s="575"/>
      <c r="D229" s="576"/>
      <c r="E229" s="576"/>
      <c r="F229" s="576"/>
      <c r="G229" s="577"/>
      <c r="H229" s="577"/>
      <c r="I229" s="577"/>
      <c r="J229" s="577"/>
      <c r="K229" s="577"/>
      <c r="L229" s="976"/>
      <c r="M229" s="976"/>
      <c r="N229" s="976"/>
      <c r="O229" s="976"/>
    </row>
    <row r="230">
      <c r="A230" s="67"/>
      <c r="B230" s="636"/>
      <c r="C230" s="575"/>
      <c r="D230" s="576"/>
      <c r="E230" s="576"/>
      <c r="F230" s="576"/>
      <c r="G230" s="577"/>
      <c r="H230" s="577"/>
      <c r="I230" s="577"/>
      <c r="J230" s="577"/>
      <c r="K230" s="577"/>
      <c r="L230" s="976"/>
      <c r="M230" s="976"/>
      <c r="N230" s="976"/>
      <c r="O230" s="976"/>
    </row>
    <row r="231">
      <c r="A231" s="67"/>
      <c r="B231" s="636"/>
      <c r="C231" s="575"/>
      <c r="D231" s="576"/>
      <c r="E231" s="576"/>
      <c r="F231" s="576"/>
      <c r="G231" s="577"/>
      <c r="H231" s="577"/>
      <c r="I231" s="577"/>
      <c r="J231" s="577"/>
      <c r="K231" s="577"/>
      <c r="L231" s="976"/>
      <c r="M231" s="976"/>
      <c r="N231" s="976"/>
      <c r="O231" s="976"/>
    </row>
    <row r="232">
      <c r="A232" s="67"/>
      <c r="B232" s="636"/>
      <c r="C232" s="575"/>
      <c r="D232" s="576"/>
      <c r="E232" s="576"/>
      <c r="F232" s="576"/>
      <c r="G232" s="577"/>
      <c r="H232" s="577"/>
      <c r="I232" s="577"/>
      <c r="J232" s="577"/>
      <c r="K232" s="577"/>
      <c r="L232" s="976"/>
      <c r="M232" s="976"/>
      <c r="N232" s="976"/>
      <c r="O232" s="976"/>
    </row>
    <row r="233">
      <c r="A233" s="67"/>
      <c r="B233" s="636"/>
      <c r="C233" s="575"/>
      <c r="D233" s="576"/>
      <c r="E233" s="576"/>
      <c r="F233" s="576"/>
      <c r="G233" s="577"/>
      <c r="H233" s="577"/>
      <c r="I233" s="577"/>
      <c r="J233" s="577"/>
      <c r="K233" s="577"/>
      <c r="L233" s="976"/>
      <c r="M233" s="976"/>
      <c r="N233" s="976"/>
      <c r="O233" s="976"/>
    </row>
    <row r="234">
      <c r="A234" s="67"/>
      <c r="B234" s="636"/>
      <c r="C234" s="575"/>
      <c r="D234" s="576"/>
      <c r="E234" s="576"/>
      <c r="F234" s="576"/>
      <c r="G234" s="577"/>
      <c r="H234" s="577"/>
      <c r="I234" s="577"/>
      <c r="J234" s="577"/>
      <c r="K234" s="577"/>
      <c r="L234" s="976"/>
      <c r="M234" s="976"/>
      <c r="N234" s="976"/>
      <c r="O234" s="976"/>
    </row>
    <row r="235">
      <c r="A235" s="67"/>
      <c r="B235" s="636"/>
      <c r="C235" s="575"/>
      <c r="D235" s="576"/>
      <c r="E235" s="576"/>
      <c r="F235" s="576"/>
      <c r="G235" s="577"/>
      <c r="H235" s="577"/>
      <c r="I235" s="577"/>
      <c r="J235" s="577"/>
      <c r="K235" s="577"/>
      <c r="L235" s="976"/>
      <c r="M235" s="976"/>
      <c r="N235" s="976"/>
      <c r="O235" s="976"/>
    </row>
    <row r="236">
      <c r="A236" s="67"/>
      <c r="B236" s="636"/>
      <c r="C236" s="575"/>
      <c r="D236" s="576"/>
      <c r="E236" s="576"/>
      <c r="F236" s="576"/>
      <c r="G236" s="577"/>
      <c r="H236" s="577"/>
      <c r="I236" s="577"/>
      <c r="J236" s="577"/>
      <c r="K236" s="577"/>
      <c r="L236" s="976"/>
      <c r="M236" s="976"/>
      <c r="N236" s="976"/>
      <c r="O236" s="976"/>
    </row>
    <row r="237">
      <c r="A237" s="67"/>
      <c r="B237" s="636"/>
      <c r="C237" s="575"/>
      <c r="D237" s="576"/>
      <c r="E237" s="576"/>
      <c r="F237" s="576"/>
      <c r="G237" s="577"/>
      <c r="H237" s="577"/>
      <c r="I237" s="577"/>
      <c r="J237" s="577"/>
      <c r="K237" s="577"/>
      <c r="L237" s="976"/>
      <c r="M237" s="976"/>
      <c r="N237" s="976"/>
      <c r="O237" s="976"/>
    </row>
    <row r="238">
      <c r="A238" s="67"/>
      <c r="B238" s="636"/>
      <c r="C238" s="575"/>
      <c r="D238" s="576"/>
      <c r="E238" s="576"/>
      <c r="F238" s="576"/>
      <c r="G238" s="577"/>
      <c r="H238" s="577"/>
      <c r="I238" s="577"/>
      <c r="J238" s="577"/>
      <c r="K238" s="577"/>
      <c r="L238" s="976"/>
      <c r="M238" s="976"/>
      <c r="N238" s="976"/>
      <c r="O238" s="976"/>
    </row>
    <row r="239">
      <c r="A239" s="67"/>
      <c r="B239" s="636"/>
      <c r="C239" s="575"/>
      <c r="D239" s="576"/>
      <c r="E239" s="576"/>
      <c r="F239" s="576"/>
      <c r="G239" s="577"/>
      <c r="H239" s="577"/>
      <c r="I239" s="577"/>
      <c r="J239" s="577"/>
      <c r="K239" s="577"/>
      <c r="L239" s="976"/>
      <c r="M239" s="976"/>
      <c r="N239" s="976"/>
      <c r="O239" s="976"/>
    </row>
    <row r="240">
      <c r="A240" s="67"/>
      <c r="B240" s="636"/>
      <c r="C240" s="575"/>
      <c r="D240" s="576"/>
      <c r="E240" s="576"/>
      <c r="F240" s="576"/>
      <c r="G240" s="577"/>
      <c r="H240" s="577"/>
      <c r="I240" s="577"/>
      <c r="J240" s="577"/>
      <c r="K240" s="577"/>
      <c r="L240" s="976"/>
      <c r="M240" s="976"/>
      <c r="N240" s="976"/>
      <c r="O240" s="976"/>
    </row>
    <row r="241">
      <c r="A241" s="67"/>
      <c r="B241" s="636"/>
      <c r="C241" s="575"/>
      <c r="D241" s="576"/>
      <c r="E241" s="576"/>
      <c r="F241" s="576"/>
      <c r="G241" s="577"/>
      <c r="H241" s="577"/>
      <c r="I241" s="577"/>
      <c r="J241" s="577"/>
      <c r="K241" s="577"/>
      <c r="L241" s="976"/>
      <c r="M241" s="976"/>
      <c r="N241" s="976"/>
      <c r="O241" s="976"/>
    </row>
    <row r="242">
      <c r="A242" s="67"/>
      <c r="B242" s="636"/>
      <c r="C242" s="575"/>
      <c r="D242" s="576"/>
      <c r="E242" s="576"/>
      <c r="F242" s="576"/>
      <c r="G242" s="577"/>
      <c r="H242" s="577"/>
      <c r="I242" s="577"/>
      <c r="J242" s="577"/>
      <c r="K242" s="577"/>
      <c r="L242" s="976"/>
      <c r="M242" s="976"/>
      <c r="N242" s="976"/>
      <c r="O242" s="976"/>
    </row>
    <row r="243">
      <c r="A243" s="67"/>
      <c r="B243" s="636"/>
      <c r="C243" s="575"/>
      <c r="D243" s="576"/>
      <c r="E243" s="576"/>
      <c r="F243" s="576"/>
      <c r="G243" s="577"/>
      <c r="H243" s="577"/>
      <c r="I243" s="577"/>
      <c r="J243" s="577"/>
      <c r="K243" s="577"/>
      <c r="L243" s="976"/>
      <c r="M243" s="976"/>
      <c r="N243" s="976"/>
      <c r="O243" s="976"/>
    </row>
    <row r="244">
      <c r="A244" s="67"/>
      <c r="B244" s="636"/>
      <c r="C244" s="575"/>
      <c r="D244" s="576"/>
      <c r="E244" s="576"/>
      <c r="F244" s="576"/>
      <c r="G244" s="577"/>
      <c r="H244" s="577"/>
      <c r="I244" s="577"/>
      <c r="J244" s="577"/>
      <c r="K244" s="577"/>
      <c r="L244" s="976"/>
      <c r="M244" s="976"/>
      <c r="N244" s="976"/>
      <c r="O244" s="976"/>
    </row>
    <row r="245">
      <c r="A245" s="67"/>
      <c r="B245" s="636"/>
      <c r="C245" s="575"/>
      <c r="D245" s="576"/>
      <c r="E245" s="576"/>
      <c r="F245" s="576"/>
      <c r="G245" s="577"/>
      <c r="H245" s="577"/>
      <c r="I245" s="577"/>
      <c r="J245" s="577"/>
      <c r="K245" s="577"/>
      <c r="L245" s="976"/>
      <c r="M245" s="976"/>
      <c r="N245" s="976"/>
      <c r="O245" s="976"/>
    </row>
    <row r="246">
      <c r="A246" s="67"/>
      <c r="B246" s="636"/>
      <c r="C246" s="575"/>
      <c r="D246" s="576"/>
      <c r="E246" s="576"/>
      <c r="F246" s="576"/>
      <c r="G246" s="577"/>
      <c r="H246" s="577"/>
      <c r="I246" s="577"/>
      <c r="J246" s="577"/>
      <c r="K246" s="577"/>
      <c r="L246" s="976"/>
      <c r="M246" s="976"/>
      <c r="N246" s="976"/>
      <c r="O246" s="976"/>
    </row>
    <row r="247">
      <c r="A247" s="67"/>
      <c r="B247" s="636"/>
      <c r="C247" s="575"/>
      <c r="D247" s="576"/>
      <c r="E247" s="576"/>
      <c r="F247" s="576"/>
      <c r="G247" s="577"/>
      <c r="H247" s="577"/>
      <c r="I247" s="577"/>
      <c r="J247" s="577"/>
      <c r="K247" s="577"/>
      <c r="L247" s="976"/>
      <c r="M247" s="976"/>
      <c r="N247" s="976"/>
      <c r="O247" s="976"/>
    </row>
    <row r="248">
      <c r="A248" s="67"/>
      <c r="B248" s="636"/>
      <c r="C248" s="575"/>
      <c r="D248" s="576"/>
      <c r="E248" s="576"/>
      <c r="F248" s="576"/>
      <c r="G248" s="577"/>
      <c r="H248" s="577"/>
      <c r="I248" s="577"/>
      <c r="J248" s="577"/>
      <c r="K248" s="577"/>
      <c r="L248" s="976"/>
      <c r="M248" s="976"/>
      <c r="N248" s="976"/>
      <c r="O248" s="976"/>
    </row>
    <row r="249">
      <c r="A249" s="67"/>
      <c r="B249" s="636"/>
      <c r="C249" s="575"/>
      <c r="D249" s="576"/>
      <c r="E249" s="576"/>
      <c r="F249" s="576"/>
      <c r="G249" s="577"/>
      <c r="H249" s="577"/>
      <c r="I249" s="577"/>
      <c r="J249" s="577"/>
      <c r="K249" s="577"/>
      <c r="L249" s="976"/>
      <c r="M249" s="976"/>
      <c r="N249" s="976"/>
      <c r="O249" s="976"/>
    </row>
    <row r="250">
      <c r="A250" s="67"/>
      <c r="B250" s="636"/>
      <c r="C250" s="575"/>
      <c r="D250" s="576"/>
      <c r="E250" s="576"/>
      <c r="F250" s="576"/>
      <c r="G250" s="577"/>
      <c r="H250" s="577"/>
      <c r="I250" s="577"/>
      <c r="J250" s="577"/>
      <c r="K250" s="577"/>
      <c r="L250" s="976"/>
      <c r="M250" s="976"/>
      <c r="N250" s="976"/>
      <c r="O250" s="976"/>
    </row>
    <row r="251">
      <c r="A251" s="67"/>
      <c r="B251" s="636"/>
      <c r="C251" s="575"/>
      <c r="D251" s="576"/>
      <c r="E251" s="576"/>
      <c r="F251" s="576"/>
      <c r="G251" s="577"/>
      <c r="H251" s="577"/>
      <c r="I251" s="577"/>
      <c r="J251" s="577"/>
      <c r="K251" s="577"/>
      <c r="L251" s="976"/>
      <c r="M251" s="976"/>
      <c r="N251" s="976"/>
      <c r="O251" s="976"/>
    </row>
    <row r="252">
      <c r="A252" s="67"/>
      <c r="B252" s="636"/>
      <c r="C252" s="575"/>
      <c r="D252" s="576"/>
      <c r="E252" s="576"/>
      <c r="F252" s="576"/>
      <c r="G252" s="577"/>
      <c r="H252" s="577"/>
      <c r="I252" s="577"/>
      <c r="J252" s="577"/>
      <c r="K252" s="577"/>
      <c r="L252" s="976"/>
      <c r="M252" s="976"/>
      <c r="N252" s="976"/>
      <c r="O252" s="976"/>
    </row>
    <row r="253">
      <c r="A253" s="67"/>
      <c r="B253" s="636"/>
      <c r="C253" s="575"/>
      <c r="D253" s="576"/>
      <c r="E253" s="576"/>
      <c r="F253" s="576"/>
      <c r="G253" s="577"/>
      <c r="H253" s="577"/>
      <c r="I253" s="577"/>
      <c r="J253" s="577"/>
      <c r="K253" s="577"/>
      <c r="L253" s="976"/>
      <c r="M253" s="976"/>
      <c r="N253" s="976"/>
      <c r="O253" s="976"/>
    </row>
    <row r="254">
      <c r="A254" s="67"/>
      <c r="B254" s="636"/>
      <c r="C254" s="575"/>
      <c r="D254" s="576"/>
      <c r="E254" s="576"/>
      <c r="F254" s="576"/>
      <c r="G254" s="577"/>
      <c r="H254" s="577"/>
      <c r="I254" s="577"/>
      <c r="J254" s="577"/>
      <c r="K254" s="577"/>
      <c r="L254" s="976"/>
      <c r="M254" s="976"/>
      <c r="N254" s="976"/>
      <c r="O254" s="976"/>
    </row>
    <row r="255">
      <c r="A255" s="67"/>
      <c r="B255" s="636"/>
      <c r="C255" s="575"/>
      <c r="D255" s="576"/>
      <c r="E255" s="576"/>
      <c r="F255" s="576"/>
      <c r="G255" s="577"/>
      <c r="H255" s="577"/>
      <c r="I255" s="577"/>
      <c r="J255" s="577"/>
      <c r="K255" s="577"/>
      <c r="L255" s="976"/>
      <c r="M255" s="976"/>
      <c r="N255" s="976"/>
      <c r="O255" s="976"/>
    </row>
    <row r="256">
      <c r="A256" s="67"/>
      <c r="B256" s="636"/>
      <c r="C256" s="575"/>
      <c r="D256" s="576"/>
      <c r="E256" s="576"/>
      <c r="F256" s="576"/>
      <c r="G256" s="577"/>
      <c r="H256" s="577"/>
      <c r="I256" s="577"/>
      <c r="J256" s="577"/>
      <c r="K256" s="577"/>
      <c r="L256" s="976"/>
      <c r="M256" s="976"/>
      <c r="N256" s="976"/>
      <c r="O256" s="976"/>
    </row>
    <row r="257">
      <c r="A257" s="67"/>
      <c r="B257" s="636"/>
      <c r="C257" s="575"/>
      <c r="D257" s="576"/>
      <c r="E257" s="576"/>
      <c r="F257" s="576"/>
      <c r="G257" s="577"/>
      <c r="H257" s="577"/>
      <c r="I257" s="577"/>
      <c r="J257" s="577"/>
      <c r="K257" s="577"/>
      <c r="L257" s="976"/>
      <c r="M257" s="976"/>
      <c r="N257" s="976"/>
      <c r="O257" s="976"/>
    </row>
    <row r="258">
      <c r="A258" s="67"/>
      <c r="B258" s="636"/>
      <c r="C258" s="575"/>
      <c r="D258" s="576"/>
      <c r="E258" s="576"/>
      <c r="F258" s="576"/>
      <c r="G258" s="577"/>
      <c r="H258" s="577"/>
      <c r="I258" s="577"/>
      <c r="J258" s="577"/>
      <c r="K258" s="577"/>
      <c r="L258" s="976"/>
      <c r="M258" s="976"/>
      <c r="N258" s="976"/>
      <c r="O258" s="976"/>
    </row>
    <row r="259">
      <c r="A259" s="67"/>
      <c r="B259" s="636"/>
      <c r="C259" s="575"/>
      <c r="D259" s="576"/>
      <c r="E259" s="576"/>
      <c r="F259" s="576"/>
      <c r="G259" s="577"/>
      <c r="H259" s="577"/>
      <c r="I259" s="577"/>
      <c r="J259" s="577"/>
      <c r="K259" s="577"/>
      <c r="L259" s="976"/>
      <c r="M259" s="976"/>
      <c r="N259" s="976"/>
      <c r="O259" s="976"/>
    </row>
    <row r="260">
      <c r="A260" s="67"/>
      <c r="B260" s="636"/>
      <c r="C260" s="575"/>
      <c r="D260" s="576"/>
      <c r="E260" s="576"/>
      <c r="F260" s="576"/>
      <c r="G260" s="577"/>
      <c r="H260" s="577"/>
      <c r="I260" s="577"/>
      <c r="J260" s="577"/>
      <c r="K260" s="577"/>
      <c r="L260" s="976"/>
      <c r="M260" s="976"/>
      <c r="N260" s="976"/>
      <c r="O260" s="976"/>
    </row>
    <row r="261">
      <c r="A261" s="67"/>
      <c r="B261" s="636"/>
      <c r="C261" s="575"/>
      <c r="D261" s="576"/>
      <c r="E261" s="576"/>
      <c r="F261" s="576"/>
      <c r="G261" s="577"/>
      <c r="H261" s="577"/>
      <c r="I261" s="577"/>
      <c r="J261" s="577"/>
      <c r="K261" s="577"/>
      <c r="L261" s="976"/>
      <c r="M261" s="976"/>
      <c r="N261" s="976"/>
      <c r="O261" s="976"/>
    </row>
    <row r="262">
      <c r="A262" s="67"/>
      <c r="B262" s="636"/>
      <c r="C262" s="575"/>
      <c r="D262" s="576"/>
      <c r="E262" s="576"/>
      <c r="F262" s="576"/>
      <c r="G262" s="577"/>
      <c r="H262" s="577"/>
      <c r="I262" s="577"/>
      <c r="J262" s="577"/>
      <c r="K262" s="577"/>
      <c r="L262" s="976"/>
      <c r="M262" s="976"/>
      <c r="N262" s="976"/>
      <c r="O262" s="976"/>
    </row>
    <row r="263">
      <c r="A263" s="67"/>
      <c r="B263" s="636"/>
      <c r="C263" s="575"/>
      <c r="D263" s="576"/>
      <c r="E263" s="576"/>
      <c r="F263" s="576"/>
      <c r="G263" s="577"/>
      <c r="H263" s="577"/>
      <c r="I263" s="577"/>
      <c r="J263" s="577"/>
      <c r="K263" s="577"/>
      <c r="L263" s="976"/>
      <c r="M263" s="976"/>
      <c r="N263" s="976"/>
      <c r="O263" s="976"/>
    </row>
    <row r="264">
      <c r="A264" s="67"/>
      <c r="B264" s="636"/>
      <c r="C264" s="575"/>
      <c r="D264" s="576"/>
      <c r="E264" s="576"/>
      <c r="F264" s="576"/>
      <c r="G264" s="577"/>
      <c r="H264" s="577"/>
      <c r="I264" s="577"/>
      <c r="J264" s="577"/>
      <c r="K264" s="577"/>
      <c r="L264" s="976"/>
      <c r="M264" s="976"/>
      <c r="N264" s="976"/>
      <c r="O264" s="976"/>
    </row>
    <row r="265">
      <c r="A265" s="67"/>
      <c r="B265" s="636"/>
      <c r="C265" s="575"/>
      <c r="D265" s="576"/>
      <c r="E265" s="576"/>
      <c r="F265" s="576"/>
      <c r="G265" s="577"/>
      <c r="H265" s="577"/>
      <c r="I265" s="577"/>
      <c r="J265" s="577"/>
      <c r="K265" s="577"/>
      <c r="L265" s="976"/>
      <c r="M265" s="976"/>
      <c r="N265" s="976"/>
      <c r="O265" s="976"/>
    </row>
    <row r="266">
      <c r="A266" s="67"/>
      <c r="B266" s="636"/>
      <c r="C266" s="575"/>
      <c r="D266" s="576"/>
      <c r="E266" s="576"/>
      <c r="F266" s="576"/>
      <c r="G266" s="577"/>
      <c r="H266" s="577"/>
      <c r="I266" s="577"/>
      <c r="J266" s="577"/>
      <c r="K266" s="577"/>
      <c r="L266" s="976"/>
      <c r="M266" s="976"/>
      <c r="N266" s="976"/>
      <c r="O266" s="976"/>
    </row>
    <row r="267">
      <c r="A267" s="67"/>
      <c r="B267" s="636"/>
      <c r="C267" s="575"/>
      <c r="D267" s="576"/>
      <c r="E267" s="576"/>
      <c r="F267" s="576"/>
      <c r="G267" s="577"/>
      <c r="H267" s="577"/>
      <c r="I267" s="577"/>
      <c r="J267" s="577"/>
      <c r="K267" s="577"/>
      <c r="L267" s="976"/>
      <c r="M267" s="976"/>
      <c r="N267" s="976"/>
      <c r="O267" s="976"/>
    </row>
    <row r="268">
      <c r="A268" s="67"/>
      <c r="B268" s="636"/>
      <c r="C268" s="575"/>
      <c r="D268" s="576"/>
      <c r="E268" s="576"/>
      <c r="F268" s="576"/>
      <c r="G268" s="577"/>
      <c r="H268" s="577"/>
      <c r="I268" s="577"/>
      <c r="J268" s="577"/>
      <c r="K268" s="577"/>
      <c r="L268" s="976"/>
      <c r="M268" s="976"/>
      <c r="N268" s="976"/>
      <c r="O268" s="976"/>
    </row>
    <row r="269">
      <c r="A269" s="67"/>
      <c r="B269" s="636"/>
      <c r="C269" s="575"/>
      <c r="D269" s="576"/>
      <c r="E269" s="576"/>
      <c r="F269" s="576"/>
      <c r="G269" s="577"/>
      <c r="H269" s="577"/>
      <c r="I269" s="577"/>
      <c r="J269" s="577"/>
      <c r="K269" s="577"/>
      <c r="L269" s="976"/>
      <c r="M269" s="976"/>
      <c r="N269" s="976"/>
      <c r="O269" s="976"/>
    </row>
    <row r="270">
      <c r="A270" s="67"/>
      <c r="B270" s="636"/>
      <c r="C270" s="575"/>
      <c r="D270" s="576"/>
      <c r="E270" s="576"/>
      <c r="F270" s="576"/>
      <c r="G270" s="577"/>
      <c r="H270" s="577"/>
      <c r="I270" s="577"/>
      <c r="J270" s="577"/>
      <c r="K270" s="577"/>
      <c r="L270" s="976"/>
      <c r="M270" s="976"/>
      <c r="N270" s="976"/>
      <c r="O270" s="976"/>
    </row>
    <row r="271">
      <c r="A271" s="67"/>
      <c r="B271" s="636"/>
      <c r="C271" s="575"/>
      <c r="D271" s="576"/>
      <c r="E271" s="576"/>
      <c r="F271" s="576"/>
      <c r="G271" s="577"/>
      <c r="H271" s="577"/>
      <c r="I271" s="577"/>
      <c r="J271" s="577"/>
      <c r="K271" s="577"/>
      <c r="L271" s="976"/>
      <c r="M271" s="976"/>
      <c r="N271" s="976"/>
      <c r="O271" s="976"/>
    </row>
    <row r="272">
      <c r="A272" s="67"/>
      <c r="B272" s="636"/>
      <c r="C272" s="575"/>
      <c r="D272" s="576"/>
      <c r="E272" s="576"/>
      <c r="F272" s="576"/>
      <c r="G272" s="577"/>
      <c r="H272" s="577"/>
      <c r="I272" s="577"/>
      <c r="J272" s="577"/>
      <c r="K272" s="577"/>
      <c r="L272" s="976"/>
      <c r="M272" s="976"/>
      <c r="N272" s="976"/>
      <c r="O272" s="976"/>
    </row>
    <row r="273">
      <c r="A273" s="67"/>
      <c r="B273" s="636"/>
      <c r="C273" s="575"/>
      <c r="D273" s="576"/>
      <c r="E273" s="576"/>
      <c r="F273" s="576"/>
      <c r="G273" s="577"/>
      <c r="H273" s="577"/>
      <c r="I273" s="577"/>
      <c r="J273" s="577"/>
      <c r="K273" s="577"/>
      <c r="L273" s="976"/>
      <c r="M273" s="976"/>
      <c r="N273" s="976"/>
      <c r="O273" s="976"/>
    </row>
    <row r="274">
      <c r="A274" s="67"/>
      <c r="B274" s="636"/>
      <c r="C274" s="575"/>
      <c r="D274" s="576"/>
      <c r="E274" s="576"/>
      <c r="F274" s="576"/>
      <c r="G274" s="577"/>
      <c r="H274" s="577"/>
      <c r="I274" s="577"/>
      <c r="J274" s="577"/>
      <c r="K274" s="577"/>
      <c r="L274" s="976"/>
      <c r="M274" s="976"/>
      <c r="N274" s="976"/>
      <c r="O274" s="976"/>
    </row>
    <row r="275">
      <c r="A275" s="67"/>
      <c r="B275" s="636"/>
      <c r="C275" s="575"/>
      <c r="D275" s="576"/>
      <c r="E275" s="576"/>
      <c r="F275" s="576"/>
      <c r="G275" s="577"/>
      <c r="H275" s="577"/>
      <c r="I275" s="577"/>
      <c r="J275" s="577"/>
      <c r="K275" s="577"/>
      <c r="L275" s="976"/>
      <c r="M275" s="976"/>
      <c r="N275" s="976"/>
      <c r="O275" s="976"/>
    </row>
    <row r="276">
      <c r="A276" s="67"/>
      <c r="B276" s="636"/>
      <c r="C276" s="575"/>
      <c r="D276" s="576"/>
      <c r="E276" s="576"/>
      <c r="F276" s="576"/>
      <c r="G276" s="577"/>
      <c r="H276" s="577"/>
      <c r="I276" s="577"/>
      <c r="J276" s="577"/>
      <c r="K276" s="577"/>
      <c r="L276" s="976"/>
      <c r="M276" s="976"/>
      <c r="N276" s="976"/>
      <c r="O276" s="976"/>
    </row>
    <row r="277">
      <c r="A277" s="67"/>
      <c r="B277" s="636"/>
      <c r="C277" s="575"/>
      <c r="D277" s="576"/>
      <c r="E277" s="576"/>
      <c r="F277" s="576"/>
      <c r="G277" s="577"/>
      <c r="H277" s="577"/>
      <c r="I277" s="577"/>
      <c r="J277" s="577"/>
      <c r="K277" s="577"/>
      <c r="L277" s="976"/>
      <c r="M277" s="976"/>
      <c r="N277" s="976"/>
      <c r="O277" s="976"/>
    </row>
    <row r="278">
      <c r="A278" s="67"/>
      <c r="B278" s="636"/>
      <c r="C278" s="575"/>
      <c r="D278" s="576"/>
      <c r="E278" s="576"/>
      <c r="F278" s="576"/>
      <c r="G278" s="577"/>
      <c r="H278" s="577"/>
      <c r="I278" s="577"/>
      <c r="J278" s="577"/>
      <c r="K278" s="577"/>
      <c r="L278" s="976"/>
      <c r="M278" s="976"/>
      <c r="N278" s="976"/>
      <c r="O278" s="976"/>
    </row>
    <row r="279">
      <c r="A279" s="67"/>
      <c r="B279" s="636"/>
      <c r="C279" s="575"/>
      <c r="D279" s="576"/>
      <c r="E279" s="576"/>
      <c r="F279" s="576"/>
      <c r="G279" s="577"/>
      <c r="H279" s="577"/>
      <c r="I279" s="577"/>
      <c r="J279" s="577"/>
      <c r="K279" s="577"/>
      <c r="L279" s="976"/>
      <c r="M279" s="976"/>
      <c r="N279" s="976"/>
      <c r="O279" s="976"/>
    </row>
    <row r="280">
      <c r="A280" s="67"/>
      <c r="B280" s="636"/>
      <c r="C280" s="575"/>
      <c r="D280" s="576"/>
      <c r="E280" s="576"/>
      <c r="F280" s="576"/>
      <c r="G280" s="577"/>
      <c r="H280" s="577"/>
      <c r="I280" s="577"/>
      <c r="J280" s="577"/>
      <c r="K280" s="577"/>
      <c r="L280" s="976"/>
      <c r="M280" s="976"/>
      <c r="N280" s="976"/>
      <c r="O280" s="976"/>
    </row>
    <row r="281">
      <c r="A281" s="67"/>
      <c r="B281" s="636"/>
      <c r="C281" s="575"/>
      <c r="D281" s="576"/>
      <c r="E281" s="576"/>
      <c r="F281" s="576"/>
      <c r="G281" s="577"/>
      <c r="H281" s="577"/>
      <c r="I281" s="577"/>
      <c r="J281" s="577"/>
      <c r="K281" s="577"/>
      <c r="L281" s="976"/>
      <c r="M281" s="976"/>
      <c r="N281" s="976"/>
      <c r="O281" s="976"/>
    </row>
    <row r="282">
      <c r="A282" s="67"/>
      <c r="B282" s="636"/>
      <c r="C282" s="575"/>
      <c r="D282" s="576"/>
      <c r="E282" s="576"/>
      <c r="F282" s="576"/>
      <c r="G282" s="577"/>
      <c r="H282" s="577"/>
      <c r="I282" s="577"/>
      <c r="J282" s="577"/>
      <c r="K282" s="577"/>
      <c r="L282" s="976"/>
      <c r="M282" s="976"/>
      <c r="N282" s="976"/>
      <c r="O282" s="976"/>
    </row>
    <row r="283">
      <c r="A283" s="67"/>
      <c r="B283" s="636"/>
      <c r="C283" s="575"/>
      <c r="D283" s="576"/>
      <c r="E283" s="576"/>
      <c r="F283" s="576"/>
      <c r="G283" s="577"/>
      <c r="H283" s="577"/>
      <c r="I283" s="577"/>
      <c r="J283" s="577"/>
      <c r="K283" s="577"/>
      <c r="L283" s="976"/>
      <c r="M283" s="976"/>
      <c r="N283" s="976"/>
      <c r="O283" s="976"/>
    </row>
    <row r="284">
      <c r="A284" s="67"/>
      <c r="B284" s="636"/>
      <c r="C284" s="575"/>
      <c r="D284" s="576"/>
      <c r="E284" s="576"/>
      <c r="F284" s="576"/>
      <c r="G284" s="577"/>
      <c r="H284" s="577"/>
      <c r="I284" s="577"/>
      <c r="J284" s="577"/>
      <c r="K284" s="577"/>
      <c r="L284" s="976"/>
      <c r="M284" s="976"/>
      <c r="N284" s="976"/>
      <c r="O284" s="976"/>
    </row>
    <row r="285">
      <c r="A285" s="67"/>
      <c r="B285" s="636"/>
      <c r="C285" s="575"/>
      <c r="D285" s="576"/>
      <c r="E285" s="576"/>
      <c r="F285" s="576"/>
      <c r="G285" s="577"/>
      <c r="H285" s="577"/>
      <c r="I285" s="577"/>
      <c r="J285" s="577"/>
      <c r="K285" s="577"/>
      <c r="L285" s="976"/>
      <c r="M285" s="976"/>
      <c r="N285" s="976"/>
      <c r="O285" s="976"/>
    </row>
    <row r="286">
      <c r="A286" s="67"/>
      <c r="B286" s="636"/>
      <c r="C286" s="575"/>
      <c r="D286" s="576"/>
      <c r="E286" s="576"/>
      <c r="F286" s="576"/>
      <c r="G286" s="577"/>
      <c r="H286" s="577"/>
      <c r="I286" s="577"/>
      <c r="J286" s="577"/>
      <c r="K286" s="577"/>
      <c r="L286" s="976"/>
      <c r="M286" s="976"/>
      <c r="N286" s="976"/>
      <c r="O286" s="976"/>
    </row>
    <row r="287">
      <c r="A287" s="67"/>
      <c r="B287" s="636"/>
      <c r="C287" s="575"/>
      <c r="D287" s="576"/>
      <c r="E287" s="576"/>
      <c r="F287" s="576"/>
      <c r="G287" s="577"/>
      <c r="H287" s="577"/>
      <c r="I287" s="577"/>
      <c r="J287" s="577"/>
      <c r="K287" s="577"/>
      <c r="L287" s="976"/>
      <c r="M287" s="976"/>
      <c r="N287" s="976"/>
      <c r="O287" s="976"/>
    </row>
    <row r="288">
      <c r="A288" s="67"/>
      <c r="B288" s="636"/>
      <c r="C288" s="575"/>
      <c r="D288" s="576"/>
      <c r="E288" s="576"/>
      <c r="F288" s="576"/>
      <c r="G288" s="577"/>
      <c r="H288" s="577"/>
      <c r="I288" s="577"/>
      <c r="J288" s="577"/>
      <c r="K288" s="577"/>
      <c r="L288" s="976"/>
      <c r="M288" s="976"/>
      <c r="N288" s="976"/>
      <c r="O288" s="976"/>
    </row>
    <row r="289">
      <c r="A289" s="67"/>
      <c r="B289" s="636"/>
      <c r="C289" s="575"/>
      <c r="D289" s="576"/>
      <c r="E289" s="576"/>
      <c r="F289" s="576"/>
      <c r="G289" s="577"/>
      <c r="H289" s="577"/>
      <c r="I289" s="577"/>
      <c r="J289" s="577"/>
      <c r="K289" s="577"/>
      <c r="L289" s="976"/>
      <c r="M289" s="976"/>
      <c r="N289" s="976"/>
      <c r="O289" s="976"/>
    </row>
    <row r="290">
      <c r="A290" s="67"/>
      <c r="B290" s="636"/>
      <c r="C290" s="575"/>
      <c r="D290" s="576"/>
      <c r="E290" s="576"/>
      <c r="F290" s="576"/>
      <c r="G290" s="577"/>
      <c r="H290" s="577"/>
      <c r="I290" s="577"/>
      <c r="J290" s="577"/>
      <c r="K290" s="577"/>
      <c r="L290" s="976"/>
      <c r="M290" s="976"/>
      <c r="N290" s="976"/>
      <c r="O290" s="976"/>
    </row>
    <row r="291">
      <c r="A291" s="67"/>
      <c r="B291" s="636"/>
      <c r="C291" s="575"/>
      <c r="D291" s="576"/>
      <c r="E291" s="576"/>
      <c r="F291" s="576"/>
      <c r="G291" s="577"/>
      <c r="H291" s="577"/>
      <c r="I291" s="577"/>
      <c r="J291" s="577"/>
      <c r="K291" s="577"/>
      <c r="L291" s="976"/>
      <c r="M291" s="976"/>
      <c r="N291" s="976"/>
      <c r="O291" s="976"/>
    </row>
    <row r="292">
      <c r="A292" s="67"/>
      <c r="B292" s="636"/>
      <c r="C292" s="575"/>
      <c r="D292" s="576"/>
      <c r="E292" s="576"/>
      <c r="F292" s="576"/>
      <c r="G292" s="577"/>
      <c r="H292" s="577"/>
      <c r="I292" s="577"/>
      <c r="J292" s="577"/>
      <c r="K292" s="577"/>
      <c r="L292" s="976"/>
      <c r="M292" s="976"/>
      <c r="N292" s="976"/>
      <c r="O292" s="976"/>
    </row>
    <row r="293">
      <c r="A293" s="67"/>
      <c r="B293" s="636"/>
      <c r="C293" s="575"/>
      <c r="D293" s="576"/>
      <c r="E293" s="576"/>
      <c r="F293" s="576"/>
      <c r="G293" s="577"/>
      <c r="H293" s="577"/>
      <c r="I293" s="577"/>
      <c r="J293" s="577"/>
      <c r="K293" s="577"/>
      <c r="L293" s="976"/>
      <c r="M293" s="976"/>
      <c r="N293" s="976"/>
      <c r="O293" s="976"/>
    </row>
    <row r="294">
      <c r="A294" s="67"/>
      <c r="B294" s="636"/>
      <c r="C294" s="575"/>
      <c r="D294" s="576"/>
      <c r="E294" s="576"/>
      <c r="F294" s="576"/>
      <c r="G294" s="577"/>
      <c r="H294" s="577"/>
      <c r="I294" s="577"/>
      <c r="J294" s="577"/>
      <c r="K294" s="577"/>
      <c r="L294" s="976"/>
      <c r="M294" s="976"/>
      <c r="N294" s="976"/>
      <c r="O294" s="976"/>
    </row>
    <row r="295">
      <c r="A295" s="67"/>
      <c r="B295" s="636"/>
      <c r="C295" s="575"/>
      <c r="D295" s="576"/>
      <c r="E295" s="576"/>
      <c r="F295" s="576"/>
      <c r="G295" s="577"/>
      <c r="H295" s="577"/>
      <c r="I295" s="577"/>
      <c r="J295" s="577"/>
      <c r="K295" s="577"/>
      <c r="L295" s="976"/>
      <c r="M295" s="976"/>
      <c r="N295" s="976"/>
      <c r="O295" s="976"/>
    </row>
    <row r="296">
      <c r="A296" s="67"/>
      <c r="B296" s="636"/>
      <c r="C296" s="575"/>
      <c r="D296" s="576"/>
      <c r="E296" s="576"/>
      <c r="F296" s="576"/>
      <c r="G296" s="577"/>
      <c r="H296" s="577"/>
      <c r="I296" s="577"/>
      <c r="J296" s="577"/>
      <c r="K296" s="577"/>
      <c r="L296" s="976"/>
      <c r="M296" s="976"/>
      <c r="N296" s="976"/>
      <c r="O296" s="976"/>
    </row>
    <row r="297">
      <c r="A297" s="67"/>
      <c r="B297" s="636"/>
      <c r="C297" s="575"/>
      <c r="D297" s="576"/>
      <c r="E297" s="576"/>
      <c r="F297" s="576"/>
      <c r="G297" s="577"/>
      <c r="H297" s="577"/>
      <c r="I297" s="577"/>
      <c r="J297" s="577"/>
      <c r="K297" s="577"/>
      <c r="L297" s="976"/>
      <c r="M297" s="976"/>
      <c r="N297" s="976"/>
      <c r="O297" s="976"/>
    </row>
    <row r="298">
      <c r="A298" s="67"/>
      <c r="B298" s="636"/>
      <c r="C298" s="575"/>
      <c r="D298" s="576"/>
      <c r="E298" s="576"/>
      <c r="F298" s="576"/>
      <c r="G298" s="577"/>
      <c r="H298" s="577"/>
      <c r="I298" s="577"/>
      <c r="J298" s="577"/>
      <c r="K298" s="577"/>
      <c r="L298" s="976"/>
      <c r="M298" s="976"/>
      <c r="N298" s="976"/>
      <c r="O298" s="976"/>
    </row>
    <row r="299">
      <c r="A299" s="67"/>
      <c r="B299" s="636"/>
      <c r="C299" s="575"/>
      <c r="D299" s="576"/>
      <c r="E299" s="576"/>
      <c r="F299" s="576"/>
      <c r="G299" s="577"/>
      <c r="H299" s="577"/>
      <c r="I299" s="577"/>
      <c r="J299" s="577"/>
      <c r="K299" s="577"/>
      <c r="L299" s="976"/>
      <c r="M299" s="976"/>
      <c r="N299" s="976"/>
      <c r="O299" s="976"/>
    </row>
    <row r="300">
      <c r="A300" s="67"/>
      <c r="B300" s="636"/>
      <c r="C300" s="575"/>
      <c r="D300" s="576"/>
      <c r="E300" s="576"/>
      <c r="F300" s="576"/>
      <c r="G300" s="577"/>
      <c r="H300" s="577"/>
      <c r="I300" s="577"/>
      <c r="J300" s="577"/>
      <c r="K300" s="577"/>
      <c r="L300" s="976"/>
      <c r="M300" s="976"/>
      <c r="N300" s="976"/>
      <c r="O300" s="976"/>
    </row>
    <row r="301">
      <c r="A301" s="67"/>
      <c r="B301" s="636"/>
      <c r="C301" s="575"/>
      <c r="D301" s="576"/>
      <c r="E301" s="576"/>
      <c r="F301" s="576"/>
      <c r="G301" s="577"/>
      <c r="H301" s="577"/>
      <c r="I301" s="577"/>
      <c r="J301" s="577"/>
      <c r="K301" s="577"/>
      <c r="L301" s="976"/>
      <c r="M301" s="976"/>
      <c r="N301" s="976"/>
      <c r="O301" s="976"/>
    </row>
    <row r="302">
      <c r="A302" s="67"/>
      <c r="B302" s="636"/>
      <c r="C302" s="575"/>
      <c r="D302" s="576"/>
      <c r="E302" s="576"/>
      <c r="F302" s="576"/>
      <c r="G302" s="577"/>
      <c r="H302" s="577"/>
      <c r="I302" s="577"/>
      <c r="J302" s="577"/>
      <c r="K302" s="577"/>
      <c r="L302" s="976"/>
      <c r="M302" s="976"/>
      <c r="N302" s="976"/>
      <c r="O302" s="976"/>
    </row>
    <row r="303">
      <c r="A303" s="67"/>
      <c r="B303" s="636"/>
      <c r="C303" s="575"/>
      <c r="D303" s="576"/>
      <c r="E303" s="576"/>
      <c r="F303" s="576"/>
      <c r="G303" s="577"/>
      <c r="H303" s="577"/>
      <c r="I303" s="577"/>
      <c r="J303" s="577"/>
      <c r="K303" s="577"/>
      <c r="L303" s="976"/>
      <c r="M303" s="976"/>
      <c r="N303" s="976"/>
      <c r="O303" s="976"/>
    </row>
    <row r="304">
      <c r="A304" s="67"/>
      <c r="B304" s="636"/>
      <c r="C304" s="575"/>
      <c r="D304" s="576"/>
      <c r="E304" s="576"/>
      <c r="F304" s="576"/>
      <c r="G304" s="577"/>
      <c r="H304" s="577"/>
      <c r="I304" s="577"/>
      <c r="J304" s="577"/>
      <c r="K304" s="577"/>
      <c r="L304" s="976"/>
      <c r="M304" s="976"/>
      <c r="N304" s="976"/>
      <c r="O304" s="976"/>
    </row>
    <row r="305">
      <c r="A305" s="67"/>
      <c r="B305" s="636"/>
      <c r="C305" s="575"/>
      <c r="D305" s="576"/>
      <c r="E305" s="576"/>
      <c r="F305" s="576"/>
      <c r="G305" s="577"/>
      <c r="H305" s="577"/>
      <c r="I305" s="577"/>
      <c r="J305" s="577"/>
      <c r="K305" s="577"/>
      <c r="L305" s="976"/>
      <c r="M305" s="976"/>
      <c r="N305" s="976"/>
      <c r="O305" s="976"/>
    </row>
    <row r="306">
      <c r="A306" s="67"/>
      <c r="B306" s="645"/>
      <c r="C306" s="575"/>
      <c r="D306" s="576"/>
      <c r="E306" s="576"/>
      <c r="F306" s="576"/>
      <c r="G306" s="577"/>
      <c r="H306" s="577"/>
      <c r="I306" s="577"/>
      <c r="J306" s="577"/>
      <c r="K306" s="577"/>
      <c r="L306" s="976"/>
      <c r="M306" s="976"/>
      <c r="N306" s="976"/>
      <c r="O306" s="976"/>
    </row>
    <row r="307">
      <c r="A307" s="67"/>
      <c r="B307" s="645"/>
      <c r="C307" s="575"/>
      <c r="D307" s="576"/>
      <c r="E307" s="576"/>
      <c r="F307" s="576"/>
      <c r="G307" s="577"/>
      <c r="H307" s="577"/>
      <c r="I307" s="577"/>
      <c r="J307" s="577"/>
      <c r="K307" s="577"/>
      <c r="L307" s="976"/>
      <c r="M307" s="976"/>
      <c r="N307" s="976"/>
      <c r="O307" s="976"/>
    </row>
    <row r="308">
      <c r="A308" s="67"/>
      <c r="B308" s="645"/>
      <c r="C308" s="575"/>
      <c r="D308" s="576"/>
      <c r="E308" s="576"/>
      <c r="F308" s="576"/>
      <c r="G308" s="577"/>
      <c r="H308" s="577"/>
      <c r="I308" s="577"/>
      <c r="J308" s="577"/>
      <c r="K308" s="577"/>
      <c r="L308" s="976"/>
      <c r="M308" s="976"/>
      <c r="N308" s="976"/>
      <c r="O308" s="976"/>
    </row>
    <row r="309">
      <c r="A309" s="67"/>
      <c r="B309" s="645"/>
      <c r="C309" s="575"/>
      <c r="D309" s="576"/>
      <c r="E309" s="576"/>
      <c r="F309" s="576"/>
      <c r="G309" s="577"/>
      <c r="H309" s="577"/>
      <c r="I309" s="577"/>
      <c r="J309" s="577"/>
      <c r="K309" s="577"/>
      <c r="L309" s="976"/>
      <c r="M309" s="976"/>
      <c r="N309" s="976"/>
      <c r="O309" s="976"/>
    </row>
    <row r="310">
      <c r="A310" s="67"/>
      <c r="B310" s="645"/>
      <c r="C310" s="575"/>
      <c r="D310" s="576"/>
      <c r="E310" s="576"/>
      <c r="F310" s="576"/>
      <c r="G310" s="577"/>
      <c r="H310" s="577"/>
      <c r="I310" s="577"/>
      <c r="J310" s="577"/>
      <c r="K310" s="577"/>
      <c r="L310" s="976"/>
      <c r="M310" s="976"/>
      <c r="N310" s="976"/>
      <c r="O310" s="976"/>
    </row>
    <row r="311">
      <c r="A311" s="67"/>
      <c r="B311" s="645"/>
      <c r="C311" s="575"/>
      <c r="D311" s="576"/>
      <c r="E311" s="576"/>
      <c r="F311" s="576"/>
      <c r="G311" s="577"/>
      <c r="H311" s="577"/>
      <c r="I311" s="577"/>
      <c r="J311" s="577"/>
      <c r="K311" s="577"/>
      <c r="L311" s="976"/>
      <c r="M311" s="976"/>
      <c r="N311" s="976"/>
      <c r="O311" s="976"/>
    </row>
    <row r="312">
      <c r="A312" s="67"/>
      <c r="B312" s="645"/>
      <c r="C312" s="575"/>
      <c r="D312" s="576"/>
      <c r="E312" s="576"/>
      <c r="F312" s="576"/>
      <c r="G312" s="577"/>
      <c r="H312" s="577"/>
      <c r="I312" s="577"/>
      <c r="J312" s="577"/>
      <c r="K312" s="577"/>
      <c r="L312" s="976"/>
      <c r="M312" s="976"/>
      <c r="N312" s="976"/>
      <c r="O312" s="976"/>
    </row>
    <row r="313">
      <c r="A313" s="67"/>
      <c r="B313" s="645"/>
      <c r="C313" s="575"/>
      <c r="D313" s="576"/>
      <c r="E313" s="576"/>
      <c r="F313" s="576"/>
      <c r="G313" s="577"/>
      <c r="H313" s="577"/>
      <c r="I313" s="577"/>
      <c r="J313" s="577"/>
      <c r="K313" s="577"/>
      <c r="L313" s="976"/>
      <c r="M313" s="976"/>
      <c r="N313" s="976"/>
      <c r="O313" s="976"/>
    </row>
    <row r="314">
      <c r="A314" s="67"/>
      <c r="B314" s="645"/>
      <c r="C314" s="575"/>
      <c r="D314" s="576"/>
      <c r="E314" s="576"/>
      <c r="F314" s="576"/>
      <c r="G314" s="577"/>
      <c r="H314" s="577"/>
      <c r="I314" s="577"/>
      <c r="J314" s="577"/>
      <c r="K314" s="577"/>
      <c r="L314" s="976"/>
      <c r="M314" s="976"/>
      <c r="N314" s="976"/>
      <c r="O314" s="976"/>
    </row>
    <row r="315">
      <c r="A315" s="67"/>
      <c r="B315" s="645"/>
      <c r="C315" s="575"/>
      <c r="D315" s="576"/>
      <c r="E315" s="576"/>
      <c r="F315" s="576"/>
      <c r="G315" s="577"/>
      <c r="H315" s="577"/>
      <c r="I315" s="577"/>
      <c r="J315" s="577"/>
      <c r="K315" s="577"/>
      <c r="L315" s="976"/>
      <c r="M315" s="976"/>
      <c r="N315" s="976"/>
      <c r="O315" s="976"/>
    </row>
    <row r="316">
      <c r="A316" s="67"/>
      <c r="B316" s="645"/>
      <c r="C316" s="575"/>
      <c r="D316" s="576"/>
      <c r="E316" s="576"/>
      <c r="F316" s="576"/>
      <c r="G316" s="577"/>
      <c r="H316" s="577"/>
      <c r="I316" s="577"/>
      <c r="J316" s="577"/>
      <c r="K316" s="577"/>
      <c r="L316" s="976"/>
      <c r="M316" s="976"/>
      <c r="N316" s="976"/>
      <c r="O316" s="976"/>
    </row>
    <row r="317">
      <c r="A317" s="67"/>
      <c r="B317" s="645"/>
      <c r="C317" s="575"/>
      <c r="D317" s="576"/>
      <c r="E317" s="576"/>
      <c r="F317" s="576"/>
      <c r="G317" s="577"/>
      <c r="H317" s="577"/>
      <c r="I317" s="577"/>
      <c r="J317" s="577"/>
      <c r="K317" s="577"/>
      <c r="L317" s="976"/>
      <c r="M317" s="976"/>
      <c r="N317" s="976"/>
      <c r="O317" s="976"/>
    </row>
    <row r="318">
      <c r="A318" s="67"/>
      <c r="B318" s="645"/>
      <c r="C318" s="575"/>
      <c r="D318" s="576"/>
      <c r="E318" s="576"/>
      <c r="F318" s="576"/>
      <c r="G318" s="577"/>
      <c r="H318" s="577"/>
      <c r="I318" s="577"/>
      <c r="J318" s="577"/>
      <c r="K318" s="577"/>
      <c r="L318" s="976"/>
      <c r="M318" s="976"/>
      <c r="N318" s="976"/>
      <c r="O318" s="976"/>
    </row>
    <row r="319">
      <c r="A319" s="67"/>
      <c r="B319" s="645"/>
      <c r="C319" s="575"/>
      <c r="D319" s="576"/>
      <c r="E319" s="576"/>
      <c r="F319" s="576"/>
      <c r="G319" s="577"/>
      <c r="H319" s="577"/>
      <c r="I319" s="577"/>
      <c r="J319" s="577"/>
      <c r="K319" s="577"/>
      <c r="L319" s="976"/>
      <c r="M319" s="976"/>
      <c r="N319" s="976"/>
      <c r="O319" s="976"/>
    </row>
    <row r="320">
      <c r="A320" s="67"/>
      <c r="B320" s="645"/>
      <c r="C320" s="575"/>
      <c r="D320" s="576"/>
      <c r="E320" s="576"/>
      <c r="F320" s="576"/>
      <c r="G320" s="577"/>
      <c r="H320" s="577"/>
      <c r="I320" s="577"/>
      <c r="J320" s="577"/>
      <c r="K320" s="577"/>
      <c r="L320" s="976"/>
      <c r="M320" s="976"/>
      <c r="N320" s="976"/>
      <c r="O320" s="976"/>
    </row>
    <row r="321">
      <c r="A321" s="67"/>
      <c r="B321" s="645"/>
      <c r="C321" s="575"/>
      <c r="D321" s="576"/>
      <c r="E321" s="576"/>
      <c r="F321" s="576"/>
      <c r="G321" s="577"/>
      <c r="H321" s="577"/>
      <c r="I321" s="577"/>
      <c r="J321" s="577"/>
      <c r="K321" s="577"/>
      <c r="L321" s="976"/>
      <c r="M321" s="976"/>
      <c r="N321" s="976"/>
      <c r="O321" s="976"/>
    </row>
    <row r="322">
      <c r="A322" s="67"/>
      <c r="B322" s="645"/>
      <c r="C322" s="575"/>
      <c r="D322" s="576"/>
      <c r="E322" s="576"/>
      <c r="F322" s="576"/>
      <c r="G322" s="577"/>
      <c r="H322" s="577"/>
      <c r="I322" s="577"/>
      <c r="J322" s="577"/>
      <c r="K322" s="577"/>
      <c r="L322" s="976"/>
      <c r="M322" s="976"/>
      <c r="N322" s="976"/>
      <c r="O322" s="976"/>
    </row>
    <row r="323">
      <c r="A323" s="67"/>
      <c r="B323" s="645"/>
      <c r="C323" s="575"/>
      <c r="D323" s="576"/>
      <c r="E323" s="576"/>
      <c r="F323" s="576"/>
      <c r="G323" s="577"/>
      <c r="H323" s="577"/>
      <c r="I323" s="577"/>
      <c r="J323" s="577"/>
      <c r="K323" s="577"/>
      <c r="L323" s="976"/>
      <c r="M323" s="976"/>
      <c r="N323" s="976"/>
      <c r="O323" s="976"/>
    </row>
    <row r="324">
      <c r="A324" s="67"/>
      <c r="B324" s="645"/>
      <c r="C324" s="575"/>
      <c r="D324" s="576"/>
      <c r="E324" s="576"/>
      <c r="F324" s="576"/>
      <c r="G324" s="577"/>
      <c r="H324" s="577"/>
      <c r="I324" s="577"/>
      <c r="J324" s="577"/>
      <c r="K324" s="577"/>
      <c r="L324" s="976"/>
      <c r="M324" s="976"/>
      <c r="N324" s="976"/>
      <c r="O324" s="976"/>
    </row>
    <row r="325">
      <c r="A325" s="67"/>
      <c r="B325" s="645"/>
      <c r="C325" s="575"/>
      <c r="D325" s="576"/>
      <c r="E325" s="576"/>
      <c r="F325" s="576"/>
      <c r="G325" s="577"/>
      <c r="H325" s="577"/>
      <c r="I325" s="577"/>
      <c r="J325" s="577"/>
      <c r="K325" s="577"/>
      <c r="L325" s="976"/>
      <c r="M325" s="976"/>
      <c r="N325" s="976"/>
      <c r="O325" s="976"/>
    </row>
    <row r="326">
      <c r="A326" s="67"/>
      <c r="B326" s="645"/>
      <c r="C326" s="575"/>
      <c r="D326" s="576"/>
      <c r="E326" s="576"/>
      <c r="F326" s="576"/>
      <c r="G326" s="577"/>
      <c r="H326" s="577"/>
      <c r="I326" s="577"/>
      <c r="J326" s="577"/>
      <c r="K326" s="577"/>
      <c r="L326" s="976"/>
      <c r="M326" s="976"/>
      <c r="N326" s="976"/>
      <c r="O326" s="976"/>
    </row>
    <row r="327">
      <c r="A327" s="67"/>
      <c r="B327" s="645"/>
      <c r="C327" s="575"/>
      <c r="D327" s="576"/>
      <c r="E327" s="576"/>
      <c r="F327" s="576"/>
      <c r="G327" s="577"/>
      <c r="H327" s="577"/>
      <c r="I327" s="577"/>
      <c r="J327" s="577"/>
      <c r="K327" s="577"/>
      <c r="L327" s="976"/>
      <c r="M327" s="976"/>
      <c r="N327" s="976"/>
      <c r="O327" s="976"/>
    </row>
    <row r="328">
      <c r="A328" s="67"/>
      <c r="B328" s="645"/>
      <c r="C328" s="575"/>
      <c r="D328" s="576"/>
      <c r="E328" s="576"/>
      <c r="F328" s="576"/>
      <c r="G328" s="577"/>
      <c r="H328" s="577"/>
      <c r="I328" s="577"/>
      <c r="J328" s="577"/>
      <c r="K328" s="577"/>
      <c r="L328" s="976"/>
      <c r="M328" s="976"/>
      <c r="N328" s="976"/>
      <c r="O328" s="976"/>
    </row>
    <row r="329">
      <c r="A329" s="67"/>
      <c r="B329" s="645"/>
      <c r="C329" s="575"/>
      <c r="D329" s="576"/>
      <c r="E329" s="576"/>
      <c r="F329" s="576"/>
      <c r="G329" s="577"/>
      <c r="H329" s="577"/>
      <c r="I329" s="577"/>
      <c r="J329" s="577"/>
      <c r="K329" s="577"/>
      <c r="L329" s="976"/>
      <c r="M329" s="976"/>
      <c r="N329" s="976"/>
      <c r="O329" s="976"/>
    </row>
    <row r="330">
      <c r="A330" s="67"/>
      <c r="B330" s="645"/>
      <c r="C330" s="575"/>
      <c r="D330" s="576"/>
      <c r="E330" s="576"/>
      <c r="F330" s="576"/>
      <c r="G330" s="577"/>
      <c r="H330" s="577"/>
      <c r="I330" s="577"/>
      <c r="J330" s="577"/>
      <c r="K330" s="577"/>
      <c r="L330" s="976"/>
      <c r="M330" s="976"/>
      <c r="N330" s="976"/>
      <c r="O330" s="976"/>
    </row>
    <row r="331">
      <c r="A331" s="67"/>
      <c r="B331" s="645"/>
      <c r="C331" s="575"/>
      <c r="D331" s="576"/>
      <c r="E331" s="576"/>
      <c r="F331" s="576"/>
      <c r="G331" s="577"/>
      <c r="H331" s="577"/>
      <c r="I331" s="577"/>
      <c r="J331" s="577"/>
      <c r="K331" s="577"/>
      <c r="L331" s="976"/>
      <c r="M331" s="976"/>
      <c r="N331" s="976"/>
      <c r="O331" s="976"/>
    </row>
    <row r="332">
      <c r="A332" s="67"/>
      <c r="B332" s="645"/>
      <c r="C332" s="575"/>
      <c r="D332" s="576"/>
      <c r="E332" s="576"/>
      <c r="F332" s="576"/>
      <c r="G332" s="577"/>
      <c r="H332" s="577"/>
      <c r="I332" s="577"/>
      <c r="J332" s="577"/>
      <c r="K332" s="577"/>
      <c r="L332" s="976"/>
      <c r="M332" s="976"/>
      <c r="N332" s="976"/>
      <c r="O332" s="976"/>
    </row>
    <row r="333">
      <c r="A333" s="67"/>
      <c r="B333" s="645"/>
      <c r="C333" s="575"/>
      <c r="D333" s="576"/>
      <c r="E333" s="576"/>
      <c r="F333" s="576"/>
      <c r="G333" s="577"/>
      <c r="H333" s="577"/>
      <c r="I333" s="577"/>
      <c r="J333" s="577"/>
      <c r="K333" s="577"/>
      <c r="L333" s="976"/>
      <c r="M333" s="976"/>
      <c r="N333" s="976"/>
      <c r="O333" s="976"/>
    </row>
    <row r="334">
      <c r="A334" s="67"/>
      <c r="B334" s="645"/>
      <c r="C334" s="575"/>
      <c r="D334" s="576"/>
      <c r="E334" s="576"/>
      <c r="F334" s="576"/>
      <c r="G334" s="577"/>
      <c r="H334" s="577"/>
      <c r="I334" s="577"/>
      <c r="J334" s="577"/>
      <c r="K334" s="577"/>
      <c r="L334" s="976"/>
      <c r="M334" s="976"/>
      <c r="N334" s="976"/>
      <c r="O334" s="976"/>
    </row>
    <row r="335">
      <c r="A335" s="67"/>
      <c r="B335" s="645"/>
      <c r="C335" s="575"/>
      <c r="D335" s="576"/>
      <c r="E335" s="576"/>
      <c r="F335" s="576"/>
      <c r="G335" s="577"/>
      <c r="H335" s="577"/>
      <c r="I335" s="577"/>
      <c r="J335" s="577"/>
      <c r="K335" s="577"/>
      <c r="L335" s="976"/>
      <c r="M335" s="976"/>
      <c r="N335" s="976"/>
      <c r="O335" s="976"/>
    </row>
    <row r="336">
      <c r="A336" s="67"/>
      <c r="B336" s="645"/>
      <c r="C336" s="575"/>
      <c r="D336" s="576"/>
      <c r="E336" s="576"/>
      <c r="F336" s="576"/>
      <c r="G336" s="577"/>
      <c r="H336" s="577"/>
      <c r="I336" s="577"/>
      <c r="J336" s="577"/>
      <c r="K336" s="577"/>
      <c r="L336" s="976"/>
      <c r="M336" s="976"/>
      <c r="N336" s="976"/>
      <c r="O336" s="976"/>
    </row>
    <row r="337">
      <c r="A337" s="67"/>
      <c r="B337" s="645"/>
      <c r="C337" s="575"/>
      <c r="D337" s="576"/>
      <c r="E337" s="576"/>
      <c r="F337" s="576"/>
      <c r="G337" s="577"/>
      <c r="H337" s="577"/>
      <c r="I337" s="577"/>
      <c r="J337" s="577"/>
      <c r="K337" s="577"/>
      <c r="L337" s="976"/>
      <c r="M337" s="976"/>
      <c r="N337" s="976"/>
      <c r="O337" s="976"/>
    </row>
    <row r="338">
      <c r="A338" s="67"/>
      <c r="B338" s="645"/>
      <c r="C338" s="575"/>
      <c r="D338" s="576"/>
      <c r="E338" s="576"/>
      <c r="F338" s="576"/>
      <c r="G338" s="577"/>
      <c r="H338" s="577"/>
      <c r="I338" s="577"/>
      <c r="J338" s="577"/>
      <c r="K338" s="577"/>
      <c r="L338" s="976"/>
      <c r="M338" s="976"/>
      <c r="N338" s="976"/>
      <c r="O338" s="976"/>
    </row>
    <row r="339">
      <c r="A339" s="67"/>
      <c r="B339" s="645"/>
      <c r="C339" s="575"/>
      <c r="D339" s="576"/>
      <c r="E339" s="576"/>
      <c r="F339" s="576"/>
      <c r="G339" s="577"/>
      <c r="H339" s="577"/>
      <c r="I339" s="577"/>
      <c r="J339" s="577"/>
      <c r="K339" s="577"/>
      <c r="L339" s="976"/>
      <c r="M339" s="976"/>
      <c r="N339" s="976"/>
      <c r="O339" s="976"/>
    </row>
    <row r="340">
      <c r="A340" s="67"/>
      <c r="B340" s="645"/>
      <c r="C340" s="575"/>
      <c r="D340" s="576"/>
      <c r="E340" s="576"/>
      <c r="F340" s="576"/>
      <c r="G340" s="577"/>
      <c r="H340" s="577"/>
      <c r="I340" s="577"/>
      <c r="J340" s="577"/>
      <c r="K340" s="577"/>
      <c r="L340" s="976"/>
      <c r="M340" s="976"/>
      <c r="N340" s="976"/>
      <c r="O340" s="976"/>
    </row>
    <row r="341">
      <c r="A341" s="67"/>
      <c r="B341" s="645"/>
      <c r="C341" s="575"/>
      <c r="D341" s="576"/>
      <c r="E341" s="576"/>
      <c r="F341" s="576"/>
      <c r="G341" s="577"/>
      <c r="H341" s="577"/>
      <c r="I341" s="577"/>
      <c r="J341" s="577"/>
      <c r="K341" s="577"/>
      <c r="L341" s="976"/>
      <c r="M341" s="976"/>
      <c r="N341" s="976"/>
      <c r="O341" s="976"/>
    </row>
    <row r="342">
      <c r="A342" s="67"/>
      <c r="B342" s="645"/>
      <c r="C342" s="575"/>
      <c r="D342" s="576"/>
      <c r="E342" s="576"/>
      <c r="F342" s="576"/>
      <c r="G342" s="577"/>
      <c r="H342" s="577"/>
      <c r="I342" s="577"/>
      <c r="J342" s="577"/>
      <c r="K342" s="577"/>
      <c r="L342" s="976"/>
      <c r="M342" s="976"/>
      <c r="N342" s="976"/>
      <c r="O342" s="976"/>
    </row>
    <row r="343">
      <c r="A343" s="67"/>
      <c r="B343" s="645"/>
      <c r="C343" s="575"/>
      <c r="D343" s="576"/>
      <c r="E343" s="576"/>
      <c r="F343" s="576"/>
      <c r="G343" s="577"/>
      <c r="H343" s="577"/>
      <c r="I343" s="577"/>
      <c r="J343" s="577"/>
      <c r="K343" s="577"/>
      <c r="L343" s="976"/>
      <c r="M343" s="976"/>
      <c r="N343" s="976"/>
      <c r="O343" s="976"/>
    </row>
    <row r="344">
      <c r="A344" s="67"/>
      <c r="B344" s="645"/>
      <c r="C344" s="575"/>
      <c r="D344" s="576"/>
      <c r="E344" s="576"/>
      <c r="F344" s="576"/>
      <c r="G344" s="577"/>
      <c r="H344" s="577"/>
      <c r="I344" s="577"/>
      <c r="J344" s="577"/>
      <c r="K344" s="577"/>
      <c r="L344" s="976"/>
      <c r="M344" s="976"/>
      <c r="N344" s="976"/>
      <c r="O344" s="976"/>
    </row>
    <row r="345">
      <c r="A345" s="67"/>
      <c r="B345" s="645"/>
      <c r="C345" s="575"/>
      <c r="D345" s="576"/>
      <c r="E345" s="576"/>
      <c r="F345" s="576"/>
      <c r="G345" s="577"/>
      <c r="H345" s="577"/>
      <c r="I345" s="577"/>
      <c r="J345" s="577"/>
      <c r="K345" s="577"/>
      <c r="L345" s="976"/>
      <c r="M345" s="976"/>
      <c r="N345" s="976"/>
      <c r="O345" s="976"/>
    </row>
    <row r="346">
      <c r="A346" s="67"/>
      <c r="B346" s="645"/>
      <c r="C346" s="575"/>
      <c r="D346" s="576"/>
      <c r="E346" s="576"/>
      <c r="F346" s="576"/>
      <c r="G346" s="577"/>
      <c r="H346" s="577"/>
      <c r="I346" s="577"/>
      <c r="J346" s="577"/>
      <c r="K346" s="577"/>
      <c r="L346" s="976"/>
      <c r="M346" s="976"/>
      <c r="N346" s="976"/>
      <c r="O346" s="976"/>
    </row>
    <row r="347">
      <c r="A347" s="67"/>
      <c r="B347" s="645"/>
      <c r="C347" s="575"/>
      <c r="D347" s="576"/>
      <c r="E347" s="576"/>
      <c r="F347" s="576"/>
      <c r="G347" s="577"/>
      <c r="H347" s="577"/>
      <c r="I347" s="577"/>
      <c r="J347" s="577"/>
      <c r="K347" s="577"/>
      <c r="L347" s="976"/>
      <c r="M347" s="976"/>
      <c r="N347" s="976"/>
      <c r="O347" s="976"/>
    </row>
    <row r="348">
      <c r="A348" s="67"/>
      <c r="B348" s="645"/>
      <c r="C348" s="575"/>
      <c r="D348" s="576"/>
      <c r="E348" s="576"/>
      <c r="F348" s="576"/>
      <c r="G348" s="577"/>
      <c r="H348" s="577"/>
      <c r="I348" s="577"/>
      <c r="J348" s="577"/>
      <c r="K348" s="577"/>
      <c r="L348" s="976"/>
      <c r="M348" s="976"/>
      <c r="N348" s="976"/>
      <c r="O348" s="976"/>
    </row>
    <row r="349">
      <c r="A349" s="67"/>
      <c r="B349" s="645"/>
      <c r="C349" s="575"/>
      <c r="D349" s="576"/>
      <c r="E349" s="576"/>
      <c r="F349" s="576"/>
      <c r="G349" s="577"/>
      <c r="H349" s="577"/>
      <c r="I349" s="577"/>
      <c r="J349" s="577"/>
      <c r="K349" s="577"/>
      <c r="L349" s="976"/>
      <c r="M349" s="976"/>
      <c r="N349" s="976"/>
      <c r="O349" s="976"/>
    </row>
    <row r="350">
      <c r="A350" s="67"/>
      <c r="B350" s="645"/>
      <c r="C350" s="575"/>
      <c r="D350" s="576"/>
      <c r="E350" s="576"/>
      <c r="F350" s="576"/>
      <c r="G350" s="577"/>
      <c r="H350" s="577"/>
      <c r="I350" s="577"/>
      <c r="J350" s="577"/>
      <c r="K350" s="577"/>
      <c r="L350" s="976"/>
      <c r="M350" s="976"/>
      <c r="N350" s="976"/>
      <c r="O350" s="976"/>
    </row>
    <row r="351">
      <c r="A351" s="67"/>
      <c r="B351" s="645"/>
      <c r="C351" s="575"/>
      <c r="D351" s="576"/>
      <c r="E351" s="576"/>
      <c r="F351" s="576"/>
      <c r="G351" s="577"/>
      <c r="H351" s="577"/>
      <c r="I351" s="577"/>
      <c r="J351" s="577"/>
      <c r="K351" s="577"/>
      <c r="L351" s="976"/>
      <c r="M351" s="976"/>
      <c r="N351" s="976"/>
      <c r="O351" s="976"/>
    </row>
    <row r="352">
      <c r="A352" s="67"/>
      <c r="B352" s="645"/>
      <c r="C352" s="575"/>
      <c r="D352" s="576"/>
      <c r="E352" s="576"/>
      <c r="F352" s="576"/>
      <c r="G352" s="577"/>
      <c r="H352" s="577"/>
      <c r="I352" s="577"/>
      <c r="J352" s="577"/>
      <c r="K352" s="577"/>
      <c r="L352" s="976"/>
      <c r="M352" s="976"/>
      <c r="N352" s="976"/>
      <c r="O352" s="976"/>
    </row>
    <row r="353">
      <c r="A353" s="67"/>
      <c r="B353" s="645"/>
      <c r="C353" s="575"/>
      <c r="D353" s="576"/>
      <c r="E353" s="576"/>
      <c r="F353" s="576"/>
      <c r="G353" s="577"/>
      <c r="H353" s="577"/>
      <c r="I353" s="577"/>
      <c r="J353" s="577"/>
      <c r="K353" s="577"/>
      <c r="L353" s="976"/>
      <c r="M353" s="976"/>
      <c r="N353" s="976"/>
      <c r="O353" s="976"/>
    </row>
    <row r="354">
      <c r="A354" s="67"/>
      <c r="B354" s="645"/>
      <c r="C354" s="575"/>
      <c r="D354" s="576"/>
      <c r="E354" s="576"/>
      <c r="F354" s="576"/>
      <c r="G354" s="577"/>
      <c r="H354" s="577"/>
      <c r="I354" s="577"/>
      <c r="J354" s="577"/>
      <c r="K354" s="577"/>
      <c r="L354" s="976"/>
      <c r="M354" s="976"/>
      <c r="N354" s="976"/>
      <c r="O354" s="976"/>
    </row>
    <row r="355">
      <c r="A355" s="67"/>
      <c r="B355" s="645"/>
      <c r="C355" s="575"/>
      <c r="D355" s="576"/>
      <c r="E355" s="576"/>
      <c r="F355" s="576"/>
      <c r="G355" s="577"/>
      <c r="H355" s="577"/>
      <c r="I355" s="577"/>
      <c r="J355" s="577"/>
      <c r="K355" s="577"/>
      <c r="L355" s="976"/>
      <c r="M355" s="976"/>
      <c r="N355" s="976"/>
      <c r="O355" s="976"/>
    </row>
    <row r="356">
      <c r="A356" s="67"/>
      <c r="B356" s="645"/>
      <c r="C356" s="575"/>
      <c r="D356" s="576"/>
      <c r="E356" s="576"/>
      <c r="F356" s="576"/>
      <c r="G356" s="577"/>
      <c r="H356" s="577"/>
      <c r="I356" s="577"/>
      <c r="J356" s="577"/>
      <c r="K356" s="577"/>
      <c r="L356" s="976"/>
      <c r="M356" s="976"/>
      <c r="N356" s="976"/>
      <c r="O356" s="976"/>
    </row>
    <row r="357">
      <c r="A357" s="67"/>
      <c r="B357" s="645"/>
      <c r="C357" s="575"/>
      <c r="D357" s="576"/>
      <c r="E357" s="576"/>
      <c r="F357" s="576"/>
      <c r="G357" s="577"/>
      <c r="H357" s="577"/>
      <c r="I357" s="577"/>
      <c r="J357" s="577"/>
      <c r="K357" s="577"/>
      <c r="L357" s="976"/>
      <c r="M357" s="976"/>
      <c r="N357" s="976"/>
      <c r="O357" s="976"/>
    </row>
    <row r="358">
      <c r="A358" s="67"/>
      <c r="B358" s="645"/>
      <c r="C358" s="575"/>
      <c r="D358" s="576"/>
      <c r="E358" s="576"/>
      <c r="F358" s="576"/>
      <c r="G358" s="577"/>
      <c r="H358" s="577"/>
      <c r="I358" s="577"/>
      <c r="J358" s="577"/>
      <c r="K358" s="577"/>
      <c r="L358" s="976"/>
      <c r="M358" s="976"/>
      <c r="N358" s="976"/>
      <c r="O358" s="976"/>
    </row>
    <row r="359">
      <c r="A359" s="67"/>
      <c r="B359" s="645"/>
      <c r="C359" s="575"/>
      <c r="D359" s="576"/>
      <c r="E359" s="576"/>
      <c r="F359" s="576"/>
      <c r="G359" s="577"/>
      <c r="H359" s="577"/>
      <c r="I359" s="577"/>
      <c r="J359" s="577"/>
      <c r="K359" s="577"/>
      <c r="L359" s="976"/>
      <c r="M359" s="976"/>
      <c r="N359" s="976"/>
      <c r="O359" s="976"/>
    </row>
    <row r="360">
      <c r="A360" s="67"/>
      <c r="B360" s="645"/>
      <c r="C360" s="575"/>
      <c r="D360" s="576"/>
      <c r="E360" s="576"/>
      <c r="F360" s="576"/>
      <c r="G360" s="577"/>
      <c r="H360" s="577"/>
      <c r="I360" s="577"/>
      <c r="J360" s="577"/>
      <c r="K360" s="577"/>
      <c r="L360" s="976"/>
      <c r="M360" s="976"/>
      <c r="N360" s="976"/>
      <c r="O360" s="976"/>
    </row>
    <row r="361">
      <c r="A361" s="67"/>
      <c r="B361" s="645"/>
      <c r="C361" s="575"/>
      <c r="D361" s="576"/>
      <c r="E361" s="576"/>
      <c r="F361" s="576"/>
      <c r="G361" s="577"/>
      <c r="H361" s="577"/>
      <c r="I361" s="577"/>
      <c r="J361" s="577"/>
      <c r="K361" s="577"/>
      <c r="L361" s="976"/>
      <c r="M361" s="976"/>
      <c r="N361" s="976"/>
      <c r="O361" s="976"/>
    </row>
    <row r="362">
      <c r="A362" s="67"/>
      <c r="B362" s="645"/>
      <c r="C362" s="575"/>
      <c r="D362" s="576"/>
      <c r="E362" s="576"/>
      <c r="F362" s="576"/>
      <c r="G362" s="577"/>
      <c r="H362" s="577"/>
      <c r="I362" s="577"/>
      <c r="J362" s="577"/>
      <c r="K362" s="577"/>
      <c r="L362" s="976"/>
      <c r="M362" s="976"/>
      <c r="N362" s="976"/>
      <c r="O362" s="976"/>
    </row>
    <row r="363">
      <c r="A363" s="67"/>
      <c r="B363" s="645"/>
      <c r="C363" s="575"/>
      <c r="D363" s="576"/>
      <c r="E363" s="576"/>
      <c r="F363" s="576"/>
      <c r="G363" s="577"/>
      <c r="H363" s="577"/>
      <c r="I363" s="577"/>
      <c r="J363" s="577"/>
      <c r="K363" s="577"/>
      <c r="L363" s="976"/>
      <c r="M363" s="976"/>
      <c r="N363" s="976"/>
      <c r="O363" s="976"/>
    </row>
    <row r="364">
      <c r="A364" s="67"/>
      <c r="B364" s="645"/>
      <c r="C364" s="575"/>
      <c r="D364" s="576"/>
      <c r="E364" s="576"/>
      <c r="F364" s="576"/>
      <c r="G364" s="577"/>
      <c r="H364" s="577"/>
      <c r="I364" s="577"/>
      <c r="J364" s="577"/>
      <c r="K364" s="577"/>
      <c r="L364" s="976"/>
      <c r="M364" s="976"/>
      <c r="N364" s="976"/>
      <c r="O364" s="976"/>
    </row>
    <row r="365">
      <c r="A365" s="67"/>
      <c r="B365" s="645"/>
      <c r="C365" s="575"/>
      <c r="D365" s="576"/>
      <c r="E365" s="576"/>
      <c r="F365" s="576"/>
      <c r="G365" s="577"/>
      <c r="H365" s="577"/>
      <c r="I365" s="577"/>
      <c r="J365" s="577"/>
      <c r="K365" s="577"/>
      <c r="L365" s="976"/>
      <c r="M365" s="976"/>
      <c r="N365" s="976"/>
      <c r="O365" s="976"/>
    </row>
    <row r="366">
      <c r="A366" s="67"/>
      <c r="B366" s="645"/>
      <c r="C366" s="575"/>
      <c r="D366" s="576"/>
      <c r="E366" s="576"/>
      <c r="F366" s="576"/>
      <c r="G366" s="577"/>
      <c r="H366" s="577"/>
      <c r="I366" s="577"/>
      <c r="J366" s="577"/>
      <c r="K366" s="577"/>
      <c r="L366" s="976"/>
      <c r="M366" s="976"/>
      <c r="N366" s="976"/>
      <c r="O366" s="976"/>
    </row>
    <row r="367">
      <c r="A367" s="67"/>
      <c r="B367" s="645"/>
      <c r="C367" s="575"/>
      <c r="D367" s="576"/>
      <c r="E367" s="576"/>
      <c r="F367" s="576"/>
      <c r="G367" s="577"/>
      <c r="H367" s="577"/>
      <c r="I367" s="577"/>
      <c r="J367" s="577"/>
      <c r="K367" s="577"/>
      <c r="L367" s="976"/>
      <c r="M367" s="976"/>
      <c r="N367" s="976"/>
      <c r="O367" s="976"/>
    </row>
    <row r="368">
      <c r="A368" s="67"/>
      <c r="B368" s="645"/>
      <c r="C368" s="575"/>
      <c r="D368" s="576"/>
      <c r="E368" s="576"/>
      <c r="F368" s="576"/>
      <c r="G368" s="577"/>
      <c r="H368" s="577"/>
      <c r="I368" s="577"/>
      <c r="J368" s="577"/>
      <c r="K368" s="577"/>
      <c r="L368" s="976"/>
      <c r="M368" s="976"/>
      <c r="N368" s="976"/>
      <c r="O368" s="976"/>
    </row>
    <row r="369">
      <c r="A369" s="67"/>
      <c r="B369" s="645"/>
      <c r="C369" s="575"/>
      <c r="D369" s="576"/>
      <c r="E369" s="576"/>
      <c r="F369" s="576"/>
      <c r="G369" s="577"/>
      <c r="H369" s="577"/>
      <c r="I369" s="577"/>
      <c r="J369" s="577"/>
      <c r="K369" s="577"/>
      <c r="L369" s="976"/>
      <c r="M369" s="976"/>
      <c r="N369" s="976"/>
      <c r="O369" s="976"/>
    </row>
    <row r="370">
      <c r="A370" s="67"/>
      <c r="B370" s="645"/>
      <c r="C370" s="575"/>
      <c r="D370" s="576"/>
      <c r="E370" s="576"/>
      <c r="F370" s="576"/>
      <c r="G370" s="577"/>
      <c r="H370" s="577"/>
      <c r="I370" s="577"/>
      <c r="J370" s="577"/>
      <c r="K370" s="577"/>
      <c r="L370" s="976"/>
      <c r="M370" s="976"/>
      <c r="N370" s="976"/>
      <c r="O370" s="976"/>
    </row>
    <row r="371">
      <c r="A371" s="67"/>
      <c r="B371" s="645"/>
      <c r="C371" s="575"/>
      <c r="D371" s="576"/>
      <c r="E371" s="576"/>
      <c r="F371" s="576"/>
      <c r="G371" s="577"/>
      <c r="H371" s="577"/>
      <c r="I371" s="577"/>
      <c r="J371" s="577"/>
      <c r="K371" s="577"/>
      <c r="L371" s="976"/>
      <c r="M371" s="976"/>
      <c r="N371" s="976"/>
      <c r="O371" s="976"/>
    </row>
    <row r="372">
      <c r="A372" s="67"/>
      <c r="B372" s="645"/>
      <c r="C372" s="575"/>
      <c r="D372" s="576"/>
      <c r="E372" s="576"/>
      <c r="F372" s="576"/>
      <c r="G372" s="577"/>
      <c r="H372" s="577"/>
      <c r="I372" s="577"/>
      <c r="J372" s="577"/>
      <c r="K372" s="577"/>
      <c r="L372" s="976"/>
      <c r="M372" s="976"/>
      <c r="N372" s="976"/>
      <c r="O372" s="976"/>
    </row>
    <row r="373">
      <c r="A373" s="67"/>
      <c r="B373" s="645"/>
      <c r="C373" s="575"/>
      <c r="D373" s="576"/>
      <c r="E373" s="576"/>
      <c r="F373" s="576"/>
      <c r="G373" s="577"/>
      <c r="H373" s="577"/>
      <c r="I373" s="577"/>
      <c r="J373" s="577"/>
      <c r="K373" s="577"/>
      <c r="L373" s="976"/>
      <c r="M373" s="976"/>
      <c r="N373" s="976"/>
      <c r="O373" s="976"/>
    </row>
    <row r="374">
      <c r="A374" s="67"/>
      <c r="B374" s="645"/>
      <c r="C374" s="575"/>
      <c r="D374" s="576"/>
      <c r="E374" s="576"/>
      <c r="F374" s="576"/>
      <c r="G374" s="577"/>
      <c r="H374" s="577"/>
      <c r="I374" s="577"/>
      <c r="J374" s="577"/>
      <c r="K374" s="577"/>
      <c r="L374" s="976"/>
      <c r="M374" s="976"/>
      <c r="N374" s="976"/>
      <c r="O374" s="976"/>
    </row>
    <row r="375">
      <c r="A375" s="67"/>
      <c r="B375" s="645"/>
      <c r="C375" s="575"/>
      <c r="D375" s="576"/>
      <c r="E375" s="576"/>
      <c r="F375" s="576"/>
      <c r="G375" s="577"/>
      <c r="H375" s="577"/>
      <c r="I375" s="577"/>
      <c r="J375" s="577"/>
      <c r="K375" s="577"/>
      <c r="L375" s="976"/>
      <c r="M375" s="976"/>
      <c r="N375" s="976"/>
      <c r="O375" s="976"/>
    </row>
    <row r="376">
      <c r="A376" s="67"/>
      <c r="B376" s="645"/>
      <c r="C376" s="575"/>
      <c r="D376" s="576"/>
      <c r="E376" s="576"/>
      <c r="F376" s="576"/>
      <c r="G376" s="577"/>
      <c r="H376" s="577"/>
      <c r="I376" s="577"/>
      <c r="J376" s="577"/>
      <c r="K376" s="577"/>
      <c r="L376" s="976"/>
      <c r="M376" s="976"/>
      <c r="N376" s="976"/>
      <c r="O376" s="976"/>
    </row>
    <row r="377">
      <c r="A377" s="67"/>
      <c r="B377" s="645"/>
      <c r="C377" s="575"/>
      <c r="D377" s="576"/>
      <c r="E377" s="576"/>
      <c r="F377" s="576"/>
      <c r="G377" s="577"/>
      <c r="H377" s="577"/>
      <c r="I377" s="577"/>
      <c r="J377" s="577"/>
      <c r="K377" s="577"/>
      <c r="L377" s="976"/>
      <c r="M377" s="976"/>
      <c r="N377" s="976"/>
      <c r="O377" s="976"/>
    </row>
    <row r="378">
      <c r="A378" s="67"/>
      <c r="B378" s="645"/>
      <c r="C378" s="575"/>
      <c r="D378" s="576"/>
      <c r="E378" s="576"/>
      <c r="F378" s="576"/>
      <c r="G378" s="577"/>
      <c r="H378" s="577"/>
      <c r="I378" s="577"/>
      <c r="J378" s="577"/>
      <c r="K378" s="577"/>
      <c r="L378" s="976"/>
      <c r="M378" s="976"/>
      <c r="N378" s="976"/>
      <c r="O378" s="976"/>
    </row>
    <row r="379">
      <c r="A379" s="67"/>
      <c r="B379" s="645"/>
      <c r="C379" s="575"/>
      <c r="D379" s="576"/>
      <c r="E379" s="576"/>
      <c r="F379" s="576"/>
      <c r="G379" s="577"/>
      <c r="H379" s="577"/>
      <c r="I379" s="577"/>
      <c r="J379" s="577"/>
      <c r="K379" s="577"/>
      <c r="L379" s="976"/>
      <c r="M379" s="976"/>
      <c r="N379" s="976"/>
      <c r="O379" s="976"/>
    </row>
    <row r="380">
      <c r="A380" s="67"/>
      <c r="B380" s="645"/>
      <c r="C380" s="575"/>
      <c r="D380" s="576"/>
      <c r="E380" s="576"/>
      <c r="F380" s="576"/>
      <c r="G380" s="577"/>
      <c r="H380" s="577"/>
      <c r="I380" s="577"/>
      <c r="J380" s="577"/>
      <c r="K380" s="577"/>
      <c r="L380" s="976"/>
      <c r="M380" s="976"/>
      <c r="N380" s="976"/>
      <c r="O380" s="976"/>
    </row>
    <row r="381">
      <c r="A381" s="67"/>
      <c r="B381" s="645"/>
      <c r="C381" s="575"/>
      <c r="D381" s="576"/>
      <c r="E381" s="576"/>
      <c r="F381" s="576"/>
      <c r="G381" s="577"/>
      <c r="H381" s="577"/>
      <c r="I381" s="577"/>
      <c r="J381" s="577"/>
      <c r="K381" s="577"/>
      <c r="L381" s="976"/>
      <c r="M381" s="976"/>
      <c r="N381" s="976"/>
      <c r="O381" s="976"/>
    </row>
    <row r="382">
      <c r="A382" s="67"/>
      <c r="B382" s="645"/>
      <c r="C382" s="575"/>
      <c r="D382" s="576"/>
      <c r="E382" s="576"/>
      <c r="F382" s="576"/>
      <c r="G382" s="577"/>
      <c r="H382" s="577"/>
      <c r="I382" s="577"/>
      <c r="J382" s="577"/>
      <c r="K382" s="577"/>
      <c r="L382" s="976"/>
      <c r="M382" s="976"/>
      <c r="N382" s="976"/>
      <c r="O382" s="976"/>
    </row>
    <row r="383">
      <c r="A383" s="67"/>
      <c r="B383" s="645"/>
      <c r="C383" s="575"/>
      <c r="D383" s="576"/>
      <c r="E383" s="576"/>
      <c r="F383" s="576"/>
      <c r="G383" s="577"/>
      <c r="H383" s="577"/>
      <c r="I383" s="577"/>
      <c r="J383" s="577"/>
      <c r="K383" s="577"/>
      <c r="L383" s="976"/>
      <c r="M383" s="976"/>
      <c r="N383" s="976"/>
      <c r="O383" s="976"/>
    </row>
    <row r="384">
      <c r="A384" s="67"/>
      <c r="B384" s="645"/>
      <c r="C384" s="575"/>
      <c r="D384" s="576"/>
      <c r="E384" s="576"/>
      <c r="F384" s="576"/>
      <c r="G384" s="577"/>
      <c r="H384" s="577"/>
      <c r="I384" s="577"/>
      <c r="J384" s="577"/>
      <c r="K384" s="577"/>
      <c r="L384" s="976"/>
      <c r="M384" s="976"/>
      <c r="N384" s="976"/>
      <c r="O384" s="976"/>
    </row>
    <row r="385">
      <c r="A385" s="67"/>
      <c r="B385" s="645"/>
      <c r="C385" s="575"/>
      <c r="D385" s="576"/>
      <c r="E385" s="576"/>
      <c r="F385" s="576"/>
      <c r="G385" s="577"/>
      <c r="H385" s="577"/>
      <c r="I385" s="577"/>
      <c r="J385" s="577"/>
      <c r="K385" s="577"/>
      <c r="L385" s="976"/>
      <c r="M385" s="976"/>
      <c r="N385" s="976"/>
      <c r="O385" s="976"/>
    </row>
    <row r="386">
      <c r="A386" s="67"/>
      <c r="B386" s="645"/>
      <c r="C386" s="575"/>
      <c r="D386" s="576"/>
      <c r="E386" s="576"/>
      <c r="F386" s="576"/>
      <c r="G386" s="577"/>
      <c r="H386" s="577"/>
      <c r="I386" s="577"/>
      <c r="J386" s="577"/>
      <c r="K386" s="577"/>
      <c r="L386" s="976"/>
      <c r="M386" s="976"/>
      <c r="N386" s="976"/>
      <c r="O386" s="976"/>
    </row>
    <row r="387">
      <c r="A387" s="67"/>
      <c r="B387" s="645"/>
      <c r="C387" s="575"/>
      <c r="D387" s="576"/>
      <c r="E387" s="576"/>
      <c r="F387" s="576"/>
      <c r="G387" s="577"/>
      <c r="H387" s="577"/>
      <c r="I387" s="577"/>
      <c r="J387" s="577"/>
      <c r="K387" s="577"/>
      <c r="L387" s="976"/>
      <c r="M387" s="976"/>
      <c r="N387" s="976"/>
      <c r="O387" s="976"/>
    </row>
    <row r="388">
      <c r="A388" s="67"/>
      <c r="B388" s="645"/>
      <c r="C388" s="575"/>
      <c r="D388" s="576"/>
      <c r="E388" s="576"/>
      <c r="F388" s="576"/>
      <c r="G388" s="577"/>
      <c r="H388" s="577"/>
      <c r="I388" s="577"/>
      <c r="J388" s="577"/>
      <c r="K388" s="577"/>
      <c r="L388" s="976"/>
      <c r="M388" s="976"/>
      <c r="N388" s="976"/>
      <c r="O388" s="976"/>
    </row>
    <row r="389">
      <c r="A389" s="67"/>
      <c r="B389" s="645"/>
      <c r="C389" s="575"/>
      <c r="D389" s="576"/>
      <c r="E389" s="576"/>
      <c r="F389" s="576"/>
      <c r="G389" s="577"/>
      <c r="H389" s="577"/>
      <c r="I389" s="577"/>
      <c r="J389" s="577"/>
      <c r="K389" s="577"/>
      <c r="L389" s="976"/>
      <c r="M389" s="976"/>
      <c r="N389" s="976"/>
      <c r="O389" s="976"/>
    </row>
    <row r="390">
      <c r="A390" s="67"/>
      <c r="B390" s="645"/>
      <c r="C390" s="575"/>
      <c r="D390" s="576"/>
      <c r="E390" s="576"/>
      <c r="F390" s="576"/>
      <c r="G390" s="577"/>
      <c r="H390" s="577"/>
      <c r="I390" s="577"/>
      <c r="J390" s="577"/>
      <c r="K390" s="577"/>
      <c r="L390" s="976"/>
      <c r="M390" s="976"/>
      <c r="N390" s="976"/>
      <c r="O390" s="976"/>
    </row>
    <row r="391">
      <c r="A391" s="67"/>
      <c r="B391" s="645"/>
      <c r="C391" s="575"/>
      <c r="D391" s="576"/>
      <c r="E391" s="576"/>
      <c r="F391" s="576"/>
      <c r="G391" s="577"/>
      <c r="H391" s="577"/>
      <c r="I391" s="577"/>
      <c r="J391" s="577"/>
      <c r="K391" s="577"/>
      <c r="L391" s="976"/>
      <c r="M391" s="976"/>
      <c r="N391" s="976"/>
      <c r="O391" s="976"/>
    </row>
    <row r="392">
      <c r="A392" s="67"/>
      <c r="B392" s="645"/>
      <c r="C392" s="575"/>
      <c r="D392" s="576"/>
      <c r="E392" s="576"/>
      <c r="F392" s="576"/>
      <c r="G392" s="577"/>
      <c r="H392" s="577"/>
      <c r="I392" s="577"/>
      <c r="J392" s="577"/>
      <c r="K392" s="577"/>
      <c r="L392" s="976"/>
      <c r="M392" s="976"/>
      <c r="N392" s="976"/>
      <c r="O392" s="976"/>
    </row>
    <row r="393">
      <c r="A393" s="67"/>
      <c r="B393" s="645"/>
      <c r="C393" s="575"/>
      <c r="D393" s="576"/>
      <c r="E393" s="576"/>
      <c r="F393" s="576"/>
      <c r="G393" s="577"/>
      <c r="H393" s="577"/>
      <c r="I393" s="577"/>
      <c r="J393" s="577"/>
      <c r="K393" s="577"/>
      <c r="L393" s="976"/>
      <c r="M393" s="976"/>
      <c r="N393" s="976"/>
      <c r="O393" s="976"/>
    </row>
    <row r="394">
      <c r="A394" s="67"/>
      <c r="B394" s="645"/>
      <c r="C394" s="575"/>
      <c r="D394" s="576"/>
      <c r="E394" s="576"/>
      <c r="F394" s="576"/>
      <c r="G394" s="577"/>
      <c r="H394" s="577"/>
      <c r="I394" s="577"/>
      <c r="J394" s="577"/>
      <c r="K394" s="577"/>
      <c r="L394" s="976"/>
      <c r="M394" s="976"/>
      <c r="N394" s="976"/>
      <c r="O394" s="976"/>
    </row>
    <row r="395">
      <c r="A395" s="67"/>
      <c r="B395" s="645"/>
      <c r="C395" s="575"/>
      <c r="D395" s="576"/>
      <c r="E395" s="576"/>
      <c r="F395" s="576"/>
      <c r="G395" s="577"/>
      <c r="H395" s="577"/>
      <c r="I395" s="577"/>
      <c r="J395" s="577"/>
      <c r="K395" s="577"/>
      <c r="L395" s="976"/>
      <c r="M395" s="976"/>
      <c r="N395" s="976"/>
      <c r="O395" s="976"/>
    </row>
    <row r="396">
      <c r="A396" s="67"/>
      <c r="B396" s="645"/>
      <c r="C396" s="575"/>
      <c r="D396" s="576"/>
      <c r="E396" s="576"/>
      <c r="F396" s="576"/>
      <c r="G396" s="577"/>
      <c r="H396" s="577"/>
      <c r="I396" s="577"/>
      <c r="J396" s="577"/>
      <c r="K396" s="577"/>
      <c r="L396" s="976"/>
      <c r="M396" s="976"/>
      <c r="N396" s="976"/>
      <c r="O396" s="976"/>
    </row>
    <row r="397">
      <c r="A397" s="67"/>
      <c r="B397" s="645"/>
      <c r="C397" s="575"/>
      <c r="D397" s="576"/>
      <c r="E397" s="576"/>
      <c r="F397" s="576"/>
      <c r="G397" s="577"/>
      <c r="H397" s="577"/>
      <c r="I397" s="577"/>
      <c r="J397" s="577"/>
      <c r="K397" s="577"/>
      <c r="L397" s="976"/>
      <c r="M397" s="976"/>
      <c r="N397" s="976"/>
      <c r="O397" s="976"/>
    </row>
    <row r="398">
      <c r="A398" s="67"/>
      <c r="B398" s="645"/>
      <c r="C398" s="575"/>
      <c r="D398" s="576"/>
      <c r="E398" s="576"/>
      <c r="F398" s="576"/>
      <c r="G398" s="577"/>
      <c r="H398" s="577"/>
      <c r="I398" s="577"/>
      <c r="J398" s="577"/>
      <c r="K398" s="577"/>
      <c r="L398" s="976"/>
      <c r="M398" s="976"/>
      <c r="N398" s="976"/>
      <c r="O398" s="976"/>
    </row>
    <row r="399">
      <c r="A399" s="67"/>
      <c r="B399" s="645"/>
      <c r="C399" s="575"/>
      <c r="D399" s="576"/>
      <c r="E399" s="576"/>
      <c r="F399" s="576"/>
      <c r="G399" s="577"/>
      <c r="H399" s="577"/>
      <c r="I399" s="577"/>
      <c r="J399" s="577"/>
      <c r="K399" s="577"/>
      <c r="L399" s="976"/>
      <c r="M399" s="976"/>
      <c r="N399" s="976"/>
      <c r="O399" s="976"/>
    </row>
    <row r="400">
      <c r="A400" s="67"/>
      <c r="B400" s="645"/>
      <c r="C400" s="575"/>
      <c r="D400" s="576"/>
      <c r="E400" s="576"/>
      <c r="F400" s="576"/>
      <c r="G400" s="577"/>
      <c r="H400" s="577"/>
      <c r="I400" s="577"/>
      <c r="J400" s="577"/>
      <c r="K400" s="577"/>
      <c r="L400" s="976"/>
      <c r="M400" s="976"/>
      <c r="N400" s="976"/>
      <c r="O400" s="976"/>
    </row>
    <row r="401">
      <c r="A401" s="67"/>
      <c r="B401" s="645"/>
      <c r="C401" s="575"/>
      <c r="D401" s="576"/>
      <c r="E401" s="576"/>
      <c r="F401" s="576"/>
      <c r="G401" s="577"/>
      <c r="H401" s="577"/>
      <c r="I401" s="577"/>
      <c r="J401" s="577"/>
      <c r="K401" s="577"/>
      <c r="L401" s="976"/>
      <c r="M401" s="976"/>
      <c r="N401" s="976"/>
      <c r="O401" s="976"/>
    </row>
    <row r="402">
      <c r="A402" s="67"/>
      <c r="B402" s="645"/>
      <c r="C402" s="575"/>
      <c r="D402" s="576"/>
      <c r="E402" s="576"/>
      <c r="F402" s="576"/>
      <c r="G402" s="577"/>
      <c r="H402" s="577"/>
      <c r="I402" s="577"/>
      <c r="J402" s="577"/>
      <c r="K402" s="577"/>
      <c r="L402" s="976"/>
      <c r="M402" s="976"/>
      <c r="N402" s="976"/>
      <c r="O402" s="976"/>
    </row>
    <row r="403">
      <c r="A403" s="67"/>
      <c r="B403" s="645"/>
      <c r="C403" s="575"/>
      <c r="D403" s="576"/>
      <c r="E403" s="576"/>
      <c r="F403" s="576"/>
      <c r="G403" s="577"/>
      <c r="H403" s="577"/>
      <c r="I403" s="577"/>
      <c r="J403" s="577"/>
      <c r="K403" s="577"/>
      <c r="L403" s="976"/>
      <c r="M403" s="976"/>
      <c r="N403" s="976"/>
      <c r="O403" s="976"/>
    </row>
    <row r="404">
      <c r="A404" s="67"/>
      <c r="B404" s="645"/>
      <c r="C404" s="575"/>
      <c r="D404" s="576"/>
      <c r="E404" s="576"/>
      <c r="F404" s="576"/>
      <c r="G404" s="577"/>
      <c r="H404" s="577"/>
      <c r="I404" s="577"/>
      <c r="J404" s="577"/>
      <c r="K404" s="577"/>
      <c r="L404" s="976"/>
      <c r="M404" s="976"/>
      <c r="N404" s="976"/>
      <c r="O404" s="976"/>
    </row>
    <row r="405">
      <c r="A405" s="67"/>
      <c r="B405" s="645"/>
      <c r="C405" s="575"/>
      <c r="D405" s="576"/>
      <c r="E405" s="576"/>
      <c r="F405" s="576"/>
      <c r="G405" s="577"/>
      <c r="H405" s="577"/>
      <c r="I405" s="577"/>
      <c r="J405" s="577"/>
      <c r="K405" s="577"/>
      <c r="L405" s="976"/>
      <c r="M405" s="976"/>
      <c r="N405" s="976"/>
      <c r="O405" s="976"/>
    </row>
    <row r="406">
      <c r="A406" s="67"/>
      <c r="B406" s="645"/>
      <c r="C406" s="575"/>
      <c r="D406" s="576"/>
      <c r="E406" s="576"/>
      <c r="F406" s="576"/>
      <c r="G406" s="577"/>
      <c r="H406" s="577"/>
      <c r="I406" s="577"/>
      <c r="J406" s="577"/>
      <c r="K406" s="577"/>
      <c r="L406" s="976"/>
      <c r="M406" s="976"/>
      <c r="N406" s="976"/>
      <c r="O406" s="976"/>
    </row>
    <row r="407">
      <c r="A407" s="67"/>
      <c r="B407" s="645"/>
      <c r="C407" s="575"/>
      <c r="D407" s="576"/>
      <c r="E407" s="576"/>
      <c r="F407" s="576"/>
      <c r="G407" s="577"/>
      <c r="H407" s="577"/>
      <c r="I407" s="577"/>
      <c r="J407" s="577"/>
      <c r="K407" s="577"/>
      <c r="L407" s="976"/>
      <c r="M407" s="976"/>
      <c r="N407" s="976"/>
      <c r="O407" s="976"/>
    </row>
    <row r="408">
      <c r="A408" s="67"/>
      <c r="B408" s="645"/>
      <c r="C408" s="575"/>
      <c r="D408" s="576"/>
      <c r="E408" s="576"/>
      <c r="F408" s="576"/>
      <c r="G408" s="577"/>
      <c r="H408" s="577"/>
      <c r="I408" s="577"/>
      <c r="J408" s="577"/>
      <c r="K408" s="577"/>
      <c r="L408" s="976"/>
      <c r="M408" s="976"/>
      <c r="N408" s="976"/>
      <c r="O408" s="976"/>
    </row>
    <row r="409">
      <c r="A409" s="67"/>
      <c r="B409" s="645"/>
      <c r="C409" s="575"/>
      <c r="D409" s="576"/>
      <c r="E409" s="576"/>
      <c r="F409" s="576"/>
      <c r="G409" s="577"/>
      <c r="H409" s="577"/>
      <c r="I409" s="577"/>
      <c r="J409" s="577"/>
      <c r="K409" s="577"/>
      <c r="L409" s="976"/>
      <c r="M409" s="976"/>
      <c r="N409" s="976"/>
      <c r="O409" s="976"/>
    </row>
    <row r="410">
      <c r="A410" s="67"/>
      <c r="B410" s="645"/>
      <c r="C410" s="575"/>
      <c r="D410" s="576"/>
      <c r="E410" s="576"/>
      <c r="F410" s="576"/>
      <c r="G410" s="577"/>
      <c r="H410" s="577"/>
      <c r="I410" s="577"/>
      <c r="J410" s="577"/>
      <c r="K410" s="577"/>
      <c r="L410" s="976"/>
      <c r="M410" s="976"/>
      <c r="N410" s="976"/>
      <c r="O410" s="976"/>
    </row>
    <row r="411">
      <c r="A411" s="67"/>
      <c r="B411" s="645"/>
      <c r="C411" s="575"/>
      <c r="D411" s="576"/>
      <c r="E411" s="576"/>
      <c r="F411" s="576"/>
      <c r="G411" s="577"/>
      <c r="H411" s="577"/>
      <c r="I411" s="577"/>
      <c r="J411" s="577"/>
      <c r="K411" s="577"/>
      <c r="L411" s="976"/>
      <c r="M411" s="976"/>
      <c r="N411" s="976"/>
      <c r="O411" s="976"/>
    </row>
    <row r="412">
      <c r="A412" s="67"/>
      <c r="B412" s="645"/>
      <c r="C412" s="575"/>
      <c r="D412" s="576"/>
      <c r="E412" s="576"/>
      <c r="F412" s="576"/>
      <c r="G412" s="577"/>
      <c r="H412" s="577"/>
      <c r="I412" s="577"/>
      <c r="J412" s="577"/>
      <c r="K412" s="577"/>
      <c r="L412" s="976"/>
      <c r="M412" s="976"/>
      <c r="N412" s="976"/>
      <c r="O412" s="976"/>
    </row>
    <row r="413">
      <c r="A413" s="67"/>
      <c r="B413" s="645"/>
      <c r="C413" s="575"/>
      <c r="D413" s="576"/>
      <c r="E413" s="576"/>
      <c r="F413" s="576"/>
      <c r="G413" s="577"/>
      <c r="H413" s="577"/>
      <c r="I413" s="577"/>
      <c r="J413" s="577"/>
      <c r="K413" s="577"/>
      <c r="L413" s="976"/>
      <c r="M413" s="976"/>
      <c r="N413" s="976"/>
      <c r="O413" s="976"/>
    </row>
    <row r="414">
      <c r="A414" s="67"/>
      <c r="B414" s="645"/>
      <c r="C414" s="575"/>
      <c r="D414" s="576"/>
      <c r="E414" s="576"/>
      <c r="F414" s="576"/>
      <c r="G414" s="577"/>
      <c r="H414" s="577"/>
      <c r="I414" s="577"/>
      <c r="J414" s="577"/>
      <c r="K414" s="577"/>
      <c r="L414" s="976"/>
      <c r="M414" s="976"/>
      <c r="N414" s="976"/>
      <c r="O414" s="976"/>
    </row>
    <row r="415">
      <c r="A415" s="67"/>
      <c r="B415" s="645"/>
      <c r="C415" s="575"/>
      <c r="D415" s="576"/>
      <c r="E415" s="576"/>
      <c r="F415" s="576"/>
      <c r="G415" s="577"/>
      <c r="H415" s="577"/>
      <c r="I415" s="577"/>
      <c r="J415" s="577"/>
      <c r="K415" s="577"/>
      <c r="L415" s="976"/>
      <c r="M415" s="976"/>
      <c r="N415" s="976"/>
      <c r="O415" s="976"/>
    </row>
    <row r="416">
      <c r="A416" s="67"/>
      <c r="B416" s="645"/>
      <c r="C416" s="575"/>
      <c r="D416" s="576"/>
      <c r="E416" s="576"/>
      <c r="F416" s="576"/>
      <c r="G416" s="577"/>
      <c r="H416" s="577"/>
      <c r="I416" s="577"/>
      <c r="J416" s="577"/>
      <c r="K416" s="577"/>
      <c r="L416" s="976"/>
      <c r="M416" s="976"/>
      <c r="N416" s="976"/>
      <c r="O416" s="976"/>
    </row>
    <row r="417">
      <c r="A417" s="67"/>
      <c r="B417" s="645"/>
      <c r="C417" s="575"/>
      <c r="D417" s="576"/>
      <c r="E417" s="576"/>
      <c r="F417" s="576"/>
      <c r="G417" s="577"/>
      <c r="H417" s="577"/>
      <c r="I417" s="577"/>
      <c r="J417" s="577"/>
      <c r="K417" s="577"/>
      <c r="L417" s="976"/>
      <c r="M417" s="976"/>
      <c r="N417" s="976"/>
      <c r="O417" s="976"/>
    </row>
    <row r="418">
      <c r="A418" s="67"/>
      <c r="B418" s="645"/>
      <c r="C418" s="575"/>
      <c r="D418" s="576"/>
      <c r="E418" s="576"/>
      <c r="F418" s="576"/>
      <c r="G418" s="577"/>
      <c r="H418" s="577"/>
      <c r="I418" s="577"/>
      <c r="J418" s="577"/>
      <c r="K418" s="577"/>
      <c r="L418" s="976"/>
      <c r="M418" s="976"/>
      <c r="N418" s="976"/>
      <c r="O418" s="976"/>
    </row>
    <row r="419">
      <c r="A419" s="67"/>
      <c r="B419" s="645"/>
      <c r="C419" s="575"/>
      <c r="D419" s="576"/>
      <c r="E419" s="576"/>
      <c r="F419" s="576"/>
      <c r="G419" s="577"/>
      <c r="H419" s="577"/>
      <c r="I419" s="577"/>
      <c r="J419" s="577"/>
      <c r="K419" s="577"/>
      <c r="L419" s="976"/>
      <c r="M419" s="976"/>
      <c r="N419" s="976"/>
      <c r="O419" s="976"/>
    </row>
    <row r="420">
      <c r="A420" s="67"/>
      <c r="B420" s="645"/>
      <c r="C420" s="575"/>
      <c r="D420" s="576"/>
      <c r="E420" s="576"/>
      <c r="F420" s="576"/>
      <c r="G420" s="577"/>
      <c r="H420" s="577"/>
      <c r="I420" s="577"/>
      <c r="J420" s="577"/>
      <c r="K420" s="577"/>
      <c r="L420" s="976"/>
      <c r="M420" s="976"/>
      <c r="N420" s="976"/>
      <c r="O420" s="976"/>
    </row>
    <row r="421">
      <c r="A421" s="67"/>
      <c r="B421" s="645"/>
      <c r="C421" s="575"/>
      <c r="D421" s="576"/>
      <c r="E421" s="576"/>
      <c r="F421" s="576"/>
      <c r="G421" s="577"/>
      <c r="H421" s="577"/>
      <c r="I421" s="577"/>
      <c r="J421" s="577"/>
      <c r="K421" s="577"/>
      <c r="L421" s="976"/>
      <c r="M421" s="976"/>
      <c r="N421" s="976"/>
      <c r="O421" s="976"/>
    </row>
    <row r="422">
      <c r="A422" s="67"/>
      <c r="B422" s="645"/>
      <c r="C422" s="575"/>
      <c r="D422" s="576"/>
      <c r="E422" s="576"/>
      <c r="F422" s="576"/>
      <c r="G422" s="577"/>
      <c r="H422" s="577"/>
      <c r="I422" s="577"/>
      <c r="J422" s="577"/>
      <c r="K422" s="577"/>
      <c r="L422" s="976"/>
      <c r="M422" s="976"/>
      <c r="N422" s="976"/>
      <c r="O422" s="976"/>
    </row>
    <row r="423">
      <c r="A423" s="67"/>
      <c r="B423" s="645"/>
      <c r="C423" s="575"/>
      <c r="D423" s="576"/>
      <c r="E423" s="576"/>
      <c r="F423" s="576"/>
      <c r="G423" s="577"/>
      <c r="H423" s="577"/>
      <c r="I423" s="577"/>
      <c r="J423" s="577"/>
      <c r="K423" s="577"/>
      <c r="L423" s="976"/>
      <c r="M423" s="976"/>
      <c r="N423" s="976"/>
      <c r="O423" s="976"/>
    </row>
    <row r="424">
      <c r="A424" s="67"/>
      <c r="B424" s="645"/>
      <c r="C424" s="575"/>
      <c r="D424" s="576"/>
      <c r="E424" s="576"/>
      <c r="F424" s="576"/>
      <c r="G424" s="577"/>
      <c r="H424" s="577"/>
      <c r="I424" s="577"/>
      <c r="J424" s="577"/>
      <c r="K424" s="577"/>
      <c r="L424" s="976"/>
      <c r="M424" s="976"/>
      <c r="N424" s="976"/>
      <c r="O424" s="976"/>
    </row>
    <row r="425">
      <c r="A425" s="67"/>
      <c r="B425" s="645"/>
      <c r="C425" s="575"/>
      <c r="D425" s="576"/>
      <c r="E425" s="576"/>
      <c r="F425" s="576"/>
      <c r="G425" s="577"/>
      <c r="H425" s="577"/>
      <c r="I425" s="577"/>
      <c r="J425" s="577"/>
      <c r="K425" s="577"/>
      <c r="L425" s="976"/>
      <c r="M425" s="976"/>
      <c r="N425" s="976"/>
      <c r="O425" s="976"/>
    </row>
    <row r="426">
      <c r="A426" s="67"/>
      <c r="B426" s="645"/>
      <c r="C426" s="575"/>
      <c r="D426" s="576"/>
      <c r="E426" s="576"/>
      <c r="F426" s="576"/>
      <c r="G426" s="577"/>
      <c r="H426" s="577"/>
      <c r="I426" s="577"/>
      <c r="J426" s="577"/>
      <c r="K426" s="577"/>
      <c r="L426" s="976"/>
      <c r="M426" s="976"/>
      <c r="N426" s="976"/>
      <c r="O426" s="976"/>
    </row>
    <row r="427">
      <c r="A427" s="67"/>
      <c r="B427" s="645"/>
      <c r="C427" s="575"/>
      <c r="D427" s="576"/>
      <c r="E427" s="576"/>
      <c r="F427" s="576"/>
      <c r="G427" s="577"/>
      <c r="H427" s="577"/>
      <c r="I427" s="577"/>
      <c r="J427" s="577"/>
      <c r="K427" s="577"/>
      <c r="L427" s="976"/>
      <c r="M427" s="976"/>
      <c r="N427" s="976"/>
      <c r="O427" s="976"/>
    </row>
    <row r="428">
      <c r="A428" s="67"/>
      <c r="B428" s="645"/>
      <c r="C428" s="575"/>
      <c r="D428" s="576"/>
      <c r="E428" s="576"/>
      <c r="F428" s="576"/>
      <c r="G428" s="577"/>
      <c r="H428" s="577"/>
      <c r="I428" s="577"/>
      <c r="J428" s="577"/>
      <c r="K428" s="577"/>
      <c r="L428" s="976"/>
      <c r="M428" s="976"/>
      <c r="N428" s="976"/>
      <c r="O428" s="976"/>
    </row>
    <row r="429">
      <c r="A429" s="67"/>
      <c r="B429" s="645"/>
      <c r="C429" s="575"/>
      <c r="D429" s="576"/>
      <c r="E429" s="576"/>
      <c r="F429" s="576"/>
      <c r="G429" s="577"/>
      <c r="H429" s="577"/>
      <c r="I429" s="577"/>
      <c r="J429" s="577"/>
      <c r="K429" s="577"/>
      <c r="L429" s="976"/>
      <c r="M429" s="976"/>
      <c r="N429" s="976"/>
      <c r="O429" s="976"/>
    </row>
    <row r="430">
      <c r="A430" s="67"/>
      <c r="B430" s="645"/>
      <c r="C430" s="575"/>
      <c r="D430" s="576"/>
      <c r="E430" s="576"/>
      <c r="F430" s="576"/>
      <c r="G430" s="577"/>
      <c r="H430" s="577"/>
      <c r="I430" s="577"/>
      <c r="J430" s="577"/>
      <c r="K430" s="577"/>
      <c r="L430" s="976"/>
      <c r="M430" s="976"/>
      <c r="N430" s="976"/>
      <c r="O430" s="976"/>
    </row>
    <row r="431">
      <c r="A431" s="67"/>
      <c r="B431" s="645"/>
      <c r="C431" s="575"/>
      <c r="D431" s="576"/>
      <c r="E431" s="576"/>
      <c r="F431" s="576"/>
      <c r="G431" s="577"/>
      <c r="H431" s="577"/>
      <c r="I431" s="577"/>
      <c r="J431" s="577"/>
      <c r="K431" s="577"/>
      <c r="L431" s="976"/>
      <c r="M431" s="976"/>
      <c r="N431" s="976"/>
      <c r="O431" s="976"/>
    </row>
    <row r="432">
      <c r="A432" s="67"/>
      <c r="B432" s="645"/>
      <c r="C432" s="575"/>
      <c r="D432" s="576"/>
      <c r="E432" s="576"/>
      <c r="F432" s="576"/>
      <c r="G432" s="577"/>
      <c r="H432" s="577"/>
      <c r="I432" s="577"/>
      <c r="J432" s="577"/>
      <c r="K432" s="577"/>
      <c r="L432" s="976"/>
      <c r="M432" s="976"/>
      <c r="N432" s="976"/>
      <c r="O432" s="976"/>
    </row>
    <row r="433">
      <c r="A433" s="67"/>
      <c r="B433" s="645"/>
      <c r="C433" s="575"/>
      <c r="D433" s="576"/>
      <c r="E433" s="576"/>
      <c r="F433" s="576"/>
      <c r="G433" s="577"/>
      <c r="H433" s="577"/>
      <c r="I433" s="577"/>
      <c r="J433" s="577"/>
      <c r="K433" s="577"/>
      <c r="L433" s="976"/>
      <c r="M433" s="976"/>
      <c r="N433" s="976"/>
      <c r="O433" s="976"/>
    </row>
    <row r="434">
      <c r="A434" s="67"/>
      <c r="B434" s="645"/>
      <c r="C434" s="575"/>
      <c r="D434" s="576"/>
      <c r="E434" s="576"/>
      <c r="F434" s="576"/>
      <c r="G434" s="577"/>
      <c r="H434" s="577"/>
      <c r="I434" s="577"/>
      <c r="J434" s="577"/>
      <c r="K434" s="577"/>
      <c r="L434" s="976"/>
      <c r="M434" s="976"/>
      <c r="N434" s="976"/>
      <c r="O434" s="976"/>
    </row>
    <row r="435">
      <c r="A435" s="67"/>
      <c r="B435" s="645"/>
      <c r="C435" s="575"/>
      <c r="D435" s="576"/>
      <c r="E435" s="576"/>
      <c r="F435" s="576"/>
      <c r="G435" s="577"/>
      <c r="H435" s="577"/>
      <c r="I435" s="577"/>
      <c r="J435" s="577"/>
      <c r="K435" s="577"/>
      <c r="L435" s="976"/>
      <c r="M435" s="976"/>
      <c r="N435" s="976"/>
      <c r="O435" s="976"/>
    </row>
    <row r="436">
      <c r="A436" s="67"/>
      <c r="B436" s="645"/>
      <c r="C436" s="575"/>
      <c r="D436" s="576"/>
      <c r="E436" s="576"/>
      <c r="F436" s="576"/>
      <c r="G436" s="577"/>
      <c r="H436" s="577"/>
      <c r="I436" s="577"/>
      <c r="J436" s="577"/>
      <c r="K436" s="577"/>
      <c r="L436" s="976"/>
      <c r="M436" s="976"/>
      <c r="N436" s="976"/>
      <c r="O436" s="976"/>
    </row>
    <row r="437">
      <c r="A437" s="67"/>
      <c r="B437" s="645"/>
      <c r="C437" s="575"/>
      <c r="D437" s="576"/>
      <c r="E437" s="576"/>
      <c r="F437" s="576"/>
      <c r="G437" s="577"/>
      <c r="H437" s="577"/>
      <c r="I437" s="577"/>
      <c r="J437" s="577"/>
      <c r="K437" s="577"/>
      <c r="L437" s="976"/>
      <c r="M437" s="976"/>
      <c r="N437" s="976"/>
      <c r="O437" s="976"/>
    </row>
    <row r="438">
      <c r="A438" s="67"/>
      <c r="B438" s="645"/>
      <c r="C438" s="575"/>
      <c r="D438" s="576"/>
      <c r="E438" s="576"/>
      <c r="F438" s="576"/>
      <c r="G438" s="577"/>
      <c r="H438" s="577"/>
      <c r="I438" s="577"/>
      <c r="J438" s="577"/>
      <c r="K438" s="577"/>
      <c r="L438" s="976"/>
      <c r="M438" s="976"/>
      <c r="N438" s="976"/>
      <c r="O438" s="976"/>
    </row>
    <row r="439">
      <c r="A439" s="67"/>
      <c r="B439" s="645"/>
      <c r="C439" s="575"/>
      <c r="D439" s="576"/>
      <c r="E439" s="576"/>
      <c r="F439" s="576"/>
      <c r="G439" s="577"/>
      <c r="H439" s="577"/>
      <c r="I439" s="577"/>
      <c r="J439" s="577"/>
      <c r="K439" s="577"/>
      <c r="L439" s="976"/>
      <c r="M439" s="976"/>
      <c r="N439" s="976"/>
      <c r="O439" s="976"/>
    </row>
    <row r="440">
      <c r="A440" s="67"/>
      <c r="B440" s="645"/>
      <c r="C440" s="575"/>
      <c r="D440" s="576"/>
      <c r="E440" s="576"/>
      <c r="F440" s="576"/>
      <c r="G440" s="577"/>
      <c r="H440" s="577"/>
      <c r="I440" s="577"/>
      <c r="J440" s="577"/>
      <c r="K440" s="577"/>
      <c r="L440" s="976"/>
      <c r="M440" s="976"/>
      <c r="N440" s="976"/>
      <c r="O440" s="976"/>
    </row>
    <row r="441">
      <c r="A441" s="67"/>
      <c r="B441" s="645"/>
      <c r="C441" s="575"/>
      <c r="D441" s="576"/>
      <c r="E441" s="576"/>
      <c r="F441" s="576"/>
      <c r="G441" s="577"/>
      <c r="H441" s="577"/>
      <c r="I441" s="577"/>
      <c r="J441" s="577"/>
      <c r="K441" s="577"/>
      <c r="L441" s="976"/>
      <c r="M441" s="976"/>
      <c r="N441" s="976"/>
      <c r="O441" s="976"/>
    </row>
    <row r="442">
      <c r="A442" s="67"/>
      <c r="B442" s="645"/>
      <c r="C442" s="575"/>
      <c r="D442" s="576"/>
      <c r="E442" s="576"/>
      <c r="F442" s="576"/>
      <c r="G442" s="577"/>
      <c r="H442" s="577"/>
      <c r="I442" s="577"/>
      <c r="J442" s="577"/>
      <c r="K442" s="577"/>
      <c r="L442" s="976"/>
      <c r="M442" s="976"/>
      <c r="N442" s="976"/>
      <c r="O442" s="976"/>
    </row>
    <row r="443">
      <c r="A443" s="67"/>
      <c r="B443" s="645"/>
      <c r="C443" s="575"/>
      <c r="D443" s="576"/>
      <c r="E443" s="576"/>
      <c r="F443" s="576"/>
      <c r="G443" s="577"/>
      <c r="H443" s="577"/>
      <c r="I443" s="577"/>
      <c r="J443" s="577"/>
      <c r="K443" s="577"/>
      <c r="L443" s="976"/>
      <c r="M443" s="976"/>
      <c r="N443" s="976"/>
      <c r="O443" s="976"/>
    </row>
    <row r="444">
      <c r="A444" s="67"/>
      <c r="B444" s="645"/>
      <c r="C444" s="575"/>
      <c r="D444" s="576"/>
      <c r="E444" s="576"/>
      <c r="F444" s="576"/>
      <c r="G444" s="577"/>
      <c r="H444" s="577"/>
      <c r="I444" s="577"/>
      <c r="J444" s="577"/>
      <c r="K444" s="577"/>
      <c r="L444" s="976"/>
      <c r="M444" s="976"/>
      <c r="N444" s="976"/>
      <c r="O444" s="976"/>
    </row>
    <row r="445">
      <c r="A445" s="67"/>
      <c r="B445" s="645"/>
      <c r="C445" s="575"/>
      <c r="D445" s="576"/>
      <c r="E445" s="576"/>
      <c r="F445" s="576"/>
      <c r="G445" s="577"/>
      <c r="H445" s="577"/>
      <c r="I445" s="577"/>
      <c r="J445" s="577"/>
      <c r="K445" s="577"/>
      <c r="L445" s="976"/>
      <c r="M445" s="976"/>
      <c r="N445" s="976"/>
      <c r="O445" s="976"/>
    </row>
    <row r="446">
      <c r="A446" s="67"/>
      <c r="B446" s="645"/>
      <c r="C446" s="575"/>
      <c r="D446" s="576"/>
      <c r="E446" s="576"/>
      <c r="F446" s="576"/>
      <c r="G446" s="577"/>
      <c r="H446" s="577"/>
      <c r="I446" s="577"/>
      <c r="J446" s="577"/>
      <c r="K446" s="577"/>
      <c r="L446" s="976"/>
      <c r="M446" s="976"/>
      <c r="N446" s="976"/>
      <c r="O446" s="976"/>
    </row>
    <row r="447">
      <c r="A447" s="67"/>
      <c r="B447" s="645"/>
      <c r="C447" s="575"/>
      <c r="D447" s="576"/>
      <c r="E447" s="576"/>
      <c r="F447" s="576"/>
      <c r="G447" s="577"/>
      <c r="H447" s="577"/>
      <c r="I447" s="577"/>
      <c r="J447" s="577"/>
      <c r="K447" s="577"/>
      <c r="L447" s="976"/>
      <c r="M447" s="976"/>
      <c r="N447" s="976"/>
      <c r="O447" s="976"/>
    </row>
    <row r="448">
      <c r="A448" s="67"/>
      <c r="B448" s="645"/>
      <c r="C448" s="575"/>
      <c r="D448" s="576"/>
      <c r="E448" s="576"/>
      <c r="F448" s="576"/>
      <c r="G448" s="577"/>
      <c r="H448" s="577"/>
      <c r="I448" s="577"/>
      <c r="J448" s="577"/>
      <c r="K448" s="577"/>
      <c r="L448" s="976"/>
      <c r="M448" s="976"/>
      <c r="N448" s="976"/>
      <c r="O448" s="976"/>
    </row>
    <row r="449">
      <c r="A449" s="67"/>
      <c r="B449" s="645"/>
      <c r="C449" s="575"/>
      <c r="D449" s="576"/>
      <c r="E449" s="576"/>
      <c r="F449" s="576"/>
      <c r="G449" s="577"/>
      <c r="H449" s="577"/>
      <c r="I449" s="577"/>
      <c r="J449" s="577"/>
      <c r="K449" s="577"/>
      <c r="L449" s="976"/>
      <c r="M449" s="976"/>
      <c r="N449" s="976"/>
      <c r="O449" s="976"/>
    </row>
    <row r="450">
      <c r="A450" s="67"/>
      <c r="B450" s="645"/>
      <c r="C450" s="575"/>
      <c r="D450" s="576"/>
      <c r="E450" s="576"/>
      <c r="F450" s="576"/>
      <c r="G450" s="577"/>
      <c r="H450" s="577"/>
      <c r="I450" s="577"/>
      <c r="J450" s="577"/>
      <c r="K450" s="577"/>
      <c r="L450" s="976"/>
      <c r="M450" s="976"/>
      <c r="N450" s="976"/>
      <c r="O450" s="976"/>
    </row>
    <row r="451">
      <c r="A451" s="67"/>
      <c r="B451" s="645"/>
      <c r="C451" s="575"/>
      <c r="D451" s="576"/>
      <c r="E451" s="576"/>
      <c r="F451" s="576"/>
      <c r="G451" s="577"/>
      <c r="H451" s="577"/>
      <c r="I451" s="577"/>
      <c r="J451" s="577"/>
      <c r="K451" s="577"/>
      <c r="L451" s="976"/>
      <c r="M451" s="976"/>
      <c r="N451" s="976"/>
      <c r="O451" s="976"/>
    </row>
    <row r="452">
      <c r="A452" s="67"/>
      <c r="B452" s="645"/>
      <c r="C452" s="575"/>
      <c r="D452" s="576"/>
      <c r="E452" s="576"/>
      <c r="F452" s="576"/>
      <c r="G452" s="577"/>
      <c r="H452" s="577"/>
      <c r="I452" s="577"/>
      <c r="J452" s="577"/>
      <c r="K452" s="577"/>
      <c r="L452" s="976"/>
      <c r="M452" s="976"/>
      <c r="N452" s="976"/>
      <c r="O452" s="976"/>
    </row>
    <row r="453">
      <c r="A453" s="67"/>
      <c r="B453" s="645"/>
      <c r="C453" s="575"/>
      <c r="D453" s="576"/>
      <c r="E453" s="576"/>
      <c r="F453" s="576"/>
      <c r="G453" s="577"/>
      <c r="H453" s="577"/>
      <c r="I453" s="577"/>
      <c r="J453" s="577"/>
      <c r="K453" s="577"/>
      <c r="L453" s="976"/>
      <c r="M453" s="976"/>
      <c r="N453" s="976"/>
      <c r="O453" s="976"/>
    </row>
    <row r="454">
      <c r="A454" s="67"/>
      <c r="B454" s="645"/>
      <c r="C454" s="575"/>
      <c r="D454" s="576"/>
      <c r="E454" s="576"/>
      <c r="F454" s="576"/>
      <c r="G454" s="577"/>
      <c r="H454" s="577"/>
      <c r="I454" s="577"/>
      <c r="J454" s="577"/>
      <c r="K454" s="577"/>
      <c r="L454" s="976"/>
      <c r="M454" s="976"/>
      <c r="N454" s="976"/>
      <c r="O454" s="976"/>
    </row>
    <row r="455">
      <c r="A455" s="67"/>
      <c r="B455" s="645"/>
      <c r="C455" s="575"/>
      <c r="D455" s="576"/>
      <c r="E455" s="576"/>
      <c r="F455" s="576"/>
      <c r="G455" s="577"/>
      <c r="H455" s="577"/>
      <c r="I455" s="577"/>
      <c r="J455" s="577"/>
      <c r="K455" s="577"/>
      <c r="L455" s="976"/>
      <c r="M455" s="976"/>
      <c r="N455" s="976"/>
      <c r="O455" s="976"/>
    </row>
    <row r="456">
      <c r="A456" s="67"/>
      <c r="B456" s="645"/>
      <c r="C456" s="575"/>
      <c r="D456" s="576"/>
      <c r="E456" s="576"/>
      <c r="F456" s="576"/>
      <c r="G456" s="577"/>
      <c r="H456" s="577"/>
      <c r="I456" s="577"/>
      <c r="J456" s="577"/>
      <c r="K456" s="577"/>
      <c r="L456" s="976"/>
      <c r="M456" s="976"/>
      <c r="N456" s="976"/>
      <c r="O456" s="976"/>
    </row>
    <row r="457">
      <c r="A457" s="67"/>
      <c r="B457" s="645"/>
      <c r="C457" s="575"/>
      <c r="D457" s="576"/>
      <c r="E457" s="576"/>
      <c r="F457" s="576"/>
      <c r="G457" s="577"/>
      <c r="H457" s="577"/>
      <c r="I457" s="577"/>
      <c r="J457" s="577"/>
      <c r="K457" s="577"/>
      <c r="L457" s="976"/>
      <c r="M457" s="976"/>
      <c r="N457" s="976"/>
      <c r="O457" s="976"/>
    </row>
    <row r="458">
      <c r="A458" s="67"/>
      <c r="B458" s="645"/>
      <c r="C458" s="575"/>
      <c r="D458" s="576"/>
      <c r="E458" s="576"/>
      <c r="F458" s="576"/>
      <c r="G458" s="577"/>
      <c r="H458" s="577"/>
      <c r="I458" s="577"/>
      <c r="J458" s="577"/>
      <c r="K458" s="577"/>
      <c r="L458" s="976"/>
      <c r="M458" s="976"/>
      <c r="N458" s="976"/>
      <c r="O458" s="976"/>
    </row>
    <row r="459">
      <c r="A459" s="67"/>
      <c r="B459" s="645"/>
      <c r="C459" s="575"/>
      <c r="D459" s="576"/>
      <c r="E459" s="576"/>
      <c r="F459" s="576"/>
      <c r="G459" s="577"/>
      <c r="H459" s="577"/>
      <c r="I459" s="577"/>
      <c r="J459" s="577"/>
      <c r="K459" s="577"/>
      <c r="L459" s="976"/>
      <c r="M459" s="976"/>
      <c r="N459" s="976"/>
      <c r="O459" s="976"/>
    </row>
    <row r="460">
      <c r="A460" s="67"/>
      <c r="B460" s="645"/>
      <c r="C460" s="575"/>
      <c r="D460" s="576"/>
      <c r="E460" s="576"/>
      <c r="F460" s="576"/>
      <c r="G460" s="577"/>
      <c r="H460" s="577"/>
      <c r="I460" s="577"/>
      <c r="J460" s="577"/>
      <c r="K460" s="577"/>
      <c r="L460" s="976"/>
      <c r="M460" s="976"/>
      <c r="N460" s="976"/>
      <c r="O460" s="976"/>
    </row>
    <row r="461">
      <c r="A461" s="67"/>
      <c r="B461" s="645"/>
      <c r="C461" s="575"/>
      <c r="D461" s="576"/>
      <c r="E461" s="576"/>
      <c r="F461" s="576"/>
      <c r="G461" s="577"/>
      <c r="H461" s="577"/>
      <c r="I461" s="577"/>
      <c r="J461" s="577"/>
      <c r="K461" s="577"/>
      <c r="L461" s="976"/>
      <c r="M461" s="976"/>
      <c r="N461" s="976"/>
      <c r="O461" s="976"/>
    </row>
    <row r="462">
      <c r="A462" s="67"/>
      <c r="B462" s="645"/>
      <c r="C462" s="575"/>
      <c r="D462" s="576"/>
      <c r="E462" s="576"/>
      <c r="F462" s="576"/>
      <c r="G462" s="577"/>
      <c r="H462" s="577"/>
      <c r="I462" s="577"/>
      <c r="J462" s="577"/>
      <c r="K462" s="577"/>
      <c r="L462" s="976"/>
      <c r="M462" s="976"/>
      <c r="N462" s="976"/>
      <c r="O462" s="976"/>
    </row>
    <row r="463">
      <c r="A463" s="67"/>
      <c r="B463" s="645"/>
      <c r="C463" s="575"/>
      <c r="D463" s="576"/>
      <c r="E463" s="576"/>
      <c r="F463" s="576"/>
      <c r="G463" s="577"/>
      <c r="H463" s="577"/>
      <c r="I463" s="577"/>
      <c r="J463" s="577"/>
      <c r="K463" s="577"/>
      <c r="L463" s="976"/>
      <c r="M463" s="976"/>
      <c r="N463" s="976"/>
      <c r="O463" s="976"/>
    </row>
    <row r="464">
      <c r="A464" s="67"/>
      <c r="B464" s="645"/>
      <c r="C464" s="575"/>
      <c r="D464" s="576"/>
      <c r="E464" s="576"/>
      <c r="F464" s="576"/>
      <c r="G464" s="577"/>
      <c r="H464" s="577"/>
      <c r="I464" s="577"/>
      <c r="J464" s="577"/>
      <c r="K464" s="577"/>
      <c r="L464" s="976"/>
      <c r="M464" s="976"/>
      <c r="N464" s="976"/>
      <c r="O464" s="976"/>
    </row>
    <row r="465">
      <c r="A465" s="67"/>
      <c r="B465" s="645"/>
      <c r="C465" s="575"/>
      <c r="D465" s="576"/>
      <c r="E465" s="576"/>
      <c r="F465" s="576"/>
      <c r="G465" s="577"/>
      <c r="H465" s="577"/>
      <c r="I465" s="577"/>
      <c r="J465" s="577"/>
      <c r="K465" s="577"/>
      <c r="L465" s="976"/>
      <c r="M465" s="976"/>
      <c r="N465" s="976"/>
      <c r="O465" s="976"/>
    </row>
    <row r="466">
      <c r="A466" s="67"/>
      <c r="B466" s="645"/>
      <c r="C466" s="575"/>
      <c r="D466" s="576"/>
      <c r="E466" s="576"/>
      <c r="F466" s="576"/>
      <c r="G466" s="577"/>
      <c r="H466" s="577"/>
      <c r="I466" s="577"/>
      <c r="J466" s="577"/>
      <c r="K466" s="577"/>
      <c r="L466" s="976"/>
      <c r="M466" s="976"/>
      <c r="N466" s="976"/>
      <c r="O466" s="976"/>
    </row>
    <row r="467">
      <c r="A467" s="67"/>
      <c r="B467" s="645"/>
      <c r="C467" s="575"/>
      <c r="D467" s="576"/>
      <c r="E467" s="576"/>
      <c r="F467" s="576"/>
      <c r="G467" s="577"/>
      <c r="H467" s="577"/>
      <c r="I467" s="577"/>
      <c r="J467" s="577"/>
      <c r="K467" s="577"/>
      <c r="L467" s="976"/>
      <c r="M467" s="976"/>
      <c r="N467" s="976"/>
      <c r="O467" s="976"/>
    </row>
    <row r="468">
      <c r="A468" s="67"/>
      <c r="B468" s="645"/>
      <c r="C468" s="575"/>
      <c r="D468" s="576"/>
      <c r="E468" s="576"/>
      <c r="F468" s="576"/>
      <c r="G468" s="577"/>
      <c r="H468" s="577"/>
      <c r="I468" s="577"/>
      <c r="J468" s="577"/>
      <c r="K468" s="577"/>
      <c r="L468" s="976"/>
      <c r="M468" s="976"/>
      <c r="N468" s="976"/>
      <c r="O468" s="976"/>
    </row>
    <row r="469">
      <c r="A469" s="67"/>
      <c r="B469" s="645"/>
      <c r="C469" s="575"/>
      <c r="D469" s="576"/>
      <c r="E469" s="576"/>
      <c r="F469" s="576"/>
      <c r="G469" s="577"/>
      <c r="H469" s="577"/>
      <c r="I469" s="577"/>
      <c r="J469" s="577"/>
      <c r="K469" s="577"/>
      <c r="L469" s="976"/>
      <c r="M469" s="976"/>
      <c r="N469" s="976"/>
      <c r="O469" s="976"/>
    </row>
    <row r="470">
      <c r="A470" s="67"/>
      <c r="B470" s="645"/>
      <c r="C470" s="575"/>
      <c r="D470" s="576"/>
      <c r="E470" s="576"/>
      <c r="F470" s="576"/>
      <c r="G470" s="577"/>
      <c r="H470" s="577"/>
      <c r="I470" s="577"/>
      <c r="J470" s="577"/>
      <c r="K470" s="577"/>
      <c r="L470" s="976"/>
      <c r="M470" s="976"/>
      <c r="N470" s="976"/>
      <c r="O470" s="976"/>
    </row>
    <row r="471">
      <c r="A471" s="67"/>
      <c r="B471" s="645"/>
      <c r="C471" s="575"/>
      <c r="D471" s="576"/>
      <c r="E471" s="576"/>
      <c r="F471" s="576"/>
      <c r="G471" s="577"/>
      <c r="H471" s="577"/>
      <c r="I471" s="577"/>
      <c r="J471" s="577"/>
      <c r="K471" s="577"/>
      <c r="L471" s="976"/>
      <c r="M471" s="976"/>
      <c r="N471" s="976"/>
      <c r="O471" s="976"/>
    </row>
    <row r="472">
      <c r="A472" s="67"/>
      <c r="B472" s="645"/>
      <c r="C472" s="575"/>
      <c r="D472" s="576"/>
      <c r="E472" s="576"/>
      <c r="F472" s="576"/>
      <c r="G472" s="577"/>
      <c r="H472" s="577"/>
      <c r="I472" s="577"/>
      <c r="J472" s="577"/>
      <c r="K472" s="577"/>
      <c r="L472" s="976"/>
      <c r="M472" s="976"/>
      <c r="N472" s="976"/>
      <c r="O472" s="976"/>
    </row>
    <row r="473">
      <c r="A473" s="67"/>
      <c r="B473" s="645"/>
      <c r="C473" s="575"/>
      <c r="D473" s="576"/>
      <c r="E473" s="576"/>
      <c r="F473" s="576"/>
      <c r="G473" s="577"/>
      <c r="H473" s="577"/>
      <c r="I473" s="577"/>
      <c r="J473" s="577"/>
      <c r="K473" s="577"/>
      <c r="L473" s="976"/>
      <c r="M473" s="976"/>
      <c r="N473" s="976"/>
      <c r="O473" s="976"/>
    </row>
    <row r="474">
      <c r="A474" s="67"/>
      <c r="B474" s="645"/>
      <c r="C474" s="575"/>
      <c r="D474" s="576"/>
      <c r="E474" s="576"/>
      <c r="F474" s="576"/>
      <c r="G474" s="577"/>
      <c r="H474" s="577"/>
      <c r="I474" s="577"/>
      <c r="J474" s="577"/>
      <c r="K474" s="577"/>
      <c r="L474" s="976"/>
      <c r="M474" s="976"/>
      <c r="N474" s="976"/>
      <c r="O474" s="976"/>
    </row>
    <row r="475">
      <c r="A475" s="67"/>
      <c r="B475" s="645"/>
      <c r="C475" s="575"/>
      <c r="D475" s="576"/>
      <c r="E475" s="576"/>
      <c r="F475" s="576"/>
      <c r="G475" s="577"/>
      <c r="H475" s="577"/>
      <c r="I475" s="577"/>
      <c r="J475" s="577"/>
      <c r="K475" s="577"/>
      <c r="L475" s="976"/>
      <c r="M475" s="976"/>
      <c r="N475" s="976"/>
      <c r="O475" s="976"/>
    </row>
    <row r="476">
      <c r="A476" s="67"/>
      <c r="B476" s="645"/>
      <c r="C476" s="575"/>
      <c r="D476" s="576"/>
      <c r="E476" s="576"/>
      <c r="F476" s="576"/>
      <c r="G476" s="577"/>
      <c r="H476" s="577"/>
      <c r="I476" s="577"/>
      <c r="J476" s="577"/>
      <c r="K476" s="577"/>
      <c r="L476" s="976"/>
      <c r="M476" s="976"/>
      <c r="N476" s="976"/>
      <c r="O476" s="976"/>
    </row>
    <row r="477">
      <c r="A477" s="67"/>
      <c r="B477" s="645"/>
      <c r="C477" s="575"/>
      <c r="D477" s="576"/>
      <c r="E477" s="576"/>
      <c r="F477" s="576"/>
      <c r="G477" s="577"/>
      <c r="H477" s="577"/>
      <c r="I477" s="577"/>
      <c r="J477" s="577"/>
      <c r="K477" s="577"/>
      <c r="L477" s="976"/>
      <c r="M477" s="976"/>
      <c r="N477" s="976"/>
      <c r="O477" s="976"/>
    </row>
    <row r="478">
      <c r="A478" s="67"/>
      <c r="B478" s="645"/>
      <c r="C478" s="575"/>
      <c r="D478" s="576"/>
      <c r="E478" s="576"/>
      <c r="F478" s="576"/>
      <c r="G478" s="577"/>
      <c r="H478" s="577"/>
      <c r="I478" s="577"/>
      <c r="J478" s="577"/>
      <c r="K478" s="577"/>
      <c r="L478" s="976"/>
      <c r="M478" s="976"/>
      <c r="N478" s="976"/>
      <c r="O478" s="976"/>
    </row>
    <row r="479">
      <c r="A479" s="67"/>
      <c r="B479" s="645"/>
      <c r="C479" s="575"/>
      <c r="D479" s="576"/>
      <c r="E479" s="576"/>
      <c r="F479" s="576"/>
      <c r="G479" s="577"/>
      <c r="H479" s="577"/>
      <c r="I479" s="577"/>
      <c r="J479" s="577"/>
      <c r="K479" s="577"/>
      <c r="L479" s="976"/>
      <c r="M479" s="976"/>
      <c r="N479" s="976"/>
      <c r="O479" s="976"/>
    </row>
    <row r="480">
      <c r="A480" s="67"/>
      <c r="B480" s="645"/>
      <c r="C480" s="575"/>
      <c r="D480" s="576"/>
      <c r="E480" s="576"/>
      <c r="F480" s="576"/>
      <c r="G480" s="577"/>
      <c r="H480" s="577"/>
      <c r="I480" s="577"/>
      <c r="J480" s="577"/>
      <c r="K480" s="577"/>
      <c r="L480" s="976"/>
      <c r="M480" s="976"/>
      <c r="N480" s="976"/>
      <c r="O480" s="976"/>
    </row>
    <row r="481">
      <c r="A481" s="67"/>
      <c r="B481" s="645"/>
      <c r="C481" s="575"/>
      <c r="D481" s="576"/>
      <c r="E481" s="576"/>
      <c r="F481" s="576"/>
      <c r="G481" s="577"/>
      <c r="H481" s="577"/>
      <c r="I481" s="577"/>
      <c r="J481" s="577"/>
      <c r="K481" s="577"/>
      <c r="L481" s="976"/>
      <c r="M481" s="976"/>
      <c r="N481" s="976"/>
      <c r="O481" s="976"/>
    </row>
    <row r="482">
      <c r="A482" s="67"/>
      <c r="B482" s="645"/>
      <c r="C482" s="575"/>
      <c r="D482" s="576"/>
      <c r="E482" s="576"/>
      <c r="F482" s="576"/>
      <c r="G482" s="577"/>
      <c r="H482" s="577"/>
      <c r="I482" s="577"/>
      <c r="J482" s="577"/>
      <c r="K482" s="577"/>
      <c r="L482" s="976"/>
      <c r="M482" s="976"/>
      <c r="N482" s="976"/>
      <c r="O482" s="976"/>
    </row>
    <row r="483">
      <c r="A483" s="67"/>
      <c r="B483" s="645"/>
      <c r="C483" s="575"/>
      <c r="D483" s="576"/>
      <c r="E483" s="576"/>
      <c r="F483" s="576"/>
      <c r="G483" s="577"/>
      <c r="H483" s="577"/>
      <c r="I483" s="577"/>
      <c r="J483" s="577"/>
      <c r="K483" s="577"/>
      <c r="L483" s="976"/>
      <c r="M483" s="976"/>
      <c r="N483" s="976"/>
      <c r="O483" s="976"/>
    </row>
    <row r="484">
      <c r="A484" s="67"/>
      <c r="B484" s="645"/>
      <c r="C484" s="575"/>
      <c r="D484" s="576"/>
      <c r="E484" s="576"/>
      <c r="F484" s="576"/>
      <c r="G484" s="577"/>
      <c r="H484" s="577"/>
      <c r="I484" s="577"/>
      <c r="J484" s="577"/>
      <c r="K484" s="577"/>
      <c r="L484" s="976"/>
      <c r="M484" s="976"/>
      <c r="N484" s="976"/>
      <c r="O484" s="976"/>
    </row>
    <row r="485">
      <c r="A485" s="67"/>
      <c r="B485" s="645"/>
      <c r="C485" s="575"/>
      <c r="D485" s="576"/>
      <c r="E485" s="576"/>
      <c r="F485" s="576"/>
      <c r="G485" s="577"/>
      <c r="H485" s="577"/>
      <c r="I485" s="577"/>
      <c r="J485" s="577"/>
      <c r="K485" s="577"/>
      <c r="L485" s="976"/>
      <c r="M485" s="976"/>
      <c r="N485" s="976"/>
      <c r="O485" s="976"/>
    </row>
    <row r="486">
      <c r="A486" s="67"/>
      <c r="B486" s="645"/>
      <c r="C486" s="575"/>
      <c r="D486" s="576"/>
      <c r="E486" s="576"/>
      <c r="F486" s="576"/>
      <c r="G486" s="577"/>
      <c r="H486" s="577"/>
      <c r="I486" s="577"/>
      <c r="J486" s="577"/>
      <c r="K486" s="577"/>
      <c r="L486" s="976"/>
      <c r="M486" s="976"/>
      <c r="N486" s="976"/>
      <c r="O486" s="976"/>
    </row>
    <row r="487">
      <c r="A487" s="67"/>
      <c r="B487" s="645"/>
      <c r="C487" s="575"/>
      <c r="D487" s="576"/>
      <c r="E487" s="576"/>
      <c r="F487" s="576"/>
      <c r="G487" s="577"/>
      <c r="H487" s="577"/>
      <c r="I487" s="577"/>
      <c r="J487" s="577"/>
      <c r="K487" s="577"/>
      <c r="L487" s="976"/>
      <c r="M487" s="976"/>
      <c r="N487" s="976"/>
      <c r="O487" s="976"/>
    </row>
    <row r="488">
      <c r="A488" s="67"/>
      <c r="B488" s="645"/>
      <c r="C488" s="575"/>
      <c r="D488" s="576"/>
      <c r="E488" s="576"/>
      <c r="F488" s="576"/>
      <c r="G488" s="577"/>
      <c r="H488" s="577"/>
      <c r="I488" s="577"/>
      <c r="J488" s="577"/>
      <c r="K488" s="577"/>
      <c r="L488" s="976"/>
      <c r="M488" s="976"/>
      <c r="N488" s="976"/>
      <c r="O488" s="976"/>
    </row>
    <row r="489">
      <c r="A489" s="67"/>
      <c r="B489" s="645"/>
      <c r="C489" s="575"/>
      <c r="D489" s="576"/>
      <c r="E489" s="576"/>
      <c r="F489" s="576"/>
      <c r="G489" s="577"/>
      <c r="H489" s="577"/>
      <c r="I489" s="577"/>
      <c r="J489" s="577"/>
      <c r="K489" s="577"/>
      <c r="L489" s="976"/>
      <c r="M489" s="976"/>
      <c r="N489" s="976"/>
      <c r="O489" s="976"/>
    </row>
    <row r="490">
      <c r="A490" s="67"/>
      <c r="B490" s="645"/>
      <c r="C490" s="575"/>
      <c r="D490" s="576"/>
      <c r="E490" s="576"/>
      <c r="F490" s="576"/>
      <c r="G490" s="577"/>
      <c r="H490" s="577"/>
      <c r="I490" s="577"/>
      <c r="J490" s="577"/>
      <c r="K490" s="577"/>
      <c r="L490" s="976"/>
      <c r="M490" s="976"/>
      <c r="N490" s="976"/>
      <c r="O490" s="976"/>
    </row>
    <row r="491">
      <c r="A491" s="67"/>
      <c r="B491" s="645"/>
      <c r="C491" s="575"/>
      <c r="D491" s="576"/>
      <c r="E491" s="576"/>
      <c r="F491" s="576"/>
      <c r="G491" s="577"/>
      <c r="H491" s="577"/>
      <c r="I491" s="577"/>
      <c r="J491" s="577"/>
      <c r="K491" s="577"/>
      <c r="L491" s="976"/>
      <c r="M491" s="976"/>
      <c r="N491" s="976"/>
      <c r="O491" s="976"/>
    </row>
    <row r="492">
      <c r="A492" s="67"/>
      <c r="B492" s="645"/>
      <c r="C492" s="575"/>
      <c r="D492" s="576"/>
      <c r="E492" s="576"/>
      <c r="F492" s="576"/>
      <c r="G492" s="577"/>
      <c r="H492" s="577"/>
      <c r="I492" s="577"/>
      <c r="J492" s="577"/>
      <c r="K492" s="577"/>
      <c r="L492" s="976"/>
      <c r="M492" s="976"/>
      <c r="N492" s="976"/>
      <c r="O492" s="976"/>
    </row>
    <row r="493">
      <c r="A493" s="67"/>
      <c r="B493" s="645"/>
      <c r="C493" s="575"/>
      <c r="D493" s="576"/>
      <c r="E493" s="576"/>
      <c r="F493" s="576"/>
      <c r="G493" s="577"/>
      <c r="H493" s="577"/>
      <c r="I493" s="577"/>
      <c r="J493" s="577"/>
      <c r="K493" s="577"/>
      <c r="L493" s="976"/>
      <c r="M493" s="976"/>
      <c r="N493" s="976"/>
      <c r="O493" s="976"/>
    </row>
    <row r="494">
      <c r="A494" s="67"/>
      <c r="B494" s="645"/>
      <c r="C494" s="575"/>
      <c r="D494" s="576"/>
      <c r="E494" s="576"/>
      <c r="F494" s="576"/>
      <c r="G494" s="577"/>
      <c r="H494" s="577"/>
      <c r="I494" s="577"/>
      <c r="J494" s="577"/>
      <c r="K494" s="577"/>
      <c r="L494" s="976"/>
      <c r="M494" s="976"/>
      <c r="N494" s="976"/>
      <c r="O494" s="976"/>
    </row>
    <row r="495">
      <c r="A495" s="67"/>
      <c r="B495" s="645"/>
      <c r="C495" s="575"/>
      <c r="D495" s="576"/>
      <c r="E495" s="576"/>
      <c r="F495" s="576"/>
      <c r="G495" s="577"/>
      <c r="H495" s="577"/>
      <c r="I495" s="577"/>
      <c r="J495" s="577"/>
      <c r="K495" s="577"/>
      <c r="L495" s="976"/>
      <c r="M495" s="976"/>
      <c r="N495" s="976"/>
      <c r="O495" s="976"/>
    </row>
    <row r="496">
      <c r="A496" s="67"/>
      <c r="B496" s="645"/>
      <c r="C496" s="575"/>
      <c r="D496" s="576"/>
      <c r="E496" s="576"/>
      <c r="F496" s="576"/>
      <c r="G496" s="577"/>
      <c r="H496" s="577"/>
      <c r="I496" s="577"/>
      <c r="J496" s="577"/>
      <c r="K496" s="577"/>
      <c r="L496" s="976"/>
      <c r="M496" s="976"/>
      <c r="N496" s="976"/>
      <c r="O496" s="976"/>
    </row>
    <row r="497">
      <c r="A497" s="67"/>
      <c r="B497" s="645"/>
      <c r="C497" s="575"/>
      <c r="D497" s="576"/>
      <c r="E497" s="576"/>
      <c r="F497" s="576"/>
      <c r="G497" s="577"/>
      <c r="H497" s="577"/>
      <c r="I497" s="577"/>
      <c r="J497" s="577"/>
      <c r="K497" s="577"/>
      <c r="L497" s="976"/>
      <c r="M497" s="976"/>
      <c r="N497" s="976"/>
      <c r="O497" s="976"/>
    </row>
    <row r="498">
      <c r="A498" s="67"/>
      <c r="B498" s="645"/>
      <c r="C498" s="575"/>
      <c r="D498" s="576"/>
      <c r="E498" s="576"/>
      <c r="F498" s="576"/>
      <c r="G498" s="577"/>
      <c r="H498" s="577"/>
      <c r="I498" s="577"/>
      <c r="J498" s="577"/>
      <c r="K498" s="577"/>
      <c r="L498" s="976"/>
      <c r="M498" s="976"/>
      <c r="N498" s="976"/>
      <c r="O498" s="976"/>
    </row>
    <row r="499">
      <c r="A499" s="67"/>
      <c r="B499" s="645"/>
      <c r="C499" s="575"/>
      <c r="D499" s="576"/>
      <c r="E499" s="576"/>
      <c r="F499" s="576"/>
      <c r="G499" s="577"/>
      <c r="H499" s="577"/>
      <c r="I499" s="577"/>
      <c r="J499" s="577"/>
      <c r="K499" s="577"/>
      <c r="L499" s="976"/>
      <c r="M499" s="976"/>
      <c r="N499" s="976"/>
      <c r="O499" s="976"/>
    </row>
    <row r="500">
      <c r="A500" s="67"/>
      <c r="B500" s="645"/>
      <c r="C500" s="575"/>
      <c r="D500" s="576"/>
      <c r="E500" s="576"/>
      <c r="F500" s="576"/>
      <c r="G500" s="577"/>
      <c r="H500" s="577"/>
      <c r="I500" s="577"/>
      <c r="J500" s="577"/>
      <c r="K500" s="577"/>
      <c r="L500" s="976"/>
      <c r="M500" s="976"/>
      <c r="N500" s="976"/>
      <c r="O500" s="976"/>
    </row>
    <row r="501">
      <c r="A501" s="67"/>
      <c r="B501" s="645"/>
      <c r="C501" s="575"/>
      <c r="D501" s="576"/>
      <c r="E501" s="576"/>
      <c r="F501" s="576"/>
      <c r="G501" s="577"/>
      <c r="H501" s="577"/>
      <c r="I501" s="577"/>
      <c r="J501" s="577"/>
      <c r="K501" s="577"/>
      <c r="L501" s="976"/>
      <c r="M501" s="976"/>
      <c r="N501" s="976"/>
      <c r="O501" s="976"/>
    </row>
    <row r="502">
      <c r="A502" s="67"/>
      <c r="B502" s="645"/>
      <c r="C502" s="575"/>
      <c r="D502" s="576"/>
      <c r="E502" s="576"/>
      <c r="F502" s="576"/>
      <c r="G502" s="577"/>
      <c r="H502" s="577"/>
      <c r="I502" s="577"/>
      <c r="J502" s="577"/>
      <c r="K502" s="577"/>
      <c r="L502" s="976"/>
      <c r="M502" s="976"/>
      <c r="N502" s="976"/>
      <c r="O502" s="976"/>
    </row>
    <row r="503">
      <c r="A503" s="67"/>
      <c r="B503" s="645"/>
      <c r="C503" s="575"/>
      <c r="D503" s="576"/>
      <c r="E503" s="576"/>
      <c r="F503" s="576"/>
      <c r="G503" s="577"/>
      <c r="H503" s="577"/>
      <c r="I503" s="577"/>
      <c r="J503" s="577"/>
      <c r="K503" s="577"/>
      <c r="L503" s="976"/>
      <c r="M503" s="976"/>
      <c r="N503" s="976"/>
      <c r="O503" s="976"/>
    </row>
    <row r="504">
      <c r="A504" s="67"/>
      <c r="B504" s="645"/>
      <c r="C504" s="575"/>
      <c r="D504" s="576"/>
      <c r="E504" s="576"/>
      <c r="F504" s="576"/>
      <c r="G504" s="577"/>
      <c r="H504" s="577"/>
      <c r="I504" s="577"/>
      <c r="J504" s="577"/>
      <c r="K504" s="577"/>
      <c r="L504" s="976"/>
      <c r="M504" s="976"/>
      <c r="N504" s="976"/>
      <c r="O504" s="976"/>
    </row>
    <row r="505">
      <c r="A505" s="67"/>
      <c r="B505" s="645"/>
      <c r="C505" s="575"/>
      <c r="D505" s="576"/>
      <c r="E505" s="576"/>
      <c r="F505" s="576"/>
      <c r="G505" s="577"/>
      <c r="H505" s="577"/>
      <c r="I505" s="577"/>
      <c r="J505" s="577"/>
      <c r="K505" s="577"/>
      <c r="L505" s="976"/>
      <c r="M505" s="976"/>
      <c r="N505" s="976"/>
      <c r="O505" s="976"/>
    </row>
    <row r="506">
      <c r="A506" s="67"/>
      <c r="B506" s="645"/>
      <c r="C506" s="575"/>
      <c r="D506" s="576"/>
      <c r="E506" s="576"/>
      <c r="F506" s="576"/>
      <c r="G506" s="577"/>
      <c r="H506" s="577"/>
      <c r="I506" s="577"/>
      <c r="J506" s="577"/>
      <c r="K506" s="577"/>
      <c r="L506" s="976"/>
      <c r="M506" s="976"/>
      <c r="N506" s="976"/>
      <c r="O506" s="976"/>
    </row>
    <row r="507">
      <c r="A507" s="67"/>
      <c r="B507" s="645"/>
      <c r="C507" s="575"/>
      <c r="D507" s="576"/>
      <c r="E507" s="576"/>
      <c r="F507" s="576"/>
      <c r="G507" s="577"/>
      <c r="H507" s="577"/>
      <c r="I507" s="577"/>
      <c r="J507" s="577"/>
      <c r="K507" s="577"/>
      <c r="L507" s="976"/>
      <c r="M507" s="976"/>
      <c r="N507" s="976"/>
      <c r="O507" s="976"/>
    </row>
    <row r="508">
      <c r="A508" s="67"/>
      <c r="B508" s="645"/>
      <c r="C508" s="575"/>
      <c r="D508" s="576"/>
      <c r="E508" s="576"/>
      <c r="F508" s="576"/>
      <c r="G508" s="577"/>
      <c r="H508" s="577"/>
      <c r="I508" s="577"/>
      <c r="J508" s="577"/>
      <c r="K508" s="577"/>
      <c r="L508" s="976"/>
      <c r="M508" s="976"/>
      <c r="N508" s="976"/>
      <c r="O508" s="976"/>
    </row>
    <row r="509">
      <c r="A509" s="67"/>
      <c r="B509" s="645"/>
      <c r="C509" s="575"/>
      <c r="D509" s="576"/>
      <c r="E509" s="576"/>
      <c r="F509" s="576"/>
      <c r="G509" s="577"/>
      <c r="H509" s="577"/>
      <c r="I509" s="577"/>
      <c r="J509" s="577"/>
      <c r="K509" s="577"/>
      <c r="L509" s="976"/>
      <c r="M509" s="976"/>
      <c r="N509" s="976"/>
      <c r="O509" s="976"/>
    </row>
    <row r="510">
      <c r="A510" s="67"/>
      <c r="B510" s="645"/>
      <c r="C510" s="575"/>
      <c r="D510" s="576"/>
      <c r="E510" s="576"/>
      <c r="F510" s="576"/>
      <c r="G510" s="577"/>
      <c r="H510" s="577"/>
      <c r="I510" s="577"/>
      <c r="J510" s="577"/>
      <c r="K510" s="577"/>
      <c r="L510" s="976"/>
      <c r="M510" s="976"/>
      <c r="N510" s="976"/>
      <c r="O510" s="976"/>
    </row>
    <row r="511">
      <c r="A511" s="67"/>
      <c r="B511" s="645"/>
      <c r="C511" s="575"/>
      <c r="D511" s="576"/>
      <c r="E511" s="576"/>
      <c r="F511" s="576"/>
      <c r="G511" s="577"/>
      <c r="H511" s="577"/>
      <c r="I511" s="577"/>
      <c r="J511" s="577"/>
      <c r="K511" s="577"/>
      <c r="L511" s="976"/>
      <c r="M511" s="976"/>
      <c r="N511" s="976"/>
      <c r="O511" s="976"/>
    </row>
    <row r="512">
      <c r="A512" s="67"/>
      <c r="B512" s="645"/>
      <c r="C512" s="575"/>
      <c r="D512" s="576"/>
      <c r="E512" s="576"/>
      <c r="F512" s="576"/>
      <c r="G512" s="577"/>
      <c r="H512" s="577"/>
      <c r="I512" s="577"/>
      <c r="J512" s="577"/>
      <c r="K512" s="577"/>
      <c r="L512" s="976"/>
      <c r="M512" s="976"/>
      <c r="N512" s="976"/>
      <c r="O512" s="976"/>
    </row>
    <row r="513">
      <c r="A513" s="67"/>
      <c r="B513" s="645"/>
      <c r="C513" s="575"/>
      <c r="D513" s="576"/>
      <c r="E513" s="576"/>
      <c r="F513" s="576"/>
      <c r="G513" s="577"/>
      <c r="H513" s="577"/>
      <c r="I513" s="577"/>
      <c r="J513" s="577"/>
      <c r="K513" s="577"/>
      <c r="L513" s="976"/>
      <c r="M513" s="976"/>
      <c r="N513" s="976"/>
      <c r="O513" s="976"/>
    </row>
    <row r="514">
      <c r="A514" s="67"/>
      <c r="B514" s="645"/>
      <c r="C514" s="575"/>
      <c r="D514" s="576"/>
      <c r="E514" s="576"/>
      <c r="F514" s="576"/>
      <c r="G514" s="577"/>
      <c r="H514" s="577"/>
      <c r="I514" s="577"/>
      <c r="J514" s="577"/>
      <c r="K514" s="577"/>
      <c r="L514" s="976"/>
      <c r="M514" s="976"/>
      <c r="N514" s="976"/>
      <c r="O514" s="976"/>
    </row>
    <row r="515">
      <c r="A515" s="67"/>
      <c r="B515" s="645"/>
      <c r="C515" s="575"/>
      <c r="D515" s="576"/>
      <c r="E515" s="576"/>
      <c r="F515" s="576"/>
      <c r="G515" s="577"/>
      <c r="H515" s="577"/>
      <c r="I515" s="577"/>
      <c r="J515" s="577"/>
      <c r="K515" s="577"/>
      <c r="L515" s="976"/>
      <c r="M515" s="976"/>
      <c r="N515" s="976"/>
      <c r="O515" s="976"/>
    </row>
    <row r="516">
      <c r="A516" s="67"/>
      <c r="B516" s="645"/>
      <c r="C516" s="575"/>
      <c r="D516" s="576"/>
      <c r="E516" s="576"/>
      <c r="F516" s="576"/>
      <c r="G516" s="577"/>
      <c r="H516" s="577"/>
      <c r="I516" s="577"/>
      <c r="J516" s="577"/>
      <c r="K516" s="577"/>
      <c r="L516" s="976"/>
      <c r="M516" s="976"/>
      <c r="N516" s="976"/>
      <c r="O516" s="976"/>
    </row>
    <row r="517">
      <c r="A517" s="67"/>
      <c r="B517" s="645"/>
      <c r="C517" s="575"/>
      <c r="D517" s="576"/>
      <c r="E517" s="576"/>
      <c r="F517" s="576"/>
      <c r="G517" s="577"/>
      <c r="H517" s="577"/>
      <c r="I517" s="577"/>
      <c r="J517" s="577"/>
      <c r="K517" s="577"/>
      <c r="L517" s="976"/>
      <c r="M517" s="976"/>
      <c r="N517" s="976"/>
      <c r="O517" s="976"/>
    </row>
    <row r="518">
      <c r="A518" s="67"/>
      <c r="B518" s="645"/>
      <c r="C518" s="575"/>
      <c r="D518" s="576"/>
      <c r="E518" s="576"/>
      <c r="F518" s="576"/>
      <c r="G518" s="577"/>
      <c r="H518" s="577"/>
      <c r="I518" s="577"/>
      <c r="J518" s="577"/>
      <c r="K518" s="577"/>
      <c r="L518" s="976"/>
      <c r="M518" s="976"/>
      <c r="N518" s="976"/>
      <c r="O518" s="976"/>
    </row>
    <row r="519">
      <c r="A519" s="67"/>
      <c r="B519" s="645"/>
      <c r="C519" s="575"/>
      <c r="D519" s="576"/>
      <c r="E519" s="576"/>
      <c r="F519" s="576"/>
      <c r="G519" s="577"/>
      <c r="H519" s="577"/>
      <c r="I519" s="577"/>
      <c r="J519" s="577"/>
      <c r="K519" s="577"/>
      <c r="L519" s="976"/>
      <c r="M519" s="976"/>
      <c r="N519" s="976"/>
      <c r="O519" s="976"/>
    </row>
    <row r="520">
      <c r="A520" s="67"/>
      <c r="B520" s="645"/>
      <c r="C520" s="575"/>
      <c r="D520" s="576"/>
      <c r="E520" s="576"/>
      <c r="F520" s="576"/>
      <c r="G520" s="577"/>
      <c r="H520" s="577"/>
      <c r="I520" s="577"/>
      <c r="J520" s="577"/>
      <c r="K520" s="577"/>
      <c r="L520" s="976"/>
      <c r="M520" s="976"/>
      <c r="N520" s="976"/>
      <c r="O520" s="976"/>
    </row>
    <row r="521">
      <c r="A521" s="67"/>
      <c r="B521" s="645"/>
      <c r="C521" s="575"/>
      <c r="D521" s="576"/>
      <c r="E521" s="576"/>
      <c r="F521" s="576"/>
      <c r="G521" s="577"/>
      <c r="H521" s="577"/>
      <c r="I521" s="577"/>
      <c r="J521" s="577"/>
      <c r="K521" s="577"/>
      <c r="L521" s="976"/>
      <c r="M521" s="976"/>
      <c r="N521" s="976"/>
      <c r="O521" s="976"/>
    </row>
    <row r="522">
      <c r="A522" s="67"/>
      <c r="B522" s="645"/>
      <c r="C522" s="575"/>
      <c r="D522" s="576"/>
      <c r="E522" s="576"/>
      <c r="F522" s="576"/>
      <c r="G522" s="577"/>
      <c r="H522" s="577"/>
      <c r="I522" s="577"/>
      <c r="J522" s="577"/>
      <c r="K522" s="577"/>
      <c r="L522" s="976"/>
      <c r="M522" s="976"/>
      <c r="N522" s="976"/>
      <c r="O522" s="976"/>
    </row>
    <row r="523">
      <c r="A523" s="67"/>
      <c r="B523" s="645"/>
      <c r="C523" s="575"/>
      <c r="D523" s="576"/>
      <c r="E523" s="576"/>
      <c r="F523" s="576"/>
      <c r="G523" s="577"/>
      <c r="H523" s="577"/>
      <c r="I523" s="577"/>
      <c r="J523" s="577"/>
      <c r="K523" s="577"/>
      <c r="L523" s="976"/>
      <c r="M523" s="976"/>
      <c r="N523" s="976"/>
      <c r="O523" s="976"/>
    </row>
    <row r="524">
      <c r="A524" s="67"/>
      <c r="B524" s="645"/>
      <c r="C524" s="575"/>
      <c r="D524" s="576"/>
      <c r="E524" s="576"/>
      <c r="F524" s="576"/>
      <c r="G524" s="577"/>
      <c r="H524" s="577"/>
      <c r="I524" s="577"/>
      <c r="J524" s="577"/>
      <c r="K524" s="577"/>
      <c r="L524" s="976"/>
      <c r="M524" s="976"/>
      <c r="N524" s="976"/>
      <c r="O524" s="976"/>
    </row>
    <row r="525">
      <c r="A525" s="67"/>
      <c r="B525" s="645"/>
      <c r="C525" s="575"/>
      <c r="D525" s="576"/>
      <c r="E525" s="576"/>
      <c r="F525" s="576"/>
      <c r="G525" s="577"/>
      <c r="H525" s="577"/>
      <c r="I525" s="577"/>
      <c r="J525" s="577"/>
      <c r="K525" s="577"/>
      <c r="L525" s="976"/>
      <c r="M525" s="976"/>
      <c r="N525" s="976"/>
      <c r="O525" s="976"/>
    </row>
    <row r="526">
      <c r="A526" s="67"/>
      <c r="B526" s="645"/>
      <c r="C526" s="575"/>
      <c r="D526" s="576"/>
      <c r="E526" s="576"/>
      <c r="F526" s="576"/>
      <c r="G526" s="577"/>
      <c r="H526" s="577"/>
      <c r="I526" s="577"/>
      <c r="J526" s="577"/>
      <c r="K526" s="577"/>
      <c r="L526" s="976"/>
      <c r="M526" s="976"/>
      <c r="N526" s="976"/>
      <c r="O526" s="976"/>
    </row>
    <row r="527">
      <c r="A527" s="67"/>
      <c r="B527" s="645"/>
      <c r="C527" s="575"/>
      <c r="D527" s="576"/>
      <c r="E527" s="576"/>
      <c r="F527" s="576"/>
      <c r="G527" s="577"/>
      <c r="H527" s="577"/>
      <c r="I527" s="577"/>
      <c r="J527" s="577"/>
      <c r="K527" s="577"/>
      <c r="L527" s="976"/>
      <c r="M527" s="976"/>
      <c r="N527" s="976"/>
      <c r="O527" s="976"/>
    </row>
    <row r="528">
      <c r="A528" s="67"/>
      <c r="B528" s="645"/>
      <c r="C528" s="575"/>
      <c r="D528" s="576"/>
      <c r="E528" s="576"/>
      <c r="F528" s="576"/>
      <c r="G528" s="577"/>
      <c r="H528" s="577"/>
      <c r="I528" s="577"/>
      <c r="J528" s="577"/>
      <c r="K528" s="577"/>
      <c r="L528" s="976"/>
      <c r="M528" s="976"/>
      <c r="N528" s="976"/>
      <c r="O528" s="976"/>
    </row>
    <row r="529">
      <c r="A529" s="67"/>
      <c r="B529" s="645"/>
      <c r="C529" s="575"/>
      <c r="D529" s="576"/>
      <c r="E529" s="576"/>
      <c r="F529" s="576"/>
      <c r="G529" s="577"/>
      <c r="H529" s="577"/>
      <c r="I529" s="577"/>
      <c r="J529" s="577"/>
      <c r="K529" s="577"/>
      <c r="L529" s="976"/>
      <c r="M529" s="976"/>
      <c r="N529" s="976"/>
      <c r="O529" s="976"/>
    </row>
    <row r="530">
      <c r="A530" s="67"/>
      <c r="B530" s="645"/>
      <c r="C530" s="575"/>
      <c r="D530" s="576"/>
      <c r="E530" s="576"/>
      <c r="F530" s="576"/>
      <c r="G530" s="577"/>
      <c r="H530" s="577"/>
      <c r="I530" s="577"/>
      <c r="J530" s="577"/>
      <c r="K530" s="577"/>
      <c r="L530" s="976"/>
      <c r="M530" s="976"/>
      <c r="N530" s="976"/>
      <c r="O530" s="976"/>
    </row>
    <row r="531">
      <c r="A531" s="67"/>
      <c r="B531" s="645"/>
      <c r="C531" s="575"/>
      <c r="D531" s="576"/>
      <c r="E531" s="576"/>
      <c r="F531" s="576"/>
      <c r="G531" s="577"/>
      <c r="H531" s="577"/>
      <c r="I531" s="577"/>
      <c r="J531" s="577"/>
      <c r="K531" s="577"/>
      <c r="L531" s="976"/>
      <c r="M531" s="976"/>
      <c r="N531" s="976"/>
      <c r="O531" s="976"/>
    </row>
    <row r="532">
      <c r="A532" s="67"/>
      <c r="B532" s="645"/>
      <c r="C532" s="575"/>
      <c r="D532" s="576"/>
      <c r="E532" s="576"/>
      <c r="F532" s="576"/>
      <c r="G532" s="577"/>
      <c r="H532" s="577"/>
      <c r="I532" s="577"/>
      <c r="J532" s="577"/>
      <c r="K532" s="577"/>
      <c r="L532" s="976"/>
      <c r="M532" s="976"/>
      <c r="N532" s="976"/>
      <c r="O532" s="976"/>
    </row>
    <row r="533">
      <c r="A533" s="67"/>
      <c r="B533" s="645"/>
      <c r="C533" s="575"/>
      <c r="D533" s="576"/>
      <c r="E533" s="576"/>
      <c r="F533" s="576"/>
      <c r="G533" s="577"/>
      <c r="H533" s="577"/>
      <c r="I533" s="577"/>
      <c r="J533" s="577"/>
      <c r="K533" s="577"/>
      <c r="L533" s="976"/>
      <c r="M533" s="976"/>
      <c r="N533" s="976"/>
      <c r="O533" s="976"/>
    </row>
    <row r="534">
      <c r="A534" s="67"/>
      <c r="B534" s="645"/>
      <c r="C534" s="575"/>
      <c r="D534" s="576"/>
      <c r="E534" s="576"/>
      <c r="F534" s="576"/>
      <c r="G534" s="577"/>
      <c r="H534" s="577"/>
      <c r="I534" s="577"/>
      <c r="J534" s="577"/>
      <c r="K534" s="577"/>
      <c r="L534" s="976"/>
      <c r="M534" s="976"/>
      <c r="N534" s="976"/>
      <c r="O534" s="976"/>
    </row>
    <row r="535">
      <c r="A535" s="67"/>
      <c r="B535" s="645"/>
      <c r="C535" s="575"/>
      <c r="D535" s="576"/>
      <c r="E535" s="576"/>
      <c r="F535" s="576"/>
      <c r="G535" s="577"/>
      <c r="H535" s="577"/>
      <c r="I535" s="577"/>
      <c r="J535" s="577"/>
      <c r="K535" s="577"/>
      <c r="L535" s="976"/>
      <c r="M535" s="976"/>
      <c r="N535" s="976"/>
      <c r="O535" s="976"/>
    </row>
    <row r="536">
      <c r="A536" s="67"/>
      <c r="B536" s="645"/>
      <c r="C536" s="575"/>
      <c r="D536" s="576"/>
      <c r="E536" s="576"/>
      <c r="F536" s="576"/>
      <c r="G536" s="577"/>
      <c r="H536" s="577"/>
      <c r="I536" s="577"/>
      <c r="J536" s="577"/>
      <c r="K536" s="577"/>
      <c r="L536" s="976"/>
      <c r="M536" s="976"/>
      <c r="N536" s="976"/>
      <c r="O536" s="976"/>
    </row>
    <row r="537">
      <c r="A537" s="67"/>
      <c r="B537" s="645"/>
      <c r="C537" s="575"/>
      <c r="D537" s="576"/>
      <c r="E537" s="576"/>
      <c r="F537" s="576"/>
      <c r="G537" s="577"/>
      <c r="H537" s="577"/>
      <c r="I537" s="577"/>
      <c r="J537" s="577"/>
      <c r="K537" s="577"/>
      <c r="L537" s="976"/>
      <c r="M537" s="976"/>
      <c r="N537" s="976"/>
      <c r="O537" s="976"/>
    </row>
    <row r="538">
      <c r="A538" s="67"/>
      <c r="B538" s="645"/>
      <c r="C538" s="575"/>
      <c r="D538" s="576"/>
      <c r="E538" s="576"/>
      <c r="F538" s="576"/>
      <c r="G538" s="577"/>
      <c r="H538" s="577"/>
      <c r="I538" s="577"/>
      <c r="J538" s="577"/>
      <c r="K538" s="577"/>
      <c r="L538" s="976"/>
      <c r="M538" s="976"/>
      <c r="N538" s="976"/>
      <c r="O538" s="976"/>
    </row>
    <row r="539">
      <c r="A539" s="67"/>
      <c r="B539" s="645"/>
      <c r="C539" s="575"/>
      <c r="D539" s="576"/>
      <c r="E539" s="576"/>
      <c r="F539" s="576"/>
      <c r="G539" s="577"/>
      <c r="H539" s="577"/>
      <c r="I539" s="577"/>
      <c r="J539" s="577"/>
      <c r="K539" s="577"/>
      <c r="L539" s="976"/>
      <c r="M539" s="976"/>
      <c r="N539" s="976"/>
      <c r="O539" s="976"/>
    </row>
    <row r="540">
      <c r="A540" s="67"/>
      <c r="B540" s="645"/>
      <c r="C540" s="575"/>
      <c r="D540" s="576"/>
      <c r="E540" s="576"/>
      <c r="F540" s="576"/>
      <c r="G540" s="577"/>
      <c r="H540" s="577"/>
      <c r="I540" s="577"/>
      <c r="J540" s="577"/>
      <c r="K540" s="577"/>
      <c r="L540" s="976"/>
      <c r="M540" s="976"/>
      <c r="N540" s="976"/>
      <c r="O540" s="976"/>
    </row>
    <row r="541">
      <c r="A541" s="67"/>
      <c r="B541" s="645"/>
      <c r="C541" s="575"/>
      <c r="D541" s="576"/>
      <c r="E541" s="576"/>
      <c r="F541" s="576"/>
      <c r="G541" s="577"/>
      <c r="H541" s="577"/>
      <c r="I541" s="577"/>
      <c r="J541" s="577"/>
      <c r="K541" s="577"/>
      <c r="L541" s="976"/>
      <c r="M541" s="976"/>
      <c r="N541" s="976"/>
      <c r="O541" s="976"/>
    </row>
    <row r="542">
      <c r="A542" s="67"/>
      <c r="B542" s="645"/>
      <c r="C542" s="575"/>
      <c r="D542" s="576"/>
      <c r="E542" s="576"/>
      <c r="F542" s="576"/>
      <c r="G542" s="577"/>
      <c r="H542" s="577"/>
      <c r="I542" s="577"/>
      <c r="J542" s="577"/>
      <c r="K542" s="577"/>
      <c r="L542" s="976"/>
      <c r="M542" s="976"/>
      <c r="N542" s="976"/>
      <c r="O542" s="976"/>
    </row>
    <row r="543">
      <c r="A543" s="67"/>
      <c r="B543" s="645"/>
      <c r="C543" s="575"/>
      <c r="D543" s="576"/>
      <c r="E543" s="576"/>
      <c r="F543" s="576"/>
      <c r="G543" s="577"/>
      <c r="H543" s="577"/>
      <c r="I543" s="577"/>
      <c r="J543" s="577"/>
      <c r="K543" s="577"/>
      <c r="L543" s="976"/>
      <c r="M543" s="976"/>
      <c r="N543" s="976"/>
      <c r="O543" s="976"/>
    </row>
    <row r="544">
      <c r="A544" s="67"/>
      <c r="B544" s="645"/>
      <c r="C544" s="575"/>
      <c r="D544" s="576"/>
      <c r="E544" s="576"/>
      <c r="F544" s="576"/>
      <c r="G544" s="577"/>
      <c r="H544" s="577"/>
      <c r="I544" s="577"/>
      <c r="J544" s="577"/>
      <c r="K544" s="577"/>
      <c r="L544" s="976"/>
      <c r="M544" s="976"/>
      <c r="N544" s="976"/>
      <c r="O544" s="976"/>
    </row>
    <row r="545">
      <c r="A545" s="67"/>
      <c r="B545" s="645"/>
      <c r="C545" s="575"/>
      <c r="D545" s="576"/>
      <c r="E545" s="576"/>
      <c r="F545" s="576"/>
      <c r="G545" s="577"/>
      <c r="H545" s="577"/>
      <c r="I545" s="577"/>
      <c r="J545" s="577"/>
      <c r="K545" s="577"/>
      <c r="L545" s="976"/>
      <c r="M545" s="976"/>
      <c r="N545" s="976"/>
      <c r="O545" s="976"/>
    </row>
    <row r="546">
      <c r="A546" s="67"/>
      <c r="B546" s="645"/>
      <c r="C546" s="575"/>
      <c r="D546" s="576"/>
      <c r="E546" s="576"/>
      <c r="F546" s="576"/>
      <c r="G546" s="577"/>
      <c r="H546" s="577"/>
      <c r="I546" s="577"/>
      <c r="J546" s="577"/>
      <c r="K546" s="577"/>
      <c r="L546" s="976"/>
      <c r="M546" s="976"/>
      <c r="N546" s="976"/>
      <c r="O546" s="976"/>
    </row>
    <row r="547">
      <c r="A547" s="67"/>
      <c r="B547" s="645"/>
      <c r="C547" s="575"/>
      <c r="D547" s="576"/>
      <c r="E547" s="576"/>
      <c r="F547" s="576"/>
      <c r="G547" s="577"/>
      <c r="H547" s="577"/>
      <c r="I547" s="577"/>
      <c r="J547" s="577"/>
      <c r="K547" s="577"/>
      <c r="L547" s="976"/>
      <c r="M547" s="976"/>
      <c r="N547" s="976"/>
      <c r="O547" s="976"/>
    </row>
    <row r="548">
      <c r="A548" s="67"/>
      <c r="B548" s="645"/>
      <c r="C548" s="575"/>
      <c r="D548" s="576"/>
      <c r="E548" s="576"/>
      <c r="F548" s="576"/>
      <c r="G548" s="577"/>
      <c r="H548" s="577"/>
      <c r="I548" s="577"/>
      <c r="J548" s="577"/>
      <c r="K548" s="577"/>
      <c r="L548" s="976"/>
      <c r="M548" s="976"/>
      <c r="N548" s="976"/>
      <c r="O548" s="976"/>
    </row>
    <row r="549">
      <c r="A549" s="67"/>
      <c r="B549" s="645"/>
      <c r="C549" s="575"/>
      <c r="D549" s="576"/>
      <c r="E549" s="576"/>
      <c r="F549" s="576"/>
      <c r="G549" s="577"/>
      <c r="H549" s="577"/>
      <c r="I549" s="577"/>
      <c r="J549" s="577"/>
      <c r="K549" s="577"/>
      <c r="L549" s="976"/>
      <c r="M549" s="976"/>
      <c r="N549" s="976"/>
      <c r="O549" s="976"/>
    </row>
    <row r="550">
      <c r="A550" s="67"/>
      <c r="B550" s="645"/>
      <c r="C550" s="575"/>
      <c r="D550" s="576"/>
      <c r="E550" s="576"/>
      <c r="F550" s="576"/>
      <c r="G550" s="577"/>
      <c r="H550" s="577"/>
      <c r="I550" s="577"/>
      <c r="J550" s="577"/>
      <c r="K550" s="577"/>
      <c r="L550" s="976"/>
      <c r="M550" s="976"/>
      <c r="N550" s="976"/>
      <c r="O550" s="976"/>
    </row>
    <row r="551">
      <c r="A551" s="67"/>
      <c r="B551" s="645"/>
      <c r="C551" s="575"/>
      <c r="D551" s="576"/>
      <c r="E551" s="576"/>
      <c r="F551" s="576"/>
      <c r="G551" s="577"/>
      <c r="H551" s="577"/>
      <c r="I551" s="577"/>
      <c r="J551" s="577"/>
      <c r="K551" s="577"/>
      <c r="L551" s="976"/>
      <c r="M551" s="976"/>
      <c r="N551" s="976"/>
      <c r="O551" s="976"/>
    </row>
    <row r="552">
      <c r="A552" s="67"/>
      <c r="B552" s="645"/>
      <c r="C552" s="575"/>
      <c r="D552" s="576"/>
      <c r="E552" s="576"/>
      <c r="F552" s="576"/>
      <c r="G552" s="577"/>
      <c r="H552" s="577"/>
      <c r="I552" s="577"/>
      <c r="J552" s="577"/>
      <c r="K552" s="577"/>
      <c r="L552" s="976"/>
      <c r="M552" s="976"/>
      <c r="N552" s="976"/>
      <c r="O552" s="976"/>
    </row>
    <row r="553">
      <c r="A553" s="67"/>
      <c r="B553" s="645"/>
      <c r="C553" s="575"/>
      <c r="D553" s="576"/>
      <c r="E553" s="576"/>
      <c r="F553" s="576"/>
      <c r="G553" s="577"/>
      <c r="H553" s="577"/>
      <c r="I553" s="577"/>
      <c r="J553" s="577"/>
      <c r="K553" s="577"/>
      <c r="L553" s="976"/>
      <c r="M553" s="976"/>
      <c r="N553" s="976"/>
      <c r="O553" s="976"/>
    </row>
    <row r="554">
      <c r="A554" s="67"/>
      <c r="B554" s="645"/>
      <c r="C554" s="575"/>
      <c r="D554" s="576"/>
      <c r="E554" s="576"/>
      <c r="F554" s="576"/>
      <c r="G554" s="577"/>
      <c r="H554" s="577"/>
      <c r="I554" s="577"/>
      <c r="J554" s="577"/>
      <c r="K554" s="577"/>
      <c r="L554" s="976"/>
      <c r="M554" s="976"/>
      <c r="N554" s="976"/>
      <c r="O554" s="976"/>
    </row>
    <row r="555">
      <c r="A555" s="67"/>
      <c r="B555" s="645"/>
      <c r="C555" s="575"/>
      <c r="D555" s="576"/>
      <c r="E555" s="576"/>
      <c r="F555" s="576"/>
      <c r="G555" s="577"/>
      <c r="H555" s="577"/>
      <c r="I555" s="577"/>
      <c r="J555" s="577"/>
      <c r="K555" s="577"/>
      <c r="L555" s="976"/>
      <c r="M555" s="976"/>
      <c r="N555" s="976"/>
      <c r="O555" s="976"/>
    </row>
    <row r="556">
      <c r="A556" s="67"/>
      <c r="B556" s="645"/>
      <c r="C556" s="575"/>
      <c r="D556" s="576"/>
      <c r="E556" s="576"/>
      <c r="F556" s="576"/>
      <c r="G556" s="577"/>
      <c r="H556" s="577"/>
      <c r="I556" s="577"/>
      <c r="J556" s="577"/>
      <c r="K556" s="577"/>
      <c r="L556" s="976"/>
      <c r="M556" s="976"/>
      <c r="N556" s="976"/>
      <c r="O556" s="976"/>
    </row>
    <row r="557">
      <c r="A557" s="67"/>
      <c r="B557" s="645"/>
      <c r="C557" s="575"/>
      <c r="D557" s="576"/>
      <c r="E557" s="576"/>
      <c r="F557" s="576"/>
      <c r="G557" s="577"/>
      <c r="H557" s="577"/>
      <c r="I557" s="577"/>
      <c r="J557" s="577"/>
      <c r="K557" s="577"/>
      <c r="L557" s="976"/>
      <c r="M557" s="976"/>
      <c r="N557" s="976"/>
      <c r="O557" s="976"/>
    </row>
    <row r="558">
      <c r="A558" s="67"/>
      <c r="B558" s="645"/>
      <c r="C558" s="575"/>
      <c r="D558" s="576"/>
      <c r="E558" s="576"/>
      <c r="F558" s="576"/>
      <c r="G558" s="577"/>
      <c r="H558" s="577"/>
      <c r="I558" s="577"/>
      <c r="J558" s="577"/>
      <c r="K558" s="577"/>
      <c r="L558" s="976"/>
      <c r="M558" s="976"/>
      <c r="N558" s="976"/>
      <c r="O558" s="976"/>
    </row>
    <row r="559">
      <c r="A559" s="67"/>
      <c r="B559" s="645"/>
      <c r="C559" s="575"/>
      <c r="D559" s="576"/>
      <c r="E559" s="576"/>
      <c r="F559" s="576"/>
      <c r="G559" s="577"/>
      <c r="H559" s="577"/>
      <c r="I559" s="577"/>
      <c r="J559" s="577"/>
      <c r="K559" s="577"/>
      <c r="L559" s="976"/>
      <c r="M559" s="976"/>
      <c r="N559" s="976"/>
      <c r="O559" s="976"/>
    </row>
    <row r="560">
      <c r="A560" s="67"/>
      <c r="B560" s="645"/>
      <c r="C560" s="575"/>
      <c r="D560" s="576"/>
      <c r="E560" s="576"/>
      <c r="F560" s="576"/>
      <c r="G560" s="577"/>
      <c r="H560" s="577"/>
      <c r="I560" s="577"/>
      <c r="J560" s="577"/>
      <c r="K560" s="577"/>
      <c r="L560" s="976"/>
      <c r="M560" s="976"/>
      <c r="N560" s="976"/>
      <c r="O560" s="976"/>
    </row>
    <row r="561">
      <c r="A561" s="67"/>
      <c r="B561" s="645"/>
      <c r="C561" s="575"/>
      <c r="D561" s="576"/>
      <c r="E561" s="576"/>
      <c r="F561" s="576"/>
      <c r="G561" s="577"/>
      <c r="H561" s="577"/>
      <c r="I561" s="577"/>
      <c r="J561" s="577"/>
      <c r="K561" s="577"/>
      <c r="L561" s="976"/>
      <c r="M561" s="976"/>
      <c r="N561" s="976"/>
      <c r="O561" s="976"/>
    </row>
    <row r="562">
      <c r="A562" s="67"/>
      <c r="B562" s="645"/>
      <c r="C562" s="575"/>
      <c r="D562" s="576"/>
      <c r="E562" s="576"/>
      <c r="F562" s="576"/>
      <c r="G562" s="577"/>
      <c r="H562" s="577"/>
      <c r="I562" s="577"/>
      <c r="J562" s="577"/>
      <c r="K562" s="577"/>
      <c r="L562" s="976"/>
      <c r="M562" s="976"/>
      <c r="N562" s="976"/>
      <c r="O562" s="976"/>
    </row>
    <row r="563">
      <c r="A563" s="67"/>
      <c r="B563" s="645"/>
      <c r="C563" s="575"/>
      <c r="D563" s="576"/>
      <c r="E563" s="576"/>
      <c r="F563" s="576"/>
      <c r="G563" s="577"/>
      <c r="H563" s="577"/>
      <c r="I563" s="577"/>
      <c r="J563" s="577"/>
      <c r="K563" s="577"/>
      <c r="L563" s="976"/>
      <c r="M563" s="976"/>
      <c r="N563" s="976"/>
      <c r="O563" s="976"/>
    </row>
    <row r="564">
      <c r="A564" s="67"/>
      <c r="B564" s="645"/>
      <c r="C564" s="575"/>
      <c r="D564" s="576"/>
      <c r="E564" s="576"/>
      <c r="F564" s="576"/>
      <c r="G564" s="577"/>
      <c r="H564" s="577"/>
      <c r="I564" s="577"/>
      <c r="J564" s="577"/>
      <c r="K564" s="577"/>
      <c r="L564" s="976"/>
      <c r="M564" s="976"/>
      <c r="N564" s="976"/>
      <c r="O564" s="976"/>
    </row>
    <row r="565">
      <c r="A565" s="67"/>
      <c r="B565" s="645"/>
      <c r="C565" s="575"/>
      <c r="D565" s="576"/>
      <c r="E565" s="576"/>
      <c r="F565" s="576"/>
      <c r="G565" s="577"/>
      <c r="H565" s="577"/>
      <c r="I565" s="577"/>
      <c r="J565" s="577"/>
      <c r="K565" s="577"/>
      <c r="L565" s="976"/>
      <c r="M565" s="976"/>
      <c r="N565" s="976"/>
      <c r="O565" s="976"/>
    </row>
    <row r="566">
      <c r="A566" s="67"/>
      <c r="B566" s="645"/>
      <c r="C566" s="575"/>
      <c r="D566" s="576"/>
      <c r="E566" s="576"/>
      <c r="F566" s="576"/>
      <c r="G566" s="577"/>
      <c r="H566" s="577"/>
      <c r="I566" s="577"/>
      <c r="J566" s="577"/>
      <c r="K566" s="577"/>
      <c r="L566" s="976"/>
      <c r="M566" s="976"/>
      <c r="N566" s="976"/>
      <c r="O566" s="976"/>
    </row>
    <row r="567">
      <c r="A567" s="67"/>
      <c r="B567" s="645"/>
      <c r="C567" s="575"/>
      <c r="D567" s="576"/>
      <c r="E567" s="576"/>
      <c r="F567" s="576"/>
      <c r="G567" s="577"/>
      <c r="H567" s="577"/>
      <c r="I567" s="577"/>
      <c r="J567" s="577"/>
      <c r="K567" s="577"/>
      <c r="L567" s="976"/>
      <c r="M567" s="976"/>
      <c r="N567" s="976"/>
      <c r="O567" s="976"/>
    </row>
    <row r="568">
      <c r="A568" s="67"/>
      <c r="B568" s="645"/>
      <c r="C568" s="575"/>
      <c r="D568" s="576"/>
      <c r="E568" s="576"/>
      <c r="F568" s="576"/>
      <c r="G568" s="577"/>
      <c r="H568" s="577"/>
      <c r="I568" s="577"/>
      <c r="J568" s="577"/>
      <c r="K568" s="577"/>
      <c r="L568" s="976"/>
      <c r="M568" s="976"/>
      <c r="N568" s="976"/>
      <c r="O568" s="976"/>
    </row>
    <row r="569">
      <c r="A569" s="67"/>
      <c r="B569" s="645"/>
      <c r="C569" s="575"/>
      <c r="D569" s="576"/>
      <c r="E569" s="576"/>
      <c r="F569" s="576"/>
      <c r="G569" s="577"/>
      <c r="H569" s="577"/>
      <c r="I569" s="577"/>
      <c r="J569" s="577"/>
      <c r="K569" s="577"/>
      <c r="L569" s="976"/>
      <c r="M569" s="976"/>
      <c r="N569" s="976"/>
      <c r="O569" s="976"/>
    </row>
    <row r="570">
      <c r="A570" s="67"/>
      <c r="B570" s="645"/>
      <c r="C570" s="575"/>
      <c r="D570" s="576"/>
      <c r="E570" s="576"/>
      <c r="F570" s="576"/>
      <c r="G570" s="577"/>
      <c r="H570" s="577"/>
      <c r="I570" s="577"/>
      <c r="J570" s="577"/>
      <c r="K570" s="577"/>
      <c r="L570" s="976"/>
      <c r="M570" s="976"/>
      <c r="N570" s="976"/>
      <c r="O570" s="976"/>
    </row>
    <row r="571">
      <c r="A571" s="67"/>
      <c r="B571" s="645"/>
      <c r="C571" s="575"/>
      <c r="D571" s="576"/>
      <c r="E571" s="576"/>
      <c r="F571" s="576"/>
      <c r="G571" s="577"/>
      <c r="H571" s="577"/>
      <c r="I571" s="577"/>
      <c r="J571" s="577"/>
      <c r="K571" s="577"/>
      <c r="L571" s="976"/>
      <c r="M571" s="976"/>
      <c r="N571" s="976"/>
      <c r="O571" s="976"/>
    </row>
    <row r="572">
      <c r="A572" s="67"/>
      <c r="B572" s="645"/>
      <c r="C572" s="575"/>
      <c r="D572" s="576"/>
      <c r="E572" s="576"/>
      <c r="F572" s="576"/>
      <c r="G572" s="577"/>
      <c r="H572" s="577"/>
      <c r="I572" s="577"/>
      <c r="J572" s="577"/>
      <c r="K572" s="577"/>
      <c r="L572" s="976"/>
      <c r="M572" s="976"/>
      <c r="N572" s="976"/>
      <c r="O572" s="976"/>
    </row>
    <row r="573">
      <c r="A573" s="67"/>
      <c r="B573" s="645"/>
      <c r="C573" s="575"/>
      <c r="D573" s="576"/>
      <c r="E573" s="576"/>
      <c r="F573" s="576"/>
      <c r="G573" s="577"/>
      <c r="H573" s="577"/>
      <c r="I573" s="577"/>
      <c r="J573" s="577"/>
      <c r="K573" s="577"/>
      <c r="L573" s="976"/>
      <c r="M573" s="976"/>
      <c r="N573" s="976"/>
      <c r="O573" s="976"/>
    </row>
    <row r="574">
      <c r="A574" s="67"/>
      <c r="B574" s="645"/>
      <c r="C574" s="575"/>
      <c r="D574" s="576"/>
      <c r="E574" s="576"/>
      <c r="F574" s="576"/>
      <c r="G574" s="577"/>
      <c r="H574" s="577"/>
      <c r="I574" s="577"/>
      <c r="J574" s="577"/>
      <c r="K574" s="577"/>
      <c r="L574" s="976"/>
      <c r="M574" s="976"/>
      <c r="N574" s="976"/>
      <c r="O574" s="976"/>
    </row>
    <row r="575">
      <c r="A575" s="67"/>
      <c r="B575" s="645"/>
      <c r="C575" s="575"/>
      <c r="D575" s="576"/>
      <c r="E575" s="576"/>
      <c r="F575" s="576"/>
      <c r="G575" s="577"/>
      <c r="H575" s="577"/>
      <c r="I575" s="577"/>
      <c r="J575" s="577"/>
      <c r="K575" s="577"/>
      <c r="L575" s="976"/>
      <c r="M575" s="976"/>
      <c r="N575" s="976"/>
      <c r="O575" s="976"/>
    </row>
    <row r="576">
      <c r="A576" s="67"/>
      <c r="B576" s="645"/>
      <c r="C576" s="575"/>
      <c r="D576" s="576"/>
      <c r="E576" s="576"/>
      <c r="F576" s="576"/>
      <c r="G576" s="577"/>
      <c r="H576" s="577"/>
      <c r="I576" s="577"/>
      <c r="J576" s="577"/>
      <c r="K576" s="577"/>
      <c r="L576" s="976"/>
      <c r="M576" s="976"/>
      <c r="N576" s="976"/>
      <c r="O576" s="976"/>
    </row>
    <row r="577">
      <c r="A577" s="67"/>
      <c r="B577" s="645"/>
      <c r="C577" s="575"/>
      <c r="D577" s="576"/>
      <c r="E577" s="576"/>
      <c r="F577" s="576"/>
      <c r="G577" s="577"/>
      <c r="H577" s="577"/>
      <c r="I577" s="577"/>
      <c r="J577" s="577"/>
      <c r="K577" s="577"/>
      <c r="L577" s="976"/>
      <c r="M577" s="976"/>
      <c r="N577" s="976"/>
      <c r="O577" s="976"/>
    </row>
    <row r="578">
      <c r="A578" s="67"/>
      <c r="B578" s="645"/>
      <c r="C578" s="575"/>
      <c r="D578" s="576"/>
      <c r="E578" s="576"/>
      <c r="F578" s="576"/>
      <c r="G578" s="577"/>
      <c r="H578" s="577"/>
      <c r="I578" s="577"/>
      <c r="J578" s="577"/>
      <c r="K578" s="577"/>
      <c r="L578" s="976"/>
      <c r="M578" s="976"/>
      <c r="N578" s="976"/>
      <c r="O578" s="976"/>
    </row>
    <row r="579">
      <c r="A579" s="67"/>
      <c r="B579" s="645"/>
      <c r="C579" s="575"/>
      <c r="D579" s="576"/>
      <c r="E579" s="576"/>
      <c r="F579" s="576"/>
      <c r="G579" s="577"/>
      <c r="H579" s="577"/>
      <c r="I579" s="577"/>
      <c r="J579" s="577"/>
      <c r="K579" s="577"/>
      <c r="L579" s="976"/>
      <c r="M579" s="976"/>
      <c r="N579" s="976"/>
      <c r="O579" s="976"/>
    </row>
    <row r="580">
      <c r="A580" s="67"/>
      <c r="B580" s="645"/>
      <c r="C580" s="575"/>
      <c r="D580" s="576"/>
      <c r="E580" s="576"/>
      <c r="F580" s="576"/>
      <c r="G580" s="577"/>
      <c r="H580" s="577"/>
      <c r="I580" s="577"/>
      <c r="J580" s="577"/>
      <c r="K580" s="577"/>
      <c r="L580" s="976"/>
      <c r="M580" s="976"/>
      <c r="N580" s="976"/>
      <c r="O580" s="976"/>
    </row>
    <row r="581">
      <c r="A581" s="67"/>
      <c r="B581" s="645"/>
      <c r="C581" s="575"/>
      <c r="D581" s="576"/>
      <c r="E581" s="576"/>
      <c r="F581" s="576"/>
      <c r="G581" s="577"/>
      <c r="H581" s="577"/>
      <c r="I581" s="577"/>
      <c r="J581" s="577"/>
      <c r="K581" s="577"/>
      <c r="L581" s="976"/>
      <c r="M581" s="976"/>
      <c r="N581" s="976"/>
      <c r="O581" s="976"/>
    </row>
    <row r="582">
      <c r="A582" s="67"/>
      <c r="B582" s="645"/>
      <c r="C582" s="575"/>
      <c r="D582" s="576"/>
      <c r="E582" s="576"/>
      <c r="F582" s="576"/>
      <c r="G582" s="577"/>
      <c r="H582" s="577"/>
      <c r="I582" s="577"/>
      <c r="J582" s="577"/>
      <c r="K582" s="577"/>
      <c r="L582" s="976"/>
      <c r="M582" s="976"/>
      <c r="N582" s="976"/>
      <c r="O582" s="976"/>
    </row>
    <row r="583">
      <c r="A583" s="67"/>
      <c r="B583" s="645"/>
      <c r="C583" s="575"/>
      <c r="D583" s="576"/>
      <c r="E583" s="576"/>
      <c r="F583" s="576"/>
      <c r="G583" s="577"/>
      <c r="H583" s="577"/>
      <c r="I583" s="577"/>
      <c r="J583" s="577"/>
      <c r="K583" s="577"/>
      <c r="L583" s="976"/>
      <c r="M583" s="976"/>
      <c r="N583" s="976"/>
      <c r="O583" s="976"/>
    </row>
    <row r="584">
      <c r="A584" s="67"/>
      <c r="B584" s="645"/>
      <c r="C584" s="575"/>
      <c r="D584" s="576"/>
      <c r="E584" s="576"/>
      <c r="F584" s="576"/>
      <c r="G584" s="577"/>
      <c r="H584" s="577"/>
      <c r="I584" s="577"/>
      <c r="J584" s="577"/>
      <c r="K584" s="577"/>
      <c r="L584" s="976"/>
      <c r="M584" s="976"/>
      <c r="N584" s="976"/>
      <c r="O584" s="976"/>
    </row>
    <row r="585">
      <c r="A585" s="67"/>
      <c r="B585" s="645"/>
      <c r="C585" s="575"/>
      <c r="D585" s="576"/>
      <c r="E585" s="576"/>
      <c r="F585" s="576"/>
      <c r="G585" s="577"/>
      <c r="H585" s="577"/>
      <c r="I585" s="577"/>
      <c r="J585" s="577"/>
      <c r="K585" s="577"/>
      <c r="L585" s="976"/>
      <c r="M585" s="976"/>
      <c r="N585" s="976"/>
      <c r="O585" s="976"/>
    </row>
    <row r="586">
      <c r="A586" s="67"/>
      <c r="B586" s="645"/>
      <c r="C586" s="575"/>
      <c r="D586" s="576"/>
      <c r="E586" s="576"/>
      <c r="F586" s="576"/>
      <c r="G586" s="577"/>
      <c r="H586" s="577"/>
      <c r="I586" s="577"/>
      <c r="J586" s="577"/>
      <c r="K586" s="577"/>
      <c r="L586" s="976"/>
      <c r="M586" s="976"/>
      <c r="N586" s="976"/>
      <c r="O586" s="976"/>
    </row>
    <row r="587">
      <c r="A587" s="67"/>
      <c r="B587" s="645"/>
      <c r="C587" s="575"/>
      <c r="D587" s="576"/>
      <c r="E587" s="576"/>
      <c r="F587" s="576"/>
      <c r="G587" s="577"/>
      <c r="H587" s="577"/>
      <c r="I587" s="577"/>
      <c r="J587" s="577"/>
      <c r="K587" s="577"/>
      <c r="L587" s="976"/>
      <c r="M587" s="976"/>
      <c r="N587" s="976"/>
      <c r="O587" s="976"/>
    </row>
    <row r="588">
      <c r="A588" s="67"/>
      <c r="B588" s="645"/>
      <c r="C588" s="575"/>
      <c r="D588" s="576"/>
      <c r="E588" s="576"/>
      <c r="F588" s="576"/>
      <c r="G588" s="577"/>
      <c r="H588" s="577"/>
      <c r="I588" s="577"/>
      <c r="J588" s="577"/>
      <c r="K588" s="577"/>
      <c r="L588" s="976"/>
      <c r="M588" s="976"/>
      <c r="N588" s="976"/>
      <c r="O588" s="976"/>
    </row>
    <row r="589">
      <c r="A589" s="67"/>
      <c r="B589" s="645"/>
      <c r="C589" s="575"/>
      <c r="D589" s="576"/>
      <c r="E589" s="576"/>
      <c r="F589" s="576"/>
      <c r="G589" s="577"/>
      <c r="H589" s="577"/>
      <c r="I589" s="577"/>
      <c r="J589" s="577"/>
      <c r="K589" s="577"/>
      <c r="L589" s="976"/>
      <c r="M589" s="976"/>
      <c r="N589" s="976"/>
      <c r="O589" s="976"/>
    </row>
    <row r="590">
      <c r="A590" s="67"/>
      <c r="B590" s="645"/>
      <c r="C590" s="575"/>
      <c r="D590" s="576"/>
      <c r="E590" s="576"/>
      <c r="F590" s="576"/>
      <c r="G590" s="577"/>
      <c r="H590" s="577"/>
      <c r="I590" s="577"/>
      <c r="J590" s="577"/>
      <c r="K590" s="577"/>
      <c r="L590" s="976"/>
      <c r="M590" s="976"/>
      <c r="N590" s="976"/>
      <c r="O590" s="976"/>
    </row>
    <row r="591">
      <c r="A591" s="67"/>
      <c r="B591" s="645"/>
      <c r="C591" s="575"/>
      <c r="D591" s="576"/>
      <c r="E591" s="576"/>
      <c r="F591" s="576"/>
      <c r="G591" s="577"/>
      <c r="H591" s="577"/>
      <c r="I591" s="577"/>
      <c r="J591" s="577"/>
      <c r="K591" s="577"/>
      <c r="L591" s="976"/>
      <c r="M591" s="976"/>
      <c r="N591" s="976"/>
      <c r="O591" s="976"/>
    </row>
    <row r="592">
      <c r="A592" s="67"/>
      <c r="B592" s="645"/>
      <c r="C592" s="575"/>
      <c r="D592" s="576"/>
      <c r="E592" s="576"/>
      <c r="F592" s="576"/>
      <c r="G592" s="577"/>
      <c r="H592" s="577"/>
      <c r="I592" s="577"/>
      <c r="J592" s="577"/>
      <c r="K592" s="577"/>
      <c r="L592" s="976"/>
      <c r="M592" s="976"/>
      <c r="N592" s="976"/>
      <c r="O592" s="976"/>
    </row>
    <row r="593">
      <c r="A593" s="67"/>
      <c r="B593" s="645"/>
      <c r="C593" s="575"/>
      <c r="D593" s="576"/>
      <c r="E593" s="576"/>
      <c r="F593" s="576"/>
      <c r="G593" s="577"/>
      <c r="H593" s="577"/>
      <c r="I593" s="577"/>
      <c r="J593" s="577"/>
      <c r="K593" s="577"/>
      <c r="L593" s="976"/>
      <c r="M593" s="976"/>
      <c r="N593" s="976"/>
      <c r="O593" s="976"/>
    </row>
    <row r="594">
      <c r="A594" s="67"/>
      <c r="B594" s="645"/>
      <c r="C594" s="575"/>
      <c r="D594" s="576"/>
      <c r="E594" s="576"/>
      <c r="F594" s="576"/>
      <c r="G594" s="577"/>
      <c r="H594" s="577"/>
      <c r="I594" s="577"/>
      <c r="J594" s="577"/>
      <c r="K594" s="577"/>
      <c r="L594" s="976"/>
      <c r="M594" s="976"/>
      <c r="N594" s="976"/>
      <c r="O594" s="976"/>
    </row>
    <row r="595">
      <c r="A595" s="67"/>
      <c r="B595" s="645"/>
      <c r="C595" s="575"/>
      <c r="D595" s="576"/>
      <c r="E595" s="576"/>
      <c r="F595" s="576"/>
      <c r="G595" s="577"/>
      <c r="H595" s="577"/>
      <c r="I595" s="577"/>
      <c r="J595" s="577"/>
      <c r="K595" s="577"/>
      <c r="L595" s="976"/>
      <c r="M595" s="976"/>
      <c r="N595" s="976"/>
      <c r="O595" s="976"/>
    </row>
    <row r="596">
      <c r="A596" s="67"/>
      <c r="B596" s="645"/>
      <c r="C596" s="575"/>
      <c r="D596" s="576"/>
      <c r="E596" s="576"/>
      <c r="F596" s="576"/>
      <c r="G596" s="577"/>
      <c r="H596" s="577"/>
      <c r="I596" s="577"/>
      <c r="J596" s="577"/>
      <c r="K596" s="577"/>
      <c r="L596" s="976"/>
      <c r="M596" s="976"/>
      <c r="N596" s="976"/>
      <c r="O596" s="976"/>
    </row>
    <row r="597">
      <c r="A597" s="67"/>
      <c r="B597" s="645"/>
      <c r="C597" s="575"/>
      <c r="D597" s="576"/>
      <c r="E597" s="576"/>
      <c r="F597" s="576"/>
      <c r="G597" s="577"/>
      <c r="H597" s="577"/>
      <c r="I597" s="577"/>
      <c r="J597" s="577"/>
      <c r="K597" s="577"/>
      <c r="L597" s="976"/>
      <c r="M597" s="976"/>
      <c r="N597" s="976"/>
      <c r="O597" s="976"/>
    </row>
    <row r="598">
      <c r="A598" s="67"/>
      <c r="B598" s="645"/>
      <c r="C598" s="575"/>
      <c r="D598" s="576"/>
      <c r="E598" s="576"/>
      <c r="F598" s="576"/>
      <c r="G598" s="577"/>
      <c r="H598" s="577"/>
      <c r="I598" s="577"/>
      <c r="J598" s="577"/>
      <c r="K598" s="577"/>
      <c r="L598" s="976"/>
      <c r="M598" s="976"/>
      <c r="N598" s="976"/>
      <c r="O598" s="976"/>
    </row>
    <row r="599">
      <c r="A599" s="67"/>
      <c r="B599" s="645"/>
      <c r="C599" s="575"/>
      <c r="D599" s="576"/>
      <c r="E599" s="576"/>
      <c r="F599" s="576"/>
      <c r="G599" s="577"/>
      <c r="H599" s="577"/>
      <c r="I599" s="577"/>
      <c r="J599" s="577"/>
      <c r="K599" s="577"/>
      <c r="L599" s="976"/>
      <c r="M599" s="976"/>
      <c r="N599" s="976"/>
      <c r="O599" s="976"/>
    </row>
    <row r="600">
      <c r="A600" s="67"/>
      <c r="B600" s="645"/>
      <c r="C600" s="575"/>
      <c r="D600" s="576"/>
      <c r="E600" s="576"/>
      <c r="F600" s="576"/>
      <c r="G600" s="577"/>
      <c r="H600" s="577"/>
      <c r="I600" s="577"/>
      <c r="J600" s="577"/>
      <c r="K600" s="577"/>
      <c r="L600" s="976"/>
      <c r="M600" s="976"/>
      <c r="N600" s="976"/>
      <c r="O600" s="976"/>
    </row>
    <row r="601">
      <c r="A601" s="67"/>
      <c r="B601" s="645"/>
      <c r="C601" s="575"/>
      <c r="D601" s="576"/>
      <c r="E601" s="576"/>
      <c r="F601" s="576"/>
      <c r="G601" s="577"/>
      <c r="H601" s="577"/>
      <c r="I601" s="577"/>
      <c r="J601" s="577"/>
      <c r="K601" s="577"/>
      <c r="L601" s="976"/>
      <c r="M601" s="976"/>
      <c r="N601" s="976"/>
      <c r="O601" s="976"/>
    </row>
    <row r="602">
      <c r="A602" s="67"/>
      <c r="B602" s="645"/>
      <c r="C602" s="575"/>
      <c r="D602" s="576"/>
      <c r="E602" s="576"/>
      <c r="F602" s="576"/>
      <c r="G602" s="577"/>
      <c r="H602" s="577"/>
      <c r="I602" s="577"/>
      <c r="J602" s="577"/>
      <c r="K602" s="577"/>
      <c r="L602" s="976"/>
      <c r="M602" s="976"/>
      <c r="N602" s="976"/>
      <c r="O602" s="976"/>
    </row>
    <row r="603">
      <c r="A603" s="67"/>
      <c r="B603" s="645"/>
      <c r="C603" s="575"/>
      <c r="D603" s="576"/>
      <c r="E603" s="576"/>
      <c r="F603" s="576"/>
      <c r="G603" s="577"/>
      <c r="H603" s="577"/>
      <c r="I603" s="577"/>
      <c r="J603" s="577"/>
      <c r="K603" s="577"/>
      <c r="L603" s="976"/>
      <c r="M603" s="976"/>
      <c r="N603" s="976"/>
      <c r="O603" s="976"/>
    </row>
    <row r="604">
      <c r="A604" s="67"/>
      <c r="B604" s="645"/>
      <c r="C604" s="575"/>
      <c r="D604" s="576"/>
      <c r="E604" s="576"/>
      <c r="F604" s="576"/>
      <c r="G604" s="577"/>
      <c r="H604" s="577"/>
      <c r="I604" s="577"/>
      <c r="J604" s="577"/>
      <c r="K604" s="577"/>
      <c r="L604" s="976"/>
      <c r="M604" s="976"/>
      <c r="N604" s="976"/>
      <c r="O604" s="976"/>
    </row>
    <row r="605">
      <c r="A605" s="67"/>
      <c r="B605" s="645"/>
      <c r="C605" s="575"/>
      <c r="D605" s="576"/>
      <c r="E605" s="576"/>
      <c r="F605" s="576"/>
      <c r="G605" s="577"/>
      <c r="H605" s="577"/>
      <c r="I605" s="577"/>
      <c r="J605" s="577"/>
      <c r="K605" s="577"/>
      <c r="L605" s="976"/>
      <c r="M605" s="976"/>
      <c r="N605" s="976"/>
      <c r="O605" s="976"/>
    </row>
    <row r="606">
      <c r="A606" s="67"/>
      <c r="B606" s="645"/>
      <c r="C606" s="575"/>
      <c r="D606" s="576"/>
      <c r="E606" s="576"/>
      <c r="F606" s="576"/>
      <c r="G606" s="577"/>
      <c r="H606" s="577"/>
      <c r="I606" s="577"/>
      <c r="J606" s="577"/>
      <c r="K606" s="577"/>
      <c r="L606" s="976"/>
      <c r="M606" s="976"/>
      <c r="N606" s="976"/>
      <c r="O606" s="976"/>
    </row>
    <row r="607">
      <c r="A607" s="67"/>
      <c r="B607" s="645"/>
      <c r="C607" s="575"/>
      <c r="D607" s="576"/>
      <c r="E607" s="576"/>
      <c r="F607" s="576"/>
      <c r="G607" s="577"/>
      <c r="H607" s="577"/>
      <c r="I607" s="577"/>
      <c r="J607" s="577"/>
      <c r="K607" s="577"/>
      <c r="L607" s="976"/>
      <c r="M607" s="976"/>
      <c r="N607" s="976"/>
      <c r="O607" s="976"/>
    </row>
    <row r="608">
      <c r="A608" s="67"/>
      <c r="B608" s="645"/>
      <c r="C608" s="575"/>
      <c r="D608" s="576"/>
      <c r="E608" s="576"/>
      <c r="F608" s="576"/>
      <c r="G608" s="577"/>
      <c r="H608" s="577"/>
      <c r="I608" s="577"/>
      <c r="J608" s="577"/>
      <c r="K608" s="577"/>
      <c r="L608" s="976"/>
      <c r="M608" s="976"/>
      <c r="N608" s="976"/>
      <c r="O608" s="976"/>
    </row>
    <row r="609">
      <c r="A609" s="67"/>
      <c r="B609" s="645"/>
      <c r="C609" s="575"/>
      <c r="D609" s="576"/>
      <c r="E609" s="576"/>
      <c r="F609" s="576"/>
      <c r="G609" s="577"/>
      <c r="H609" s="577"/>
      <c r="I609" s="577"/>
      <c r="J609" s="577"/>
      <c r="K609" s="577"/>
      <c r="L609" s="976"/>
      <c r="M609" s="976"/>
      <c r="N609" s="976"/>
      <c r="O609" s="976"/>
    </row>
    <row r="610">
      <c r="A610" s="67"/>
      <c r="B610" s="645"/>
      <c r="C610" s="575"/>
      <c r="D610" s="576"/>
      <c r="E610" s="576"/>
      <c r="F610" s="576"/>
      <c r="G610" s="577"/>
      <c r="H610" s="577"/>
      <c r="I610" s="577"/>
      <c r="J610" s="577"/>
      <c r="K610" s="577"/>
      <c r="L610" s="976"/>
      <c r="M610" s="976"/>
      <c r="N610" s="976"/>
      <c r="O610" s="976"/>
    </row>
    <row r="611">
      <c r="A611" s="67"/>
      <c r="B611" s="645"/>
      <c r="C611" s="575"/>
      <c r="D611" s="576"/>
      <c r="E611" s="576"/>
      <c r="F611" s="576"/>
      <c r="G611" s="577"/>
      <c r="H611" s="577"/>
      <c r="I611" s="577"/>
      <c r="J611" s="577"/>
      <c r="K611" s="577"/>
      <c r="L611" s="976"/>
      <c r="M611" s="976"/>
      <c r="N611" s="976"/>
      <c r="O611" s="976"/>
    </row>
    <row r="612">
      <c r="A612" s="67"/>
      <c r="B612" s="645"/>
      <c r="C612" s="575"/>
      <c r="D612" s="576"/>
      <c r="E612" s="576"/>
      <c r="F612" s="576"/>
      <c r="G612" s="577"/>
      <c r="H612" s="577"/>
      <c r="I612" s="577"/>
      <c r="J612" s="577"/>
      <c r="K612" s="577"/>
      <c r="L612" s="976"/>
      <c r="M612" s="976"/>
      <c r="N612" s="976"/>
      <c r="O612" s="976"/>
    </row>
    <row r="613">
      <c r="A613" s="67"/>
      <c r="B613" s="645"/>
      <c r="C613" s="575"/>
      <c r="D613" s="576"/>
      <c r="E613" s="576"/>
      <c r="F613" s="576"/>
      <c r="G613" s="577"/>
      <c r="H613" s="577"/>
      <c r="I613" s="577"/>
      <c r="J613" s="577"/>
      <c r="K613" s="577"/>
      <c r="L613" s="976"/>
      <c r="M613" s="976"/>
      <c r="N613" s="976"/>
      <c r="O613" s="976"/>
    </row>
    <row r="614">
      <c r="A614" s="67"/>
      <c r="B614" s="645"/>
      <c r="C614" s="575"/>
      <c r="D614" s="576"/>
      <c r="E614" s="576"/>
      <c r="F614" s="576"/>
      <c r="G614" s="577"/>
      <c r="H614" s="577"/>
      <c r="I614" s="577"/>
      <c r="J614" s="577"/>
      <c r="K614" s="577"/>
      <c r="L614" s="976"/>
      <c r="M614" s="976"/>
      <c r="N614" s="976"/>
      <c r="O614" s="976"/>
    </row>
    <row r="615">
      <c r="A615" s="67"/>
      <c r="B615" s="645"/>
      <c r="C615" s="575"/>
      <c r="D615" s="576"/>
      <c r="E615" s="576"/>
      <c r="F615" s="576"/>
      <c r="G615" s="577"/>
      <c r="H615" s="577"/>
      <c r="I615" s="577"/>
      <c r="J615" s="577"/>
      <c r="K615" s="577"/>
      <c r="L615" s="976"/>
      <c r="M615" s="976"/>
      <c r="N615" s="976"/>
      <c r="O615" s="976"/>
    </row>
    <row r="616">
      <c r="A616" s="67"/>
      <c r="B616" s="645"/>
      <c r="C616" s="575"/>
      <c r="D616" s="576"/>
      <c r="E616" s="576"/>
      <c r="F616" s="576"/>
      <c r="G616" s="577"/>
      <c r="H616" s="577"/>
      <c r="I616" s="577"/>
      <c r="J616" s="577"/>
      <c r="K616" s="577"/>
      <c r="L616" s="976"/>
      <c r="M616" s="976"/>
      <c r="N616" s="976"/>
      <c r="O616" s="976"/>
    </row>
    <row r="617">
      <c r="A617" s="67"/>
      <c r="B617" s="645"/>
      <c r="C617" s="575"/>
      <c r="D617" s="576"/>
      <c r="E617" s="576"/>
      <c r="F617" s="576"/>
      <c r="G617" s="577"/>
      <c r="H617" s="577"/>
      <c r="I617" s="577"/>
      <c r="J617" s="577"/>
      <c r="K617" s="577"/>
      <c r="L617" s="976"/>
      <c r="M617" s="976"/>
      <c r="N617" s="976"/>
      <c r="O617" s="976"/>
    </row>
    <row r="618">
      <c r="A618" s="67"/>
      <c r="B618" s="645"/>
      <c r="C618" s="575"/>
      <c r="D618" s="576"/>
      <c r="E618" s="576"/>
      <c r="F618" s="576"/>
      <c r="G618" s="577"/>
      <c r="H618" s="577"/>
      <c r="I618" s="577"/>
      <c r="J618" s="577"/>
      <c r="K618" s="577"/>
      <c r="L618" s="976"/>
      <c r="M618" s="976"/>
      <c r="N618" s="976"/>
      <c r="O618" s="976"/>
    </row>
    <row r="619">
      <c r="A619" s="67"/>
      <c r="B619" s="645"/>
      <c r="C619" s="575"/>
      <c r="D619" s="576"/>
      <c r="E619" s="576"/>
      <c r="F619" s="576"/>
      <c r="G619" s="577"/>
      <c r="H619" s="577"/>
      <c r="I619" s="577"/>
      <c r="J619" s="577"/>
      <c r="K619" s="577"/>
      <c r="L619" s="976"/>
      <c r="M619" s="976"/>
      <c r="N619" s="976"/>
      <c r="O619" s="976"/>
    </row>
    <row r="620">
      <c r="A620" s="67"/>
      <c r="B620" s="645"/>
      <c r="C620" s="575"/>
      <c r="D620" s="576"/>
      <c r="E620" s="576"/>
      <c r="F620" s="576"/>
      <c r="G620" s="577"/>
      <c r="H620" s="577"/>
      <c r="I620" s="577"/>
      <c r="J620" s="577"/>
      <c r="K620" s="577"/>
      <c r="L620" s="976"/>
      <c r="M620" s="976"/>
      <c r="N620" s="976"/>
      <c r="O620" s="976"/>
    </row>
    <row r="621">
      <c r="A621" s="67"/>
      <c r="B621" s="645"/>
      <c r="C621" s="575"/>
      <c r="D621" s="576"/>
      <c r="E621" s="576"/>
      <c r="F621" s="576"/>
      <c r="G621" s="577"/>
      <c r="H621" s="577"/>
      <c r="I621" s="577"/>
      <c r="J621" s="577"/>
      <c r="K621" s="577"/>
      <c r="L621" s="976"/>
      <c r="M621" s="976"/>
      <c r="N621" s="976"/>
      <c r="O621" s="976"/>
    </row>
    <row r="622">
      <c r="A622" s="67"/>
      <c r="B622" s="645"/>
      <c r="C622" s="575"/>
      <c r="D622" s="576"/>
      <c r="E622" s="576"/>
      <c r="F622" s="576"/>
      <c r="G622" s="577"/>
      <c r="H622" s="577"/>
      <c r="I622" s="577"/>
      <c r="J622" s="577"/>
      <c r="K622" s="577"/>
      <c r="L622" s="976"/>
      <c r="M622" s="976"/>
      <c r="N622" s="976"/>
      <c r="O622" s="976"/>
    </row>
    <row r="623">
      <c r="A623" s="67"/>
      <c r="B623" s="645"/>
      <c r="C623" s="575"/>
      <c r="D623" s="576"/>
      <c r="E623" s="576"/>
      <c r="F623" s="576"/>
      <c r="G623" s="577"/>
      <c r="H623" s="577"/>
      <c r="I623" s="577"/>
      <c r="J623" s="577"/>
      <c r="K623" s="577"/>
      <c r="L623" s="976"/>
      <c r="M623" s="976"/>
      <c r="N623" s="976"/>
      <c r="O623" s="976"/>
    </row>
    <row r="624">
      <c r="A624" s="67"/>
      <c r="B624" s="645"/>
      <c r="C624" s="575"/>
      <c r="D624" s="576"/>
      <c r="E624" s="576"/>
      <c r="F624" s="576"/>
      <c r="G624" s="577"/>
      <c r="H624" s="577"/>
      <c r="I624" s="577"/>
      <c r="J624" s="577"/>
      <c r="K624" s="577"/>
      <c r="L624" s="976"/>
      <c r="M624" s="976"/>
      <c r="N624" s="976"/>
      <c r="O624" s="976"/>
    </row>
    <row r="625">
      <c r="A625" s="67"/>
      <c r="B625" s="645"/>
      <c r="C625" s="575"/>
      <c r="D625" s="576"/>
      <c r="E625" s="576"/>
      <c r="F625" s="576"/>
      <c r="G625" s="577"/>
      <c r="H625" s="577"/>
      <c r="I625" s="577"/>
      <c r="J625" s="577"/>
      <c r="K625" s="577"/>
      <c r="L625" s="976"/>
      <c r="M625" s="976"/>
      <c r="N625" s="976"/>
      <c r="O625" s="976"/>
    </row>
    <row r="626">
      <c r="A626" s="67"/>
      <c r="B626" s="645"/>
      <c r="C626" s="575"/>
      <c r="D626" s="576"/>
      <c r="E626" s="576"/>
      <c r="F626" s="576"/>
      <c r="G626" s="577"/>
      <c r="H626" s="577"/>
      <c r="I626" s="577"/>
      <c r="J626" s="577"/>
      <c r="K626" s="577"/>
      <c r="L626" s="976"/>
      <c r="M626" s="976"/>
      <c r="N626" s="976"/>
      <c r="O626" s="976"/>
    </row>
    <row r="627">
      <c r="A627" s="67"/>
      <c r="B627" s="645"/>
      <c r="C627" s="575"/>
      <c r="D627" s="576"/>
      <c r="E627" s="576"/>
      <c r="F627" s="576"/>
      <c r="G627" s="577"/>
      <c r="H627" s="577"/>
      <c r="I627" s="577"/>
      <c r="J627" s="577"/>
      <c r="K627" s="577"/>
      <c r="L627" s="976"/>
      <c r="M627" s="976"/>
      <c r="N627" s="976"/>
      <c r="O627" s="976"/>
    </row>
    <row r="628">
      <c r="A628" s="67"/>
      <c r="B628" s="645"/>
      <c r="C628" s="575"/>
      <c r="D628" s="576"/>
      <c r="E628" s="576"/>
      <c r="F628" s="576"/>
      <c r="G628" s="577"/>
      <c r="H628" s="577"/>
      <c r="I628" s="577"/>
      <c r="J628" s="577"/>
      <c r="K628" s="577"/>
      <c r="L628" s="976"/>
      <c r="M628" s="976"/>
      <c r="N628" s="976"/>
      <c r="O628" s="976"/>
    </row>
    <row r="629">
      <c r="A629" s="67"/>
      <c r="B629" s="645"/>
      <c r="C629" s="575"/>
      <c r="D629" s="576"/>
      <c r="E629" s="576"/>
      <c r="F629" s="576"/>
      <c r="G629" s="577"/>
      <c r="H629" s="577"/>
      <c r="I629" s="577"/>
      <c r="J629" s="577"/>
      <c r="K629" s="577"/>
      <c r="L629" s="976"/>
      <c r="M629" s="976"/>
      <c r="N629" s="976"/>
      <c r="O629" s="976"/>
    </row>
    <row r="630">
      <c r="A630" s="67"/>
      <c r="B630" s="645"/>
      <c r="C630" s="575"/>
      <c r="D630" s="576"/>
      <c r="E630" s="576"/>
      <c r="F630" s="576"/>
      <c r="G630" s="577"/>
      <c r="H630" s="577"/>
      <c r="I630" s="577"/>
      <c r="J630" s="577"/>
      <c r="K630" s="577"/>
      <c r="L630" s="976"/>
      <c r="M630" s="976"/>
      <c r="N630" s="976"/>
      <c r="O630" s="976"/>
    </row>
    <row r="631">
      <c r="A631" s="67"/>
      <c r="B631" s="645"/>
      <c r="C631" s="575"/>
      <c r="D631" s="576"/>
      <c r="E631" s="576"/>
      <c r="F631" s="576"/>
      <c r="G631" s="577"/>
      <c r="H631" s="577"/>
      <c r="I631" s="577"/>
      <c r="J631" s="577"/>
      <c r="K631" s="577"/>
      <c r="L631" s="976"/>
      <c r="M631" s="976"/>
      <c r="N631" s="976"/>
      <c r="O631" s="976"/>
    </row>
    <row r="632">
      <c r="A632" s="67"/>
      <c r="B632" s="645"/>
      <c r="C632" s="575"/>
      <c r="D632" s="576"/>
      <c r="E632" s="576"/>
      <c r="F632" s="576"/>
      <c r="G632" s="577"/>
      <c r="H632" s="577"/>
      <c r="I632" s="577"/>
      <c r="J632" s="577"/>
      <c r="K632" s="577"/>
      <c r="L632" s="976"/>
      <c r="M632" s="976"/>
      <c r="N632" s="976"/>
      <c r="O632" s="976"/>
    </row>
    <row r="633">
      <c r="A633" s="67"/>
      <c r="B633" s="645"/>
      <c r="C633" s="575"/>
      <c r="D633" s="576"/>
      <c r="E633" s="576"/>
      <c r="F633" s="576"/>
      <c r="G633" s="577"/>
      <c r="H633" s="577"/>
      <c r="I633" s="577"/>
      <c r="J633" s="577"/>
      <c r="K633" s="577"/>
      <c r="L633" s="976"/>
      <c r="M633" s="976"/>
      <c r="N633" s="976"/>
      <c r="O633" s="976"/>
    </row>
    <row r="634">
      <c r="A634" s="67"/>
      <c r="B634" s="645"/>
      <c r="C634" s="575"/>
      <c r="D634" s="576"/>
      <c r="E634" s="576"/>
      <c r="F634" s="576"/>
      <c r="G634" s="577"/>
      <c r="H634" s="577"/>
      <c r="I634" s="577"/>
      <c r="J634" s="577"/>
      <c r="K634" s="577"/>
      <c r="L634" s="976"/>
      <c r="M634" s="976"/>
      <c r="N634" s="976"/>
      <c r="O634" s="976"/>
    </row>
    <row r="635">
      <c r="A635" s="67"/>
      <c r="B635" s="645"/>
      <c r="C635" s="575"/>
      <c r="D635" s="576"/>
      <c r="E635" s="576"/>
      <c r="F635" s="576"/>
      <c r="G635" s="577"/>
      <c r="H635" s="577"/>
      <c r="I635" s="577"/>
      <c r="J635" s="577"/>
      <c r="K635" s="577"/>
      <c r="L635" s="976"/>
      <c r="M635" s="976"/>
      <c r="N635" s="976"/>
      <c r="O635" s="976"/>
    </row>
    <row r="636">
      <c r="A636" s="67"/>
      <c r="B636" s="645"/>
      <c r="C636" s="575"/>
      <c r="D636" s="576"/>
      <c r="E636" s="576"/>
      <c r="F636" s="576"/>
      <c r="G636" s="577"/>
      <c r="H636" s="577"/>
      <c r="I636" s="577"/>
      <c r="J636" s="577"/>
      <c r="K636" s="577"/>
      <c r="L636" s="976"/>
      <c r="M636" s="976"/>
      <c r="N636" s="976"/>
      <c r="O636" s="976"/>
    </row>
    <row r="637">
      <c r="A637" s="67"/>
      <c r="B637" s="645"/>
      <c r="C637" s="575"/>
      <c r="D637" s="576"/>
      <c r="E637" s="576"/>
      <c r="F637" s="576"/>
      <c r="G637" s="577"/>
      <c r="H637" s="577"/>
      <c r="I637" s="577"/>
      <c r="J637" s="577"/>
      <c r="K637" s="577"/>
      <c r="L637" s="976"/>
      <c r="M637" s="976"/>
      <c r="N637" s="976"/>
      <c r="O637" s="976"/>
    </row>
    <row r="638">
      <c r="A638" s="67"/>
      <c r="B638" s="645"/>
      <c r="C638" s="575"/>
      <c r="D638" s="576"/>
      <c r="E638" s="576"/>
      <c r="F638" s="576"/>
      <c r="G638" s="577"/>
      <c r="H638" s="577"/>
      <c r="I638" s="577"/>
      <c r="J638" s="577"/>
      <c r="K638" s="577"/>
      <c r="L638" s="976"/>
      <c r="M638" s="976"/>
      <c r="N638" s="976"/>
      <c r="O638" s="976"/>
    </row>
    <row r="639">
      <c r="A639" s="67"/>
      <c r="B639" s="645"/>
      <c r="C639" s="575"/>
      <c r="D639" s="576"/>
      <c r="E639" s="576"/>
      <c r="F639" s="576"/>
      <c r="G639" s="577"/>
      <c r="H639" s="577"/>
      <c r="I639" s="577"/>
      <c r="J639" s="577"/>
      <c r="K639" s="577"/>
      <c r="L639" s="976"/>
      <c r="M639" s="976"/>
      <c r="N639" s="976"/>
      <c r="O639" s="976"/>
    </row>
    <row r="640">
      <c r="A640" s="67"/>
      <c r="B640" s="645"/>
      <c r="C640" s="575"/>
      <c r="D640" s="576"/>
      <c r="E640" s="576"/>
      <c r="F640" s="576"/>
      <c r="G640" s="577"/>
      <c r="H640" s="577"/>
      <c r="I640" s="577"/>
      <c r="J640" s="577"/>
      <c r="K640" s="577"/>
      <c r="L640" s="976"/>
      <c r="M640" s="976"/>
      <c r="N640" s="976"/>
      <c r="O640" s="976"/>
    </row>
    <row r="641">
      <c r="A641" s="67"/>
      <c r="B641" s="645"/>
      <c r="C641" s="575"/>
      <c r="D641" s="576"/>
      <c r="E641" s="576"/>
      <c r="F641" s="576"/>
      <c r="G641" s="577"/>
      <c r="H641" s="577"/>
      <c r="I641" s="577"/>
      <c r="J641" s="577"/>
      <c r="K641" s="577"/>
      <c r="L641" s="976"/>
      <c r="M641" s="976"/>
      <c r="N641" s="976"/>
      <c r="O641" s="976"/>
    </row>
    <row r="642">
      <c r="A642" s="67"/>
      <c r="B642" s="645"/>
      <c r="C642" s="575"/>
      <c r="D642" s="576"/>
      <c r="E642" s="576"/>
      <c r="F642" s="576"/>
      <c r="G642" s="577"/>
      <c r="H642" s="577"/>
      <c r="I642" s="577"/>
      <c r="J642" s="577"/>
      <c r="K642" s="577"/>
      <c r="L642" s="976"/>
      <c r="M642" s="976"/>
      <c r="N642" s="976"/>
      <c r="O642" s="976"/>
    </row>
    <row r="643">
      <c r="A643" s="67"/>
      <c r="B643" s="645"/>
      <c r="C643" s="575"/>
      <c r="D643" s="576"/>
      <c r="E643" s="576"/>
      <c r="F643" s="576"/>
      <c r="G643" s="577"/>
      <c r="H643" s="577"/>
      <c r="I643" s="577"/>
      <c r="J643" s="577"/>
      <c r="K643" s="577"/>
      <c r="L643" s="976"/>
      <c r="M643" s="976"/>
      <c r="N643" s="976"/>
      <c r="O643" s="976"/>
    </row>
    <row r="644">
      <c r="A644" s="67"/>
      <c r="B644" s="645"/>
      <c r="C644" s="575"/>
      <c r="D644" s="576"/>
      <c r="E644" s="576"/>
      <c r="F644" s="576"/>
      <c r="G644" s="577"/>
      <c r="H644" s="577"/>
      <c r="I644" s="577"/>
      <c r="J644" s="577"/>
      <c r="K644" s="577"/>
      <c r="L644" s="976"/>
      <c r="M644" s="976"/>
      <c r="N644" s="976"/>
      <c r="O644" s="976"/>
    </row>
    <row r="645">
      <c r="A645" s="67"/>
      <c r="B645" s="645"/>
      <c r="C645" s="575"/>
      <c r="D645" s="576"/>
      <c r="E645" s="576"/>
      <c r="F645" s="576"/>
      <c r="G645" s="577"/>
      <c r="H645" s="577"/>
      <c r="I645" s="577"/>
      <c r="J645" s="577"/>
      <c r="K645" s="577"/>
      <c r="L645" s="976"/>
      <c r="M645" s="976"/>
      <c r="N645" s="976"/>
      <c r="O645" s="976"/>
    </row>
    <row r="646">
      <c r="A646" s="67"/>
      <c r="B646" s="645"/>
      <c r="C646" s="575"/>
      <c r="D646" s="576"/>
      <c r="E646" s="576"/>
      <c r="F646" s="576"/>
      <c r="G646" s="577"/>
      <c r="H646" s="577"/>
      <c r="I646" s="577"/>
      <c r="J646" s="577"/>
      <c r="K646" s="577"/>
      <c r="L646" s="976"/>
      <c r="M646" s="976"/>
      <c r="N646" s="976"/>
      <c r="O646" s="976"/>
    </row>
    <row r="647">
      <c r="A647" s="67"/>
      <c r="B647" s="645"/>
      <c r="C647" s="575"/>
      <c r="D647" s="576"/>
      <c r="E647" s="576"/>
      <c r="F647" s="576"/>
      <c r="G647" s="577"/>
      <c r="H647" s="577"/>
      <c r="I647" s="577"/>
      <c r="J647" s="577"/>
      <c r="K647" s="577"/>
      <c r="L647" s="976"/>
      <c r="M647" s="976"/>
      <c r="N647" s="976"/>
      <c r="O647" s="976"/>
    </row>
    <row r="648">
      <c r="A648" s="67"/>
      <c r="B648" s="645"/>
      <c r="C648" s="575"/>
      <c r="D648" s="576"/>
      <c r="E648" s="576"/>
      <c r="F648" s="576"/>
      <c r="G648" s="577"/>
      <c r="H648" s="577"/>
      <c r="I648" s="577"/>
      <c r="J648" s="577"/>
      <c r="K648" s="577"/>
      <c r="L648" s="976"/>
      <c r="M648" s="976"/>
      <c r="N648" s="976"/>
      <c r="O648" s="976"/>
    </row>
    <row r="649">
      <c r="A649" s="67"/>
      <c r="B649" s="645"/>
      <c r="C649" s="575"/>
      <c r="D649" s="576"/>
      <c r="E649" s="576"/>
      <c r="F649" s="576"/>
      <c r="G649" s="577"/>
      <c r="H649" s="577"/>
      <c r="I649" s="577"/>
      <c r="J649" s="577"/>
      <c r="K649" s="577"/>
      <c r="L649" s="976"/>
      <c r="M649" s="976"/>
      <c r="N649" s="976"/>
      <c r="O649" s="976"/>
    </row>
    <row r="650">
      <c r="A650" s="67"/>
      <c r="B650" s="645"/>
      <c r="C650" s="575"/>
      <c r="D650" s="576"/>
      <c r="E650" s="576"/>
      <c r="F650" s="576"/>
      <c r="G650" s="577"/>
      <c r="H650" s="577"/>
      <c r="I650" s="577"/>
      <c r="J650" s="577"/>
      <c r="K650" s="577"/>
      <c r="L650" s="976"/>
      <c r="M650" s="976"/>
      <c r="N650" s="976"/>
      <c r="O650" s="976"/>
    </row>
    <row r="651">
      <c r="A651" s="67"/>
      <c r="B651" s="645"/>
      <c r="C651" s="575"/>
      <c r="D651" s="576"/>
      <c r="E651" s="576"/>
      <c r="F651" s="576"/>
      <c r="G651" s="577"/>
      <c r="H651" s="577"/>
      <c r="I651" s="577"/>
      <c r="J651" s="577"/>
      <c r="K651" s="577"/>
      <c r="L651" s="976"/>
      <c r="M651" s="976"/>
      <c r="N651" s="976"/>
      <c r="O651" s="976"/>
    </row>
    <row r="652">
      <c r="A652" s="67"/>
      <c r="B652" s="645"/>
      <c r="C652" s="575"/>
      <c r="D652" s="576"/>
      <c r="E652" s="576"/>
      <c r="F652" s="576"/>
      <c r="G652" s="577"/>
      <c r="H652" s="577"/>
      <c r="I652" s="577"/>
      <c r="J652" s="577"/>
      <c r="K652" s="577"/>
      <c r="L652" s="976"/>
      <c r="M652" s="976"/>
      <c r="N652" s="976"/>
      <c r="O652" s="976"/>
    </row>
    <row r="653">
      <c r="A653" s="67"/>
      <c r="B653" s="645"/>
      <c r="C653" s="575"/>
      <c r="D653" s="576"/>
      <c r="E653" s="576"/>
      <c r="F653" s="576"/>
      <c r="G653" s="577"/>
      <c r="H653" s="577"/>
      <c r="I653" s="577"/>
      <c r="J653" s="577"/>
      <c r="K653" s="577"/>
      <c r="L653" s="976"/>
      <c r="M653" s="976"/>
      <c r="N653" s="976"/>
      <c r="O653" s="976"/>
    </row>
    <row r="654">
      <c r="A654" s="67"/>
      <c r="B654" s="645"/>
      <c r="C654" s="575"/>
      <c r="D654" s="576"/>
      <c r="E654" s="576"/>
      <c r="F654" s="576"/>
      <c r="G654" s="577"/>
      <c r="H654" s="577"/>
      <c r="I654" s="577"/>
      <c r="J654" s="577"/>
      <c r="K654" s="577"/>
      <c r="L654" s="976"/>
      <c r="M654" s="976"/>
      <c r="N654" s="976"/>
      <c r="O654" s="976"/>
    </row>
    <row r="655">
      <c r="A655" s="67"/>
      <c r="B655" s="645"/>
      <c r="C655" s="575"/>
      <c r="D655" s="576"/>
      <c r="E655" s="576"/>
      <c r="F655" s="576"/>
      <c r="G655" s="577"/>
      <c r="H655" s="577"/>
      <c r="I655" s="577"/>
      <c r="J655" s="577"/>
      <c r="K655" s="577"/>
      <c r="L655" s="976"/>
      <c r="M655" s="976"/>
      <c r="N655" s="976"/>
      <c r="O655" s="976"/>
    </row>
    <row r="656">
      <c r="A656" s="67"/>
      <c r="B656" s="645"/>
      <c r="C656" s="575"/>
      <c r="D656" s="576"/>
      <c r="E656" s="576"/>
      <c r="F656" s="576"/>
      <c r="G656" s="577"/>
      <c r="H656" s="577"/>
      <c r="I656" s="577"/>
      <c r="J656" s="577"/>
      <c r="K656" s="577"/>
      <c r="L656" s="976"/>
      <c r="M656" s="976"/>
      <c r="N656" s="976"/>
      <c r="O656" s="976"/>
    </row>
    <row r="657">
      <c r="A657" s="67"/>
      <c r="B657" s="645"/>
      <c r="C657" s="575"/>
      <c r="D657" s="576"/>
      <c r="E657" s="576"/>
      <c r="F657" s="576"/>
      <c r="G657" s="577"/>
      <c r="H657" s="577"/>
      <c r="I657" s="577"/>
      <c r="J657" s="577"/>
      <c r="K657" s="577"/>
      <c r="L657" s="976"/>
      <c r="M657" s="976"/>
      <c r="N657" s="976"/>
      <c r="O657" s="976"/>
    </row>
    <row r="658">
      <c r="A658" s="67"/>
      <c r="B658" s="645"/>
      <c r="C658" s="575"/>
      <c r="D658" s="576"/>
      <c r="E658" s="576"/>
      <c r="F658" s="576"/>
      <c r="G658" s="577"/>
      <c r="H658" s="577"/>
      <c r="I658" s="577"/>
      <c r="J658" s="577"/>
      <c r="K658" s="577"/>
      <c r="L658" s="976"/>
      <c r="M658" s="976"/>
      <c r="N658" s="976"/>
      <c r="O658" s="976"/>
    </row>
    <row r="659">
      <c r="A659" s="67"/>
      <c r="B659" s="645"/>
      <c r="C659" s="575"/>
      <c r="D659" s="576"/>
      <c r="E659" s="576"/>
      <c r="F659" s="576"/>
      <c r="G659" s="577"/>
      <c r="H659" s="577"/>
      <c r="I659" s="577"/>
      <c r="J659" s="577"/>
      <c r="K659" s="577"/>
      <c r="L659" s="976"/>
      <c r="M659" s="976"/>
      <c r="N659" s="976"/>
      <c r="O659" s="976"/>
    </row>
    <row r="660">
      <c r="A660" s="67"/>
      <c r="B660" s="645"/>
      <c r="C660" s="575"/>
      <c r="D660" s="576"/>
      <c r="E660" s="576"/>
      <c r="F660" s="576"/>
      <c r="G660" s="577"/>
      <c r="H660" s="577"/>
      <c r="I660" s="577"/>
      <c r="J660" s="577"/>
      <c r="K660" s="577"/>
      <c r="L660" s="976"/>
      <c r="M660" s="976"/>
      <c r="N660" s="976"/>
      <c r="O660" s="976"/>
    </row>
    <row r="661">
      <c r="A661" s="67"/>
      <c r="B661" s="645"/>
      <c r="C661" s="575"/>
      <c r="D661" s="576"/>
      <c r="E661" s="576"/>
      <c r="F661" s="576"/>
      <c r="G661" s="577"/>
      <c r="H661" s="577"/>
      <c r="I661" s="577"/>
      <c r="J661" s="577"/>
      <c r="K661" s="577"/>
      <c r="L661" s="976"/>
      <c r="M661" s="976"/>
      <c r="N661" s="976"/>
      <c r="O661" s="976"/>
    </row>
    <row r="662">
      <c r="A662" s="67"/>
      <c r="B662" s="645"/>
      <c r="C662" s="575"/>
      <c r="D662" s="576"/>
      <c r="E662" s="576"/>
      <c r="F662" s="576"/>
      <c r="G662" s="577"/>
      <c r="H662" s="577"/>
      <c r="I662" s="577"/>
      <c r="J662" s="577"/>
      <c r="K662" s="577"/>
      <c r="L662" s="976"/>
      <c r="M662" s="976"/>
      <c r="N662" s="976"/>
      <c r="O662" s="976"/>
    </row>
    <row r="663">
      <c r="A663" s="67"/>
      <c r="B663" s="645"/>
      <c r="C663" s="575"/>
      <c r="D663" s="576"/>
      <c r="E663" s="576"/>
      <c r="F663" s="576"/>
      <c r="G663" s="577"/>
      <c r="H663" s="577"/>
      <c r="I663" s="577"/>
      <c r="J663" s="577"/>
      <c r="K663" s="577"/>
      <c r="L663" s="976"/>
      <c r="M663" s="976"/>
      <c r="N663" s="976"/>
      <c r="O663" s="976"/>
    </row>
    <row r="664">
      <c r="A664" s="67"/>
      <c r="B664" s="645"/>
      <c r="C664" s="575"/>
      <c r="D664" s="576"/>
      <c r="E664" s="576"/>
      <c r="F664" s="576"/>
      <c r="G664" s="577"/>
      <c r="H664" s="577"/>
      <c r="I664" s="577"/>
      <c r="J664" s="577"/>
      <c r="K664" s="577"/>
      <c r="L664" s="976"/>
      <c r="M664" s="976"/>
      <c r="N664" s="976"/>
      <c r="O664" s="976"/>
    </row>
    <row r="665">
      <c r="A665" s="67"/>
      <c r="B665" s="645"/>
      <c r="C665" s="575"/>
      <c r="D665" s="576"/>
      <c r="E665" s="576"/>
      <c r="F665" s="576"/>
      <c r="G665" s="577"/>
      <c r="H665" s="577"/>
      <c r="I665" s="577"/>
      <c r="J665" s="577"/>
      <c r="K665" s="577"/>
      <c r="L665" s="976"/>
      <c r="M665" s="976"/>
      <c r="N665" s="976"/>
      <c r="O665" s="976"/>
    </row>
    <row r="666">
      <c r="A666" s="67"/>
      <c r="B666" s="645"/>
      <c r="C666" s="575"/>
      <c r="D666" s="576"/>
      <c r="E666" s="576"/>
      <c r="F666" s="576"/>
      <c r="G666" s="577"/>
      <c r="H666" s="577"/>
      <c r="I666" s="577"/>
      <c r="J666" s="577"/>
      <c r="K666" s="577"/>
      <c r="L666" s="976"/>
      <c r="M666" s="976"/>
      <c r="N666" s="976"/>
      <c r="O666" s="976"/>
    </row>
    <row r="667">
      <c r="A667" s="67"/>
      <c r="B667" s="645"/>
      <c r="C667" s="575"/>
      <c r="D667" s="576"/>
      <c r="E667" s="576"/>
      <c r="F667" s="576"/>
      <c r="G667" s="577"/>
      <c r="H667" s="577"/>
      <c r="I667" s="577"/>
      <c r="J667" s="577"/>
      <c r="K667" s="577"/>
      <c r="L667" s="976"/>
      <c r="M667" s="976"/>
      <c r="N667" s="976"/>
      <c r="O667" s="976"/>
    </row>
    <row r="668">
      <c r="A668" s="67"/>
      <c r="B668" s="645"/>
      <c r="C668" s="575"/>
      <c r="D668" s="576"/>
      <c r="E668" s="576"/>
      <c r="F668" s="576"/>
      <c r="G668" s="577"/>
      <c r="H668" s="577"/>
      <c r="I668" s="577"/>
      <c r="J668" s="577"/>
      <c r="K668" s="577"/>
      <c r="L668" s="976"/>
      <c r="M668" s="976"/>
      <c r="N668" s="976"/>
      <c r="O668" s="976"/>
    </row>
    <row r="669">
      <c r="A669" s="67"/>
      <c r="B669" s="645"/>
      <c r="C669" s="575"/>
      <c r="D669" s="576"/>
      <c r="E669" s="576"/>
      <c r="F669" s="576"/>
      <c r="G669" s="577"/>
      <c r="H669" s="577"/>
      <c r="I669" s="577"/>
      <c r="J669" s="577"/>
      <c r="K669" s="577"/>
      <c r="L669" s="976"/>
      <c r="M669" s="976"/>
      <c r="N669" s="976"/>
      <c r="O669" s="976"/>
    </row>
    <row r="670">
      <c r="A670" s="67"/>
      <c r="B670" s="645"/>
      <c r="C670" s="575"/>
      <c r="D670" s="576"/>
      <c r="E670" s="576"/>
      <c r="F670" s="576"/>
      <c r="G670" s="577"/>
      <c r="H670" s="577"/>
      <c r="I670" s="577"/>
      <c r="J670" s="577"/>
      <c r="K670" s="577"/>
      <c r="L670" s="976"/>
      <c r="M670" s="976"/>
      <c r="N670" s="976"/>
      <c r="O670" s="976"/>
    </row>
    <row r="671">
      <c r="A671" s="67"/>
      <c r="B671" s="645"/>
      <c r="C671" s="575"/>
      <c r="D671" s="576"/>
      <c r="E671" s="576"/>
      <c r="F671" s="576"/>
      <c r="G671" s="577"/>
      <c r="H671" s="577"/>
      <c r="I671" s="577"/>
      <c r="J671" s="577"/>
      <c r="K671" s="577"/>
      <c r="L671" s="976"/>
      <c r="M671" s="976"/>
      <c r="N671" s="976"/>
      <c r="O671" s="976"/>
    </row>
    <row r="672">
      <c r="A672" s="67"/>
      <c r="B672" s="645"/>
      <c r="C672" s="575"/>
      <c r="D672" s="576"/>
      <c r="E672" s="576"/>
      <c r="F672" s="576"/>
      <c r="G672" s="577"/>
      <c r="H672" s="577"/>
      <c r="I672" s="577"/>
      <c r="J672" s="577"/>
      <c r="K672" s="577"/>
      <c r="L672" s="976"/>
      <c r="M672" s="976"/>
      <c r="N672" s="976"/>
      <c r="O672" s="976"/>
    </row>
    <row r="673">
      <c r="A673" s="67"/>
      <c r="B673" s="645"/>
      <c r="C673" s="575"/>
      <c r="D673" s="576"/>
      <c r="E673" s="576"/>
      <c r="F673" s="576"/>
      <c r="G673" s="577"/>
      <c r="H673" s="577"/>
      <c r="I673" s="577"/>
      <c r="J673" s="577"/>
      <c r="K673" s="577"/>
      <c r="L673" s="976"/>
      <c r="M673" s="976"/>
      <c r="N673" s="976"/>
      <c r="O673" s="976"/>
    </row>
    <row r="674">
      <c r="A674" s="67"/>
      <c r="B674" s="645"/>
      <c r="C674" s="575"/>
      <c r="D674" s="576"/>
      <c r="E674" s="576"/>
      <c r="F674" s="576"/>
      <c r="G674" s="577"/>
      <c r="H674" s="577"/>
      <c r="I674" s="577"/>
      <c r="J674" s="577"/>
      <c r="K674" s="577"/>
      <c r="L674" s="976"/>
      <c r="M674" s="976"/>
      <c r="N674" s="976"/>
      <c r="O674" s="976"/>
    </row>
    <row r="675">
      <c r="A675" s="67"/>
      <c r="B675" s="645"/>
      <c r="C675" s="575"/>
      <c r="D675" s="576"/>
      <c r="E675" s="576"/>
      <c r="F675" s="576"/>
      <c r="G675" s="577"/>
      <c r="H675" s="577"/>
      <c r="I675" s="577"/>
      <c r="J675" s="577"/>
      <c r="K675" s="577"/>
      <c r="L675" s="976"/>
      <c r="M675" s="976"/>
      <c r="N675" s="976"/>
      <c r="O675" s="976"/>
    </row>
    <row r="676">
      <c r="A676" s="67"/>
      <c r="B676" s="645"/>
      <c r="C676" s="575"/>
      <c r="D676" s="576"/>
      <c r="E676" s="576"/>
      <c r="F676" s="576"/>
      <c r="G676" s="577"/>
      <c r="H676" s="577"/>
      <c r="I676" s="577"/>
      <c r="J676" s="577"/>
      <c r="K676" s="577"/>
      <c r="L676" s="976"/>
      <c r="M676" s="976"/>
      <c r="N676" s="976"/>
      <c r="O676" s="976"/>
    </row>
    <row r="677">
      <c r="A677" s="67"/>
      <c r="B677" s="645"/>
      <c r="C677" s="575"/>
      <c r="D677" s="576"/>
      <c r="E677" s="576"/>
      <c r="F677" s="576"/>
      <c r="G677" s="577"/>
      <c r="H677" s="577"/>
      <c r="I677" s="577"/>
      <c r="J677" s="577"/>
      <c r="K677" s="577"/>
      <c r="L677" s="976"/>
      <c r="M677" s="976"/>
      <c r="N677" s="976"/>
      <c r="O677" s="976"/>
    </row>
    <row r="678">
      <c r="A678" s="67"/>
      <c r="B678" s="645"/>
      <c r="C678" s="575"/>
      <c r="D678" s="576"/>
      <c r="E678" s="576"/>
      <c r="F678" s="576"/>
      <c r="G678" s="577"/>
      <c r="H678" s="577"/>
      <c r="I678" s="577"/>
      <c r="J678" s="577"/>
      <c r="K678" s="577"/>
      <c r="L678" s="976"/>
      <c r="M678" s="976"/>
      <c r="N678" s="976"/>
      <c r="O678" s="976"/>
    </row>
    <row r="679">
      <c r="A679" s="67"/>
      <c r="B679" s="645"/>
      <c r="C679" s="575"/>
      <c r="D679" s="576"/>
      <c r="E679" s="576"/>
      <c r="F679" s="576"/>
      <c r="G679" s="577"/>
      <c r="H679" s="577"/>
      <c r="I679" s="577"/>
      <c r="J679" s="577"/>
      <c r="K679" s="577"/>
      <c r="L679" s="976"/>
      <c r="M679" s="976"/>
      <c r="N679" s="976"/>
      <c r="O679" s="976"/>
    </row>
    <row r="680">
      <c r="A680" s="67"/>
      <c r="B680" s="645"/>
      <c r="C680" s="575"/>
      <c r="D680" s="576"/>
      <c r="E680" s="576"/>
      <c r="F680" s="576"/>
      <c r="G680" s="577"/>
      <c r="H680" s="577"/>
      <c r="I680" s="577"/>
      <c r="J680" s="577"/>
      <c r="K680" s="577"/>
      <c r="L680" s="976"/>
      <c r="M680" s="976"/>
      <c r="N680" s="976"/>
      <c r="O680" s="976"/>
    </row>
    <row r="681">
      <c r="A681" s="67"/>
      <c r="B681" s="645"/>
      <c r="C681" s="575"/>
      <c r="D681" s="576"/>
      <c r="E681" s="576"/>
      <c r="F681" s="576"/>
      <c r="G681" s="577"/>
      <c r="H681" s="577"/>
      <c r="I681" s="577"/>
      <c r="J681" s="577"/>
      <c r="K681" s="577"/>
      <c r="L681" s="976"/>
      <c r="M681" s="976"/>
      <c r="N681" s="976"/>
      <c r="O681" s="976"/>
    </row>
    <row r="682">
      <c r="A682" s="67"/>
      <c r="B682" s="645"/>
      <c r="C682" s="575"/>
      <c r="D682" s="576"/>
      <c r="E682" s="576"/>
      <c r="F682" s="576"/>
      <c r="G682" s="577"/>
      <c r="H682" s="577"/>
      <c r="I682" s="577"/>
      <c r="J682" s="577"/>
      <c r="K682" s="577"/>
      <c r="L682" s="976"/>
      <c r="M682" s="976"/>
      <c r="N682" s="976"/>
      <c r="O682" s="976"/>
    </row>
    <row r="683">
      <c r="A683" s="67"/>
      <c r="B683" s="645"/>
      <c r="C683" s="575"/>
      <c r="D683" s="576"/>
      <c r="E683" s="576"/>
      <c r="F683" s="576"/>
      <c r="G683" s="577"/>
      <c r="H683" s="577"/>
      <c r="I683" s="577"/>
      <c r="J683" s="577"/>
      <c r="K683" s="577"/>
      <c r="L683" s="976"/>
      <c r="M683" s="976"/>
      <c r="N683" s="976"/>
      <c r="O683" s="976"/>
    </row>
  </sheetData>
  <mergeCells count="2">
    <mergeCell ref="B1:F4"/>
    <mergeCell ref="A6:D6"/>
  </mergeCells>
  <dataValidations>
    <dataValidation type="list" allowBlank="1" showErrorMessage="1" sqref="B9:B305">
      <formula1>Listas!$B$3:$B$9</formula1>
    </dataValidation>
  </dataValidations>
  <hyperlinks>
    <hyperlink r:id="rId1" ref="B5"/>
    <hyperlink r:id="rId2" ref="G9"/>
    <hyperlink r:id="rId3" ref="J9"/>
    <hyperlink r:id="rId4" ref="K9"/>
    <hyperlink r:id="rId5" ref="O9"/>
    <hyperlink r:id="rId6" ref="G10"/>
    <hyperlink r:id="rId7" ref="J10"/>
    <hyperlink r:id="rId8" ref="K10"/>
    <hyperlink r:id="rId9" ref="O10"/>
    <hyperlink r:id="rId10" ref="G11"/>
    <hyperlink r:id="rId11" ref="J11"/>
    <hyperlink r:id="rId12" ref="K11"/>
    <hyperlink r:id="rId13" ref="O11"/>
    <hyperlink r:id="rId14" ref="G12"/>
    <hyperlink r:id="rId15" ref="J12"/>
    <hyperlink r:id="rId16" ref="K12"/>
    <hyperlink r:id="rId17" ref="O12"/>
    <hyperlink r:id="rId18" ref="G13"/>
    <hyperlink r:id="rId19" ref="J13"/>
    <hyperlink r:id="rId20" ref="K13"/>
    <hyperlink r:id="rId21" ref="O13"/>
    <hyperlink r:id="rId22" ref="G14"/>
    <hyperlink r:id="rId23" ref="J14"/>
    <hyperlink r:id="rId24" ref="K14"/>
    <hyperlink r:id="rId25" ref="O14"/>
    <hyperlink r:id="rId26" ref="G15"/>
    <hyperlink r:id="rId27" ref="J15"/>
    <hyperlink r:id="rId28" ref="K15"/>
    <hyperlink r:id="rId29" ref="O15"/>
    <hyperlink r:id="rId30" ref="G16"/>
    <hyperlink r:id="rId31" ref="J16"/>
    <hyperlink r:id="rId32" ref="K16"/>
    <hyperlink r:id="rId33" ref="O16"/>
    <hyperlink r:id="rId34" ref="G17"/>
    <hyperlink r:id="rId35" ref="J17"/>
    <hyperlink r:id="rId36" ref="K17"/>
    <hyperlink r:id="rId37" ref="O17"/>
    <hyperlink r:id="rId38" ref="G18"/>
    <hyperlink r:id="rId39" ref="J18"/>
    <hyperlink r:id="rId40" ref="K18"/>
    <hyperlink r:id="rId41" ref="O18"/>
    <hyperlink r:id="rId42" ref="G19"/>
    <hyperlink r:id="rId43" ref="J19"/>
    <hyperlink r:id="rId44" ref="K19"/>
    <hyperlink r:id="rId45" ref="O19"/>
    <hyperlink r:id="rId46" ref="G20"/>
    <hyperlink r:id="rId47" ref="J20"/>
    <hyperlink r:id="rId48" ref="K20"/>
    <hyperlink r:id="rId49" ref="O20"/>
    <hyperlink r:id="rId50" ref="G21"/>
    <hyperlink r:id="rId51" ref="J21"/>
    <hyperlink r:id="rId52" ref="K21"/>
    <hyperlink r:id="rId53" ref="O21"/>
    <hyperlink r:id="rId54" ref="G22"/>
    <hyperlink r:id="rId55" ref="J22"/>
    <hyperlink r:id="rId56" ref="K22"/>
    <hyperlink r:id="rId57" ref="O22"/>
    <hyperlink r:id="rId58" ref="G23"/>
    <hyperlink r:id="rId59" ref="J23"/>
    <hyperlink r:id="rId60" ref="K23"/>
    <hyperlink r:id="rId61" ref="G24"/>
    <hyperlink r:id="rId62" ref="J24"/>
    <hyperlink r:id="rId63" ref="K24"/>
    <hyperlink r:id="rId64" ref="O24"/>
    <hyperlink r:id="rId65" ref="G25"/>
    <hyperlink r:id="rId66" ref="J25"/>
    <hyperlink r:id="rId67" ref="K25"/>
    <hyperlink r:id="rId68" ref="O25"/>
    <hyperlink r:id="rId69" ref="G26"/>
    <hyperlink r:id="rId70" ref="J26"/>
    <hyperlink r:id="rId71" ref="K26"/>
    <hyperlink r:id="rId72" ref="O26"/>
    <hyperlink r:id="rId73" ref="G27"/>
    <hyperlink r:id="rId74" ref="J27"/>
    <hyperlink r:id="rId75" ref="K27"/>
    <hyperlink r:id="rId76" ref="O27"/>
    <hyperlink r:id="rId77" ref="G28"/>
    <hyperlink r:id="rId78" ref="J28"/>
    <hyperlink r:id="rId79" ref="K28"/>
    <hyperlink r:id="rId80" ref="O28"/>
    <hyperlink r:id="rId81" ref="G29"/>
    <hyperlink r:id="rId82" ref="J29"/>
    <hyperlink r:id="rId83" ref="K29"/>
    <hyperlink r:id="rId84" ref="O29"/>
    <hyperlink r:id="rId85" ref="G30"/>
    <hyperlink r:id="rId86" ref="J30"/>
    <hyperlink r:id="rId87" ref="K30"/>
    <hyperlink r:id="rId88" ref="O30"/>
    <hyperlink r:id="rId89" ref="G31"/>
    <hyperlink r:id="rId90" ref="J31"/>
    <hyperlink r:id="rId91" ref="K31"/>
    <hyperlink r:id="rId92" ref="O31"/>
    <hyperlink r:id="rId93" ref="G32"/>
    <hyperlink r:id="rId94" ref="J32"/>
    <hyperlink r:id="rId95" ref="K32"/>
    <hyperlink r:id="rId96" ref="O32"/>
    <hyperlink r:id="rId97" ref="G33"/>
    <hyperlink r:id="rId98" ref="J33"/>
    <hyperlink r:id="rId99" ref="K33"/>
    <hyperlink r:id="rId100" ref="O33"/>
    <hyperlink r:id="rId101" ref="G34"/>
    <hyperlink r:id="rId102" ref="J34"/>
    <hyperlink r:id="rId103" ref="K34"/>
    <hyperlink r:id="rId104" ref="O34"/>
    <hyperlink r:id="rId105" ref="G35"/>
    <hyperlink r:id="rId106" ref="J35"/>
    <hyperlink r:id="rId107" ref="K35"/>
    <hyperlink r:id="rId108" ref="O35"/>
    <hyperlink r:id="rId109" ref="G36"/>
    <hyperlink r:id="rId110" ref="J36"/>
    <hyperlink r:id="rId111" ref="K36"/>
    <hyperlink r:id="rId112" ref="O36"/>
    <hyperlink r:id="rId113" ref="G37"/>
    <hyperlink r:id="rId114" ref="J37"/>
    <hyperlink r:id="rId115" ref="K37"/>
    <hyperlink r:id="rId116" ref="O37"/>
    <hyperlink r:id="rId117" ref="G38"/>
    <hyperlink r:id="rId118" ref="J38"/>
    <hyperlink r:id="rId119" ref="K38"/>
    <hyperlink r:id="rId120" ref="O38"/>
    <hyperlink r:id="rId121" ref="G39"/>
    <hyperlink r:id="rId122" ref="J39"/>
    <hyperlink r:id="rId123" ref="K39"/>
    <hyperlink r:id="rId124" ref="O39"/>
    <hyperlink r:id="rId125" ref="G40"/>
    <hyperlink r:id="rId126" ref="J40"/>
    <hyperlink r:id="rId127" ref="K40"/>
    <hyperlink r:id="rId128" ref="O40"/>
    <hyperlink r:id="rId129" ref="G41"/>
    <hyperlink r:id="rId130" ref="J41"/>
    <hyperlink r:id="rId131" ref="K41"/>
    <hyperlink r:id="rId132" ref="O41"/>
    <hyperlink r:id="rId133" ref="G42"/>
    <hyperlink r:id="rId134" ref="J42"/>
    <hyperlink r:id="rId135" ref="K42"/>
    <hyperlink r:id="rId136" ref="O42"/>
    <hyperlink r:id="rId137" ref="G43"/>
    <hyperlink r:id="rId138" ref="J43"/>
    <hyperlink r:id="rId139" ref="K43"/>
    <hyperlink r:id="rId140" ref="O43"/>
    <hyperlink r:id="rId141" ref="G44"/>
    <hyperlink r:id="rId142" ref="J44"/>
    <hyperlink r:id="rId143" ref="K44"/>
    <hyperlink r:id="rId144" ref="O44"/>
    <hyperlink r:id="rId145" ref="G45"/>
    <hyperlink r:id="rId146" ref="J45"/>
    <hyperlink r:id="rId147" ref="K45"/>
    <hyperlink r:id="rId148" ref="O45"/>
    <hyperlink r:id="rId149" ref="G46"/>
    <hyperlink r:id="rId150" ref="J46"/>
    <hyperlink r:id="rId151" ref="K46"/>
    <hyperlink r:id="rId152" ref="O46"/>
    <hyperlink r:id="rId153" ref="G47"/>
    <hyperlink r:id="rId154" ref="J47"/>
    <hyperlink r:id="rId155" ref="K47"/>
    <hyperlink r:id="rId156" ref="O47"/>
    <hyperlink r:id="rId157" ref="G48"/>
    <hyperlink r:id="rId158" ref="J48"/>
    <hyperlink r:id="rId159" ref="K48"/>
    <hyperlink r:id="rId160" ref="O48"/>
    <hyperlink r:id="rId161" ref="G49"/>
    <hyperlink r:id="rId162" ref="J49"/>
    <hyperlink r:id="rId163" ref="K49"/>
    <hyperlink r:id="rId164" ref="O49"/>
    <hyperlink r:id="rId165" ref="G50"/>
    <hyperlink r:id="rId166" ref="J50"/>
    <hyperlink r:id="rId167" ref="K50"/>
    <hyperlink r:id="rId168" ref="O50"/>
    <hyperlink r:id="rId169" ref="G51"/>
    <hyperlink r:id="rId170" ref="J51"/>
    <hyperlink r:id="rId171" ref="K51"/>
    <hyperlink r:id="rId172" ref="O51"/>
    <hyperlink r:id="rId173" ref="G52"/>
    <hyperlink r:id="rId174" ref="J52"/>
    <hyperlink r:id="rId175" ref="K52"/>
    <hyperlink r:id="rId176" ref="O52"/>
    <hyperlink r:id="rId177" ref="G53"/>
    <hyperlink r:id="rId178" ref="J53"/>
    <hyperlink r:id="rId179" ref="K53"/>
    <hyperlink r:id="rId180" ref="O53"/>
    <hyperlink r:id="rId181" ref="G54"/>
    <hyperlink r:id="rId182" ref="J54"/>
    <hyperlink r:id="rId183" ref="K54"/>
    <hyperlink r:id="rId184" ref="O54"/>
    <hyperlink r:id="rId185" ref="G55"/>
    <hyperlink r:id="rId186" ref="J55"/>
    <hyperlink r:id="rId187" ref="K55"/>
    <hyperlink r:id="rId188" ref="O55"/>
    <hyperlink r:id="rId189" ref="G56"/>
    <hyperlink r:id="rId190" ref="J56"/>
    <hyperlink r:id="rId191" ref="K56"/>
    <hyperlink r:id="rId192" ref="O56"/>
    <hyperlink r:id="rId193" ref="G57"/>
    <hyperlink r:id="rId194" ref="J57"/>
    <hyperlink r:id="rId195" ref="K57"/>
    <hyperlink r:id="rId196" ref="O57"/>
    <hyperlink r:id="rId197" ref="G58"/>
    <hyperlink r:id="rId198" ref="J58"/>
    <hyperlink r:id="rId199" ref="K58"/>
    <hyperlink r:id="rId200" ref="O58"/>
    <hyperlink r:id="rId201" ref="G59"/>
    <hyperlink r:id="rId202" ref="J59"/>
    <hyperlink r:id="rId203" ref="K59"/>
    <hyperlink r:id="rId204" ref="O59"/>
    <hyperlink r:id="rId205" ref="G60"/>
    <hyperlink r:id="rId206" ref="J60"/>
    <hyperlink r:id="rId207" ref="K60"/>
    <hyperlink r:id="rId208" ref="O60"/>
    <hyperlink r:id="rId209" ref="G61"/>
    <hyperlink r:id="rId210" ref="J61"/>
    <hyperlink r:id="rId211" ref="K61"/>
    <hyperlink r:id="rId212" ref="O61"/>
    <hyperlink r:id="rId213" ref="G62"/>
    <hyperlink r:id="rId214" ref="J62"/>
    <hyperlink r:id="rId215" ref="K62"/>
    <hyperlink r:id="rId216" ref="O62"/>
    <hyperlink r:id="rId217" ref="G63"/>
    <hyperlink r:id="rId218" ref="J63"/>
    <hyperlink r:id="rId219" ref="K63"/>
    <hyperlink r:id="rId220" ref="O63"/>
    <hyperlink r:id="rId221" ref="G64"/>
    <hyperlink r:id="rId222" ref="J64"/>
    <hyperlink r:id="rId223" ref="K64"/>
    <hyperlink r:id="rId224" ref="O64"/>
    <hyperlink r:id="rId225" ref="G65"/>
    <hyperlink r:id="rId226" ref="J65"/>
    <hyperlink r:id="rId227" ref="K65"/>
    <hyperlink r:id="rId228" ref="O65"/>
    <hyperlink r:id="rId229" ref="G66"/>
    <hyperlink r:id="rId230" ref="J66"/>
    <hyperlink r:id="rId231" ref="K66"/>
    <hyperlink r:id="rId232" ref="O66"/>
    <hyperlink r:id="rId233" ref="G67"/>
    <hyperlink r:id="rId234" ref="J67"/>
    <hyperlink r:id="rId235" ref="K67"/>
    <hyperlink r:id="rId236" ref="O67"/>
    <hyperlink r:id="rId237" ref="G68"/>
    <hyperlink r:id="rId238" ref="J68"/>
    <hyperlink r:id="rId239" ref="K68"/>
    <hyperlink r:id="rId240" ref="O68"/>
    <hyperlink r:id="rId241" ref="G69"/>
    <hyperlink r:id="rId242" ref="J69"/>
    <hyperlink r:id="rId243" ref="K69"/>
    <hyperlink r:id="rId244" ref="O69"/>
    <hyperlink r:id="rId245" ref="G70"/>
    <hyperlink r:id="rId246" ref="J70"/>
    <hyperlink r:id="rId247" ref="K70"/>
    <hyperlink r:id="rId248" ref="O70"/>
    <hyperlink r:id="rId249" ref="G71"/>
    <hyperlink r:id="rId250" ref="J71"/>
    <hyperlink r:id="rId251" ref="K71"/>
    <hyperlink r:id="rId252" ref="O71"/>
    <hyperlink r:id="rId253" ref="G72"/>
    <hyperlink r:id="rId254" ref="J72"/>
    <hyperlink r:id="rId255" ref="K72"/>
    <hyperlink r:id="rId256" ref="O72"/>
    <hyperlink r:id="rId257" ref="G73"/>
    <hyperlink r:id="rId258" ref="J73"/>
    <hyperlink r:id="rId259" ref="K73"/>
    <hyperlink r:id="rId260" ref="O73"/>
    <hyperlink r:id="rId261" ref="G74"/>
    <hyperlink r:id="rId262" ref="J74"/>
    <hyperlink r:id="rId263" ref="K74"/>
    <hyperlink r:id="rId264" ref="O74"/>
    <hyperlink r:id="rId265" ref="G75"/>
    <hyperlink r:id="rId266" ref="J75"/>
    <hyperlink r:id="rId267" ref="K75"/>
    <hyperlink r:id="rId268" ref="O75"/>
    <hyperlink r:id="rId269" ref="G76"/>
    <hyperlink r:id="rId270" ref="J76"/>
    <hyperlink r:id="rId271" ref="K76"/>
    <hyperlink r:id="rId272" ref="O76"/>
    <hyperlink r:id="rId273" ref="G77"/>
    <hyperlink r:id="rId274" ref="J77"/>
    <hyperlink r:id="rId275" ref="K77"/>
    <hyperlink r:id="rId276" ref="O77"/>
    <hyperlink r:id="rId277" ref="G78"/>
    <hyperlink r:id="rId278" ref="J78"/>
    <hyperlink r:id="rId279" ref="K78"/>
    <hyperlink r:id="rId280" ref="O78"/>
    <hyperlink r:id="rId281" ref="G79"/>
    <hyperlink r:id="rId282" ref="J79"/>
    <hyperlink r:id="rId283" ref="K79"/>
    <hyperlink r:id="rId284" ref="O79"/>
    <hyperlink r:id="rId285" ref="G80"/>
    <hyperlink r:id="rId286" ref="J80"/>
    <hyperlink r:id="rId287" ref="K80"/>
    <hyperlink r:id="rId288" ref="O80"/>
    <hyperlink r:id="rId289" ref="G81"/>
    <hyperlink r:id="rId290" ref="J81"/>
    <hyperlink r:id="rId291" ref="K81"/>
    <hyperlink r:id="rId292" ref="O81"/>
    <hyperlink r:id="rId293" ref="G82"/>
    <hyperlink r:id="rId294" ref="J82"/>
    <hyperlink r:id="rId295" ref="K82"/>
    <hyperlink r:id="rId296" ref="O82"/>
    <hyperlink r:id="rId297" ref="G83"/>
    <hyperlink r:id="rId298" ref="J83"/>
    <hyperlink r:id="rId299" ref="K83"/>
    <hyperlink r:id="rId300" ref="G84"/>
    <hyperlink r:id="rId301" ref="J84"/>
    <hyperlink r:id="rId302" ref="K84"/>
    <hyperlink r:id="rId303" ref="O84"/>
    <hyperlink r:id="rId304" ref="G85"/>
    <hyperlink r:id="rId305" ref="J85"/>
    <hyperlink r:id="rId306" ref="K85"/>
    <hyperlink r:id="rId307" ref="O85"/>
    <hyperlink r:id="rId308" ref="G86"/>
    <hyperlink r:id="rId309" ref="J86"/>
    <hyperlink r:id="rId310" ref="K86"/>
    <hyperlink r:id="rId311" ref="O86"/>
    <hyperlink r:id="rId312" ref="G87"/>
    <hyperlink r:id="rId313" ref="J87"/>
    <hyperlink r:id="rId314" ref="K87"/>
    <hyperlink r:id="rId315" ref="O87"/>
    <hyperlink r:id="rId316" ref="G88"/>
    <hyperlink r:id="rId317" ref="J88"/>
    <hyperlink r:id="rId318" ref="K88"/>
    <hyperlink r:id="rId319" ref="O88"/>
    <hyperlink r:id="rId320" ref="G89"/>
    <hyperlink r:id="rId321" ref="J89"/>
    <hyperlink r:id="rId322" ref="K89"/>
    <hyperlink r:id="rId323" ref="O89"/>
    <hyperlink r:id="rId324" ref="G90"/>
    <hyperlink r:id="rId325" ref="J90"/>
    <hyperlink r:id="rId326" ref="K90"/>
    <hyperlink r:id="rId327" ref="O90"/>
    <hyperlink r:id="rId328" ref="G91"/>
    <hyperlink r:id="rId329" ref="J91"/>
    <hyperlink r:id="rId330" ref="K91"/>
    <hyperlink r:id="rId331" ref="O91"/>
    <hyperlink r:id="rId332" ref="G92"/>
    <hyperlink r:id="rId333" ref="J92"/>
    <hyperlink r:id="rId334" ref="K92"/>
    <hyperlink r:id="rId335" ref="O92"/>
    <hyperlink r:id="rId336" ref="G93"/>
    <hyperlink r:id="rId337" ref="J93"/>
    <hyperlink r:id="rId338" ref="K93"/>
    <hyperlink r:id="rId339" ref="O93"/>
    <hyperlink r:id="rId340" ref="G94"/>
    <hyperlink r:id="rId341" ref="J94"/>
    <hyperlink r:id="rId342" ref="K94"/>
    <hyperlink r:id="rId343" ref="O94"/>
    <hyperlink r:id="rId344" ref="G95"/>
    <hyperlink r:id="rId345" ref="J95"/>
    <hyperlink r:id="rId346" ref="K95"/>
    <hyperlink r:id="rId347" ref="O95"/>
    <hyperlink r:id="rId348" ref="G96"/>
    <hyperlink r:id="rId349" ref="J96"/>
    <hyperlink r:id="rId350" ref="K96"/>
    <hyperlink r:id="rId351" ref="O96"/>
    <hyperlink r:id="rId352" ref="G97"/>
    <hyperlink r:id="rId353" ref="J97"/>
    <hyperlink r:id="rId354" ref="K97"/>
    <hyperlink r:id="rId355" ref="O97"/>
    <hyperlink r:id="rId356" ref="G98"/>
    <hyperlink r:id="rId357" ref="J98"/>
    <hyperlink r:id="rId358" ref="K98"/>
    <hyperlink r:id="rId359" ref="O98"/>
    <hyperlink r:id="rId360" ref="G99"/>
    <hyperlink r:id="rId361" ref="J99"/>
    <hyperlink r:id="rId362" ref="K99"/>
    <hyperlink r:id="rId363" ref="O99"/>
    <hyperlink r:id="rId364" ref="G100"/>
    <hyperlink r:id="rId365" ref="J100"/>
    <hyperlink r:id="rId366" ref="K100"/>
    <hyperlink r:id="rId367" ref="O100"/>
    <hyperlink r:id="rId368" ref="G101"/>
    <hyperlink r:id="rId369" ref="J101"/>
    <hyperlink r:id="rId370" ref="K101"/>
    <hyperlink r:id="rId371" ref="O101"/>
    <hyperlink r:id="rId372" ref="G102"/>
    <hyperlink r:id="rId373" ref="J102"/>
    <hyperlink r:id="rId374" ref="K102"/>
    <hyperlink r:id="rId375" ref="O102"/>
    <hyperlink r:id="rId376" ref="G103"/>
    <hyperlink r:id="rId377" ref="J103"/>
    <hyperlink r:id="rId378" ref="K103"/>
    <hyperlink r:id="rId379" ref="O103"/>
    <hyperlink r:id="rId380" ref="G104"/>
    <hyperlink r:id="rId381" ref="J104"/>
    <hyperlink r:id="rId382" ref="K104"/>
    <hyperlink r:id="rId383" ref="O104"/>
    <hyperlink r:id="rId384" ref="G105"/>
    <hyperlink r:id="rId385" ref="J105"/>
    <hyperlink r:id="rId386" ref="K105"/>
    <hyperlink r:id="rId387" ref="O105"/>
    <hyperlink r:id="rId388" ref="G106"/>
    <hyperlink r:id="rId389" ref="J106"/>
    <hyperlink r:id="rId390" ref="K106"/>
    <hyperlink r:id="rId391" ref="O106"/>
    <hyperlink r:id="rId392" ref="G107"/>
    <hyperlink r:id="rId393" ref="J107"/>
    <hyperlink r:id="rId394" ref="K107"/>
    <hyperlink r:id="rId395" ref="O107"/>
    <hyperlink r:id="rId396" ref="G108"/>
    <hyperlink r:id="rId397" ref="J108"/>
    <hyperlink r:id="rId398" ref="K108"/>
    <hyperlink r:id="rId399" ref="O108"/>
    <hyperlink r:id="rId400" ref="G109"/>
    <hyperlink r:id="rId401" ref="J109"/>
    <hyperlink r:id="rId402" ref="K109"/>
    <hyperlink r:id="rId403" ref="O109"/>
    <hyperlink r:id="rId404" ref="G110"/>
    <hyperlink r:id="rId405" ref="J110"/>
    <hyperlink r:id="rId406" ref="K110"/>
    <hyperlink r:id="rId407" ref="O110"/>
    <hyperlink r:id="rId408" ref="G111"/>
    <hyperlink r:id="rId409" ref="J111"/>
    <hyperlink r:id="rId410" ref="K111"/>
    <hyperlink r:id="rId411" ref="O111"/>
    <hyperlink r:id="rId412" ref="G112"/>
    <hyperlink r:id="rId413" ref="J112"/>
    <hyperlink r:id="rId414" ref="K112"/>
    <hyperlink r:id="rId415" ref="O112"/>
    <hyperlink r:id="rId416" ref="G113"/>
    <hyperlink r:id="rId417" ref="J113"/>
    <hyperlink r:id="rId418" ref="K113"/>
    <hyperlink r:id="rId419" ref="O113"/>
    <hyperlink r:id="rId420" ref="G114"/>
    <hyperlink r:id="rId421" ref="J114"/>
    <hyperlink r:id="rId422" ref="K114"/>
    <hyperlink r:id="rId423" ref="O114"/>
    <hyperlink r:id="rId424" ref="G115"/>
    <hyperlink r:id="rId425" ref="J115"/>
    <hyperlink r:id="rId426" ref="K115"/>
    <hyperlink r:id="rId427" ref="O115"/>
    <hyperlink r:id="rId428" ref="G116"/>
    <hyperlink r:id="rId429" ref="J116"/>
    <hyperlink r:id="rId430" ref="K116"/>
    <hyperlink r:id="rId431" ref="O116"/>
    <hyperlink r:id="rId432" ref="G117"/>
    <hyperlink r:id="rId433" ref="J117"/>
    <hyperlink r:id="rId434" ref="K117"/>
    <hyperlink r:id="rId435" ref="O117"/>
    <hyperlink r:id="rId436" ref="G118"/>
    <hyperlink r:id="rId437" ref="J118"/>
    <hyperlink r:id="rId438" ref="K118"/>
    <hyperlink r:id="rId439" ref="O118"/>
    <hyperlink r:id="rId440" ref="G119"/>
    <hyperlink r:id="rId441" ref="J119"/>
    <hyperlink r:id="rId442" ref="K119"/>
    <hyperlink r:id="rId443" ref="O119"/>
    <hyperlink r:id="rId444" ref="G120"/>
    <hyperlink r:id="rId445" ref="J120"/>
    <hyperlink r:id="rId446" ref="K120"/>
    <hyperlink r:id="rId447" ref="O120"/>
    <hyperlink r:id="rId448" ref="G121"/>
    <hyperlink r:id="rId449" ref="J121"/>
    <hyperlink r:id="rId450" ref="K121"/>
    <hyperlink r:id="rId451" ref="O121"/>
    <hyperlink r:id="rId452" ref="G122"/>
    <hyperlink r:id="rId453" ref="J122"/>
    <hyperlink r:id="rId454" ref="K122"/>
    <hyperlink r:id="rId455" ref="O122"/>
    <hyperlink r:id="rId456" ref="G123"/>
    <hyperlink r:id="rId457" ref="J123"/>
    <hyperlink r:id="rId458" ref="K123"/>
    <hyperlink r:id="rId459" ref="O123"/>
    <hyperlink r:id="rId460" ref="G124"/>
    <hyperlink r:id="rId461" ref="J124"/>
    <hyperlink r:id="rId462" ref="K124"/>
    <hyperlink r:id="rId463" ref="O124"/>
    <hyperlink r:id="rId464" ref="G125"/>
    <hyperlink r:id="rId465" ref="J125"/>
    <hyperlink r:id="rId466" ref="K125"/>
    <hyperlink r:id="rId467" ref="O125"/>
    <hyperlink r:id="rId468" ref="J126"/>
    <hyperlink r:id="rId469" ref="K126"/>
    <hyperlink r:id="rId470" ref="O126"/>
    <hyperlink r:id="rId471" ref="G127"/>
    <hyperlink r:id="rId472" ref="J127"/>
    <hyperlink r:id="rId473" ref="K127"/>
    <hyperlink r:id="rId474" ref="O127"/>
    <hyperlink r:id="rId475" ref="J128"/>
    <hyperlink r:id="rId476" ref="K128"/>
    <hyperlink r:id="rId477" ref="O128"/>
    <hyperlink r:id="rId478" ref="G129"/>
    <hyperlink r:id="rId479" ref="J129"/>
    <hyperlink r:id="rId480" ref="K129"/>
    <hyperlink r:id="rId481" ref="O129"/>
    <hyperlink r:id="rId482" ref="G130"/>
    <hyperlink r:id="rId483" ref="J130"/>
    <hyperlink r:id="rId484" ref="K130"/>
    <hyperlink r:id="rId485" ref="O130"/>
    <hyperlink r:id="rId486" ref="G131"/>
    <hyperlink r:id="rId487" ref="J131"/>
    <hyperlink r:id="rId488" ref="K131"/>
    <hyperlink r:id="rId489" ref="O131"/>
    <hyperlink r:id="rId490" ref="G132"/>
    <hyperlink r:id="rId491" ref="J132"/>
    <hyperlink r:id="rId492" ref="K132"/>
    <hyperlink r:id="rId493" ref="O132"/>
    <hyperlink r:id="rId494" ref="G133"/>
    <hyperlink r:id="rId495" ref="J133"/>
    <hyperlink r:id="rId496" ref="K133"/>
    <hyperlink r:id="rId497" ref="O133"/>
    <hyperlink r:id="rId498" ref="G134"/>
    <hyperlink r:id="rId499" ref="J134"/>
    <hyperlink r:id="rId500" ref="K134"/>
    <hyperlink r:id="rId501" ref="O134"/>
    <hyperlink r:id="rId502" ref="G135"/>
    <hyperlink r:id="rId503" ref="J135"/>
    <hyperlink r:id="rId504" ref="K135"/>
    <hyperlink r:id="rId505" ref="O135"/>
    <hyperlink r:id="rId506" ref="G136"/>
    <hyperlink r:id="rId507" ref="J136"/>
    <hyperlink r:id="rId508" ref="K136"/>
    <hyperlink r:id="rId509" ref="O136"/>
    <hyperlink r:id="rId510" ref="G137"/>
    <hyperlink r:id="rId511" ref="J137"/>
    <hyperlink r:id="rId512" ref="K137"/>
    <hyperlink r:id="rId513" ref="O137"/>
    <hyperlink r:id="rId514" ref="G138"/>
    <hyperlink r:id="rId515" ref="J138"/>
    <hyperlink r:id="rId516" ref="K138"/>
    <hyperlink r:id="rId517" ref="O138"/>
    <hyperlink r:id="rId518" ref="G139"/>
    <hyperlink r:id="rId519" ref="J139"/>
    <hyperlink r:id="rId520" ref="K139"/>
    <hyperlink r:id="rId521" ref="O139"/>
    <hyperlink r:id="rId522" ref="G140"/>
    <hyperlink r:id="rId523" ref="J140"/>
    <hyperlink r:id="rId524" ref="K140"/>
    <hyperlink r:id="rId525" ref="O140"/>
    <hyperlink r:id="rId526" ref="G141"/>
    <hyperlink r:id="rId527" ref="J141"/>
    <hyperlink r:id="rId528" ref="K141"/>
    <hyperlink r:id="rId529" ref="O141"/>
    <hyperlink r:id="rId530" ref="G142"/>
    <hyperlink r:id="rId531" ref="J142"/>
    <hyperlink r:id="rId532" ref="K142"/>
    <hyperlink r:id="rId533" ref="O142"/>
    <hyperlink r:id="rId534" ref="G143"/>
    <hyperlink r:id="rId535" ref="J143"/>
    <hyperlink r:id="rId536" ref="K143"/>
    <hyperlink r:id="rId537" ref="O143"/>
    <hyperlink r:id="rId538" ref="G144"/>
    <hyperlink r:id="rId539" ref="J144"/>
    <hyperlink r:id="rId540" ref="K144"/>
    <hyperlink r:id="rId541" ref="O144"/>
    <hyperlink r:id="rId542" ref="G145"/>
    <hyperlink r:id="rId543" ref="J145"/>
    <hyperlink r:id="rId544" ref="K145"/>
    <hyperlink r:id="rId545" ref="O145"/>
    <hyperlink r:id="rId546" ref="G146"/>
    <hyperlink r:id="rId547" ref="J146"/>
    <hyperlink r:id="rId548" ref="K146"/>
    <hyperlink r:id="rId549" ref="G147"/>
    <hyperlink r:id="rId550" ref="J147"/>
    <hyperlink r:id="rId551" ref="K147"/>
    <hyperlink r:id="rId552" ref="G148"/>
    <hyperlink r:id="rId553" ref="J148"/>
    <hyperlink r:id="rId554" ref="K148"/>
    <hyperlink r:id="rId555" ref="G149"/>
    <hyperlink r:id="rId556" ref="J149"/>
    <hyperlink r:id="rId557" ref="K149"/>
    <hyperlink r:id="rId558" ref="G150"/>
    <hyperlink r:id="rId559" ref="J150"/>
    <hyperlink r:id="rId560" ref="K150"/>
    <hyperlink r:id="rId561" ref="G151"/>
    <hyperlink r:id="rId562" ref="J151"/>
    <hyperlink r:id="rId563" ref="K151"/>
    <hyperlink r:id="rId564" ref="G152"/>
    <hyperlink r:id="rId565" ref="J152"/>
    <hyperlink r:id="rId566" ref="K152"/>
    <hyperlink r:id="rId567" ref="G153"/>
    <hyperlink r:id="rId568" ref="J153"/>
    <hyperlink r:id="rId569" ref="K153"/>
    <hyperlink r:id="rId570" ref="G154"/>
    <hyperlink r:id="rId571" ref="J154"/>
    <hyperlink r:id="rId572" ref="K154"/>
    <hyperlink r:id="rId573" ref="G155"/>
    <hyperlink r:id="rId574" ref="J155"/>
    <hyperlink r:id="rId575" ref="K155"/>
    <hyperlink r:id="rId576" ref="G156"/>
    <hyperlink r:id="rId577" ref="J156"/>
    <hyperlink r:id="rId578" ref="K156"/>
    <hyperlink r:id="rId579" ref="G157"/>
    <hyperlink r:id="rId580" ref="J157"/>
    <hyperlink r:id="rId581" ref="K157"/>
    <hyperlink r:id="rId582" ref="J158"/>
    <hyperlink r:id="rId583" ref="K158"/>
    <hyperlink r:id="rId584" ref="J159"/>
    <hyperlink r:id="rId585" ref="K159"/>
    <hyperlink r:id="rId586" ref="G160"/>
    <hyperlink r:id="rId587" ref="J160"/>
    <hyperlink r:id="rId588" ref="K160"/>
    <hyperlink r:id="rId589" ref="G161"/>
    <hyperlink r:id="rId590" ref="J161"/>
    <hyperlink r:id="rId591" ref="K161"/>
    <hyperlink r:id="rId592" ref="G162"/>
    <hyperlink r:id="rId593" ref="J162"/>
    <hyperlink r:id="rId594" ref="K162"/>
    <hyperlink r:id="rId595" ref="G163"/>
    <hyperlink r:id="rId596" ref="J163"/>
    <hyperlink r:id="rId597" ref="K163"/>
    <hyperlink r:id="rId598" ref="G164"/>
    <hyperlink r:id="rId599" ref="J164"/>
    <hyperlink r:id="rId600" ref="K164"/>
    <hyperlink r:id="rId601" ref="G165"/>
    <hyperlink r:id="rId602" ref="J165"/>
    <hyperlink r:id="rId603" ref="K165"/>
    <hyperlink r:id="rId604" ref="G166"/>
    <hyperlink r:id="rId605" ref="J166"/>
    <hyperlink r:id="rId606" ref="K166"/>
    <hyperlink r:id="rId607" ref="G167"/>
    <hyperlink r:id="rId608" ref="J167"/>
    <hyperlink r:id="rId609" ref="K167"/>
    <hyperlink r:id="rId610" ref="G168"/>
    <hyperlink r:id="rId611" ref="J168"/>
    <hyperlink r:id="rId612" ref="K168"/>
    <hyperlink r:id="rId613" ref="G169"/>
    <hyperlink r:id="rId614" ref="J169"/>
    <hyperlink r:id="rId615" ref="K169"/>
    <hyperlink r:id="rId616" ref="G170"/>
    <hyperlink r:id="rId617" ref="J170"/>
    <hyperlink r:id="rId618" ref="K170"/>
    <hyperlink r:id="rId619" ref="G171"/>
    <hyperlink r:id="rId620" ref="J171"/>
    <hyperlink r:id="rId621" ref="K171"/>
    <hyperlink r:id="rId622" ref="G172"/>
    <hyperlink r:id="rId623" ref="J172"/>
    <hyperlink r:id="rId624" ref="K172"/>
    <hyperlink r:id="rId625" ref="G173"/>
    <hyperlink r:id="rId626" ref="J173"/>
    <hyperlink r:id="rId627" ref="G174"/>
    <hyperlink r:id="rId628" ref="J174"/>
    <hyperlink r:id="rId629" ref="G175"/>
    <hyperlink r:id="rId630" ref="J175"/>
    <hyperlink r:id="rId631" ref="G176"/>
    <hyperlink r:id="rId632" ref="J176"/>
    <hyperlink r:id="rId633" ref="G177"/>
    <hyperlink r:id="rId634" ref="J177"/>
    <hyperlink r:id="rId635" ref="G178"/>
    <hyperlink r:id="rId636" ref="J178"/>
    <hyperlink r:id="rId637" ref="G179"/>
    <hyperlink r:id="rId638" ref="J179"/>
    <hyperlink r:id="rId639" ref="G180"/>
    <hyperlink r:id="rId640" ref="J180"/>
    <hyperlink r:id="rId641" ref="G181"/>
    <hyperlink r:id="rId642" ref="J181"/>
    <hyperlink r:id="rId643" ref="G182"/>
    <hyperlink r:id="rId644" ref="J182"/>
    <hyperlink r:id="rId645" ref="G183"/>
    <hyperlink r:id="rId646" ref="J183"/>
    <hyperlink r:id="rId647" ref="G184"/>
    <hyperlink r:id="rId648" ref="J184"/>
  </hyperlinks>
  <drawing r:id="rId649"/>
  <tableParts count="4">
    <tablePart r:id="rId654"/>
    <tablePart r:id="rId655"/>
    <tablePart r:id="rId656"/>
    <tablePart r:id="rId65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8.0" topLeftCell="A9" activePane="bottomLeft" state="frozen"/>
      <selection activeCell="B10" sqref="B10" pane="bottomLeft"/>
    </sheetView>
  </sheetViews>
  <sheetFormatPr customHeight="1" defaultColWidth="14.43" defaultRowHeight="15.75" outlineLevelCol="1"/>
  <cols>
    <col customWidth="1" min="1" max="1" width="2.29"/>
    <col customWidth="1" min="2" max="2" width="29.86"/>
    <col customWidth="1" min="3" max="3" width="89.29"/>
    <col customWidth="1" min="4" max="4" width="29.14"/>
    <col customWidth="1" min="5" max="5" width="56.29"/>
    <col customWidth="1" min="6" max="6" width="30.71"/>
    <col customWidth="1" min="7" max="7" width="93.57"/>
    <col customWidth="1" min="8" max="8" width="29.0"/>
    <col customWidth="1" min="9" max="9" width="36.57"/>
    <col customWidth="1" min="10" max="10" width="33.14"/>
    <col customWidth="1" min="11" max="13" width="29.71"/>
    <col customWidth="1" min="14" max="17" width="0.43"/>
  </cols>
  <sheetData>
    <row r="1">
      <c r="A1" s="8" t="s">
        <v>3906</v>
      </c>
      <c r="B1" s="9" t="s">
        <v>3910</v>
      </c>
      <c r="C1" s="10"/>
      <c r="D1" s="10"/>
      <c r="E1" s="10"/>
      <c r="F1" s="11"/>
      <c r="G1" s="15"/>
      <c r="H1" s="15"/>
      <c r="I1" s="15"/>
      <c r="J1" s="18"/>
      <c r="K1" s="18"/>
      <c r="L1" s="692"/>
      <c r="M1" s="692"/>
      <c r="N1" s="21"/>
      <c r="O1" s="693"/>
      <c r="P1" s="693"/>
      <c r="Q1" s="693"/>
    </row>
    <row r="2">
      <c r="A2" s="21"/>
      <c r="B2" s="22"/>
      <c r="F2" s="24"/>
      <c r="G2" s="15"/>
      <c r="H2" s="15"/>
      <c r="I2" s="15"/>
      <c r="J2" s="18"/>
      <c r="K2" s="18"/>
      <c r="L2" s="692"/>
      <c r="M2" s="692"/>
      <c r="N2" s="21"/>
      <c r="O2" s="693"/>
      <c r="P2" s="693"/>
      <c r="Q2" s="693"/>
    </row>
    <row r="3" ht="11.25" customHeight="1">
      <c r="A3" s="21"/>
      <c r="B3" s="22"/>
      <c r="F3" s="24"/>
      <c r="G3" s="15"/>
      <c r="H3" s="15"/>
      <c r="I3" s="15"/>
      <c r="J3" s="18"/>
      <c r="K3" s="18"/>
      <c r="L3" s="692"/>
      <c r="M3" s="692"/>
      <c r="N3" s="21"/>
      <c r="O3" s="693"/>
      <c r="P3" s="693"/>
      <c r="Q3" s="693"/>
    </row>
    <row r="4" ht="15.0" customHeight="1">
      <c r="A4" s="21"/>
      <c r="B4" s="26"/>
      <c r="C4" s="27"/>
      <c r="D4" s="27"/>
      <c r="E4" s="27"/>
      <c r="F4" s="28"/>
      <c r="G4" s="18"/>
      <c r="H4" s="18"/>
      <c r="I4" s="18"/>
      <c r="J4" s="18"/>
      <c r="K4" s="18"/>
      <c r="L4" s="692"/>
      <c r="M4" s="692"/>
      <c r="N4" s="21"/>
      <c r="O4" s="693"/>
      <c r="P4" s="693"/>
      <c r="Q4" s="693"/>
    </row>
    <row r="5" ht="16.5" customHeight="1">
      <c r="A5" s="21"/>
      <c r="B5" s="49" t="s">
        <v>39</v>
      </c>
      <c r="C5" s="33"/>
      <c r="D5" s="50"/>
      <c r="E5" s="50"/>
      <c r="F5" s="50"/>
      <c r="G5" s="18"/>
      <c r="H5" s="18"/>
      <c r="I5" s="18"/>
      <c r="J5" s="18"/>
      <c r="K5" s="18"/>
      <c r="L5" s="692"/>
      <c r="M5" s="692"/>
      <c r="N5" s="21"/>
      <c r="O5" s="693"/>
      <c r="P5" s="693"/>
      <c r="Q5" s="693"/>
    </row>
    <row r="6" ht="12.0" customHeight="1">
      <c r="A6" s="106"/>
      <c r="B6" s="52"/>
      <c r="C6" s="52"/>
      <c r="D6" s="53"/>
      <c r="E6" s="107"/>
      <c r="F6" s="50"/>
      <c r="G6" s="18"/>
      <c r="H6" s="18"/>
      <c r="I6" s="18"/>
      <c r="J6" s="18"/>
      <c r="K6" s="54"/>
      <c r="L6" s="19"/>
      <c r="M6" s="19"/>
      <c r="N6" s="695"/>
      <c r="O6" s="693"/>
      <c r="P6" s="693"/>
      <c r="Q6" s="693"/>
    </row>
    <row r="7">
      <c r="A7" s="56"/>
      <c r="B7" s="57"/>
      <c r="C7" s="58"/>
      <c r="D7" s="60"/>
      <c r="E7" s="111"/>
      <c r="F7" s="60"/>
      <c r="G7" s="61"/>
      <c r="H7" s="61"/>
      <c r="I7" s="61"/>
      <c r="J7" s="61"/>
      <c r="K7" s="61"/>
      <c r="L7" s="697"/>
      <c r="M7" s="697"/>
      <c r="N7" s="698"/>
      <c r="O7" s="699"/>
      <c r="P7" s="699"/>
      <c r="Q7" s="699"/>
    </row>
    <row r="8">
      <c r="A8" s="67"/>
      <c r="B8" s="68" t="s">
        <v>0</v>
      </c>
      <c r="C8" s="68" t="s">
        <v>150</v>
      </c>
      <c r="D8" s="70" t="s">
        <v>152</v>
      </c>
      <c r="E8" s="70" t="s">
        <v>153</v>
      </c>
      <c r="F8" s="70" t="s">
        <v>154</v>
      </c>
      <c r="G8" s="72" t="s">
        <v>156</v>
      </c>
      <c r="H8" s="72" t="s">
        <v>158</v>
      </c>
      <c r="I8" s="72" t="s">
        <v>159</v>
      </c>
      <c r="J8" s="72" t="s">
        <v>160</v>
      </c>
      <c r="K8" s="72" t="s">
        <v>162</v>
      </c>
      <c r="L8" s="75" t="s">
        <v>163</v>
      </c>
      <c r="M8" s="75" t="s">
        <v>164</v>
      </c>
      <c r="N8" s="700" t="s">
        <v>165</v>
      </c>
      <c r="O8" s="701" t="s">
        <v>166</v>
      </c>
      <c r="P8" s="699"/>
      <c r="Q8" s="699"/>
    </row>
    <row r="9">
      <c r="A9" s="116"/>
      <c r="B9" s="702" t="s">
        <v>861</v>
      </c>
      <c r="C9" s="195" t="s">
        <v>3954</v>
      </c>
      <c r="D9" s="195" t="s">
        <v>3955</v>
      </c>
      <c r="E9" s="195" t="s">
        <v>2869</v>
      </c>
      <c r="F9" s="165" t="s">
        <v>3959</v>
      </c>
      <c r="G9" s="658" t="s">
        <v>3960</v>
      </c>
      <c r="H9" s="659" t="s">
        <v>224</v>
      </c>
      <c r="I9" s="660" t="s">
        <v>440</v>
      </c>
      <c r="J9" s="196" t="s">
        <v>3965</v>
      </c>
      <c r="K9" s="196" t="s">
        <v>3965</v>
      </c>
      <c r="L9" s="705">
        <v>1.0</v>
      </c>
      <c r="M9" s="706">
        <v>45555.0</v>
      </c>
      <c r="N9" s="707" t="s">
        <v>1096</v>
      </c>
      <c r="O9" s="708" t="s">
        <v>3975</v>
      </c>
      <c r="P9" s="709"/>
      <c r="Q9" s="709"/>
    </row>
    <row r="10">
      <c r="A10" s="116"/>
      <c r="B10" s="702" t="s">
        <v>861</v>
      </c>
      <c r="C10" s="162" t="s">
        <v>3977</v>
      </c>
      <c r="D10" s="162" t="s">
        <v>2859</v>
      </c>
      <c r="E10" s="162" t="s">
        <v>213</v>
      </c>
      <c r="F10" s="162" t="s">
        <v>978</v>
      </c>
      <c r="G10" s="664" t="s">
        <v>981</v>
      </c>
      <c r="H10" s="665" t="s">
        <v>192</v>
      </c>
      <c r="I10" s="666" t="s">
        <v>276</v>
      </c>
      <c r="J10" s="163" t="s">
        <v>3989</v>
      </c>
      <c r="K10" s="163" t="s">
        <v>3989</v>
      </c>
      <c r="L10" s="705">
        <v>1.0</v>
      </c>
      <c r="M10" s="706">
        <v>45562.0</v>
      </c>
      <c r="N10" s="707" t="s">
        <v>533</v>
      </c>
      <c r="O10" s="708" t="s">
        <v>3997</v>
      </c>
      <c r="P10" s="709"/>
      <c r="Q10" s="709"/>
    </row>
    <row r="11">
      <c r="A11" s="116"/>
      <c r="B11" s="702" t="s">
        <v>861</v>
      </c>
      <c r="C11" s="165" t="s">
        <v>3998</v>
      </c>
      <c r="D11" s="165" t="s">
        <v>241</v>
      </c>
      <c r="E11" s="165" t="s">
        <v>213</v>
      </c>
      <c r="F11" s="165" t="s">
        <v>4002</v>
      </c>
      <c r="G11" s="671" t="s">
        <v>245</v>
      </c>
      <c r="H11" s="672" t="s">
        <v>485</v>
      </c>
      <c r="I11" s="673" t="s">
        <v>486</v>
      </c>
      <c r="J11" s="163" t="s">
        <v>4006</v>
      </c>
      <c r="K11" s="163" t="s">
        <v>4006</v>
      </c>
      <c r="L11" s="705">
        <v>1.0</v>
      </c>
      <c r="M11" s="706">
        <v>45569.0</v>
      </c>
      <c r="N11" s="707" t="s">
        <v>482</v>
      </c>
      <c r="O11" s="708" t="s">
        <v>4012</v>
      </c>
      <c r="P11" s="709"/>
      <c r="Q11" s="709"/>
    </row>
    <row r="12">
      <c r="A12" s="116"/>
      <c r="B12" s="702" t="s">
        <v>861</v>
      </c>
      <c r="C12" s="162" t="s">
        <v>4013</v>
      </c>
      <c r="D12" s="253" t="s">
        <v>4014</v>
      </c>
      <c r="E12" s="171" t="s">
        <v>2107</v>
      </c>
      <c r="F12" s="162" t="s">
        <v>4016</v>
      </c>
      <c r="G12" s="664" t="s">
        <v>4017</v>
      </c>
      <c r="H12" s="665" t="s">
        <v>192</v>
      </c>
      <c r="I12" s="666" t="s">
        <v>276</v>
      </c>
      <c r="J12" s="163" t="s">
        <v>4025</v>
      </c>
      <c r="K12" s="163" t="s">
        <v>4025</v>
      </c>
      <c r="L12" s="705">
        <v>2.0</v>
      </c>
      <c r="M12" s="717">
        <v>45576.0</v>
      </c>
      <c r="N12" s="707" t="s">
        <v>996</v>
      </c>
      <c r="O12" s="708" t="s">
        <v>4032</v>
      </c>
      <c r="P12" s="709"/>
      <c r="Q12" s="709"/>
    </row>
    <row r="13">
      <c r="A13" s="116"/>
      <c r="B13" s="702" t="s">
        <v>861</v>
      </c>
      <c r="C13" s="165" t="s">
        <v>4033</v>
      </c>
      <c r="D13" s="165" t="s">
        <v>712</v>
      </c>
      <c r="E13" s="165" t="s">
        <v>317</v>
      </c>
      <c r="F13" s="165" t="s">
        <v>714</v>
      </c>
      <c r="G13" s="674" t="s">
        <v>722</v>
      </c>
      <c r="H13" s="672" t="s">
        <v>461</v>
      </c>
      <c r="I13" s="673" t="s">
        <v>4040</v>
      </c>
      <c r="J13" s="163" t="s">
        <v>4041</v>
      </c>
      <c r="K13" s="163" t="s">
        <v>4041</v>
      </c>
      <c r="L13" s="705">
        <v>1.0</v>
      </c>
      <c r="M13" s="717">
        <v>45583.0</v>
      </c>
      <c r="N13" s="707" t="s">
        <v>778</v>
      </c>
      <c r="O13" s="708" t="s">
        <v>4044</v>
      </c>
      <c r="P13" s="709"/>
      <c r="Q13" s="709"/>
    </row>
    <row r="14">
      <c r="A14" s="116"/>
      <c r="B14" s="702" t="s">
        <v>861</v>
      </c>
      <c r="C14" s="162" t="s">
        <v>4046</v>
      </c>
      <c r="D14" s="162" t="s">
        <v>1720</v>
      </c>
      <c r="E14" s="162" t="s">
        <v>213</v>
      </c>
      <c r="F14" s="162" t="s">
        <v>1722</v>
      </c>
      <c r="G14" s="244" t="s">
        <v>1723</v>
      </c>
      <c r="H14" s="665" t="s">
        <v>192</v>
      </c>
      <c r="I14" s="665" t="s">
        <v>276</v>
      </c>
      <c r="J14" s="719" t="s">
        <v>4056</v>
      </c>
      <c r="K14" s="719" t="s">
        <v>4056</v>
      </c>
      <c r="L14" s="720">
        <v>2.0</v>
      </c>
      <c r="M14" s="721">
        <v>45590.0</v>
      </c>
      <c r="N14" s="722" t="s">
        <v>284</v>
      </c>
      <c r="O14" s="708" t="s">
        <v>4060</v>
      </c>
      <c r="P14" s="709"/>
      <c r="Q14" s="709"/>
    </row>
    <row r="15">
      <c r="A15" s="116"/>
      <c r="B15" s="702" t="s">
        <v>861</v>
      </c>
      <c r="C15" s="165" t="s">
        <v>4063</v>
      </c>
      <c r="D15" s="165" t="s">
        <v>1024</v>
      </c>
      <c r="E15" s="165" t="s">
        <v>213</v>
      </c>
      <c r="F15" s="165" t="s">
        <v>4065</v>
      </c>
      <c r="G15" s="236" t="s">
        <v>1026</v>
      </c>
      <c r="H15" s="672" t="s">
        <v>224</v>
      </c>
      <c r="I15" s="672" t="s">
        <v>3798</v>
      </c>
      <c r="J15" s="163" t="s">
        <v>4070</v>
      </c>
      <c r="K15" s="163" t="s">
        <v>4070</v>
      </c>
      <c r="L15" s="720">
        <v>5.0</v>
      </c>
      <c r="M15" s="723">
        <v>45597.0</v>
      </c>
      <c r="N15" s="722" t="s">
        <v>332</v>
      </c>
      <c r="O15" s="708" t="s">
        <v>4077</v>
      </c>
      <c r="P15" s="709"/>
      <c r="Q15" s="709"/>
    </row>
    <row r="16">
      <c r="A16" s="116"/>
      <c r="B16" s="702" t="s">
        <v>861</v>
      </c>
      <c r="C16" s="162" t="s">
        <v>4078</v>
      </c>
      <c r="D16" s="162" t="s">
        <v>4079</v>
      </c>
      <c r="E16" s="162" t="s">
        <v>410</v>
      </c>
      <c r="F16" s="162" t="s">
        <v>4080</v>
      </c>
      <c r="G16" s="244" t="s">
        <v>4082</v>
      </c>
      <c r="H16" s="665" t="s">
        <v>192</v>
      </c>
      <c r="I16" s="665" t="s">
        <v>276</v>
      </c>
      <c r="J16" s="163" t="s">
        <v>4089</v>
      </c>
      <c r="K16" s="163" t="s">
        <v>4089</v>
      </c>
      <c r="L16" s="720">
        <v>2.0</v>
      </c>
      <c r="M16" s="723">
        <v>45604.0</v>
      </c>
      <c r="N16" s="722" t="s">
        <v>533</v>
      </c>
      <c r="O16" s="708" t="s">
        <v>4094</v>
      </c>
      <c r="P16" s="709"/>
      <c r="Q16" s="709"/>
    </row>
    <row r="17">
      <c r="A17" s="116"/>
      <c r="B17" s="702" t="s">
        <v>861</v>
      </c>
      <c r="C17" s="165" t="s">
        <v>4095</v>
      </c>
      <c r="D17" s="165" t="s">
        <v>1547</v>
      </c>
      <c r="E17" s="165" t="s">
        <v>4096</v>
      </c>
      <c r="F17" s="165" t="s">
        <v>1548</v>
      </c>
      <c r="G17" s="236" t="s">
        <v>1552</v>
      </c>
      <c r="H17" s="237" t="s">
        <v>192</v>
      </c>
      <c r="I17" s="672" t="s">
        <v>195</v>
      </c>
      <c r="J17" s="163" t="s">
        <v>4100</v>
      </c>
      <c r="K17" s="163" t="s">
        <v>4100</v>
      </c>
      <c r="L17" s="720">
        <v>4.57</v>
      </c>
      <c r="M17" s="721">
        <v>45611.0</v>
      </c>
      <c r="N17" s="722" t="s">
        <v>362</v>
      </c>
      <c r="O17" s="708" t="s">
        <v>4106</v>
      </c>
      <c r="P17" s="709"/>
      <c r="Q17" s="709"/>
    </row>
    <row r="18">
      <c r="A18" s="116"/>
      <c r="B18" s="702" t="s">
        <v>861</v>
      </c>
      <c r="C18" s="162" t="s">
        <v>4109</v>
      </c>
      <c r="D18" s="162" t="s">
        <v>1149</v>
      </c>
      <c r="E18" s="162" t="s">
        <v>213</v>
      </c>
      <c r="F18" s="162" t="s">
        <v>1150</v>
      </c>
      <c r="G18" s="244" t="s">
        <v>1151</v>
      </c>
      <c r="H18" s="246" t="s">
        <v>192</v>
      </c>
      <c r="I18" s="246" t="s">
        <v>195</v>
      </c>
      <c r="J18" s="163" t="s">
        <v>4113</v>
      </c>
      <c r="K18" s="163" t="s">
        <v>4113</v>
      </c>
      <c r="L18" s="720">
        <v>2.0</v>
      </c>
      <c r="M18" s="721">
        <v>45618.0</v>
      </c>
      <c r="N18" s="722" t="s">
        <v>257</v>
      </c>
      <c r="O18" s="708" t="s">
        <v>4121</v>
      </c>
      <c r="P18" s="709"/>
      <c r="Q18" s="709"/>
    </row>
    <row r="19">
      <c r="A19" s="116"/>
      <c r="B19" s="702" t="s">
        <v>861</v>
      </c>
      <c r="C19" s="165" t="s">
        <v>4123</v>
      </c>
      <c r="D19" s="165" t="s">
        <v>1458</v>
      </c>
      <c r="E19" s="165" t="s">
        <v>4124</v>
      </c>
      <c r="F19" s="636"/>
      <c r="G19" s="236" t="s">
        <v>1463</v>
      </c>
      <c r="H19" s="237" t="s">
        <v>485</v>
      </c>
      <c r="I19" s="237" t="s">
        <v>386</v>
      </c>
      <c r="J19" s="163" t="s">
        <v>4126</v>
      </c>
      <c r="K19" s="163" t="s">
        <v>4126</v>
      </c>
      <c r="L19" s="720">
        <v>2.0</v>
      </c>
      <c r="M19" s="721">
        <v>45625.0</v>
      </c>
      <c r="N19" s="722" t="s">
        <v>1050</v>
      </c>
      <c r="O19" s="708" t="s">
        <v>4131</v>
      </c>
      <c r="P19" s="709"/>
      <c r="Q19" s="709"/>
    </row>
    <row r="20">
      <c r="A20" s="116"/>
      <c r="B20" s="702" t="s">
        <v>861</v>
      </c>
      <c r="C20" s="162" t="s">
        <v>4132</v>
      </c>
      <c r="D20" s="162" t="s">
        <v>4134</v>
      </c>
      <c r="E20" s="162" t="s">
        <v>4136</v>
      </c>
      <c r="F20" s="227"/>
      <c r="G20" s="244" t="s">
        <v>4139</v>
      </c>
      <c r="H20" s="246" t="s">
        <v>192</v>
      </c>
      <c r="I20" s="246" t="s">
        <v>276</v>
      </c>
      <c r="J20" s="163" t="s">
        <v>4142</v>
      </c>
      <c r="K20" s="163" t="s">
        <v>4142</v>
      </c>
      <c r="L20" s="720">
        <v>2.0</v>
      </c>
      <c r="M20" s="723">
        <v>45632.0</v>
      </c>
      <c r="N20" s="722" t="s">
        <v>749</v>
      </c>
      <c r="O20" s="708" t="s">
        <v>4151</v>
      </c>
      <c r="P20" s="709"/>
      <c r="Q20" s="709"/>
    </row>
    <row r="21">
      <c r="A21" s="116"/>
      <c r="B21" s="702" t="s">
        <v>861</v>
      </c>
      <c r="C21" s="165" t="s">
        <v>4153</v>
      </c>
      <c r="D21" s="165" t="s">
        <v>1869</v>
      </c>
      <c r="E21" s="165" t="s">
        <v>213</v>
      </c>
      <c r="F21" s="741" t="s">
        <v>4154</v>
      </c>
      <c r="G21" s="236" t="s">
        <v>1872</v>
      </c>
      <c r="H21" s="237" t="s">
        <v>192</v>
      </c>
      <c r="I21" s="237" t="s">
        <v>195</v>
      </c>
      <c r="J21" s="163" t="s">
        <v>4156</v>
      </c>
      <c r="K21" s="163" t="s">
        <v>4156</v>
      </c>
      <c r="L21" s="720">
        <v>4.29</v>
      </c>
      <c r="M21" s="721">
        <v>45639.0</v>
      </c>
      <c r="N21" s="722" t="s">
        <v>257</v>
      </c>
      <c r="O21" s="708" t="s">
        <v>4164</v>
      </c>
      <c r="P21" s="709"/>
      <c r="Q21" s="709"/>
    </row>
    <row r="22">
      <c r="A22" s="116"/>
      <c r="B22" s="702" t="s">
        <v>861</v>
      </c>
      <c r="C22" s="162" t="s">
        <v>4167</v>
      </c>
      <c r="D22" s="162" t="s">
        <v>4168</v>
      </c>
      <c r="E22" s="162" t="s">
        <v>213</v>
      </c>
      <c r="F22" s="513" t="s">
        <v>4169</v>
      </c>
      <c r="G22" s="244" t="s">
        <v>4170</v>
      </c>
      <c r="H22" s="246" t="s">
        <v>224</v>
      </c>
      <c r="I22" s="246" t="s">
        <v>440</v>
      </c>
      <c r="J22" s="163" t="s">
        <v>4175</v>
      </c>
      <c r="K22" s="163" t="s">
        <v>4175</v>
      </c>
      <c r="L22" s="720">
        <v>2.0</v>
      </c>
      <c r="M22" s="721">
        <v>45646.0</v>
      </c>
      <c r="N22" s="722" t="s">
        <v>1096</v>
      </c>
      <c r="O22" s="708" t="s">
        <v>4184</v>
      </c>
      <c r="P22" s="709"/>
      <c r="Q22" s="709"/>
    </row>
    <row r="23">
      <c r="A23" s="116"/>
      <c r="B23" s="702" t="s">
        <v>861</v>
      </c>
      <c r="C23" s="165" t="s">
        <v>4185</v>
      </c>
      <c r="D23" s="165" t="s">
        <v>4186</v>
      </c>
      <c r="E23" s="165" t="s">
        <v>2107</v>
      </c>
      <c r="F23" s="165" t="s">
        <v>4187</v>
      </c>
      <c r="G23" s="236" t="s">
        <v>4188</v>
      </c>
      <c r="H23" s="237" t="s">
        <v>485</v>
      </c>
      <c r="I23" s="237" t="s">
        <v>3136</v>
      </c>
      <c r="J23" s="163" t="s">
        <v>4196</v>
      </c>
      <c r="K23" s="163" t="s">
        <v>4196</v>
      </c>
      <c r="L23" s="720">
        <v>1.0</v>
      </c>
      <c r="M23" s="721">
        <v>45653.0</v>
      </c>
      <c r="N23" s="722" t="s">
        <v>1372</v>
      </c>
      <c r="O23" s="708" t="s">
        <v>4202</v>
      </c>
      <c r="P23" s="709"/>
      <c r="Q23" s="709"/>
    </row>
    <row r="24">
      <c r="A24" s="116"/>
      <c r="B24" s="702" t="s">
        <v>861</v>
      </c>
      <c r="C24" s="162" t="s">
        <v>4203</v>
      </c>
      <c r="D24" s="162" t="s">
        <v>4204</v>
      </c>
      <c r="E24" s="162" t="s">
        <v>213</v>
      </c>
      <c r="F24" s="171" t="s">
        <v>4205</v>
      </c>
      <c r="G24" s="244" t="s">
        <v>4206</v>
      </c>
      <c r="H24" s="246" t="s">
        <v>461</v>
      </c>
      <c r="I24" s="602" t="s">
        <v>530</v>
      </c>
      <c r="J24" s="163" t="s">
        <v>4212</v>
      </c>
      <c r="K24" s="163" t="s">
        <v>4212</v>
      </c>
      <c r="L24" s="720">
        <v>1.0</v>
      </c>
      <c r="M24" s="723">
        <v>45660.0</v>
      </c>
      <c r="N24" s="722" t="s">
        <v>547</v>
      </c>
      <c r="O24" s="708" t="s">
        <v>4217</v>
      </c>
      <c r="P24" s="709"/>
      <c r="Q24" s="709"/>
    </row>
    <row r="25">
      <c r="A25" s="116"/>
      <c r="B25" s="702" t="s">
        <v>861</v>
      </c>
      <c r="C25" s="165" t="s">
        <v>4219</v>
      </c>
      <c r="D25" s="165" t="s">
        <v>4220</v>
      </c>
      <c r="E25" s="694" t="s">
        <v>4223</v>
      </c>
      <c r="F25" s="165" t="s">
        <v>4225</v>
      </c>
      <c r="G25" s="236" t="s">
        <v>4228</v>
      </c>
      <c r="H25" s="672" t="s">
        <v>485</v>
      </c>
      <c r="I25" s="672" t="s">
        <v>386</v>
      </c>
      <c r="J25" s="163" t="s">
        <v>4230</v>
      </c>
      <c r="K25" s="163" t="s">
        <v>4230</v>
      </c>
      <c r="L25" s="720">
        <v>2.0</v>
      </c>
      <c r="M25" s="723">
        <v>45667.0</v>
      </c>
      <c r="N25" s="722" t="s">
        <v>1050</v>
      </c>
      <c r="O25" s="708" t="s">
        <v>4233</v>
      </c>
      <c r="P25" s="709"/>
      <c r="Q25" s="709"/>
    </row>
    <row r="26">
      <c r="A26" s="116"/>
      <c r="B26" s="702" t="s">
        <v>861</v>
      </c>
      <c r="C26" s="162" t="s">
        <v>4238</v>
      </c>
      <c r="D26" s="162" t="s">
        <v>4239</v>
      </c>
      <c r="E26" s="162" t="s">
        <v>4240</v>
      </c>
      <c r="F26" s="162" t="s">
        <v>4241</v>
      </c>
      <c r="G26" s="244" t="s">
        <v>4242</v>
      </c>
      <c r="H26" s="246" t="s">
        <v>461</v>
      </c>
      <c r="I26" s="246" t="s">
        <v>530</v>
      </c>
      <c r="J26" s="163" t="s">
        <v>4246</v>
      </c>
      <c r="K26" s="163" t="s">
        <v>4246</v>
      </c>
      <c r="L26" s="720">
        <v>1.0</v>
      </c>
      <c r="M26" s="723">
        <v>45674.0</v>
      </c>
      <c r="N26" s="722" t="s">
        <v>547</v>
      </c>
      <c r="O26" s="708" t="s">
        <v>4255</v>
      </c>
      <c r="P26" s="709"/>
      <c r="Q26" s="709"/>
    </row>
    <row r="27">
      <c r="A27" s="116"/>
      <c r="B27" s="702" t="s">
        <v>861</v>
      </c>
      <c r="C27" s="165" t="s">
        <v>4256</v>
      </c>
      <c r="D27" s="165" t="s">
        <v>1350</v>
      </c>
      <c r="E27" s="165" t="s">
        <v>1477</v>
      </c>
      <c r="F27" s="165" t="s">
        <v>1352</v>
      </c>
      <c r="G27" s="236" t="s">
        <v>1362</v>
      </c>
      <c r="H27" s="237" t="s">
        <v>192</v>
      </c>
      <c r="I27" s="237" t="s">
        <v>195</v>
      </c>
      <c r="J27" s="163" t="s">
        <v>4261</v>
      </c>
      <c r="K27" s="163" t="s">
        <v>4261</v>
      </c>
      <c r="L27" s="749">
        <v>1.0</v>
      </c>
      <c r="M27" s="750">
        <v>45681.0</v>
      </c>
      <c r="N27" s="751" t="s">
        <v>362</v>
      </c>
      <c r="O27" s="752" t="s">
        <v>4270</v>
      </c>
      <c r="P27" s="753"/>
      <c r="Q27" s="753"/>
    </row>
    <row r="28">
      <c r="A28" s="116"/>
      <c r="B28" s="702" t="s">
        <v>861</v>
      </c>
      <c r="C28" s="162" t="s">
        <v>4272</v>
      </c>
      <c r="D28" s="162" t="s">
        <v>4273</v>
      </c>
      <c r="E28" s="162" t="s">
        <v>317</v>
      </c>
      <c r="F28" s="162" t="s">
        <v>4274</v>
      </c>
      <c r="G28" s="244" t="s">
        <v>4275</v>
      </c>
      <c r="H28" s="246" t="s">
        <v>192</v>
      </c>
      <c r="I28" s="246" t="s">
        <v>276</v>
      </c>
      <c r="J28" s="163" t="s">
        <v>4281</v>
      </c>
      <c r="K28" s="163" t="s">
        <v>4281</v>
      </c>
      <c r="L28" s="749">
        <v>1.0</v>
      </c>
      <c r="M28" s="750">
        <v>45688.0</v>
      </c>
      <c r="N28" s="751" t="s">
        <v>469</v>
      </c>
      <c r="O28" s="752" t="s">
        <v>4287</v>
      </c>
      <c r="P28" s="753"/>
      <c r="Q28" s="753"/>
    </row>
    <row r="29">
      <c r="A29" s="116"/>
      <c r="B29" s="702" t="s">
        <v>861</v>
      </c>
      <c r="C29" s="165" t="s">
        <v>4289</v>
      </c>
      <c r="D29" s="165" t="s">
        <v>4291</v>
      </c>
      <c r="E29" s="165" t="s">
        <v>317</v>
      </c>
      <c r="F29" s="165" t="s">
        <v>4293</v>
      </c>
      <c r="G29" s="236" t="s">
        <v>4294</v>
      </c>
      <c r="H29" s="237" t="s">
        <v>224</v>
      </c>
      <c r="I29" s="237" t="s">
        <v>226</v>
      </c>
      <c r="J29" s="163" t="s">
        <v>4304</v>
      </c>
      <c r="K29" s="163" t="s">
        <v>4304</v>
      </c>
      <c r="L29" s="749">
        <v>1.0</v>
      </c>
      <c r="M29" s="750">
        <v>45695.0</v>
      </c>
      <c r="N29" s="751" t="s">
        <v>238</v>
      </c>
      <c r="O29" s="752" t="s">
        <v>4307</v>
      </c>
      <c r="P29" s="753"/>
      <c r="Q29" s="753"/>
    </row>
    <row r="30">
      <c r="A30" s="116"/>
      <c r="B30" s="702" t="s">
        <v>861</v>
      </c>
      <c r="C30" s="162" t="s">
        <v>4310</v>
      </c>
      <c r="D30" s="162" t="s">
        <v>2859</v>
      </c>
      <c r="E30" s="162" t="s">
        <v>4311</v>
      </c>
      <c r="F30" s="162" t="s">
        <v>4312</v>
      </c>
      <c r="G30" s="244" t="s">
        <v>981</v>
      </c>
      <c r="H30" s="246" t="s">
        <v>485</v>
      </c>
      <c r="I30" s="246" t="s">
        <v>3136</v>
      </c>
      <c r="J30" s="163" t="s">
        <v>4313</v>
      </c>
      <c r="K30" s="163" t="s">
        <v>4313</v>
      </c>
      <c r="L30" s="749">
        <v>2.0</v>
      </c>
      <c r="M30" s="750">
        <v>45702.0</v>
      </c>
      <c r="N30" s="751" t="s">
        <v>482</v>
      </c>
      <c r="O30" s="752" t="s">
        <v>4319</v>
      </c>
      <c r="P30" s="753"/>
      <c r="Q30" s="753"/>
    </row>
    <row r="31">
      <c r="A31" s="116"/>
      <c r="B31" s="702" t="s">
        <v>861</v>
      </c>
      <c r="C31" s="165" t="s">
        <v>4320</v>
      </c>
      <c r="D31" s="165" t="s">
        <v>241</v>
      </c>
      <c r="E31" s="165" t="s">
        <v>213</v>
      </c>
      <c r="F31" s="165" t="s">
        <v>4002</v>
      </c>
      <c r="G31" s="236" t="s">
        <v>245</v>
      </c>
      <c r="H31" s="237" t="s">
        <v>485</v>
      </c>
      <c r="I31" s="237" t="s">
        <v>3136</v>
      </c>
      <c r="J31" s="163" t="s">
        <v>4321</v>
      </c>
      <c r="K31" s="163" t="s">
        <v>4321</v>
      </c>
      <c r="L31" s="749">
        <v>2.0</v>
      </c>
      <c r="M31" s="750">
        <v>45709.0</v>
      </c>
      <c r="N31" s="751" t="s">
        <v>482</v>
      </c>
      <c r="O31" s="752" t="s">
        <v>4325</v>
      </c>
      <c r="P31" s="753"/>
      <c r="Q31" s="753"/>
    </row>
    <row r="32">
      <c r="A32" s="116"/>
      <c r="B32" s="702" t="s">
        <v>861</v>
      </c>
      <c r="C32" s="162" t="s">
        <v>4329</v>
      </c>
      <c r="D32" s="162" t="s">
        <v>701</v>
      </c>
      <c r="E32" s="162" t="s">
        <v>3242</v>
      </c>
      <c r="F32" s="162" t="s">
        <v>704</v>
      </c>
      <c r="G32" s="244" t="s">
        <v>705</v>
      </c>
      <c r="H32" s="246" t="s">
        <v>461</v>
      </c>
      <c r="I32" s="246" t="s">
        <v>462</v>
      </c>
      <c r="J32" s="163" t="s">
        <v>4332</v>
      </c>
      <c r="K32" s="163" t="s">
        <v>4332</v>
      </c>
      <c r="L32" s="749">
        <v>2.0</v>
      </c>
      <c r="M32" s="750">
        <v>45716.0</v>
      </c>
      <c r="N32" s="751" t="s">
        <v>880</v>
      </c>
      <c r="O32" s="752" t="s">
        <v>4335</v>
      </c>
      <c r="P32" s="753"/>
      <c r="Q32" s="753"/>
    </row>
    <row r="33">
      <c r="A33" s="116"/>
      <c r="B33" s="702" t="s">
        <v>861</v>
      </c>
      <c r="C33" s="165" t="s">
        <v>4338</v>
      </c>
      <c r="D33" s="165" t="s">
        <v>620</v>
      </c>
      <c r="E33" s="165" t="s">
        <v>1812</v>
      </c>
      <c r="F33" s="165" t="s">
        <v>622</v>
      </c>
      <c r="G33" s="236" t="s">
        <v>624</v>
      </c>
      <c r="H33" s="237" t="s">
        <v>224</v>
      </c>
      <c r="I33" s="237" t="s">
        <v>440</v>
      </c>
      <c r="J33" s="163" t="s">
        <v>4342</v>
      </c>
      <c r="K33" s="163" t="s">
        <v>4342</v>
      </c>
      <c r="L33" s="749">
        <v>2.0</v>
      </c>
      <c r="M33" s="750">
        <v>45723.0</v>
      </c>
      <c r="N33" s="751" t="s">
        <v>442</v>
      </c>
      <c r="O33" s="752" t="s">
        <v>4345</v>
      </c>
      <c r="P33" s="753"/>
      <c r="Q33" s="753"/>
    </row>
    <row r="34">
      <c r="A34" s="116"/>
      <c r="B34" s="702" t="s">
        <v>861</v>
      </c>
      <c r="C34" s="162" t="s">
        <v>4346</v>
      </c>
      <c r="D34" s="162" t="s">
        <v>4347</v>
      </c>
      <c r="E34" s="162" t="s">
        <v>4348</v>
      </c>
      <c r="F34" s="162" t="s">
        <v>4349</v>
      </c>
      <c r="G34" s="244" t="s">
        <v>4350</v>
      </c>
      <c r="H34" s="246" t="s">
        <v>192</v>
      </c>
      <c r="I34" s="246" t="s">
        <v>276</v>
      </c>
      <c r="J34" s="163" t="s">
        <v>4356</v>
      </c>
      <c r="K34" s="163" t="s">
        <v>4356</v>
      </c>
      <c r="L34" s="749">
        <v>2.0</v>
      </c>
      <c r="M34" s="750">
        <v>45730.0</v>
      </c>
      <c r="N34" s="751" t="s">
        <v>284</v>
      </c>
      <c r="O34" s="752" t="s">
        <v>4360</v>
      </c>
      <c r="P34" s="753"/>
      <c r="Q34" s="753"/>
    </row>
    <row r="35">
      <c r="A35" s="116"/>
      <c r="B35" s="702" t="s">
        <v>861</v>
      </c>
      <c r="C35" s="165" t="s">
        <v>4361</v>
      </c>
      <c r="D35" s="165" t="s">
        <v>4014</v>
      </c>
      <c r="E35" s="165" t="s">
        <v>2107</v>
      </c>
      <c r="F35" s="165" t="s">
        <v>4016</v>
      </c>
      <c r="G35" s="236" t="s">
        <v>4209</v>
      </c>
      <c r="H35" s="237" t="s">
        <v>192</v>
      </c>
      <c r="I35" s="237" t="s">
        <v>195</v>
      </c>
      <c r="J35" s="163" t="s">
        <v>4367</v>
      </c>
      <c r="K35" s="163" t="s">
        <v>4367</v>
      </c>
      <c r="L35" s="749">
        <v>2.0</v>
      </c>
      <c r="M35" s="750">
        <v>45737.0</v>
      </c>
      <c r="N35" s="751" t="s">
        <v>897</v>
      </c>
      <c r="O35" s="752" t="s">
        <v>4370</v>
      </c>
      <c r="P35" s="753"/>
      <c r="Q35" s="753"/>
    </row>
    <row r="36">
      <c r="A36" s="116"/>
      <c r="B36" s="702" t="s">
        <v>861</v>
      </c>
      <c r="C36" s="162" t="s">
        <v>4372</v>
      </c>
      <c r="D36" s="162" t="s">
        <v>4373</v>
      </c>
      <c r="E36" s="162" t="s">
        <v>4374</v>
      </c>
      <c r="F36" s="162" t="s">
        <v>4375</v>
      </c>
      <c r="G36" s="244" t="s">
        <v>4376</v>
      </c>
      <c r="H36" s="246" t="s">
        <v>461</v>
      </c>
      <c r="I36" s="246" t="s">
        <v>462</v>
      </c>
      <c r="J36" s="163" t="s">
        <v>4381</v>
      </c>
      <c r="K36" s="163" t="s">
        <v>4381</v>
      </c>
      <c r="L36" s="749">
        <v>1.0</v>
      </c>
      <c r="M36" s="750">
        <v>45744.0</v>
      </c>
      <c r="N36" s="751" t="s">
        <v>880</v>
      </c>
      <c r="O36" s="752" t="s">
        <v>4383</v>
      </c>
      <c r="P36" s="753"/>
      <c r="Q36" s="753"/>
    </row>
    <row r="37">
      <c r="A37" s="116"/>
      <c r="B37" s="702" t="s">
        <v>861</v>
      </c>
      <c r="C37" s="165" t="s">
        <v>4384</v>
      </c>
      <c r="D37" s="165" t="s">
        <v>4385</v>
      </c>
      <c r="E37" s="165" t="s">
        <v>1477</v>
      </c>
      <c r="F37" s="165" t="s">
        <v>4386</v>
      </c>
      <c r="G37" s="236" t="s">
        <v>4387</v>
      </c>
      <c r="H37" s="237" t="s">
        <v>224</v>
      </c>
      <c r="I37" s="237" t="s">
        <v>3798</v>
      </c>
      <c r="J37" s="163" t="s">
        <v>4390</v>
      </c>
      <c r="K37" s="163" t="s">
        <v>4390</v>
      </c>
      <c r="L37" s="749">
        <v>1.0</v>
      </c>
      <c r="M37" s="750">
        <v>45751.0</v>
      </c>
      <c r="N37" s="751" t="s">
        <v>660</v>
      </c>
      <c r="O37" s="752" t="s">
        <v>4396</v>
      </c>
      <c r="P37" s="753"/>
      <c r="Q37" s="753"/>
    </row>
    <row r="38">
      <c r="A38" s="116"/>
      <c r="B38" s="702" t="s">
        <v>861</v>
      </c>
      <c r="C38" s="162" t="s">
        <v>4397</v>
      </c>
      <c r="D38" s="162" t="s">
        <v>4398</v>
      </c>
      <c r="E38" s="162" t="s">
        <v>317</v>
      </c>
      <c r="F38" s="162" t="s">
        <v>4399</v>
      </c>
      <c r="G38" s="244" t="s">
        <v>4400</v>
      </c>
      <c r="H38" s="246" t="s">
        <v>192</v>
      </c>
      <c r="I38" s="246" t="s">
        <v>276</v>
      </c>
      <c r="J38" s="163" t="s">
        <v>4402</v>
      </c>
      <c r="K38" s="163" t="s">
        <v>4402</v>
      </c>
      <c r="L38" s="749">
        <v>1.0</v>
      </c>
      <c r="M38" s="750">
        <v>45758.0</v>
      </c>
      <c r="N38" s="751" t="s">
        <v>284</v>
      </c>
      <c r="O38" s="752" t="s">
        <v>4403</v>
      </c>
      <c r="P38" s="753"/>
      <c r="Q38" s="753"/>
    </row>
    <row r="39">
      <c r="A39" s="116"/>
      <c r="B39" s="702" t="s">
        <v>861</v>
      </c>
      <c r="C39" s="165" t="s">
        <v>4404</v>
      </c>
      <c r="D39" s="165" t="s">
        <v>1863</v>
      </c>
      <c r="E39" s="165" t="s">
        <v>1864</v>
      </c>
      <c r="F39" s="165" t="s">
        <v>4405</v>
      </c>
      <c r="G39" s="236" t="s">
        <v>1874</v>
      </c>
      <c r="H39" s="237" t="s">
        <v>461</v>
      </c>
      <c r="I39" s="237" t="s">
        <v>530</v>
      </c>
      <c r="J39" s="163" t="s">
        <v>4406</v>
      </c>
      <c r="K39" s="163" t="s">
        <v>4406</v>
      </c>
      <c r="L39" s="749">
        <v>2.0</v>
      </c>
      <c r="M39" s="750">
        <v>45765.0</v>
      </c>
      <c r="N39" s="751" t="s">
        <v>547</v>
      </c>
      <c r="O39" s="752" t="s">
        <v>4412</v>
      </c>
      <c r="P39" s="334"/>
      <c r="Q39" s="334"/>
    </row>
    <row r="40">
      <c r="A40" s="116"/>
      <c r="B40" s="702" t="s">
        <v>861</v>
      </c>
      <c r="C40" s="162" t="s">
        <v>4414</v>
      </c>
      <c r="D40" s="162" t="s">
        <v>4415</v>
      </c>
      <c r="E40" s="162" t="s">
        <v>213</v>
      </c>
      <c r="F40" s="162" t="s">
        <v>4416</v>
      </c>
      <c r="G40" s="244" t="s">
        <v>4417</v>
      </c>
      <c r="H40" s="246" t="s">
        <v>461</v>
      </c>
      <c r="I40" s="246" t="s">
        <v>462</v>
      </c>
      <c r="J40" s="163" t="s">
        <v>4421</v>
      </c>
      <c r="K40" s="163" t="s">
        <v>4421</v>
      </c>
      <c r="L40" s="749">
        <v>2.0</v>
      </c>
      <c r="M40" s="750">
        <v>45772.0</v>
      </c>
      <c r="N40" s="751" t="s">
        <v>886</v>
      </c>
      <c r="O40" s="752" t="s">
        <v>4426</v>
      </c>
      <c r="P40" s="334"/>
      <c r="Q40" s="334"/>
    </row>
    <row r="41">
      <c r="A41" s="116"/>
      <c r="B41" s="702" t="s">
        <v>861</v>
      </c>
      <c r="C41" s="165" t="s">
        <v>4427</v>
      </c>
      <c r="D41" s="165" t="s">
        <v>3251</v>
      </c>
      <c r="E41" s="165" t="s">
        <v>4428</v>
      </c>
      <c r="F41" s="165" t="s">
        <v>447</v>
      </c>
      <c r="G41" s="236" t="s">
        <v>3257</v>
      </c>
      <c r="H41" s="237" t="s">
        <v>461</v>
      </c>
      <c r="I41" s="237" t="s">
        <v>530</v>
      </c>
      <c r="J41" s="163" t="s">
        <v>4435</v>
      </c>
      <c r="K41" s="163" t="s">
        <v>4435</v>
      </c>
      <c r="L41" s="765">
        <v>5.0</v>
      </c>
      <c r="M41" s="766">
        <v>45779.0</v>
      </c>
      <c r="N41" s="767" t="s">
        <v>531</v>
      </c>
      <c r="O41" s="768" t="s">
        <v>4448</v>
      </c>
      <c r="P41" s="769"/>
      <c r="Q41" s="769"/>
    </row>
    <row r="42">
      <c r="A42" s="116"/>
      <c r="B42" s="438" t="s">
        <v>861</v>
      </c>
      <c r="C42" s="245" t="s">
        <v>4454</v>
      </c>
      <c r="D42" s="245" t="s">
        <v>4455</v>
      </c>
      <c r="E42" s="245" t="s">
        <v>1864</v>
      </c>
      <c r="F42" s="245" t="s">
        <v>4456</v>
      </c>
      <c r="G42" s="297" t="s">
        <v>4457</v>
      </c>
      <c r="H42" s="298" t="s">
        <v>485</v>
      </c>
      <c r="I42" s="298" t="s">
        <v>386</v>
      </c>
      <c r="J42" s="163" t="s">
        <v>4460</v>
      </c>
      <c r="K42" s="163" t="s">
        <v>4460</v>
      </c>
      <c r="L42" s="765">
        <v>2.0</v>
      </c>
      <c r="M42" s="766">
        <v>45786.0</v>
      </c>
      <c r="N42" s="41" t="s">
        <v>387</v>
      </c>
      <c r="O42" s="47" t="s">
        <v>4466</v>
      </c>
      <c r="P42" s="769"/>
      <c r="Q42" s="769"/>
    </row>
    <row r="43">
      <c r="A43" s="116"/>
      <c r="B43" s="438" t="s">
        <v>861</v>
      </c>
      <c r="C43" s="770" t="s">
        <v>4467</v>
      </c>
      <c r="D43" s="770" t="s">
        <v>4468</v>
      </c>
      <c r="E43" s="770" t="s">
        <v>213</v>
      </c>
      <c r="F43" s="770" t="s">
        <v>4469</v>
      </c>
      <c r="G43" s="771" t="s">
        <v>4470</v>
      </c>
      <c r="H43" s="772" t="s">
        <v>192</v>
      </c>
      <c r="I43" s="772" t="s">
        <v>276</v>
      </c>
      <c r="J43" s="163" t="s">
        <v>4473</v>
      </c>
      <c r="K43" s="163" t="s">
        <v>4473</v>
      </c>
      <c r="L43" s="765">
        <v>4.43</v>
      </c>
      <c r="M43" s="766">
        <v>45793.0</v>
      </c>
      <c r="N43" s="41" t="s">
        <v>1667</v>
      </c>
      <c r="O43" s="47" t="s">
        <v>4478</v>
      </c>
      <c r="P43" s="769"/>
      <c r="Q43" s="769"/>
    </row>
    <row r="44">
      <c r="A44" s="116"/>
      <c r="B44" s="438" t="s">
        <v>861</v>
      </c>
      <c r="C44" s="773" t="s">
        <v>4479</v>
      </c>
      <c r="D44" s="774" t="s">
        <v>4480</v>
      </c>
      <c r="E44" s="775" t="s">
        <v>754</v>
      </c>
      <c r="F44" s="776" t="s">
        <v>4481</v>
      </c>
      <c r="G44" s="777" t="s">
        <v>2452</v>
      </c>
      <c r="H44" s="778" t="s">
        <v>192</v>
      </c>
      <c r="I44" s="778" t="s">
        <v>276</v>
      </c>
      <c r="J44" s="124" t="s">
        <v>4483</v>
      </c>
      <c r="K44" s="124" t="s">
        <v>4483</v>
      </c>
      <c r="L44" s="749">
        <v>1.0</v>
      </c>
      <c r="M44" s="750">
        <v>45800.0</v>
      </c>
      <c r="N44" s="40" t="s">
        <v>469</v>
      </c>
      <c r="O44" s="42" t="s">
        <v>4486</v>
      </c>
      <c r="P44" s="334"/>
      <c r="Q44" s="334"/>
    </row>
    <row r="45">
      <c r="A45" s="116"/>
      <c r="B45" s="438" t="s">
        <v>861</v>
      </c>
      <c r="C45" s="773" t="s">
        <v>4487</v>
      </c>
      <c r="D45" s="774" t="s">
        <v>4488</v>
      </c>
      <c r="E45" s="775" t="s">
        <v>4489</v>
      </c>
      <c r="F45" s="775" t="s">
        <v>4490</v>
      </c>
      <c r="G45" s="777" t="s">
        <v>4491</v>
      </c>
      <c r="H45" s="778" t="s">
        <v>192</v>
      </c>
      <c r="I45" s="778" t="s">
        <v>276</v>
      </c>
      <c r="J45" s="124" t="s">
        <v>4494</v>
      </c>
      <c r="K45" s="124" t="s">
        <v>4494</v>
      </c>
      <c r="L45" s="765">
        <v>4.29</v>
      </c>
      <c r="M45" s="766">
        <v>45807.0</v>
      </c>
      <c r="N45" s="41" t="s">
        <v>284</v>
      </c>
      <c r="O45" s="47" t="s">
        <v>4496</v>
      </c>
      <c r="P45" s="769"/>
      <c r="Q45" s="769"/>
    </row>
    <row r="46">
      <c r="A46" s="116"/>
      <c r="B46" s="438" t="s">
        <v>861</v>
      </c>
      <c r="C46" s="773" t="s">
        <v>4497</v>
      </c>
      <c r="D46" s="774" t="s">
        <v>1476</v>
      </c>
      <c r="E46" s="775" t="s">
        <v>317</v>
      </c>
      <c r="F46" s="775" t="s">
        <v>1478</v>
      </c>
      <c r="G46" s="777" t="s">
        <v>1486</v>
      </c>
      <c r="H46" s="778" t="s">
        <v>192</v>
      </c>
      <c r="I46" s="778" t="s">
        <v>350</v>
      </c>
      <c r="J46" s="124" t="s">
        <v>4498</v>
      </c>
      <c r="K46" s="124" t="s">
        <v>4498</v>
      </c>
      <c r="L46" s="749">
        <v>2.0</v>
      </c>
      <c r="M46" s="750">
        <v>45814.0</v>
      </c>
      <c r="N46" s="40" t="s">
        <v>600</v>
      </c>
      <c r="O46" s="42" t="s">
        <v>4501</v>
      </c>
      <c r="P46" s="334"/>
      <c r="Q46" s="334"/>
    </row>
    <row r="47">
      <c r="A47" s="116"/>
      <c r="B47" s="438" t="s">
        <v>861</v>
      </c>
      <c r="C47" s="635" t="s">
        <v>4502</v>
      </c>
      <c r="D47" s="635" t="s">
        <v>4468</v>
      </c>
      <c r="E47" s="635" t="s">
        <v>213</v>
      </c>
      <c r="F47" s="635" t="s">
        <v>4469</v>
      </c>
      <c r="G47" s="780" t="s">
        <v>4470</v>
      </c>
      <c r="H47" s="618" t="s">
        <v>192</v>
      </c>
      <c r="I47" s="618" t="s">
        <v>276</v>
      </c>
      <c r="J47" s="163" t="s">
        <v>4503</v>
      </c>
      <c r="K47" s="163" t="s">
        <v>4503</v>
      </c>
      <c r="L47" s="765">
        <v>5.0</v>
      </c>
      <c r="M47" s="766">
        <v>45821.0</v>
      </c>
      <c r="N47" s="41" t="s">
        <v>996</v>
      </c>
      <c r="O47" s="47" t="s">
        <v>4508</v>
      </c>
      <c r="P47" s="769"/>
      <c r="Q47" s="769"/>
    </row>
    <row r="48">
      <c r="A48" s="116"/>
      <c r="B48" s="438" t="s">
        <v>861</v>
      </c>
      <c r="C48" s="781" t="s">
        <v>4509</v>
      </c>
      <c r="D48" s="635" t="s">
        <v>4186</v>
      </c>
      <c r="E48" s="631" t="s">
        <v>2107</v>
      </c>
      <c r="F48" s="631" t="s">
        <v>4187</v>
      </c>
      <c r="G48" s="782" t="s">
        <v>4188</v>
      </c>
      <c r="H48" s="618" t="s">
        <v>192</v>
      </c>
      <c r="I48" s="618" t="s">
        <v>195</v>
      </c>
      <c r="J48" s="784" t="s">
        <v>4511</v>
      </c>
      <c r="K48" s="784" t="s">
        <v>4511</v>
      </c>
      <c r="L48" s="749">
        <v>1.0</v>
      </c>
      <c r="M48" s="750">
        <v>45828.0</v>
      </c>
      <c r="N48" s="40" t="s">
        <v>257</v>
      </c>
      <c r="O48" s="42" t="s">
        <v>4512</v>
      </c>
      <c r="P48" s="334"/>
      <c r="Q48" s="334"/>
    </row>
    <row r="49">
      <c r="A49" s="116"/>
      <c r="B49" s="438" t="s">
        <v>861</v>
      </c>
      <c r="C49" s="785" t="s">
        <v>4513</v>
      </c>
      <c r="D49" s="165" t="s">
        <v>1046</v>
      </c>
      <c r="E49" s="319" t="s">
        <v>4515</v>
      </c>
      <c r="F49" s="319" t="s">
        <v>2065</v>
      </c>
      <c r="G49" s="786" t="s">
        <v>1056</v>
      </c>
      <c r="H49" s="618" t="s">
        <v>192</v>
      </c>
      <c r="I49" s="618" t="s">
        <v>276</v>
      </c>
      <c r="J49" s="719" t="s">
        <v>4517</v>
      </c>
      <c r="K49" s="719" t="s">
        <v>4517</v>
      </c>
      <c r="L49" s="765">
        <v>2.0</v>
      </c>
      <c r="M49" s="766">
        <v>45835.0</v>
      </c>
      <c r="N49" s="41" t="s">
        <v>533</v>
      </c>
      <c r="O49" s="47" t="s">
        <v>4523</v>
      </c>
      <c r="P49" s="769"/>
      <c r="Q49" s="769"/>
    </row>
    <row r="50">
      <c r="A50" s="116"/>
      <c r="B50" s="438" t="s">
        <v>861</v>
      </c>
      <c r="C50" s="787" t="s">
        <v>4525</v>
      </c>
      <c r="D50" s="162" t="s">
        <v>4526</v>
      </c>
      <c r="E50" s="320" t="s">
        <v>592</v>
      </c>
      <c r="F50" s="162" t="s">
        <v>2285</v>
      </c>
      <c r="G50" s="790" t="s">
        <v>4527</v>
      </c>
      <c r="H50" s="602" t="s">
        <v>224</v>
      </c>
      <c r="I50" s="602" t="s">
        <v>324</v>
      </c>
      <c r="J50" s="163" t="s">
        <v>4528</v>
      </c>
      <c r="K50" s="163" t="s">
        <v>4528</v>
      </c>
      <c r="L50" s="749">
        <v>2.0</v>
      </c>
      <c r="M50" s="750">
        <v>45842.0</v>
      </c>
      <c r="N50" s="40" t="s">
        <v>933</v>
      </c>
      <c r="O50" s="42" t="s">
        <v>4530</v>
      </c>
      <c r="P50" s="334"/>
      <c r="Q50" s="334"/>
    </row>
    <row r="51">
      <c r="A51" s="116"/>
      <c r="B51" s="438" t="s">
        <v>861</v>
      </c>
      <c r="C51" s="785" t="s">
        <v>4531</v>
      </c>
      <c r="D51" s="165" t="s">
        <v>4532</v>
      </c>
      <c r="E51" s="165" t="s">
        <v>1376</v>
      </c>
      <c r="F51" s="165" t="s">
        <v>4533</v>
      </c>
      <c r="G51" s="793" t="s">
        <v>4535</v>
      </c>
      <c r="H51" s="237" t="s">
        <v>485</v>
      </c>
      <c r="I51" s="237" t="s">
        <v>3136</v>
      </c>
      <c r="J51" s="163" t="s">
        <v>4541</v>
      </c>
      <c r="K51" s="163" t="s">
        <v>4541</v>
      </c>
      <c r="L51" s="765">
        <v>1.0</v>
      </c>
      <c r="M51" s="766">
        <v>45849.0</v>
      </c>
      <c r="N51" s="41" t="s">
        <v>482</v>
      </c>
      <c r="O51" s="47" t="s">
        <v>4544</v>
      </c>
      <c r="P51" s="769"/>
      <c r="Q51" s="769"/>
    </row>
    <row r="52">
      <c r="A52" s="116"/>
      <c r="B52" s="438" t="s">
        <v>861</v>
      </c>
      <c r="C52" s="787" t="s">
        <v>4545</v>
      </c>
      <c r="D52" s="162" t="s">
        <v>4546</v>
      </c>
      <c r="E52" s="162" t="s">
        <v>317</v>
      </c>
      <c r="F52" s="162" t="s">
        <v>622</v>
      </c>
      <c r="G52" s="790" t="s">
        <v>4547</v>
      </c>
      <c r="H52" s="246" t="s">
        <v>461</v>
      </c>
      <c r="I52" s="246" t="s">
        <v>530</v>
      </c>
      <c r="J52" s="163" t="s">
        <v>4552</v>
      </c>
      <c r="K52" s="163" t="s">
        <v>4552</v>
      </c>
      <c r="L52" s="749">
        <v>1.0</v>
      </c>
      <c r="M52" s="750">
        <v>45856.0</v>
      </c>
      <c r="N52" s="40" t="s">
        <v>3069</v>
      </c>
      <c r="O52" s="42" t="s">
        <v>4554</v>
      </c>
      <c r="P52" s="334"/>
      <c r="Q52" s="334"/>
    </row>
    <row r="53">
      <c r="A53" s="116"/>
      <c r="B53" s="438" t="s">
        <v>861</v>
      </c>
      <c r="C53" s="785" t="s">
        <v>4556</v>
      </c>
      <c r="D53" s="165" t="s">
        <v>4557</v>
      </c>
      <c r="E53" s="165" t="s">
        <v>1359</v>
      </c>
      <c r="F53" s="165" t="s">
        <v>1360</v>
      </c>
      <c r="G53" s="793" t="s">
        <v>1361</v>
      </c>
      <c r="H53" s="237" t="s">
        <v>192</v>
      </c>
      <c r="I53" s="237" t="s">
        <v>276</v>
      </c>
      <c r="J53" s="163" t="s">
        <v>4562</v>
      </c>
      <c r="K53" s="163" t="s">
        <v>4562</v>
      </c>
      <c r="L53" s="765">
        <v>2.0</v>
      </c>
      <c r="M53" s="766">
        <v>45863.0</v>
      </c>
      <c r="N53" s="41" t="s">
        <v>284</v>
      </c>
      <c r="O53" s="47" t="s">
        <v>4566</v>
      </c>
      <c r="P53" s="769"/>
      <c r="Q53" s="769"/>
    </row>
    <row r="54">
      <c r="A54" s="116"/>
      <c r="B54" s="438" t="s">
        <v>861</v>
      </c>
      <c r="C54" s="787" t="s">
        <v>4567</v>
      </c>
      <c r="D54" s="162" t="s">
        <v>569</v>
      </c>
      <c r="E54" s="162" t="s">
        <v>4568</v>
      </c>
      <c r="F54" s="162" t="s">
        <v>4569</v>
      </c>
      <c r="G54" s="790" t="s">
        <v>574</v>
      </c>
      <c r="H54" s="246" t="s">
        <v>485</v>
      </c>
      <c r="I54" s="246" t="s">
        <v>3136</v>
      </c>
      <c r="J54" s="163" t="s">
        <v>4570</v>
      </c>
      <c r="K54" s="163" t="s">
        <v>4570</v>
      </c>
      <c r="L54" s="749">
        <v>2.0</v>
      </c>
      <c r="M54" s="750">
        <v>45870.0</v>
      </c>
      <c r="N54" s="40" t="s">
        <v>449</v>
      </c>
      <c r="O54" s="42" t="s">
        <v>4576</v>
      </c>
      <c r="P54" s="334"/>
      <c r="Q54" s="334"/>
    </row>
    <row r="55">
      <c r="A55" s="116"/>
      <c r="B55" s="438" t="s">
        <v>861</v>
      </c>
      <c r="C55" s="785" t="s">
        <v>4577</v>
      </c>
      <c r="D55" s="165" t="s">
        <v>2284</v>
      </c>
      <c r="E55" s="165" t="s">
        <v>1325</v>
      </c>
      <c r="F55" s="165" t="s">
        <v>2285</v>
      </c>
      <c r="G55" s="793" t="s">
        <v>2292</v>
      </c>
      <c r="H55" s="237" t="s">
        <v>485</v>
      </c>
      <c r="I55" s="237" t="s">
        <v>386</v>
      </c>
      <c r="J55" s="163" t="s">
        <v>4581</v>
      </c>
      <c r="K55" s="163" t="s">
        <v>4581</v>
      </c>
      <c r="L55" s="765">
        <v>4.0</v>
      </c>
      <c r="M55" s="766">
        <v>45877.0</v>
      </c>
      <c r="N55" s="41" t="s">
        <v>1050</v>
      </c>
      <c r="O55" s="47" t="s">
        <v>4586</v>
      </c>
      <c r="P55" s="769"/>
      <c r="Q55" s="769"/>
    </row>
    <row r="56">
      <c r="A56" s="116"/>
      <c r="B56" s="438" t="s">
        <v>861</v>
      </c>
      <c r="C56" s="787" t="s">
        <v>4587</v>
      </c>
      <c r="D56" s="162" t="s">
        <v>1863</v>
      </c>
      <c r="E56" s="162" t="s">
        <v>1864</v>
      </c>
      <c r="F56" s="162" t="s">
        <v>4424</v>
      </c>
      <c r="G56" s="790" t="s">
        <v>1874</v>
      </c>
      <c r="H56" s="246" t="s">
        <v>224</v>
      </c>
      <c r="I56" s="246" t="s">
        <v>324</v>
      </c>
      <c r="J56" s="163" t="s">
        <v>4590</v>
      </c>
      <c r="K56" s="163" t="s">
        <v>4590</v>
      </c>
      <c r="L56" s="749">
        <v>2.0</v>
      </c>
      <c r="M56" s="750">
        <v>45884.0</v>
      </c>
      <c r="N56" s="40" t="s">
        <v>660</v>
      </c>
      <c r="O56" s="42" t="s">
        <v>4596</v>
      </c>
      <c r="P56" s="334"/>
      <c r="Q56" s="334"/>
    </row>
    <row r="57">
      <c r="A57" s="116"/>
      <c r="B57" s="438" t="s">
        <v>861</v>
      </c>
      <c r="C57" s="785" t="s">
        <v>4597</v>
      </c>
      <c r="D57" s="165" t="s">
        <v>2859</v>
      </c>
      <c r="E57" s="165" t="s">
        <v>213</v>
      </c>
      <c r="F57" s="165" t="s">
        <v>2860</v>
      </c>
      <c r="G57" s="793" t="s">
        <v>981</v>
      </c>
      <c r="H57" s="237" t="s">
        <v>192</v>
      </c>
      <c r="I57" s="237" t="s">
        <v>276</v>
      </c>
      <c r="J57" s="163" t="s">
        <v>4598</v>
      </c>
      <c r="K57" s="163" t="s">
        <v>4598</v>
      </c>
      <c r="L57" s="765">
        <v>2.0</v>
      </c>
      <c r="M57" s="766">
        <v>45891.0</v>
      </c>
      <c r="N57" s="41" t="s">
        <v>996</v>
      </c>
      <c r="O57" s="47" t="s">
        <v>4602</v>
      </c>
      <c r="P57" s="769"/>
      <c r="Q57" s="769"/>
    </row>
    <row r="58">
      <c r="A58" s="116"/>
      <c r="B58" s="438" t="s">
        <v>861</v>
      </c>
      <c r="C58" s="787" t="s">
        <v>4603</v>
      </c>
      <c r="D58" s="162" t="s">
        <v>682</v>
      </c>
      <c r="E58" s="162" t="s">
        <v>683</v>
      </c>
      <c r="F58" s="162" t="s">
        <v>684</v>
      </c>
      <c r="G58" s="790" t="s">
        <v>699</v>
      </c>
      <c r="H58" s="246" t="s">
        <v>461</v>
      </c>
      <c r="I58" s="246" t="s">
        <v>462</v>
      </c>
      <c r="J58" s="163" t="s">
        <v>4604</v>
      </c>
      <c r="K58" s="163" t="s">
        <v>4604</v>
      </c>
      <c r="L58" s="749">
        <v>1.0</v>
      </c>
      <c r="M58" s="750">
        <v>45898.0</v>
      </c>
      <c r="N58" s="40" t="s">
        <v>880</v>
      </c>
      <c r="O58" s="42" t="s">
        <v>4608</v>
      </c>
      <c r="P58" s="334"/>
      <c r="Q58" s="334"/>
    </row>
    <row r="59">
      <c r="A59" s="116"/>
      <c r="B59" s="438" t="s">
        <v>861</v>
      </c>
      <c r="C59" s="785" t="s">
        <v>4609</v>
      </c>
      <c r="D59" s="165" t="s">
        <v>4610</v>
      </c>
      <c r="E59" s="165" t="s">
        <v>1039</v>
      </c>
      <c r="F59" s="165" t="s">
        <v>1894</v>
      </c>
      <c r="G59" s="793" t="s">
        <v>4611</v>
      </c>
      <c r="H59" s="237" t="s">
        <v>192</v>
      </c>
      <c r="I59" s="237" t="s">
        <v>276</v>
      </c>
      <c r="J59" s="163" t="s">
        <v>4612</v>
      </c>
      <c r="K59" s="163" t="s">
        <v>4612</v>
      </c>
      <c r="L59" s="765">
        <v>1.0</v>
      </c>
      <c r="M59" s="766">
        <v>45905.0</v>
      </c>
      <c r="N59" s="794" t="s">
        <v>284</v>
      </c>
      <c r="O59" s="795" t="s">
        <v>4620</v>
      </c>
      <c r="P59" s="179"/>
      <c r="Q59" s="179"/>
    </row>
    <row r="60">
      <c r="A60" s="116"/>
      <c r="B60" s="438" t="s">
        <v>861</v>
      </c>
      <c r="C60" s="787" t="s">
        <v>4622</v>
      </c>
      <c r="D60" s="162" t="s">
        <v>1476</v>
      </c>
      <c r="E60" s="241" t="s">
        <v>317</v>
      </c>
      <c r="F60" s="241" t="s">
        <v>1478</v>
      </c>
      <c r="G60" s="790" t="s">
        <v>1486</v>
      </c>
      <c r="H60" s="246" t="s">
        <v>192</v>
      </c>
      <c r="I60" s="246" t="s">
        <v>350</v>
      </c>
      <c r="J60" s="163" t="s">
        <v>4623</v>
      </c>
      <c r="K60" s="163" t="s">
        <v>4623</v>
      </c>
      <c r="L60" s="749">
        <v>2.0</v>
      </c>
      <c r="M60" s="750">
        <v>45912.0</v>
      </c>
      <c r="N60" s="796" t="s">
        <v>600</v>
      </c>
      <c r="O60" s="400" t="s">
        <v>4630</v>
      </c>
    </row>
    <row r="61">
      <c r="A61" s="116"/>
      <c r="B61" s="438" t="s">
        <v>861</v>
      </c>
      <c r="C61" s="785" t="s">
        <v>4632</v>
      </c>
      <c r="D61" s="165" t="s">
        <v>4488</v>
      </c>
      <c r="E61" s="195" t="s">
        <v>213</v>
      </c>
      <c r="F61" s="195" t="s">
        <v>4633</v>
      </c>
      <c r="G61" s="797" t="s">
        <v>4491</v>
      </c>
      <c r="H61" s="237" t="s">
        <v>192</v>
      </c>
      <c r="I61" s="237" t="s">
        <v>195</v>
      </c>
      <c r="J61" s="798" t="s">
        <v>4634</v>
      </c>
      <c r="K61" s="163" t="s">
        <v>4634</v>
      </c>
      <c r="L61" s="749">
        <v>4.86</v>
      </c>
      <c r="M61" s="750">
        <v>45919.0</v>
      </c>
      <c r="N61" s="796" t="s">
        <v>208</v>
      </c>
      <c r="O61" s="400" t="s">
        <v>4641</v>
      </c>
    </row>
    <row r="62">
      <c r="A62" s="116"/>
      <c r="B62" s="438" t="s">
        <v>861</v>
      </c>
      <c r="C62" s="787" t="s">
        <v>4642</v>
      </c>
      <c r="D62" s="162" t="s">
        <v>1547</v>
      </c>
      <c r="E62" s="241" t="s">
        <v>592</v>
      </c>
      <c r="F62" s="241" t="s">
        <v>1548</v>
      </c>
      <c r="G62" s="799" t="s">
        <v>1552</v>
      </c>
      <c r="H62" s="246" t="s">
        <v>192</v>
      </c>
      <c r="I62" s="246" t="s">
        <v>276</v>
      </c>
      <c r="J62" s="163" t="s">
        <v>4643</v>
      </c>
      <c r="K62" s="163" t="s">
        <v>4643</v>
      </c>
      <c r="L62" s="765">
        <v>4.71</v>
      </c>
      <c r="M62" s="766">
        <v>45926.0</v>
      </c>
      <c r="N62" s="794" t="s">
        <v>749</v>
      </c>
      <c r="O62" s="795" t="s">
        <v>4647</v>
      </c>
      <c r="P62" s="179"/>
      <c r="Q62" s="179"/>
    </row>
    <row r="63">
      <c r="A63" s="116"/>
      <c r="B63" s="438" t="s">
        <v>861</v>
      </c>
      <c r="C63" s="785" t="s">
        <v>4648</v>
      </c>
      <c r="D63" s="165" t="s">
        <v>1034</v>
      </c>
      <c r="E63" s="195" t="s">
        <v>2186</v>
      </c>
      <c r="F63" s="195" t="s">
        <v>2018</v>
      </c>
      <c r="G63" s="797" t="s">
        <v>1042</v>
      </c>
      <c r="H63" s="237" t="s">
        <v>485</v>
      </c>
      <c r="I63" s="393" t="s">
        <v>386</v>
      </c>
      <c r="J63" s="196" t="s">
        <v>4653</v>
      </c>
      <c r="K63" s="196" t="s">
        <v>4653</v>
      </c>
      <c r="L63" s="749">
        <v>4.86</v>
      </c>
      <c r="M63" s="750">
        <v>45933.0</v>
      </c>
      <c r="N63" s="796" t="s">
        <v>1182</v>
      </c>
      <c r="O63" s="400" t="s">
        <v>4659</v>
      </c>
    </row>
    <row r="64">
      <c r="A64" s="116"/>
      <c r="B64" s="438" t="s">
        <v>861</v>
      </c>
      <c r="C64" s="787" t="s">
        <v>4660</v>
      </c>
      <c r="D64" s="162" t="s">
        <v>4661</v>
      </c>
      <c r="E64" s="241" t="s">
        <v>2107</v>
      </c>
      <c r="F64" s="241" t="s">
        <v>4662</v>
      </c>
      <c r="G64" s="799" t="s">
        <v>4663</v>
      </c>
      <c r="H64" s="246" t="s">
        <v>192</v>
      </c>
      <c r="I64" s="464" t="s">
        <v>276</v>
      </c>
      <c r="J64" s="196" t="s">
        <v>4665</v>
      </c>
      <c r="K64" s="163" t="s">
        <v>4665</v>
      </c>
      <c r="L64" s="765">
        <v>2.0</v>
      </c>
      <c r="M64" s="800">
        <v>45940.0</v>
      </c>
      <c r="N64" s="794" t="s">
        <v>284</v>
      </c>
      <c r="O64" s="795" t="s">
        <v>4672</v>
      </c>
      <c r="P64" s="179"/>
      <c r="Q64" s="179"/>
    </row>
    <row r="65">
      <c r="A65" s="116"/>
      <c r="B65" s="438" t="s">
        <v>861</v>
      </c>
      <c r="C65" s="785" t="s">
        <v>4673</v>
      </c>
      <c r="D65" s="165" t="s">
        <v>4674</v>
      </c>
      <c r="E65" s="195" t="s">
        <v>293</v>
      </c>
      <c r="F65" s="606" t="s">
        <v>4675</v>
      </c>
      <c r="G65" s="797" t="s">
        <v>4676</v>
      </c>
      <c r="H65" s="237" t="s">
        <v>192</v>
      </c>
      <c r="I65" s="393" t="s">
        <v>276</v>
      </c>
      <c r="J65" s="163" t="s">
        <v>4678</v>
      </c>
      <c r="K65" s="163" t="s">
        <v>4678</v>
      </c>
      <c r="L65" s="749">
        <v>2.0</v>
      </c>
      <c r="M65" s="801">
        <v>45947.0</v>
      </c>
      <c r="N65" s="796" t="s">
        <v>284</v>
      </c>
      <c r="O65" s="400" t="s">
        <v>4681</v>
      </c>
    </row>
    <row r="66">
      <c r="A66" s="116"/>
      <c r="B66" s="438" t="s">
        <v>861</v>
      </c>
      <c r="C66" s="787" t="s">
        <v>4682</v>
      </c>
      <c r="D66" s="162" t="s">
        <v>4683</v>
      </c>
      <c r="E66" s="241" t="s">
        <v>582</v>
      </c>
      <c r="F66" s="241" t="s">
        <v>4684</v>
      </c>
      <c r="G66" s="799" t="s">
        <v>4685</v>
      </c>
      <c r="H66" s="246" t="s">
        <v>461</v>
      </c>
      <c r="I66" s="464" t="s">
        <v>462</v>
      </c>
      <c r="J66" s="163" t="s">
        <v>4688</v>
      </c>
      <c r="K66" s="163" t="s">
        <v>4688</v>
      </c>
      <c r="L66" s="765">
        <v>2.0</v>
      </c>
      <c r="M66" s="800">
        <v>45954.0</v>
      </c>
      <c r="N66" s="794" t="s">
        <v>886</v>
      </c>
      <c r="O66" s="795" t="s">
        <v>4690</v>
      </c>
      <c r="P66" s="179"/>
      <c r="Q66" s="179"/>
    </row>
    <row r="67">
      <c r="A67" s="116"/>
      <c r="B67" s="438" t="s">
        <v>861</v>
      </c>
      <c r="C67" s="785" t="s">
        <v>4691</v>
      </c>
      <c r="D67" s="165" t="s">
        <v>4692</v>
      </c>
      <c r="E67" s="165" t="s">
        <v>1351</v>
      </c>
      <c r="F67" s="165" t="s">
        <v>4693</v>
      </c>
      <c r="G67" s="797" t="s">
        <v>4694</v>
      </c>
      <c r="H67" s="237" t="s">
        <v>192</v>
      </c>
      <c r="I67" s="393" t="s">
        <v>276</v>
      </c>
      <c r="J67" s="163" t="s">
        <v>4696</v>
      </c>
      <c r="K67" s="163" t="s">
        <v>4696</v>
      </c>
      <c r="L67" s="749">
        <v>4.0</v>
      </c>
      <c r="M67" s="801">
        <v>45961.0</v>
      </c>
      <c r="N67" s="796" t="s">
        <v>284</v>
      </c>
      <c r="O67" s="400" t="s">
        <v>4702</v>
      </c>
    </row>
    <row r="68">
      <c r="A68" s="116"/>
      <c r="B68" s="438" t="s">
        <v>861</v>
      </c>
      <c r="C68" s="787" t="s">
        <v>4703</v>
      </c>
      <c r="D68" s="162" t="s">
        <v>4704</v>
      </c>
      <c r="E68" s="162" t="s">
        <v>4705</v>
      </c>
      <c r="F68" s="162" t="s">
        <v>4706</v>
      </c>
      <c r="G68" s="799" t="s">
        <v>4708</v>
      </c>
      <c r="H68" s="246" t="s">
        <v>192</v>
      </c>
      <c r="I68" s="464" t="s">
        <v>195</v>
      </c>
      <c r="J68" s="163" t="s">
        <v>4711</v>
      </c>
      <c r="K68" s="163" t="s">
        <v>4711</v>
      </c>
      <c r="L68" s="765">
        <v>1.0</v>
      </c>
      <c r="M68" s="766">
        <v>45968.0</v>
      </c>
      <c r="N68" s="794" t="s">
        <v>208</v>
      </c>
      <c r="O68" s="795" t="s">
        <v>4716</v>
      </c>
      <c r="P68" s="179"/>
      <c r="Q68" s="179"/>
    </row>
    <row r="69">
      <c r="A69" s="116"/>
      <c r="B69" s="438" t="s">
        <v>861</v>
      </c>
      <c r="C69" s="785" t="s">
        <v>4718</v>
      </c>
      <c r="D69" s="165" t="s">
        <v>4719</v>
      </c>
      <c r="E69" s="165" t="s">
        <v>4720</v>
      </c>
      <c r="F69" s="165" t="s">
        <v>3031</v>
      </c>
      <c r="G69" s="797" t="s">
        <v>4721</v>
      </c>
      <c r="H69" s="237" t="s">
        <v>192</v>
      </c>
      <c r="I69" s="393" t="s">
        <v>195</v>
      </c>
      <c r="J69" s="163" t="s">
        <v>4724</v>
      </c>
      <c r="K69" s="163" t="s">
        <v>4724</v>
      </c>
      <c r="L69" s="749">
        <v>1.0</v>
      </c>
      <c r="M69" s="801">
        <v>45975.0</v>
      </c>
      <c r="N69" s="796" t="s">
        <v>843</v>
      </c>
      <c r="O69" s="400" t="s">
        <v>4730</v>
      </c>
    </row>
    <row r="70">
      <c r="A70" s="116"/>
      <c r="B70" s="438" t="s">
        <v>861</v>
      </c>
      <c r="C70" s="787" t="s">
        <v>4731</v>
      </c>
      <c r="D70" s="162" t="s">
        <v>1516</v>
      </c>
      <c r="E70" s="162" t="s">
        <v>317</v>
      </c>
      <c r="F70" s="162" t="s">
        <v>1519</v>
      </c>
      <c r="G70" s="799" t="s">
        <v>1528</v>
      </c>
      <c r="H70" s="246" t="s">
        <v>192</v>
      </c>
      <c r="I70" s="464" t="s">
        <v>276</v>
      </c>
      <c r="J70" s="163" t="s">
        <v>4734</v>
      </c>
      <c r="K70" s="163" t="s">
        <v>4734</v>
      </c>
      <c r="L70" s="765">
        <v>1.0</v>
      </c>
      <c r="M70" s="800">
        <v>45982.0</v>
      </c>
      <c r="N70" s="794" t="s">
        <v>284</v>
      </c>
      <c r="O70" s="795" t="s">
        <v>4740</v>
      </c>
      <c r="P70" s="179"/>
      <c r="Q70" s="179"/>
    </row>
    <row r="71">
      <c r="A71" s="116"/>
      <c r="B71" s="438" t="s">
        <v>861</v>
      </c>
      <c r="C71" s="785" t="s">
        <v>4741</v>
      </c>
      <c r="D71" s="165" t="s">
        <v>1154</v>
      </c>
      <c r="E71" s="165" t="s">
        <v>1155</v>
      </c>
      <c r="F71" s="165" t="s">
        <v>1156</v>
      </c>
      <c r="G71" s="797" t="s">
        <v>1158</v>
      </c>
      <c r="H71" s="237" t="s">
        <v>224</v>
      </c>
      <c r="I71" s="393" t="s">
        <v>440</v>
      </c>
      <c r="J71" s="163" t="s">
        <v>4743</v>
      </c>
      <c r="K71" s="163" t="s">
        <v>4743</v>
      </c>
      <c r="L71" s="749">
        <v>5.0</v>
      </c>
      <c r="M71" s="801">
        <v>45989.0</v>
      </c>
      <c r="N71" s="796" t="s">
        <v>442</v>
      </c>
      <c r="O71" s="400" t="s">
        <v>4746</v>
      </c>
    </row>
    <row r="72">
      <c r="A72" s="116"/>
      <c r="B72" s="438" t="s">
        <v>861</v>
      </c>
      <c r="C72" s="787" t="s">
        <v>4747</v>
      </c>
      <c r="D72" s="162" t="s">
        <v>4748</v>
      </c>
      <c r="E72" s="162" t="s">
        <v>4749</v>
      </c>
      <c r="F72" s="162" t="s">
        <v>2065</v>
      </c>
      <c r="G72" s="799" t="s">
        <v>4750</v>
      </c>
      <c r="H72" s="246" t="s">
        <v>192</v>
      </c>
      <c r="I72" s="464" t="s">
        <v>276</v>
      </c>
      <c r="J72" s="163" t="s">
        <v>4751</v>
      </c>
      <c r="K72" s="163" t="s">
        <v>4751</v>
      </c>
      <c r="L72" s="765">
        <v>1.0</v>
      </c>
      <c r="M72" s="766">
        <v>45996.0</v>
      </c>
      <c r="N72" s="794" t="s">
        <v>284</v>
      </c>
      <c r="O72" s="795" t="s">
        <v>4757</v>
      </c>
      <c r="P72" s="179"/>
      <c r="Q72" s="179"/>
    </row>
    <row r="73">
      <c r="A73" s="116"/>
      <c r="B73" s="438" t="s">
        <v>861</v>
      </c>
      <c r="C73" s="785" t="s">
        <v>4758</v>
      </c>
      <c r="D73" s="165" t="s">
        <v>4638</v>
      </c>
      <c r="E73" s="165" t="s">
        <v>4760</v>
      </c>
      <c r="F73" s="165" t="s">
        <v>3031</v>
      </c>
      <c r="G73" s="797" t="s">
        <v>4640</v>
      </c>
      <c r="H73" s="237" t="s">
        <v>485</v>
      </c>
      <c r="I73" s="393" t="s">
        <v>3136</v>
      </c>
      <c r="J73" s="719" t="s">
        <v>4763</v>
      </c>
      <c r="K73" s="163" t="s">
        <v>4763</v>
      </c>
      <c r="L73" s="806">
        <v>1.0</v>
      </c>
      <c r="M73" s="807">
        <v>46003.0</v>
      </c>
      <c r="N73" s="806" t="s">
        <v>482</v>
      </c>
      <c r="O73" s="808" t="s">
        <v>4769</v>
      </c>
    </row>
    <row r="74">
      <c r="A74" s="116"/>
      <c r="B74" s="438" t="s">
        <v>861</v>
      </c>
      <c r="C74" s="787" t="s">
        <v>4770</v>
      </c>
      <c r="D74" s="162" t="s">
        <v>2041</v>
      </c>
      <c r="E74" s="162" t="s">
        <v>317</v>
      </c>
      <c r="F74" s="162" t="s">
        <v>4771</v>
      </c>
      <c r="G74" s="799" t="s">
        <v>2050</v>
      </c>
      <c r="H74" s="246" t="s">
        <v>192</v>
      </c>
      <c r="I74" s="464" t="s">
        <v>195</v>
      </c>
      <c r="J74" s="719" t="s">
        <v>4774</v>
      </c>
      <c r="K74" s="163" t="s">
        <v>4774</v>
      </c>
      <c r="L74" s="765">
        <v>4.57</v>
      </c>
      <c r="M74" s="800">
        <v>46010.0</v>
      </c>
      <c r="N74" s="794" t="s">
        <v>257</v>
      </c>
      <c r="O74" s="795" t="s">
        <v>4780</v>
      </c>
      <c r="P74" s="179"/>
      <c r="Q74" s="179"/>
    </row>
    <row r="75">
      <c r="A75" s="116"/>
      <c r="B75" s="438" t="s">
        <v>861</v>
      </c>
      <c r="C75" s="785" t="s">
        <v>4781</v>
      </c>
      <c r="D75" s="165" t="s">
        <v>682</v>
      </c>
      <c r="E75" s="195" t="s">
        <v>683</v>
      </c>
      <c r="F75" s="195" t="s">
        <v>3031</v>
      </c>
      <c r="G75" s="809" t="s">
        <v>699</v>
      </c>
      <c r="H75" s="393" t="s">
        <v>485</v>
      </c>
      <c r="I75" s="393" t="s">
        <v>3136</v>
      </c>
      <c r="J75" s="163" t="s">
        <v>4784</v>
      </c>
      <c r="K75" s="196" t="s">
        <v>4784</v>
      </c>
      <c r="L75" s="810">
        <v>2.0</v>
      </c>
      <c r="M75" s="811">
        <v>46017.0</v>
      </c>
      <c r="N75" s="796" t="s">
        <v>482</v>
      </c>
      <c r="O75" s="400" t="s">
        <v>4789</v>
      </c>
    </row>
    <row r="76">
      <c r="A76" s="116"/>
      <c r="B76" s="438" t="s">
        <v>861</v>
      </c>
      <c r="C76" s="787" t="s">
        <v>4790</v>
      </c>
      <c r="D76" s="162" t="s">
        <v>4791</v>
      </c>
      <c r="E76" s="241" t="s">
        <v>4792</v>
      </c>
      <c r="F76" s="241" t="s">
        <v>4771</v>
      </c>
      <c r="G76" s="812" t="s">
        <v>4793</v>
      </c>
      <c r="H76" s="464" t="s">
        <v>192</v>
      </c>
      <c r="I76" s="464" t="s">
        <v>195</v>
      </c>
      <c r="J76" s="163" t="s">
        <v>4795</v>
      </c>
      <c r="K76" s="813" t="s">
        <v>4795</v>
      </c>
      <c r="L76" s="814">
        <v>1.0</v>
      </c>
      <c r="M76" s="815">
        <v>46024.0</v>
      </c>
      <c r="N76" s="794" t="s">
        <v>208</v>
      </c>
      <c r="O76" s="795" t="s">
        <v>4802</v>
      </c>
      <c r="P76" s="179"/>
      <c r="Q76" s="179"/>
    </row>
    <row r="77">
      <c r="A77" s="116"/>
      <c r="B77" s="438" t="s">
        <v>861</v>
      </c>
      <c r="C77" s="785" t="s">
        <v>4803</v>
      </c>
      <c r="D77" s="165" t="s">
        <v>4804</v>
      </c>
      <c r="E77" s="195" t="s">
        <v>4805</v>
      </c>
      <c r="F77" s="195" t="s">
        <v>4806</v>
      </c>
      <c r="G77" s="195" t="s">
        <v>4807</v>
      </c>
      <c r="H77" s="393" t="s">
        <v>485</v>
      </c>
      <c r="I77" s="393" t="s">
        <v>3136</v>
      </c>
      <c r="J77" s="350" t="s">
        <v>4808</v>
      </c>
      <c r="K77" s="366" t="s">
        <v>4808</v>
      </c>
      <c r="L77" s="816">
        <v>4.0</v>
      </c>
      <c r="M77" s="817">
        <v>46031.0</v>
      </c>
      <c r="N77" s="818" t="s">
        <v>3866</v>
      </c>
      <c r="O77" s="819" t="s">
        <v>4812</v>
      </c>
    </row>
    <row r="78">
      <c r="A78" s="116"/>
      <c r="B78" s="438" t="s">
        <v>861</v>
      </c>
      <c r="C78" s="787" t="s">
        <v>4813</v>
      </c>
      <c r="D78" s="162" t="s">
        <v>1902</v>
      </c>
      <c r="E78" s="241" t="s">
        <v>1903</v>
      </c>
      <c r="F78" s="241" t="s">
        <v>1905</v>
      </c>
      <c r="G78" s="514" t="s">
        <v>1911</v>
      </c>
      <c r="H78" s="464" t="s">
        <v>192</v>
      </c>
      <c r="I78" s="464" t="s">
        <v>195</v>
      </c>
      <c r="J78" s="820" t="s">
        <v>4818</v>
      </c>
      <c r="K78" s="338" t="s">
        <v>4818</v>
      </c>
      <c r="L78" s="814">
        <v>4.0</v>
      </c>
      <c r="M78" s="815">
        <v>46038.0</v>
      </c>
      <c r="N78" s="639" t="s">
        <v>362</v>
      </c>
      <c r="O78" s="821" t="s">
        <v>4820</v>
      </c>
      <c r="P78" s="179"/>
      <c r="Q78" s="179"/>
    </row>
    <row r="79">
      <c r="A79" s="116"/>
      <c r="B79" s="438" t="s">
        <v>861</v>
      </c>
      <c r="C79" s="785" t="s">
        <v>4821</v>
      </c>
      <c r="D79" s="165" t="s">
        <v>4823</v>
      </c>
      <c r="E79" s="195" t="s">
        <v>436</v>
      </c>
      <c r="F79" s="195" t="s">
        <v>4824</v>
      </c>
      <c r="G79" s="606" t="s">
        <v>4826</v>
      </c>
      <c r="H79" s="393" t="s">
        <v>224</v>
      </c>
      <c r="I79" s="393" t="s">
        <v>4827</v>
      </c>
      <c r="J79" s="350" t="s">
        <v>4828</v>
      </c>
      <c r="K79" s="366" t="s">
        <v>4828</v>
      </c>
      <c r="L79" s="816">
        <v>2.0</v>
      </c>
      <c r="M79" s="817">
        <v>46045.0</v>
      </c>
      <c r="N79" s="818" t="s">
        <v>3347</v>
      </c>
      <c r="O79" s="819" t="s">
        <v>4833</v>
      </c>
    </row>
    <row r="80">
      <c r="A80" s="116"/>
      <c r="B80" s="438" t="s">
        <v>861</v>
      </c>
      <c r="C80" s="787" t="s">
        <v>4834</v>
      </c>
      <c r="D80" s="162" t="s">
        <v>4488</v>
      </c>
      <c r="E80" s="241" t="s">
        <v>213</v>
      </c>
      <c r="F80" s="241" t="s">
        <v>4633</v>
      </c>
      <c r="G80" s="514" t="s">
        <v>4491</v>
      </c>
      <c r="H80" s="464" t="s">
        <v>192</v>
      </c>
      <c r="I80" s="464" t="s">
        <v>195</v>
      </c>
      <c r="J80" s="820" t="s">
        <v>4836</v>
      </c>
      <c r="K80" s="338" t="s">
        <v>4836</v>
      </c>
      <c r="L80" s="814">
        <v>4.0</v>
      </c>
      <c r="M80" s="815">
        <v>46052.0</v>
      </c>
      <c r="N80" s="639" t="s">
        <v>897</v>
      </c>
      <c r="O80" s="821" t="s">
        <v>4839</v>
      </c>
      <c r="P80" s="179"/>
      <c r="Q80" s="179"/>
    </row>
    <row r="81">
      <c r="A81" s="116"/>
      <c r="B81" s="438" t="s">
        <v>861</v>
      </c>
      <c r="C81" s="785" t="s">
        <v>4840</v>
      </c>
      <c r="D81" s="165" t="s">
        <v>4841</v>
      </c>
      <c r="E81" s="195" t="s">
        <v>1039</v>
      </c>
      <c r="F81" s="195" t="s">
        <v>4842</v>
      </c>
      <c r="G81" s="606" t="s">
        <v>4843</v>
      </c>
      <c r="H81" s="393" t="s">
        <v>192</v>
      </c>
      <c r="I81" s="393" t="s">
        <v>195</v>
      </c>
      <c r="J81" s="350" t="s">
        <v>4847</v>
      </c>
      <c r="K81" s="366" t="s">
        <v>4847</v>
      </c>
      <c r="L81" s="816">
        <v>1.0</v>
      </c>
      <c r="M81" s="817">
        <v>46059.0</v>
      </c>
      <c r="N81" s="818" t="s">
        <v>208</v>
      </c>
      <c r="O81" s="819" t="s">
        <v>4850</v>
      </c>
    </row>
    <row r="82">
      <c r="A82" s="116"/>
      <c r="B82" s="438" t="s">
        <v>861</v>
      </c>
      <c r="C82" s="787" t="s">
        <v>4851</v>
      </c>
      <c r="D82" s="162" t="s">
        <v>2593</v>
      </c>
      <c r="E82" s="241" t="s">
        <v>4852</v>
      </c>
      <c r="F82" s="241" t="s">
        <v>4853</v>
      </c>
      <c r="G82" s="514" t="s">
        <v>2596</v>
      </c>
      <c r="H82" s="464" t="s">
        <v>192</v>
      </c>
      <c r="I82" s="464" t="s">
        <v>2979</v>
      </c>
      <c r="J82" s="820" t="s">
        <v>4856</v>
      </c>
      <c r="K82" s="338" t="s">
        <v>4856</v>
      </c>
      <c r="L82" s="814">
        <v>5.0</v>
      </c>
      <c r="M82" s="815">
        <v>46066.0</v>
      </c>
      <c r="N82" s="639" t="s">
        <v>284</v>
      </c>
      <c r="O82" s="821" t="s">
        <v>4860</v>
      </c>
      <c r="P82" s="179"/>
      <c r="Q82" s="179"/>
    </row>
    <row r="83">
      <c r="A83" s="116"/>
      <c r="B83" s="438" t="s">
        <v>861</v>
      </c>
      <c r="C83" s="785" t="s">
        <v>4861</v>
      </c>
      <c r="D83" s="165" t="s">
        <v>4862</v>
      </c>
      <c r="E83" s="195" t="s">
        <v>4720</v>
      </c>
      <c r="F83" s="195" t="s">
        <v>684</v>
      </c>
      <c r="G83" s="606" t="s">
        <v>4863</v>
      </c>
      <c r="H83" s="393" t="s">
        <v>192</v>
      </c>
      <c r="I83" s="393" t="s">
        <v>2254</v>
      </c>
      <c r="J83" s="350" t="s">
        <v>4866</v>
      </c>
      <c r="K83" s="366" t="s">
        <v>4866</v>
      </c>
      <c r="L83" s="822">
        <v>2.0</v>
      </c>
      <c r="M83" s="823">
        <v>46073.0</v>
      </c>
      <c r="N83" s="814" t="s">
        <v>362</v>
      </c>
      <c r="O83" s="824" t="s">
        <v>4870</v>
      </c>
    </row>
    <row r="84">
      <c r="A84" s="116"/>
      <c r="B84" s="438" t="s">
        <v>861</v>
      </c>
      <c r="C84" s="787" t="s">
        <v>4872</v>
      </c>
      <c r="D84" s="162" t="s">
        <v>4873</v>
      </c>
      <c r="E84" s="241" t="s">
        <v>4874</v>
      </c>
      <c r="F84" s="241" t="s">
        <v>4875</v>
      </c>
      <c r="G84" s="514" t="s">
        <v>4876</v>
      </c>
      <c r="H84" s="464" t="s">
        <v>224</v>
      </c>
      <c r="I84" s="464" t="s">
        <v>226</v>
      </c>
      <c r="J84" s="820" t="s">
        <v>4877</v>
      </c>
      <c r="K84" s="338" t="s">
        <v>4877</v>
      </c>
      <c r="L84" s="822">
        <v>2.0</v>
      </c>
      <c r="M84" s="814"/>
      <c r="N84" s="814" t="s">
        <v>238</v>
      </c>
      <c r="O84" s="824" t="s">
        <v>4879</v>
      </c>
      <c r="P84" s="179"/>
      <c r="Q84" s="179"/>
    </row>
    <row r="85">
      <c r="A85" s="116"/>
      <c r="B85" s="438" t="s">
        <v>861</v>
      </c>
      <c r="C85" s="785" t="s">
        <v>4880</v>
      </c>
      <c r="D85" s="165" t="s">
        <v>4881</v>
      </c>
      <c r="E85" s="195" t="s">
        <v>4882</v>
      </c>
      <c r="F85" s="195" t="s">
        <v>4883</v>
      </c>
      <c r="G85" s="606" t="s">
        <v>4884</v>
      </c>
      <c r="H85" s="393" t="s">
        <v>224</v>
      </c>
      <c r="I85" s="393" t="s">
        <v>324</v>
      </c>
      <c r="J85" s="350" t="s">
        <v>4891</v>
      </c>
      <c r="K85" s="366" t="s">
        <v>4891</v>
      </c>
      <c r="L85" s="822">
        <v>4.14</v>
      </c>
      <c r="M85" s="814"/>
      <c r="N85" s="814" t="s">
        <v>332</v>
      </c>
      <c r="O85" s="824" t="s">
        <v>4894</v>
      </c>
    </row>
    <row r="86">
      <c r="A86" s="116"/>
      <c r="B86" s="438" t="s">
        <v>861</v>
      </c>
      <c r="C86" s="787" t="s">
        <v>4895</v>
      </c>
      <c r="D86" s="162" t="s">
        <v>701</v>
      </c>
      <c r="E86" s="241" t="s">
        <v>2128</v>
      </c>
      <c r="F86" s="241" t="s">
        <v>704</v>
      </c>
      <c r="G86" s="514" t="s">
        <v>705</v>
      </c>
      <c r="H86" s="464" t="s">
        <v>224</v>
      </c>
      <c r="I86" s="464" t="s">
        <v>4827</v>
      </c>
      <c r="J86" s="820" t="s">
        <v>4899</v>
      </c>
      <c r="K86" s="338" t="s">
        <v>4899</v>
      </c>
      <c r="L86" s="822">
        <v>2.0</v>
      </c>
      <c r="M86" s="814"/>
      <c r="N86" s="814" t="s">
        <v>3269</v>
      </c>
      <c r="O86" s="824" t="s">
        <v>4904</v>
      </c>
      <c r="P86" s="179"/>
      <c r="Q86" s="179"/>
    </row>
    <row r="87">
      <c r="A87" s="116"/>
      <c r="B87" s="438" t="s">
        <v>861</v>
      </c>
      <c r="C87" s="834" t="s">
        <v>4905</v>
      </c>
      <c r="D87" s="212" t="s">
        <v>4907</v>
      </c>
      <c r="E87" s="432" t="s">
        <v>4909</v>
      </c>
      <c r="F87" s="726"/>
      <c r="G87" s="465" t="s">
        <v>4910</v>
      </c>
      <c r="H87" s="393" t="s">
        <v>224</v>
      </c>
      <c r="I87" s="393" t="s">
        <v>324</v>
      </c>
      <c r="J87" s="350" t="s">
        <v>4911</v>
      </c>
      <c r="K87" s="366" t="s">
        <v>4911</v>
      </c>
      <c r="L87" s="822">
        <v>2.71</v>
      </c>
      <c r="M87" s="433"/>
      <c r="N87" s="840" t="s">
        <v>660</v>
      </c>
      <c r="O87" s="433"/>
      <c r="P87" s="841"/>
      <c r="Q87" s="842"/>
    </row>
    <row r="88">
      <c r="A88" s="67"/>
      <c r="B88" s="438" t="s">
        <v>861</v>
      </c>
      <c r="C88" s="787" t="s">
        <v>4919</v>
      </c>
      <c r="D88" s="162" t="s">
        <v>4920</v>
      </c>
      <c r="E88" s="241" t="s">
        <v>4921</v>
      </c>
      <c r="F88" s="241" t="s">
        <v>684</v>
      </c>
      <c r="G88" s="514" t="s">
        <v>4922</v>
      </c>
      <c r="H88" s="464" t="s">
        <v>192</v>
      </c>
      <c r="I88" s="464" t="s">
        <v>2254</v>
      </c>
      <c r="J88" s="820" t="s">
        <v>4925</v>
      </c>
      <c r="K88" s="338" t="s">
        <v>4925</v>
      </c>
      <c r="L88" s="639">
        <v>4.0</v>
      </c>
      <c r="M88" s="845"/>
      <c r="N88" s="794" t="s">
        <v>843</v>
      </c>
      <c r="O88" s="179"/>
      <c r="P88" s="179"/>
      <c r="Q88" s="179"/>
    </row>
    <row r="89">
      <c r="A89" s="67"/>
      <c r="B89" s="438" t="s">
        <v>861</v>
      </c>
      <c r="C89" s="785" t="s">
        <v>4932</v>
      </c>
      <c r="D89" s="165" t="s">
        <v>4933</v>
      </c>
      <c r="E89" s="195" t="s">
        <v>4934</v>
      </c>
      <c r="G89" s="606" t="s">
        <v>4935</v>
      </c>
      <c r="H89" s="393" t="s">
        <v>485</v>
      </c>
      <c r="I89" s="393" t="s">
        <v>3136</v>
      </c>
      <c r="J89" s="350" t="s">
        <v>4937</v>
      </c>
      <c r="K89" s="366" t="s">
        <v>4937</v>
      </c>
      <c r="L89" s="818">
        <v>4.07</v>
      </c>
      <c r="M89" s="848"/>
      <c r="N89" s="796" t="s">
        <v>482</v>
      </c>
    </row>
    <row r="90">
      <c r="A90" s="67"/>
      <c r="B90" s="438" t="s">
        <v>861</v>
      </c>
      <c r="C90" s="787" t="s">
        <v>4940</v>
      </c>
      <c r="D90" s="162" t="s">
        <v>701</v>
      </c>
      <c r="E90" s="241" t="s">
        <v>3242</v>
      </c>
      <c r="F90" s="241" t="s">
        <v>704</v>
      </c>
      <c r="G90" s="514" t="s">
        <v>705</v>
      </c>
      <c r="H90" s="464" t="s">
        <v>461</v>
      </c>
      <c r="I90" s="464" t="s">
        <v>530</v>
      </c>
      <c r="J90" s="566" t="s">
        <v>4941</v>
      </c>
      <c r="K90" s="566" t="s">
        <v>4941</v>
      </c>
      <c r="L90" s="816">
        <v>3.57</v>
      </c>
      <c r="M90" s="845"/>
      <c r="N90" s="794" t="s">
        <v>33</v>
      </c>
      <c r="O90" s="179"/>
      <c r="P90" s="179"/>
      <c r="Q90" s="179"/>
    </row>
    <row r="91">
      <c r="A91" s="67"/>
      <c r="B91" s="438" t="s">
        <v>861</v>
      </c>
      <c r="C91" s="850" t="s">
        <v>4946</v>
      </c>
      <c r="D91" s="104" t="s">
        <v>4948</v>
      </c>
      <c r="E91" s="851" t="s">
        <v>4949</v>
      </c>
      <c r="F91" s="851" t="s">
        <v>4950</v>
      </c>
      <c r="G91" s="852" t="s">
        <v>4951</v>
      </c>
      <c r="H91" s="853" t="s">
        <v>461</v>
      </c>
      <c r="I91" s="853" t="s">
        <v>462</v>
      </c>
      <c r="J91" s="350" t="s">
        <v>4953</v>
      </c>
      <c r="K91" s="350" t="s">
        <v>4953</v>
      </c>
      <c r="L91" s="816">
        <v>3.86</v>
      </c>
      <c r="M91" s="848"/>
      <c r="N91" s="796" t="s">
        <v>4959</v>
      </c>
    </row>
    <row r="92">
      <c r="A92" s="67"/>
      <c r="B92" s="438" t="s">
        <v>861</v>
      </c>
      <c r="C92" s="854" t="s">
        <v>4960</v>
      </c>
      <c r="D92" s="41" t="s">
        <v>1257</v>
      </c>
      <c r="E92" s="41" t="s">
        <v>1913</v>
      </c>
      <c r="F92" s="41" t="s">
        <v>215</v>
      </c>
      <c r="G92" s="855" t="s">
        <v>1258</v>
      </c>
      <c r="H92" s="856" t="s">
        <v>192</v>
      </c>
      <c r="I92" s="856" t="s">
        <v>276</v>
      </c>
      <c r="J92" s="509" t="s">
        <v>4963</v>
      </c>
      <c r="K92" s="509"/>
      <c r="L92" s="816">
        <v>4.21</v>
      </c>
      <c r="M92" s="845"/>
      <c r="N92" s="794" t="s">
        <v>1667</v>
      </c>
      <c r="O92" s="179"/>
      <c r="P92" s="179"/>
      <c r="Q92" s="179"/>
    </row>
    <row r="93">
      <c r="A93" s="67"/>
      <c r="B93" s="438" t="s">
        <v>861</v>
      </c>
      <c r="C93" s="859" t="s">
        <v>4966</v>
      </c>
      <c r="D93" s="861" t="s">
        <v>4967</v>
      </c>
      <c r="E93" s="862" t="s">
        <v>213</v>
      </c>
      <c r="F93" s="596" t="s">
        <v>3011</v>
      </c>
      <c r="G93" s="863" t="s">
        <v>4968</v>
      </c>
      <c r="H93" s="596" t="s">
        <v>485</v>
      </c>
      <c r="I93" s="596" t="s">
        <v>486</v>
      </c>
      <c r="J93" s="864" t="s">
        <v>4971</v>
      </c>
      <c r="K93" s="848"/>
      <c r="L93" s="400">
        <v>3.79</v>
      </c>
      <c r="N93" s="796" t="s">
        <v>4977</v>
      </c>
    </row>
    <row r="94">
      <c r="A94" s="67"/>
      <c r="B94" s="438" t="s">
        <v>861</v>
      </c>
      <c r="C94" s="859" t="s">
        <v>4979</v>
      </c>
      <c r="D94" s="861" t="s">
        <v>1804</v>
      </c>
      <c r="E94" s="862" t="s">
        <v>2623</v>
      </c>
      <c r="F94" s="596" t="s">
        <v>215</v>
      </c>
      <c r="G94" s="863" t="s">
        <v>1805</v>
      </c>
      <c r="H94" s="596" t="s">
        <v>461</v>
      </c>
      <c r="I94" s="596" t="s">
        <v>462</v>
      </c>
      <c r="J94" s="864" t="s">
        <v>4980</v>
      </c>
      <c r="K94" s="848"/>
      <c r="L94" s="400">
        <v>4.21</v>
      </c>
      <c r="N94" s="796" t="s">
        <v>778</v>
      </c>
    </row>
    <row r="95">
      <c r="A95" s="67"/>
      <c r="B95" s="438" t="s">
        <v>861</v>
      </c>
      <c r="C95" s="859" t="s">
        <v>4987</v>
      </c>
      <c r="D95" s="861" t="s">
        <v>3050</v>
      </c>
      <c r="E95" s="862" t="s">
        <v>317</v>
      </c>
      <c r="F95" s="596" t="s">
        <v>3051</v>
      </c>
      <c r="G95" s="863" t="s">
        <v>3052</v>
      </c>
      <c r="H95" s="596" t="s">
        <v>485</v>
      </c>
      <c r="I95" s="596" t="s">
        <v>386</v>
      </c>
      <c r="J95" s="868" t="s">
        <v>4989</v>
      </c>
      <c r="K95" s="848"/>
      <c r="L95" s="400">
        <v>4.07</v>
      </c>
      <c r="N95" s="796" t="s">
        <v>730</v>
      </c>
    </row>
    <row r="96">
      <c r="A96" s="67"/>
      <c r="B96" s="438" t="s">
        <v>861</v>
      </c>
      <c r="C96" s="869" t="s">
        <v>4993</v>
      </c>
      <c r="D96" s="870" t="s">
        <v>4997</v>
      </c>
      <c r="E96" s="41" t="s">
        <v>4998</v>
      </c>
      <c r="F96" s="41" t="s">
        <v>3031</v>
      </c>
      <c r="G96" s="856"/>
      <c r="H96" s="856" t="s">
        <v>485</v>
      </c>
      <c r="I96" s="856" t="s">
        <v>486</v>
      </c>
      <c r="J96" s="871" t="s">
        <v>4999</v>
      </c>
      <c r="K96" s="845"/>
      <c r="L96" s="400">
        <v>2.93</v>
      </c>
      <c r="N96" s="794" t="s">
        <v>482</v>
      </c>
      <c r="O96" s="179"/>
      <c r="P96" s="179"/>
      <c r="Q96" s="179"/>
    </row>
    <row r="97">
      <c r="A97" s="67"/>
      <c r="B97" s="438" t="s">
        <v>861</v>
      </c>
      <c r="C97" s="869" t="s">
        <v>5001</v>
      </c>
      <c r="D97" s="870" t="s">
        <v>5002</v>
      </c>
      <c r="E97" s="40" t="s">
        <v>4301</v>
      </c>
      <c r="F97" s="40" t="s">
        <v>770</v>
      </c>
      <c r="G97" s="418" t="s">
        <v>5005</v>
      </c>
      <c r="H97" s="419" t="s">
        <v>192</v>
      </c>
      <c r="I97" s="419" t="s">
        <v>195</v>
      </c>
      <c r="J97" s="871" t="s">
        <v>5007</v>
      </c>
      <c r="K97" s="874"/>
      <c r="L97" s="875">
        <v>3.79</v>
      </c>
      <c r="M97" s="848"/>
      <c r="N97" s="796" t="s">
        <v>5011</v>
      </c>
    </row>
    <row r="98">
      <c r="A98" s="67"/>
      <c r="B98" s="438" t="s">
        <v>861</v>
      </c>
      <c r="C98" s="172" t="s">
        <v>5012</v>
      </c>
      <c r="D98" s="172" t="s">
        <v>1098</v>
      </c>
      <c r="E98" s="290" t="s">
        <v>5015</v>
      </c>
      <c r="F98" s="290" t="s">
        <v>215</v>
      </c>
      <c r="G98" s="876" t="s">
        <v>1101</v>
      </c>
      <c r="H98" s="77" t="s">
        <v>485</v>
      </c>
      <c r="I98" s="77" t="s">
        <v>486</v>
      </c>
      <c r="J98" s="880" t="s">
        <v>5020</v>
      </c>
      <c r="K98" s="467"/>
      <c r="L98" s="400">
        <v>3.36</v>
      </c>
      <c r="M98" s="845"/>
      <c r="N98" s="794" t="s">
        <v>5027</v>
      </c>
      <c r="O98" s="179"/>
      <c r="P98" s="179"/>
      <c r="Q98" s="179"/>
    </row>
    <row r="99">
      <c r="A99" s="67"/>
      <c r="B99" s="438" t="s">
        <v>861</v>
      </c>
      <c r="C99" s="172" t="s">
        <v>5028</v>
      </c>
      <c r="D99" s="172" t="s">
        <v>5029</v>
      </c>
      <c r="E99" s="290" t="s">
        <v>5030</v>
      </c>
      <c r="F99" s="290" t="s">
        <v>770</v>
      </c>
      <c r="G99" s="876" t="s">
        <v>5032</v>
      </c>
      <c r="H99" s="77" t="s">
        <v>461</v>
      </c>
      <c r="I99" s="77" t="s">
        <v>530</v>
      </c>
      <c r="J99" s="880" t="s">
        <v>5033</v>
      </c>
      <c r="K99" s="480"/>
      <c r="L99" s="400">
        <v>2.57</v>
      </c>
      <c r="M99" s="848"/>
      <c r="N99" s="796" t="s">
        <v>284</v>
      </c>
    </row>
    <row r="100">
      <c r="A100" s="67"/>
      <c r="B100" s="438" t="s">
        <v>861</v>
      </c>
      <c r="C100" s="461" t="s">
        <v>5038</v>
      </c>
      <c r="D100" s="461" t="s">
        <v>1547</v>
      </c>
      <c r="E100" s="575" t="s">
        <v>592</v>
      </c>
      <c r="F100" s="575" t="s">
        <v>1548</v>
      </c>
      <c r="G100" s="881" t="s">
        <v>1552</v>
      </c>
      <c r="H100" s="77" t="s">
        <v>485</v>
      </c>
      <c r="I100" s="77" t="s">
        <v>486</v>
      </c>
      <c r="J100" s="880" t="s">
        <v>5039</v>
      </c>
      <c r="K100" s="467"/>
      <c r="M100" s="882"/>
      <c r="N100" s="796" t="s">
        <v>257</v>
      </c>
    </row>
    <row r="101">
      <c r="A101" s="67"/>
      <c r="B101" s="438" t="s">
        <v>861</v>
      </c>
      <c r="C101" s="883" t="s">
        <v>5044</v>
      </c>
      <c r="D101" s="5" t="s">
        <v>5047</v>
      </c>
      <c r="E101" s="40" t="s">
        <v>5048</v>
      </c>
      <c r="F101" s="40" t="s">
        <v>5049</v>
      </c>
      <c r="G101" s="418" t="s">
        <v>5050</v>
      </c>
      <c r="H101" s="419" t="s">
        <v>485</v>
      </c>
      <c r="I101" s="419" t="s">
        <v>486</v>
      </c>
      <c r="J101" s="884" t="s">
        <v>5052</v>
      </c>
      <c r="L101" s="400">
        <v>2.57</v>
      </c>
      <c r="M101" s="882"/>
      <c r="N101" s="796" t="s">
        <v>257</v>
      </c>
    </row>
    <row r="102">
      <c r="A102" s="67"/>
      <c r="B102" s="213" t="s">
        <v>861</v>
      </c>
      <c r="C102" s="883" t="s">
        <v>5055</v>
      </c>
      <c r="D102" s="5" t="s">
        <v>3681</v>
      </c>
      <c r="E102" s="40" t="s">
        <v>3193</v>
      </c>
      <c r="F102" s="40" t="s">
        <v>3682</v>
      </c>
      <c r="G102" s="418" t="s">
        <v>3683</v>
      </c>
      <c r="H102" s="419" t="s">
        <v>485</v>
      </c>
      <c r="I102" s="419" t="s">
        <v>486</v>
      </c>
      <c r="J102" s="884" t="s">
        <v>5059</v>
      </c>
      <c r="K102" s="603"/>
      <c r="L102" s="875">
        <v>3.43</v>
      </c>
      <c r="M102" s="882"/>
      <c r="N102" s="796" t="s">
        <v>482</v>
      </c>
    </row>
    <row r="103">
      <c r="A103" s="67"/>
      <c r="B103" s="213" t="s">
        <v>861</v>
      </c>
      <c r="C103" s="883" t="s">
        <v>5063</v>
      </c>
      <c r="D103" s="5" t="s">
        <v>5064</v>
      </c>
      <c r="E103" s="40" t="s">
        <v>3790</v>
      </c>
      <c r="F103" s="40" t="s">
        <v>5065</v>
      </c>
      <c r="G103" s="418" t="s">
        <v>5066</v>
      </c>
      <c r="H103" s="419" t="s">
        <v>485</v>
      </c>
      <c r="I103" s="419" t="s">
        <v>486</v>
      </c>
      <c r="J103" s="884" t="s">
        <v>5071</v>
      </c>
      <c r="K103" s="884" t="s">
        <v>5071</v>
      </c>
      <c r="L103" s="885"/>
      <c r="M103" s="882"/>
      <c r="N103" s="645"/>
    </row>
    <row r="104">
      <c r="A104" s="67"/>
      <c r="B104" s="213" t="s">
        <v>861</v>
      </c>
      <c r="C104" s="883" t="s">
        <v>5074</v>
      </c>
      <c r="D104" s="5" t="s">
        <v>1547</v>
      </c>
      <c r="E104" s="40" t="s">
        <v>592</v>
      </c>
      <c r="F104" s="40" t="s">
        <v>1548</v>
      </c>
      <c r="G104" s="418" t="s">
        <v>1552</v>
      </c>
      <c r="H104" s="419" t="s">
        <v>485</v>
      </c>
      <c r="I104" s="419" t="s">
        <v>486</v>
      </c>
      <c r="J104" s="884" t="s">
        <v>5080</v>
      </c>
      <c r="K104" s="884" t="s">
        <v>5080</v>
      </c>
      <c r="L104" s="885"/>
      <c r="M104" s="882"/>
      <c r="N104" s="645"/>
    </row>
    <row r="105">
      <c r="A105" s="67"/>
      <c r="B105" s="636"/>
      <c r="C105" s="575"/>
      <c r="D105" s="40"/>
      <c r="E105" s="40"/>
      <c r="F105" s="714"/>
      <c r="G105" s="577"/>
      <c r="H105" s="577"/>
      <c r="I105" s="577"/>
      <c r="J105" s="577"/>
      <c r="K105" s="577"/>
      <c r="L105" s="882"/>
      <c r="M105" s="882"/>
      <c r="N105" s="645"/>
    </row>
    <row r="106">
      <c r="A106" s="67"/>
      <c r="B106" s="636"/>
      <c r="C106" s="575"/>
      <c r="D106" s="40"/>
      <c r="E106" s="40"/>
      <c r="F106" s="714"/>
      <c r="G106" s="577"/>
      <c r="H106" s="577"/>
      <c r="I106" s="577"/>
      <c r="J106" s="577"/>
      <c r="K106" s="577"/>
      <c r="L106" s="882"/>
      <c r="M106" s="882"/>
      <c r="N106" s="645"/>
    </row>
    <row r="107">
      <c r="A107" s="67"/>
      <c r="B107" s="636"/>
      <c r="C107" s="575"/>
      <c r="D107" s="40"/>
      <c r="E107" s="40"/>
      <c r="F107" s="714"/>
      <c r="G107" s="577"/>
      <c r="H107" s="577"/>
      <c r="I107" s="577"/>
      <c r="J107" s="577"/>
      <c r="K107" s="577"/>
      <c r="L107" s="882"/>
      <c r="M107" s="882"/>
      <c r="N107" s="645"/>
    </row>
    <row r="108">
      <c r="A108" s="67"/>
      <c r="B108" s="636"/>
      <c r="C108" s="575"/>
      <c r="D108" s="40"/>
      <c r="E108" s="40"/>
      <c r="F108" s="714"/>
      <c r="G108" s="577"/>
      <c r="H108" s="577"/>
      <c r="I108" s="577"/>
      <c r="J108" s="577"/>
      <c r="K108" s="577"/>
      <c r="L108" s="882"/>
      <c r="M108" s="882"/>
      <c r="N108" s="645"/>
    </row>
    <row r="109">
      <c r="A109" s="67"/>
      <c r="B109" s="636"/>
      <c r="C109" s="575"/>
      <c r="D109" s="40"/>
      <c r="E109" s="40"/>
      <c r="F109" s="40"/>
      <c r="G109" s="577"/>
      <c r="H109" s="577"/>
      <c r="I109" s="577"/>
      <c r="J109" s="577"/>
      <c r="K109" s="577"/>
      <c r="L109" s="882"/>
      <c r="M109" s="882"/>
      <c r="N109" s="645"/>
    </row>
    <row r="110">
      <c r="A110" s="67"/>
      <c r="B110" s="636"/>
      <c r="C110" s="575"/>
      <c r="D110" s="40"/>
      <c r="E110" s="40"/>
      <c r="G110" s="577"/>
      <c r="H110" s="577"/>
      <c r="I110" s="577"/>
      <c r="J110" s="577"/>
      <c r="K110" s="577"/>
      <c r="L110" s="882"/>
      <c r="M110" s="882"/>
      <c r="N110" s="645"/>
    </row>
    <row r="111">
      <c r="A111" s="67"/>
      <c r="B111" s="636"/>
      <c r="C111" s="575"/>
      <c r="D111" s="40"/>
      <c r="E111" s="40"/>
      <c r="G111" s="577"/>
      <c r="H111" s="577"/>
      <c r="I111" s="577"/>
      <c r="J111" s="577"/>
      <c r="K111" s="577"/>
      <c r="L111" s="882"/>
      <c r="M111" s="882"/>
      <c r="N111" s="645"/>
    </row>
    <row r="112">
      <c r="A112" s="67"/>
      <c r="B112" s="636"/>
      <c r="C112" s="575"/>
      <c r="D112" s="40"/>
      <c r="E112" s="40"/>
      <c r="F112" s="40"/>
      <c r="G112" s="577"/>
      <c r="H112" s="577"/>
      <c r="I112" s="577"/>
      <c r="J112" s="577"/>
      <c r="K112" s="577"/>
      <c r="L112" s="882"/>
      <c r="M112" s="882"/>
      <c r="N112" s="645"/>
    </row>
    <row r="113">
      <c r="A113" s="67"/>
      <c r="B113" s="636"/>
      <c r="C113" s="575"/>
      <c r="D113" s="40"/>
      <c r="E113" s="40"/>
      <c r="F113" s="40"/>
      <c r="G113" s="577"/>
      <c r="H113" s="577"/>
      <c r="I113" s="577"/>
      <c r="J113" s="577"/>
      <c r="K113" s="577"/>
      <c r="L113" s="882"/>
      <c r="M113" s="882"/>
      <c r="N113" s="645"/>
    </row>
    <row r="114">
      <c r="A114" s="67"/>
      <c r="B114" s="636"/>
      <c r="C114" s="575"/>
      <c r="D114" s="40"/>
      <c r="E114" s="40"/>
      <c r="F114" s="40"/>
      <c r="G114" s="577"/>
      <c r="H114" s="577"/>
      <c r="I114" s="577"/>
      <c r="J114" s="577"/>
      <c r="K114" s="577"/>
      <c r="L114" s="882"/>
      <c r="M114" s="882"/>
      <c r="N114" s="645"/>
    </row>
    <row r="115">
      <c r="A115" s="67"/>
      <c r="B115" s="636"/>
      <c r="C115" s="575"/>
      <c r="D115" s="40"/>
      <c r="E115" s="40"/>
      <c r="F115" s="714"/>
      <c r="G115" s="577"/>
      <c r="H115" s="577"/>
      <c r="I115" s="577"/>
      <c r="J115" s="577"/>
      <c r="K115" s="577"/>
      <c r="L115" s="882"/>
      <c r="M115" s="882"/>
      <c r="N115" s="645"/>
    </row>
    <row r="116">
      <c r="A116" s="67"/>
      <c r="B116" s="636"/>
      <c r="C116" s="575"/>
      <c r="D116" s="40"/>
      <c r="E116" s="40"/>
      <c r="F116" s="714"/>
      <c r="G116" s="577"/>
      <c r="H116" s="577"/>
      <c r="I116" s="577"/>
      <c r="J116" s="577"/>
      <c r="K116" s="577"/>
      <c r="L116" s="882"/>
      <c r="M116" s="882"/>
      <c r="N116" s="645"/>
    </row>
    <row r="117">
      <c r="A117" s="67"/>
      <c r="B117" s="636"/>
      <c r="C117" s="575"/>
      <c r="D117" s="40"/>
      <c r="E117" s="40"/>
      <c r="F117" s="576"/>
      <c r="G117" s="577"/>
      <c r="H117" s="577"/>
      <c r="I117" s="577"/>
      <c r="J117" s="577"/>
      <c r="K117" s="577"/>
      <c r="L117" s="882"/>
      <c r="M117" s="882"/>
      <c r="N117" s="645"/>
    </row>
    <row r="118">
      <c r="A118" s="67"/>
      <c r="B118" s="636"/>
      <c r="C118" s="575"/>
      <c r="D118" s="40"/>
      <c r="E118" s="40"/>
      <c r="F118" s="40"/>
      <c r="G118" s="577"/>
      <c r="H118" s="577"/>
      <c r="I118" s="577"/>
      <c r="J118" s="577"/>
      <c r="K118" s="577"/>
      <c r="L118" s="882"/>
      <c r="M118" s="882"/>
      <c r="N118" s="645"/>
    </row>
    <row r="119">
      <c r="A119" s="67"/>
      <c r="B119" s="636"/>
      <c r="C119" s="575"/>
      <c r="D119" s="576"/>
      <c r="E119" s="576"/>
      <c r="F119" s="576"/>
      <c r="G119" s="577"/>
      <c r="H119" s="577"/>
      <c r="I119" s="577"/>
      <c r="J119" s="577"/>
      <c r="K119" s="577"/>
      <c r="L119" s="882"/>
      <c r="M119" s="882"/>
      <c r="N119" s="645"/>
    </row>
    <row r="120">
      <c r="A120" s="67"/>
      <c r="B120" s="636"/>
      <c r="C120" s="575"/>
      <c r="D120" s="576"/>
      <c r="E120" s="576"/>
      <c r="F120" s="576"/>
      <c r="G120" s="577"/>
      <c r="H120" s="577"/>
      <c r="I120" s="577"/>
      <c r="J120" s="577"/>
      <c r="K120" s="577"/>
      <c r="L120" s="882"/>
      <c r="M120" s="882"/>
      <c r="N120" s="645"/>
    </row>
    <row r="121">
      <c r="A121" s="67"/>
      <c r="B121" s="636"/>
      <c r="C121" s="575"/>
      <c r="D121" s="576"/>
      <c r="E121" s="576"/>
      <c r="F121" s="576"/>
      <c r="G121" s="577"/>
      <c r="H121" s="577"/>
      <c r="I121" s="577"/>
      <c r="J121" s="577"/>
      <c r="K121" s="577"/>
      <c r="L121" s="882"/>
      <c r="M121" s="882"/>
      <c r="N121" s="645"/>
    </row>
    <row r="122">
      <c r="A122" s="67"/>
      <c r="B122" s="636"/>
      <c r="C122" s="575"/>
      <c r="D122" s="576"/>
      <c r="E122" s="576"/>
      <c r="F122" s="576"/>
      <c r="G122" s="577"/>
      <c r="H122" s="577"/>
      <c r="I122" s="577"/>
      <c r="J122" s="577"/>
      <c r="K122" s="577"/>
      <c r="L122" s="882"/>
      <c r="M122" s="882"/>
      <c r="N122" s="645"/>
    </row>
    <row r="123">
      <c r="A123" s="67"/>
      <c r="B123" s="636"/>
      <c r="C123" s="575"/>
      <c r="D123" s="576"/>
      <c r="E123" s="576"/>
      <c r="F123" s="576"/>
      <c r="G123" s="577"/>
      <c r="H123" s="577"/>
      <c r="I123" s="577"/>
      <c r="J123" s="577"/>
      <c r="K123" s="577"/>
      <c r="L123" s="882"/>
      <c r="M123" s="882"/>
      <c r="N123" s="645"/>
    </row>
    <row r="124">
      <c r="A124" s="67"/>
      <c r="B124" s="636"/>
      <c r="C124" s="575"/>
      <c r="D124" s="576"/>
      <c r="E124" s="576"/>
      <c r="F124" s="576"/>
      <c r="G124" s="577"/>
      <c r="H124" s="577"/>
      <c r="I124" s="577"/>
      <c r="J124" s="577"/>
      <c r="K124" s="577"/>
      <c r="L124" s="882"/>
      <c r="M124" s="882"/>
      <c r="N124" s="645"/>
    </row>
    <row r="125">
      <c r="A125" s="67"/>
      <c r="B125" s="636"/>
      <c r="C125" s="575"/>
      <c r="D125" s="576"/>
      <c r="E125" s="576"/>
      <c r="F125" s="576"/>
      <c r="G125" s="577"/>
      <c r="H125" s="577"/>
      <c r="I125" s="577"/>
      <c r="J125" s="577"/>
      <c r="K125" s="577"/>
      <c r="L125" s="882"/>
      <c r="M125" s="882"/>
      <c r="N125" s="645"/>
    </row>
    <row r="126">
      <c r="A126" s="67"/>
      <c r="B126" s="636"/>
      <c r="C126" s="575"/>
      <c r="D126" s="576"/>
      <c r="E126" s="576"/>
      <c r="F126" s="576"/>
      <c r="G126" s="577"/>
      <c r="H126" s="577"/>
      <c r="I126" s="577"/>
      <c r="J126" s="577"/>
      <c r="K126" s="577"/>
      <c r="L126" s="882"/>
      <c r="M126" s="882"/>
      <c r="N126" s="645"/>
    </row>
    <row r="127">
      <c r="A127" s="67"/>
      <c r="B127" s="636"/>
      <c r="C127" s="575"/>
      <c r="D127" s="576"/>
      <c r="E127" s="576"/>
      <c r="F127" s="576"/>
      <c r="G127" s="577"/>
      <c r="H127" s="577"/>
      <c r="I127" s="577"/>
      <c r="J127" s="577"/>
      <c r="K127" s="577"/>
      <c r="L127" s="882"/>
      <c r="M127" s="882"/>
      <c r="N127" s="645"/>
    </row>
    <row r="128">
      <c r="A128" s="67"/>
      <c r="B128" s="636"/>
      <c r="C128" s="575"/>
      <c r="D128" s="576"/>
      <c r="E128" s="576"/>
      <c r="F128" s="576"/>
      <c r="G128" s="577"/>
      <c r="H128" s="577"/>
      <c r="I128" s="577"/>
      <c r="J128" s="577"/>
      <c r="K128" s="577"/>
      <c r="L128" s="882"/>
      <c r="M128" s="882"/>
      <c r="N128" s="645"/>
    </row>
    <row r="129">
      <c r="A129" s="67"/>
      <c r="B129" s="636"/>
      <c r="C129" s="575"/>
      <c r="D129" s="576"/>
      <c r="E129" s="576"/>
      <c r="F129" s="576"/>
      <c r="G129" s="577"/>
      <c r="H129" s="577"/>
      <c r="I129" s="577"/>
      <c r="J129" s="577"/>
      <c r="K129" s="577"/>
      <c r="L129" s="882"/>
      <c r="M129" s="882"/>
      <c r="N129" s="645"/>
    </row>
    <row r="130">
      <c r="A130" s="67"/>
      <c r="B130" s="636"/>
      <c r="C130" s="575"/>
      <c r="D130" s="576"/>
      <c r="E130" s="576"/>
      <c r="F130" s="576"/>
      <c r="G130" s="577"/>
      <c r="H130" s="577"/>
      <c r="I130" s="577"/>
      <c r="J130" s="577"/>
      <c r="K130" s="577"/>
      <c r="L130" s="882"/>
      <c r="M130" s="882"/>
      <c r="N130" s="645"/>
    </row>
    <row r="131">
      <c r="A131" s="67"/>
      <c r="B131" s="636"/>
      <c r="C131" s="575"/>
      <c r="D131" s="576"/>
      <c r="E131" s="576"/>
      <c r="F131" s="576"/>
      <c r="G131" s="577"/>
      <c r="H131" s="577"/>
      <c r="I131" s="577"/>
      <c r="J131" s="577"/>
      <c r="K131" s="577"/>
      <c r="L131" s="882"/>
      <c r="M131" s="882"/>
      <c r="N131" s="645"/>
    </row>
    <row r="132">
      <c r="A132" s="67"/>
      <c r="B132" s="636"/>
      <c r="C132" s="575"/>
      <c r="D132" s="576"/>
      <c r="E132" s="576"/>
      <c r="F132" s="576"/>
      <c r="G132" s="577"/>
      <c r="H132" s="577"/>
      <c r="I132" s="577"/>
      <c r="J132" s="577"/>
      <c r="K132" s="577"/>
      <c r="L132" s="882"/>
      <c r="M132" s="882"/>
      <c r="N132" s="645"/>
    </row>
    <row r="133">
      <c r="A133" s="67"/>
      <c r="B133" s="636"/>
      <c r="C133" s="575"/>
      <c r="D133" s="576"/>
      <c r="E133" s="576"/>
      <c r="F133" s="576"/>
      <c r="G133" s="577"/>
      <c r="H133" s="577"/>
      <c r="I133" s="577"/>
      <c r="J133" s="577"/>
      <c r="K133" s="577"/>
      <c r="L133" s="882"/>
      <c r="M133" s="882"/>
      <c r="N133" s="645"/>
    </row>
    <row r="134">
      <c r="A134" s="67"/>
      <c r="B134" s="636"/>
      <c r="C134" s="575"/>
      <c r="D134" s="576"/>
      <c r="E134" s="576"/>
      <c r="F134" s="576"/>
      <c r="G134" s="577"/>
      <c r="H134" s="577"/>
      <c r="I134" s="577"/>
      <c r="J134" s="577"/>
      <c r="K134" s="577"/>
      <c r="L134" s="882"/>
      <c r="M134" s="882"/>
      <c r="N134" s="645"/>
    </row>
    <row r="135">
      <c r="A135" s="67"/>
      <c r="B135" s="636"/>
      <c r="C135" s="575"/>
      <c r="D135" s="576"/>
      <c r="E135" s="576"/>
      <c r="F135" s="576"/>
      <c r="G135" s="577"/>
      <c r="H135" s="577"/>
      <c r="I135" s="577"/>
      <c r="J135" s="577"/>
      <c r="K135" s="577"/>
      <c r="L135" s="882"/>
      <c r="M135" s="882"/>
      <c r="N135" s="645"/>
    </row>
    <row r="136">
      <c r="A136" s="67"/>
      <c r="B136" s="636"/>
      <c r="C136" s="575"/>
      <c r="D136" s="576"/>
      <c r="E136" s="576"/>
      <c r="F136" s="576"/>
      <c r="G136" s="577"/>
      <c r="H136" s="577"/>
      <c r="I136" s="577"/>
      <c r="J136" s="577"/>
      <c r="K136" s="577"/>
      <c r="L136" s="882"/>
      <c r="M136" s="882"/>
      <c r="N136" s="645"/>
    </row>
    <row r="137">
      <c r="A137" s="67"/>
      <c r="B137" s="636"/>
      <c r="C137" s="575"/>
      <c r="D137" s="576"/>
      <c r="E137" s="576"/>
      <c r="F137" s="576"/>
      <c r="G137" s="577"/>
      <c r="H137" s="577"/>
      <c r="I137" s="577"/>
      <c r="J137" s="577"/>
      <c r="K137" s="577"/>
      <c r="L137" s="882"/>
      <c r="M137" s="882"/>
      <c r="N137" s="645"/>
    </row>
    <row r="138">
      <c r="A138" s="67"/>
      <c r="B138" s="636"/>
      <c r="C138" s="575"/>
      <c r="D138" s="576"/>
      <c r="E138" s="576"/>
      <c r="F138" s="576"/>
      <c r="G138" s="577"/>
      <c r="H138" s="577"/>
      <c r="I138" s="577"/>
      <c r="J138" s="577"/>
      <c r="K138" s="577"/>
      <c r="L138" s="882"/>
      <c r="M138" s="882"/>
      <c r="N138" s="645"/>
    </row>
    <row r="139">
      <c r="A139" s="67"/>
      <c r="B139" s="636"/>
      <c r="C139" s="575"/>
      <c r="D139" s="576"/>
      <c r="E139" s="576"/>
      <c r="F139" s="576"/>
      <c r="G139" s="577"/>
      <c r="H139" s="577"/>
      <c r="I139" s="577"/>
      <c r="J139" s="577"/>
      <c r="K139" s="577"/>
      <c r="L139" s="882"/>
      <c r="M139" s="882"/>
      <c r="N139" s="645"/>
    </row>
    <row r="140">
      <c r="A140" s="67"/>
      <c r="B140" s="636"/>
      <c r="C140" s="575"/>
      <c r="D140" s="576"/>
      <c r="E140" s="576"/>
      <c r="F140" s="576"/>
      <c r="G140" s="577"/>
      <c r="H140" s="577"/>
      <c r="I140" s="577"/>
      <c r="J140" s="577"/>
      <c r="K140" s="577"/>
      <c r="L140" s="882"/>
      <c r="M140" s="882"/>
      <c r="N140" s="645"/>
    </row>
    <row r="141">
      <c r="A141" s="67"/>
      <c r="B141" s="636"/>
      <c r="C141" s="575"/>
      <c r="D141" s="576"/>
      <c r="E141" s="576"/>
      <c r="F141" s="576"/>
      <c r="G141" s="577"/>
      <c r="H141" s="577"/>
      <c r="I141" s="577"/>
      <c r="J141" s="577"/>
      <c r="K141" s="577"/>
      <c r="L141" s="882"/>
      <c r="M141" s="882"/>
      <c r="N141" s="645"/>
    </row>
    <row r="142">
      <c r="A142" s="67"/>
      <c r="B142" s="636"/>
      <c r="C142" s="575"/>
      <c r="D142" s="576"/>
      <c r="E142" s="576"/>
      <c r="F142" s="576"/>
      <c r="G142" s="577"/>
      <c r="H142" s="577"/>
      <c r="I142" s="577"/>
      <c r="J142" s="577"/>
      <c r="K142" s="577"/>
      <c r="L142" s="882"/>
      <c r="M142" s="882"/>
      <c r="N142" s="645"/>
    </row>
    <row r="143">
      <c r="A143" s="67"/>
      <c r="B143" s="636"/>
      <c r="C143" s="575"/>
      <c r="D143" s="576"/>
      <c r="E143" s="576"/>
      <c r="F143" s="576"/>
      <c r="G143" s="577"/>
      <c r="H143" s="577"/>
      <c r="I143" s="577"/>
      <c r="J143" s="577"/>
      <c r="K143" s="577"/>
      <c r="L143" s="882"/>
      <c r="M143" s="882"/>
      <c r="N143" s="645"/>
    </row>
    <row r="144">
      <c r="A144" s="67"/>
      <c r="B144" s="636"/>
      <c r="C144" s="575"/>
      <c r="D144" s="576"/>
      <c r="E144" s="576"/>
      <c r="F144" s="576"/>
      <c r="G144" s="577"/>
      <c r="H144" s="577"/>
      <c r="I144" s="577"/>
      <c r="J144" s="577"/>
      <c r="K144" s="577"/>
      <c r="L144" s="882"/>
      <c r="M144" s="882"/>
      <c r="N144" s="645"/>
    </row>
    <row r="145">
      <c r="A145" s="67"/>
      <c r="B145" s="636"/>
      <c r="C145" s="575"/>
      <c r="D145" s="576"/>
      <c r="E145" s="576"/>
      <c r="F145" s="576"/>
      <c r="G145" s="577"/>
      <c r="H145" s="577"/>
      <c r="I145" s="577"/>
      <c r="J145" s="577"/>
      <c r="K145" s="577"/>
      <c r="L145" s="882"/>
      <c r="M145" s="882"/>
      <c r="N145" s="645"/>
    </row>
    <row r="146">
      <c r="A146" s="67"/>
      <c r="B146" s="636"/>
      <c r="C146" s="575"/>
      <c r="D146" s="576"/>
      <c r="E146" s="576"/>
      <c r="F146" s="576"/>
      <c r="G146" s="577"/>
      <c r="H146" s="577"/>
      <c r="I146" s="577"/>
      <c r="J146" s="577"/>
      <c r="K146" s="577"/>
      <c r="L146" s="882"/>
      <c r="M146" s="882"/>
      <c r="N146" s="645"/>
    </row>
    <row r="147">
      <c r="A147" s="67"/>
      <c r="B147" s="636"/>
      <c r="C147" s="575"/>
      <c r="D147" s="576"/>
      <c r="E147" s="576"/>
      <c r="F147" s="576"/>
      <c r="G147" s="577"/>
      <c r="H147" s="577"/>
      <c r="I147" s="577"/>
      <c r="J147" s="577"/>
      <c r="K147" s="577"/>
      <c r="L147" s="882"/>
      <c r="M147" s="882"/>
      <c r="N147" s="645"/>
    </row>
    <row r="148">
      <c r="A148" s="67"/>
      <c r="B148" s="636"/>
      <c r="C148" s="575"/>
      <c r="D148" s="576"/>
      <c r="E148" s="576"/>
      <c r="F148" s="576"/>
      <c r="G148" s="577"/>
      <c r="H148" s="577"/>
      <c r="I148" s="577"/>
      <c r="J148" s="577"/>
      <c r="K148" s="577"/>
      <c r="L148" s="882"/>
      <c r="M148" s="882"/>
      <c r="N148" s="645"/>
    </row>
    <row r="149">
      <c r="A149" s="67"/>
      <c r="B149" s="636"/>
      <c r="C149" s="575"/>
      <c r="D149" s="576"/>
      <c r="E149" s="576"/>
      <c r="F149" s="576"/>
      <c r="G149" s="577"/>
      <c r="H149" s="577"/>
      <c r="I149" s="577"/>
      <c r="J149" s="577"/>
      <c r="K149" s="577"/>
      <c r="L149" s="882"/>
      <c r="M149" s="882"/>
      <c r="N149" s="645"/>
    </row>
    <row r="150">
      <c r="A150" s="67"/>
      <c r="B150" s="636"/>
      <c r="C150" s="575"/>
      <c r="D150" s="576"/>
      <c r="E150" s="576"/>
      <c r="F150" s="576"/>
      <c r="G150" s="577"/>
      <c r="H150" s="577"/>
      <c r="I150" s="577"/>
      <c r="J150" s="577"/>
      <c r="K150" s="577"/>
      <c r="L150" s="882"/>
      <c r="M150" s="882"/>
      <c r="N150" s="645"/>
    </row>
    <row r="151">
      <c r="A151" s="67"/>
      <c r="B151" s="636"/>
      <c r="C151" s="575"/>
      <c r="D151" s="576"/>
      <c r="E151" s="576"/>
      <c r="F151" s="576"/>
      <c r="G151" s="577"/>
      <c r="H151" s="577"/>
      <c r="I151" s="577"/>
      <c r="J151" s="577"/>
      <c r="K151" s="577"/>
      <c r="L151" s="882"/>
      <c r="M151" s="882"/>
      <c r="N151" s="645"/>
    </row>
    <row r="152">
      <c r="A152" s="67"/>
      <c r="B152" s="636"/>
      <c r="C152" s="575"/>
      <c r="D152" s="576"/>
      <c r="E152" s="576"/>
      <c r="F152" s="576"/>
      <c r="G152" s="577"/>
      <c r="H152" s="577"/>
      <c r="I152" s="577"/>
      <c r="J152" s="577"/>
      <c r="K152" s="577"/>
      <c r="L152" s="882"/>
      <c r="M152" s="882"/>
      <c r="N152" s="645"/>
    </row>
    <row r="153">
      <c r="A153" s="67"/>
      <c r="B153" s="636"/>
      <c r="C153" s="575"/>
      <c r="D153" s="576"/>
      <c r="E153" s="576"/>
      <c r="F153" s="576"/>
      <c r="G153" s="577"/>
      <c r="H153" s="577"/>
      <c r="I153" s="577"/>
      <c r="J153" s="577"/>
      <c r="K153" s="577"/>
      <c r="L153" s="882"/>
      <c r="M153" s="882"/>
      <c r="N153" s="645"/>
    </row>
    <row r="154">
      <c r="A154" s="67"/>
      <c r="B154" s="636"/>
      <c r="C154" s="575"/>
      <c r="D154" s="576"/>
      <c r="E154" s="576"/>
      <c r="F154" s="576"/>
      <c r="G154" s="577"/>
      <c r="H154" s="577"/>
      <c r="I154" s="577"/>
      <c r="J154" s="577"/>
      <c r="K154" s="577"/>
      <c r="L154" s="882"/>
      <c r="M154" s="882"/>
      <c r="N154" s="645"/>
    </row>
    <row r="155">
      <c r="A155" s="67"/>
      <c r="B155" s="636"/>
      <c r="C155" s="575"/>
      <c r="D155" s="576"/>
      <c r="E155" s="576"/>
      <c r="F155" s="576"/>
      <c r="G155" s="577"/>
      <c r="H155" s="577"/>
      <c r="I155" s="577"/>
      <c r="J155" s="577"/>
      <c r="K155" s="577"/>
      <c r="L155" s="882"/>
      <c r="M155" s="882"/>
      <c r="N155" s="645"/>
    </row>
    <row r="156">
      <c r="A156" s="67"/>
      <c r="B156" s="636"/>
      <c r="C156" s="575"/>
      <c r="D156" s="576"/>
      <c r="E156" s="576"/>
      <c r="F156" s="576"/>
      <c r="G156" s="577"/>
      <c r="H156" s="577"/>
      <c r="I156" s="577"/>
      <c r="J156" s="577"/>
      <c r="K156" s="577"/>
      <c r="L156" s="882"/>
      <c r="M156" s="882"/>
      <c r="N156" s="645"/>
    </row>
    <row r="157">
      <c r="A157" s="67"/>
      <c r="B157" s="636"/>
      <c r="C157" s="575"/>
      <c r="D157" s="576"/>
      <c r="E157" s="576"/>
      <c r="F157" s="576"/>
      <c r="G157" s="577"/>
      <c r="H157" s="577"/>
      <c r="I157" s="577"/>
      <c r="J157" s="577"/>
      <c r="K157" s="577"/>
      <c r="L157" s="882"/>
      <c r="M157" s="882"/>
      <c r="N157" s="645"/>
    </row>
    <row r="158">
      <c r="A158" s="67"/>
      <c r="B158" s="636"/>
      <c r="C158" s="575"/>
      <c r="D158" s="576"/>
      <c r="E158" s="576"/>
      <c r="F158" s="576"/>
      <c r="G158" s="577"/>
      <c r="H158" s="577"/>
      <c r="I158" s="577"/>
      <c r="J158" s="577"/>
      <c r="K158" s="577"/>
      <c r="L158" s="882"/>
      <c r="M158" s="882"/>
      <c r="N158" s="645"/>
    </row>
    <row r="159">
      <c r="A159" s="67"/>
      <c r="B159" s="636"/>
      <c r="C159" s="575"/>
      <c r="D159" s="576"/>
      <c r="E159" s="576"/>
      <c r="F159" s="576"/>
      <c r="G159" s="577"/>
      <c r="H159" s="577"/>
      <c r="I159" s="577"/>
      <c r="J159" s="577"/>
      <c r="K159" s="577"/>
      <c r="L159" s="882"/>
      <c r="M159" s="882"/>
      <c r="N159" s="645"/>
    </row>
    <row r="160">
      <c r="A160" s="67"/>
      <c r="B160" s="636"/>
      <c r="C160" s="575"/>
      <c r="D160" s="576"/>
      <c r="E160" s="576"/>
      <c r="F160" s="576"/>
      <c r="G160" s="577"/>
      <c r="H160" s="577"/>
      <c r="I160" s="577"/>
      <c r="J160" s="577"/>
      <c r="K160" s="577"/>
      <c r="L160" s="882"/>
      <c r="M160" s="882"/>
      <c r="N160" s="645"/>
    </row>
    <row r="161">
      <c r="A161" s="67"/>
      <c r="B161" s="636"/>
      <c r="C161" s="575"/>
      <c r="D161" s="576"/>
      <c r="E161" s="576"/>
      <c r="F161" s="576"/>
      <c r="G161" s="577"/>
      <c r="H161" s="577"/>
      <c r="I161" s="577"/>
      <c r="J161" s="577"/>
      <c r="K161" s="577"/>
      <c r="L161" s="882"/>
      <c r="M161" s="882"/>
      <c r="N161" s="645"/>
    </row>
    <row r="162">
      <c r="A162" s="67"/>
      <c r="B162" s="636"/>
      <c r="C162" s="575"/>
      <c r="D162" s="576"/>
      <c r="E162" s="576"/>
      <c r="F162" s="576"/>
      <c r="G162" s="577"/>
      <c r="H162" s="577"/>
      <c r="I162" s="577"/>
      <c r="J162" s="577"/>
      <c r="K162" s="577"/>
      <c r="L162" s="882"/>
      <c r="M162" s="882"/>
      <c r="N162" s="645"/>
    </row>
    <row r="163">
      <c r="A163" s="67"/>
      <c r="B163" s="636"/>
      <c r="C163" s="575"/>
      <c r="D163" s="576"/>
      <c r="E163" s="576"/>
      <c r="F163" s="576"/>
      <c r="G163" s="577"/>
      <c r="H163" s="577"/>
      <c r="I163" s="577"/>
      <c r="J163" s="577"/>
      <c r="K163" s="577"/>
      <c r="L163" s="882"/>
      <c r="M163" s="882"/>
      <c r="N163" s="645"/>
    </row>
    <row r="164">
      <c r="A164" s="67"/>
      <c r="B164" s="636"/>
      <c r="C164" s="575"/>
      <c r="D164" s="576"/>
      <c r="E164" s="576"/>
      <c r="F164" s="576"/>
      <c r="G164" s="577"/>
      <c r="H164" s="577"/>
      <c r="I164" s="577"/>
      <c r="J164" s="577"/>
      <c r="K164" s="577"/>
      <c r="L164" s="882"/>
      <c r="M164" s="882"/>
      <c r="N164" s="645"/>
    </row>
    <row r="165">
      <c r="A165" s="67"/>
      <c r="B165" s="636"/>
      <c r="C165" s="575"/>
      <c r="D165" s="576"/>
      <c r="E165" s="576"/>
      <c r="F165" s="576"/>
      <c r="G165" s="577"/>
      <c r="H165" s="577"/>
      <c r="I165" s="577"/>
      <c r="J165" s="577"/>
      <c r="K165" s="577"/>
      <c r="L165" s="882"/>
      <c r="M165" s="882"/>
      <c r="N165" s="645"/>
    </row>
    <row r="166">
      <c r="A166" s="67"/>
      <c r="B166" s="636"/>
      <c r="C166" s="575"/>
      <c r="D166" s="576"/>
      <c r="E166" s="576"/>
      <c r="F166" s="576"/>
      <c r="G166" s="577"/>
      <c r="H166" s="577"/>
      <c r="I166" s="577"/>
      <c r="J166" s="577"/>
      <c r="K166" s="577"/>
      <c r="L166" s="882"/>
      <c r="M166" s="882"/>
      <c r="N166" s="645"/>
    </row>
    <row r="167">
      <c r="A167" s="67"/>
      <c r="B167" s="636"/>
      <c r="C167" s="575"/>
      <c r="D167" s="576"/>
      <c r="E167" s="576"/>
      <c r="F167" s="576"/>
      <c r="G167" s="577"/>
      <c r="H167" s="577"/>
      <c r="I167" s="577"/>
      <c r="J167" s="577"/>
      <c r="K167" s="577"/>
      <c r="L167" s="882"/>
      <c r="M167" s="882"/>
      <c r="N167" s="645"/>
    </row>
    <row r="168">
      <c r="A168" s="67"/>
      <c r="B168" s="636"/>
      <c r="C168" s="575"/>
      <c r="D168" s="576"/>
      <c r="E168" s="576"/>
      <c r="F168" s="576"/>
      <c r="G168" s="577"/>
      <c r="H168" s="577"/>
      <c r="I168" s="577"/>
      <c r="J168" s="577"/>
      <c r="K168" s="577"/>
      <c r="L168" s="882"/>
      <c r="M168" s="882"/>
      <c r="N168" s="645"/>
    </row>
    <row r="169">
      <c r="A169" s="67"/>
      <c r="B169" s="636"/>
      <c r="C169" s="575"/>
      <c r="D169" s="576"/>
      <c r="E169" s="576"/>
      <c r="F169" s="576"/>
      <c r="G169" s="577"/>
      <c r="H169" s="577"/>
      <c r="I169" s="577"/>
      <c r="J169" s="577"/>
      <c r="K169" s="577"/>
      <c r="L169" s="882"/>
      <c r="M169" s="882"/>
      <c r="N169" s="645"/>
    </row>
    <row r="170">
      <c r="A170" s="67"/>
      <c r="B170" s="636"/>
      <c r="C170" s="575"/>
      <c r="D170" s="576"/>
      <c r="E170" s="576"/>
      <c r="F170" s="576"/>
      <c r="G170" s="577"/>
      <c r="H170" s="577"/>
      <c r="I170" s="577"/>
      <c r="J170" s="577"/>
      <c r="K170" s="577"/>
      <c r="L170" s="882"/>
      <c r="M170" s="882"/>
      <c r="N170" s="645"/>
    </row>
    <row r="171">
      <c r="A171" s="67"/>
      <c r="B171" s="636"/>
      <c r="C171" s="575"/>
      <c r="D171" s="576"/>
      <c r="E171" s="576"/>
      <c r="F171" s="576"/>
      <c r="G171" s="577"/>
      <c r="H171" s="577"/>
      <c r="I171" s="577"/>
      <c r="J171" s="577"/>
      <c r="K171" s="577"/>
      <c r="L171" s="882"/>
      <c r="M171" s="882"/>
      <c r="N171" s="645"/>
    </row>
    <row r="172">
      <c r="A172" s="67"/>
      <c r="B172" s="636"/>
      <c r="C172" s="575"/>
      <c r="D172" s="576"/>
      <c r="E172" s="576"/>
      <c r="F172" s="576"/>
      <c r="G172" s="577"/>
      <c r="H172" s="577"/>
      <c r="I172" s="577"/>
      <c r="J172" s="577"/>
      <c r="K172" s="577"/>
      <c r="L172" s="882"/>
      <c r="M172" s="882"/>
      <c r="N172" s="645"/>
    </row>
    <row r="173">
      <c r="A173" s="67"/>
      <c r="B173" s="636"/>
      <c r="C173" s="575"/>
      <c r="D173" s="576"/>
      <c r="E173" s="576"/>
      <c r="F173" s="576"/>
      <c r="G173" s="577"/>
      <c r="H173" s="577"/>
      <c r="I173" s="577"/>
      <c r="J173" s="577"/>
      <c r="K173" s="577"/>
      <c r="L173" s="882"/>
      <c r="M173" s="882"/>
      <c r="N173" s="645"/>
    </row>
    <row r="174">
      <c r="A174" s="67"/>
      <c r="B174" s="636"/>
      <c r="C174" s="575"/>
      <c r="D174" s="576"/>
      <c r="E174" s="576"/>
      <c r="F174" s="576"/>
      <c r="G174" s="577"/>
      <c r="H174" s="577"/>
      <c r="I174" s="577"/>
      <c r="J174" s="577"/>
      <c r="K174" s="577"/>
      <c r="L174" s="882"/>
      <c r="M174" s="882"/>
      <c r="N174" s="645"/>
    </row>
    <row r="175">
      <c r="A175" s="67"/>
      <c r="B175" s="636"/>
      <c r="C175" s="575"/>
      <c r="D175" s="576"/>
      <c r="E175" s="576"/>
      <c r="F175" s="576"/>
      <c r="G175" s="577"/>
      <c r="H175" s="577"/>
      <c r="I175" s="577"/>
      <c r="J175" s="577"/>
      <c r="K175" s="577"/>
      <c r="L175" s="882"/>
      <c r="M175" s="882"/>
      <c r="N175" s="645"/>
    </row>
    <row r="176">
      <c r="A176" s="67"/>
      <c r="B176" s="636"/>
      <c r="C176" s="575"/>
      <c r="D176" s="576"/>
      <c r="E176" s="576"/>
      <c r="F176" s="576"/>
      <c r="G176" s="577"/>
      <c r="H176" s="577"/>
      <c r="I176" s="577"/>
      <c r="J176" s="577"/>
      <c r="K176" s="577"/>
      <c r="L176" s="882"/>
      <c r="M176" s="882"/>
      <c r="N176" s="645"/>
    </row>
    <row r="177">
      <c r="A177" s="67"/>
      <c r="B177" s="636"/>
      <c r="C177" s="575"/>
      <c r="D177" s="576"/>
      <c r="E177" s="576"/>
      <c r="F177" s="576"/>
      <c r="G177" s="577"/>
      <c r="H177" s="577"/>
      <c r="I177" s="577"/>
      <c r="J177" s="577"/>
      <c r="K177" s="577"/>
      <c r="L177" s="882"/>
      <c r="M177" s="882"/>
      <c r="N177" s="645"/>
    </row>
    <row r="178">
      <c r="A178" s="67"/>
      <c r="B178" s="636"/>
      <c r="C178" s="575"/>
      <c r="D178" s="576"/>
      <c r="E178" s="576"/>
      <c r="F178" s="576"/>
      <c r="G178" s="577"/>
      <c r="H178" s="577"/>
      <c r="I178" s="577"/>
      <c r="J178" s="577"/>
      <c r="K178" s="577"/>
      <c r="L178" s="882"/>
      <c r="M178" s="882"/>
      <c r="N178" s="645"/>
    </row>
    <row r="179">
      <c r="A179" s="67"/>
      <c r="B179" s="636"/>
      <c r="C179" s="575"/>
      <c r="D179" s="576"/>
      <c r="E179" s="576"/>
      <c r="F179" s="576"/>
      <c r="G179" s="577"/>
      <c r="H179" s="577"/>
      <c r="I179" s="577"/>
      <c r="J179" s="577"/>
      <c r="K179" s="577"/>
      <c r="L179" s="882"/>
      <c r="M179" s="882"/>
      <c r="N179" s="645"/>
    </row>
    <row r="180">
      <c r="A180" s="67"/>
      <c r="B180" s="636"/>
      <c r="C180" s="575"/>
      <c r="D180" s="576"/>
      <c r="E180" s="576"/>
      <c r="F180" s="576"/>
      <c r="G180" s="577"/>
      <c r="H180" s="577"/>
      <c r="I180" s="577"/>
      <c r="J180" s="577"/>
      <c r="K180" s="577"/>
      <c r="L180" s="882"/>
      <c r="M180" s="882"/>
      <c r="N180" s="645"/>
    </row>
    <row r="181">
      <c r="A181" s="67"/>
      <c r="B181" s="636"/>
      <c r="C181" s="575"/>
      <c r="D181" s="576"/>
      <c r="E181" s="576"/>
      <c r="F181" s="576"/>
      <c r="G181" s="577"/>
      <c r="H181" s="577"/>
      <c r="I181" s="577"/>
      <c r="J181" s="577"/>
      <c r="K181" s="577"/>
      <c r="L181" s="882"/>
      <c r="M181" s="882"/>
      <c r="N181" s="645"/>
    </row>
    <row r="182">
      <c r="A182" s="67"/>
      <c r="B182" s="636"/>
      <c r="C182" s="575"/>
      <c r="D182" s="576"/>
      <c r="E182" s="576"/>
      <c r="F182" s="576"/>
      <c r="G182" s="577"/>
      <c r="H182" s="577"/>
      <c r="I182" s="577"/>
      <c r="J182" s="577"/>
      <c r="K182" s="577"/>
      <c r="L182" s="882"/>
      <c r="M182" s="882"/>
      <c r="N182" s="645"/>
    </row>
    <row r="183">
      <c r="A183" s="67"/>
      <c r="B183" s="636"/>
      <c r="C183" s="575"/>
      <c r="D183" s="576"/>
      <c r="E183" s="576"/>
      <c r="F183" s="576"/>
      <c r="G183" s="577"/>
      <c r="H183" s="577"/>
      <c r="I183" s="577"/>
      <c r="J183" s="577"/>
      <c r="K183" s="577"/>
      <c r="L183" s="882"/>
      <c r="M183" s="882"/>
      <c r="N183" s="645"/>
    </row>
    <row r="184">
      <c r="A184" s="67"/>
      <c r="B184" s="636"/>
      <c r="C184" s="575"/>
      <c r="D184" s="576"/>
      <c r="E184" s="576"/>
      <c r="F184" s="576"/>
      <c r="G184" s="577"/>
      <c r="H184" s="577"/>
      <c r="I184" s="577"/>
      <c r="J184" s="577"/>
      <c r="K184" s="577"/>
      <c r="L184" s="882"/>
      <c r="M184" s="882"/>
      <c r="N184" s="645"/>
    </row>
    <row r="185">
      <c r="A185" s="67"/>
      <c r="B185" s="636"/>
      <c r="C185" s="575"/>
      <c r="D185" s="576"/>
      <c r="E185" s="576"/>
      <c r="F185" s="576"/>
      <c r="G185" s="577"/>
      <c r="H185" s="577"/>
      <c r="I185" s="577"/>
      <c r="J185" s="577"/>
      <c r="K185" s="577"/>
      <c r="L185" s="882"/>
      <c r="M185" s="882"/>
      <c r="N185" s="645"/>
    </row>
    <row r="186">
      <c r="A186" s="67"/>
      <c r="B186" s="636"/>
      <c r="C186" s="575"/>
      <c r="D186" s="576"/>
      <c r="E186" s="576"/>
      <c r="F186" s="576"/>
      <c r="G186" s="577"/>
      <c r="H186" s="577"/>
      <c r="I186" s="577"/>
      <c r="J186" s="577"/>
      <c r="K186" s="577"/>
      <c r="L186" s="882"/>
      <c r="M186" s="882"/>
      <c r="N186" s="645"/>
    </row>
    <row r="187">
      <c r="A187" s="67"/>
      <c r="B187" s="636"/>
      <c r="C187" s="575"/>
      <c r="D187" s="576"/>
      <c r="E187" s="576"/>
      <c r="F187" s="576"/>
      <c r="G187" s="577"/>
      <c r="H187" s="577"/>
      <c r="I187" s="577"/>
      <c r="J187" s="577"/>
      <c r="K187" s="577"/>
      <c r="L187" s="882"/>
      <c r="M187" s="882"/>
      <c r="N187" s="645"/>
    </row>
    <row r="188">
      <c r="A188" s="67"/>
      <c r="B188" s="636"/>
      <c r="C188" s="575"/>
      <c r="D188" s="576"/>
      <c r="E188" s="576"/>
      <c r="F188" s="576"/>
      <c r="G188" s="577"/>
      <c r="H188" s="577"/>
      <c r="I188" s="577"/>
      <c r="J188" s="577"/>
      <c r="K188" s="577"/>
      <c r="L188" s="882"/>
      <c r="M188" s="882"/>
      <c r="N188" s="645"/>
    </row>
    <row r="189">
      <c r="A189" s="67"/>
      <c r="B189" s="636"/>
      <c r="C189" s="575"/>
      <c r="D189" s="576"/>
      <c r="E189" s="576"/>
      <c r="F189" s="576"/>
      <c r="G189" s="577"/>
      <c r="H189" s="577"/>
      <c r="I189" s="577"/>
      <c r="J189" s="577"/>
      <c r="K189" s="577"/>
      <c r="L189" s="882"/>
      <c r="M189" s="882"/>
      <c r="N189" s="645"/>
    </row>
    <row r="190">
      <c r="A190" s="67"/>
      <c r="B190" s="636"/>
      <c r="C190" s="575"/>
      <c r="D190" s="576"/>
      <c r="E190" s="576"/>
      <c r="F190" s="576"/>
      <c r="G190" s="577"/>
      <c r="H190" s="577"/>
      <c r="I190" s="577"/>
      <c r="J190" s="577"/>
      <c r="K190" s="577"/>
      <c r="L190" s="882"/>
      <c r="M190" s="882"/>
      <c r="N190" s="645"/>
    </row>
    <row r="191">
      <c r="A191" s="67"/>
      <c r="B191" s="636"/>
      <c r="C191" s="575"/>
      <c r="D191" s="576"/>
      <c r="E191" s="576"/>
      <c r="F191" s="576"/>
      <c r="G191" s="577"/>
      <c r="H191" s="577"/>
      <c r="I191" s="577"/>
      <c r="J191" s="577"/>
      <c r="K191" s="577"/>
      <c r="L191" s="882"/>
      <c r="M191" s="882"/>
      <c r="N191" s="645"/>
    </row>
    <row r="192">
      <c r="A192" s="67"/>
      <c r="B192" s="636"/>
      <c r="C192" s="575"/>
      <c r="D192" s="576"/>
      <c r="E192" s="576"/>
      <c r="F192" s="576"/>
      <c r="G192" s="577"/>
      <c r="H192" s="577"/>
      <c r="I192" s="577"/>
      <c r="J192" s="577"/>
      <c r="K192" s="577"/>
      <c r="L192" s="882"/>
      <c r="M192" s="882"/>
      <c r="N192" s="645"/>
    </row>
    <row r="193">
      <c r="A193" s="67"/>
      <c r="B193" s="636"/>
      <c r="C193" s="575"/>
      <c r="D193" s="576"/>
      <c r="E193" s="576"/>
      <c r="F193" s="576"/>
      <c r="G193" s="577"/>
      <c r="H193" s="577"/>
      <c r="I193" s="577"/>
      <c r="J193" s="577"/>
      <c r="K193" s="577"/>
      <c r="L193" s="882"/>
      <c r="M193" s="882"/>
      <c r="N193" s="645"/>
    </row>
    <row r="194">
      <c r="A194" s="67"/>
      <c r="B194" s="636"/>
      <c r="C194" s="575"/>
      <c r="D194" s="576"/>
      <c r="E194" s="576"/>
      <c r="F194" s="576"/>
      <c r="G194" s="577"/>
      <c r="H194" s="577"/>
      <c r="I194" s="577"/>
      <c r="J194" s="577"/>
      <c r="K194" s="577"/>
      <c r="L194" s="882"/>
      <c r="M194" s="882"/>
      <c r="N194" s="645"/>
    </row>
    <row r="195">
      <c r="A195" s="67"/>
      <c r="B195" s="636"/>
      <c r="C195" s="575"/>
      <c r="D195" s="576"/>
      <c r="E195" s="576"/>
      <c r="F195" s="576"/>
      <c r="G195" s="577"/>
      <c r="H195" s="577"/>
      <c r="I195" s="577"/>
      <c r="J195" s="577"/>
      <c r="K195" s="577"/>
      <c r="L195" s="882"/>
      <c r="M195" s="882"/>
      <c r="N195" s="645"/>
    </row>
    <row r="196">
      <c r="A196" s="67"/>
      <c r="B196" s="636"/>
      <c r="C196" s="575"/>
      <c r="D196" s="576"/>
      <c r="E196" s="576"/>
      <c r="F196" s="576"/>
      <c r="G196" s="577"/>
      <c r="H196" s="577"/>
      <c r="I196" s="577"/>
      <c r="J196" s="577"/>
      <c r="K196" s="577"/>
      <c r="L196" s="882"/>
      <c r="M196" s="882"/>
      <c r="N196" s="645"/>
    </row>
    <row r="197">
      <c r="A197" s="67"/>
      <c r="B197" s="636"/>
      <c r="C197" s="575"/>
      <c r="D197" s="576"/>
      <c r="E197" s="576"/>
      <c r="F197" s="576"/>
      <c r="G197" s="577"/>
      <c r="H197" s="577"/>
      <c r="I197" s="577"/>
      <c r="J197" s="577"/>
      <c r="K197" s="577"/>
      <c r="L197" s="882"/>
      <c r="M197" s="882"/>
      <c r="N197" s="645"/>
    </row>
    <row r="198">
      <c r="A198" s="67"/>
      <c r="B198" s="636"/>
      <c r="C198" s="575"/>
      <c r="D198" s="576"/>
      <c r="E198" s="576"/>
      <c r="F198" s="576"/>
      <c r="G198" s="577"/>
      <c r="H198" s="577"/>
      <c r="I198" s="577"/>
      <c r="J198" s="577"/>
      <c r="K198" s="577"/>
      <c r="L198" s="882"/>
      <c r="M198" s="882"/>
      <c r="N198" s="645"/>
    </row>
    <row r="199">
      <c r="A199" s="67"/>
      <c r="B199" s="636"/>
      <c r="C199" s="575"/>
      <c r="D199" s="576"/>
      <c r="E199" s="576"/>
      <c r="F199" s="576"/>
      <c r="G199" s="577"/>
      <c r="H199" s="577"/>
      <c r="I199" s="577"/>
      <c r="J199" s="577"/>
      <c r="K199" s="577"/>
      <c r="L199" s="882"/>
      <c r="M199" s="882"/>
      <c r="N199" s="645"/>
    </row>
    <row r="200">
      <c r="A200" s="67"/>
      <c r="B200" s="636"/>
      <c r="C200" s="575"/>
      <c r="D200" s="576"/>
      <c r="E200" s="576"/>
      <c r="F200" s="576"/>
      <c r="G200" s="577"/>
      <c r="H200" s="577"/>
      <c r="I200" s="577"/>
      <c r="J200" s="577"/>
      <c r="K200" s="577"/>
      <c r="L200" s="882"/>
      <c r="M200" s="882"/>
      <c r="N200" s="645"/>
    </row>
    <row r="201">
      <c r="A201" s="67"/>
      <c r="B201" s="636"/>
      <c r="C201" s="575"/>
      <c r="D201" s="576"/>
      <c r="E201" s="576"/>
      <c r="F201" s="576"/>
      <c r="G201" s="577"/>
      <c r="H201" s="577"/>
      <c r="I201" s="577"/>
      <c r="J201" s="577"/>
      <c r="K201" s="577"/>
      <c r="L201" s="882"/>
      <c r="M201" s="882"/>
      <c r="N201" s="645"/>
    </row>
    <row r="202">
      <c r="A202" s="67"/>
      <c r="B202" s="636"/>
      <c r="C202" s="575"/>
      <c r="D202" s="576"/>
      <c r="E202" s="576"/>
      <c r="F202" s="576"/>
      <c r="G202" s="577"/>
      <c r="H202" s="577"/>
      <c r="I202" s="577"/>
      <c r="J202" s="577"/>
      <c r="K202" s="577"/>
      <c r="L202" s="882"/>
      <c r="M202" s="882"/>
      <c r="N202" s="645"/>
    </row>
    <row r="203">
      <c r="A203" s="67"/>
      <c r="B203" s="636"/>
      <c r="C203" s="575"/>
      <c r="D203" s="576"/>
      <c r="E203" s="576"/>
      <c r="F203" s="576"/>
      <c r="G203" s="577"/>
      <c r="H203" s="577"/>
      <c r="I203" s="577"/>
      <c r="J203" s="577"/>
      <c r="K203" s="577"/>
      <c r="L203" s="882"/>
      <c r="M203" s="882"/>
      <c r="N203" s="645"/>
    </row>
    <row r="204">
      <c r="A204" s="67"/>
      <c r="B204" s="636"/>
      <c r="C204" s="575"/>
      <c r="D204" s="576"/>
      <c r="E204" s="576"/>
      <c r="F204" s="576"/>
      <c r="G204" s="577"/>
      <c r="H204" s="577"/>
      <c r="I204" s="577"/>
      <c r="J204" s="577"/>
      <c r="K204" s="577"/>
      <c r="L204" s="882"/>
      <c r="M204" s="882"/>
      <c r="N204" s="645"/>
    </row>
    <row r="205">
      <c r="A205" s="67"/>
      <c r="B205" s="636"/>
      <c r="C205" s="575"/>
      <c r="D205" s="576"/>
      <c r="E205" s="576"/>
      <c r="F205" s="576"/>
      <c r="G205" s="577"/>
      <c r="H205" s="577"/>
      <c r="I205" s="577"/>
      <c r="J205" s="577"/>
      <c r="K205" s="577"/>
      <c r="L205" s="882"/>
      <c r="M205" s="882"/>
      <c r="N205" s="645"/>
    </row>
    <row r="206">
      <c r="A206" s="67"/>
      <c r="B206" s="636"/>
      <c r="C206" s="575"/>
      <c r="D206" s="576"/>
      <c r="E206" s="576"/>
      <c r="F206" s="576"/>
      <c r="G206" s="577"/>
      <c r="H206" s="577"/>
      <c r="I206" s="577"/>
      <c r="J206" s="577"/>
      <c r="K206" s="577"/>
      <c r="L206" s="882"/>
      <c r="M206" s="882"/>
      <c r="N206" s="645"/>
    </row>
    <row r="207">
      <c r="A207" s="67"/>
      <c r="B207" s="636"/>
      <c r="C207" s="575"/>
      <c r="D207" s="576"/>
      <c r="E207" s="576"/>
      <c r="F207" s="576"/>
      <c r="G207" s="577"/>
      <c r="H207" s="577"/>
      <c r="I207" s="577"/>
      <c r="J207" s="577"/>
      <c r="K207" s="577"/>
      <c r="L207" s="882"/>
      <c r="M207" s="882"/>
      <c r="N207" s="645"/>
    </row>
    <row r="208">
      <c r="A208" s="67"/>
      <c r="B208" s="636"/>
      <c r="C208" s="575"/>
      <c r="D208" s="576"/>
      <c r="E208" s="576"/>
      <c r="F208" s="576"/>
      <c r="G208" s="577"/>
      <c r="H208" s="577"/>
      <c r="I208" s="577"/>
      <c r="J208" s="577"/>
      <c r="K208" s="577"/>
      <c r="L208" s="882"/>
      <c r="M208" s="882"/>
      <c r="N208" s="645"/>
    </row>
    <row r="209">
      <c r="A209" s="67"/>
      <c r="B209" s="636"/>
      <c r="C209" s="575"/>
      <c r="D209" s="576"/>
      <c r="E209" s="576"/>
      <c r="F209" s="576"/>
      <c r="G209" s="577"/>
      <c r="H209" s="577"/>
      <c r="I209" s="577"/>
      <c r="J209" s="577"/>
      <c r="K209" s="577"/>
      <c r="L209" s="882"/>
      <c r="M209" s="882"/>
      <c r="N209" s="645"/>
    </row>
    <row r="210">
      <c r="A210" s="67"/>
      <c r="B210" s="636"/>
      <c r="C210" s="575"/>
      <c r="D210" s="576"/>
      <c r="E210" s="576"/>
      <c r="F210" s="576"/>
      <c r="G210" s="577"/>
      <c r="H210" s="577"/>
      <c r="I210" s="577"/>
      <c r="J210" s="577"/>
      <c r="K210" s="577"/>
      <c r="L210" s="882"/>
      <c r="M210" s="882"/>
      <c r="N210" s="645"/>
    </row>
    <row r="211">
      <c r="A211" s="67"/>
      <c r="B211" s="636"/>
      <c r="C211" s="575"/>
      <c r="D211" s="576"/>
      <c r="E211" s="576"/>
      <c r="F211" s="576"/>
      <c r="G211" s="577"/>
      <c r="H211" s="577"/>
      <c r="I211" s="577"/>
      <c r="J211" s="577"/>
      <c r="K211" s="577"/>
      <c r="L211" s="882"/>
      <c r="M211" s="882"/>
      <c r="N211" s="645"/>
    </row>
    <row r="212">
      <c r="A212" s="67"/>
      <c r="B212" s="636"/>
      <c r="C212" s="575"/>
      <c r="D212" s="576"/>
      <c r="E212" s="576"/>
      <c r="F212" s="576"/>
      <c r="G212" s="577"/>
      <c r="H212" s="577"/>
      <c r="I212" s="577"/>
      <c r="J212" s="577"/>
      <c r="K212" s="577"/>
      <c r="L212" s="882"/>
      <c r="M212" s="882"/>
      <c r="N212" s="645"/>
    </row>
    <row r="213">
      <c r="A213" s="67"/>
      <c r="B213" s="636"/>
      <c r="C213" s="575"/>
      <c r="D213" s="576"/>
      <c r="E213" s="576"/>
      <c r="F213" s="576"/>
      <c r="G213" s="577"/>
      <c r="H213" s="577"/>
      <c r="I213" s="577"/>
      <c r="J213" s="577"/>
      <c r="K213" s="577"/>
      <c r="L213" s="882"/>
      <c r="M213" s="882"/>
      <c r="N213" s="645"/>
    </row>
    <row r="214">
      <c r="A214" s="67"/>
      <c r="B214" s="636"/>
      <c r="C214" s="575"/>
      <c r="D214" s="576"/>
      <c r="E214" s="576"/>
      <c r="F214" s="576"/>
      <c r="G214" s="577"/>
      <c r="H214" s="577"/>
      <c r="I214" s="577"/>
      <c r="J214" s="577"/>
      <c r="K214" s="577"/>
      <c r="L214" s="882"/>
      <c r="M214" s="882"/>
      <c r="N214" s="645"/>
    </row>
    <row r="215">
      <c r="A215" s="67"/>
      <c r="B215" s="636"/>
      <c r="C215" s="575"/>
      <c r="D215" s="576"/>
      <c r="E215" s="576"/>
      <c r="F215" s="576"/>
      <c r="G215" s="577"/>
      <c r="H215" s="577"/>
      <c r="I215" s="577"/>
      <c r="J215" s="577"/>
      <c r="K215" s="577"/>
      <c r="L215" s="882"/>
      <c r="M215" s="882"/>
      <c r="N215" s="645"/>
    </row>
    <row r="216">
      <c r="A216" s="67"/>
      <c r="B216" s="636"/>
      <c r="C216" s="575"/>
      <c r="D216" s="576"/>
      <c r="E216" s="576"/>
      <c r="F216" s="576"/>
      <c r="G216" s="577"/>
      <c r="H216" s="577"/>
      <c r="I216" s="577"/>
      <c r="J216" s="577"/>
      <c r="K216" s="577"/>
      <c r="L216" s="882"/>
      <c r="M216" s="882"/>
      <c r="N216" s="645"/>
    </row>
    <row r="217">
      <c r="A217" s="67"/>
      <c r="B217" s="636"/>
      <c r="C217" s="575"/>
      <c r="D217" s="576"/>
      <c r="E217" s="576"/>
      <c r="F217" s="576"/>
      <c r="G217" s="577"/>
      <c r="H217" s="577"/>
      <c r="I217" s="577"/>
      <c r="J217" s="577"/>
      <c r="K217" s="577"/>
      <c r="L217" s="882"/>
      <c r="M217" s="882"/>
      <c r="N217" s="645"/>
    </row>
    <row r="218">
      <c r="A218" s="67"/>
      <c r="B218" s="636"/>
      <c r="C218" s="575"/>
      <c r="D218" s="576"/>
      <c r="E218" s="576"/>
      <c r="F218" s="576"/>
      <c r="G218" s="577"/>
      <c r="H218" s="577"/>
      <c r="I218" s="577"/>
      <c r="J218" s="577"/>
      <c r="K218" s="577"/>
      <c r="L218" s="882"/>
      <c r="M218" s="882"/>
      <c r="N218" s="645"/>
    </row>
    <row r="219">
      <c r="A219" s="67"/>
      <c r="B219" s="636"/>
      <c r="C219" s="575"/>
      <c r="D219" s="576"/>
      <c r="E219" s="576"/>
      <c r="F219" s="576"/>
      <c r="G219" s="577"/>
      <c r="H219" s="577"/>
      <c r="I219" s="577"/>
      <c r="J219" s="577"/>
      <c r="K219" s="577"/>
      <c r="L219" s="882"/>
      <c r="M219" s="882"/>
      <c r="N219" s="645"/>
    </row>
    <row r="220">
      <c r="A220" s="67"/>
      <c r="B220" s="636"/>
      <c r="C220" s="575"/>
      <c r="D220" s="576"/>
      <c r="E220" s="576"/>
      <c r="F220" s="576"/>
      <c r="G220" s="577"/>
      <c r="H220" s="577"/>
      <c r="I220" s="577"/>
      <c r="J220" s="577"/>
      <c r="K220" s="577"/>
      <c r="L220" s="882"/>
      <c r="M220" s="882"/>
      <c r="N220" s="645"/>
    </row>
    <row r="221">
      <c r="A221" s="67"/>
      <c r="B221" s="636"/>
      <c r="C221" s="575"/>
      <c r="D221" s="576"/>
      <c r="E221" s="576"/>
      <c r="F221" s="576"/>
      <c r="G221" s="577"/>
      <c r="H221" s="577"/>
      <c r="I221" s="577"/>
      <c r="J221" s="577"/>
      <c r="K221" s="577"/>
      <c r="L221" s="882"/>
      <c r="M221" s="882"/>
      <c r="N221" s="645"/>
    </row>
    <row r="222">
      <c r="A222" s="67"/>
      <c r="B222" s="636"/>
      <c r="C222" s="575"/>
      <c r="D222" s="576"/>
      <c r="E222" s="576"/>
      <c r="F222" s="576"/>
      <c r="G222" s="577"/>
      <c r="H222" s="577"/>
      <c r="I222" s="577"/>
      <c r="J222" s="577"/>
      <c r="K222" s="577"/>
      <c r="L222" s="882"/>
      <c r="M222" s="882"/>
      <c r="N222" s="645"/>
    </row>
    <row r="223">
      <c r="A223" s="67"/>
      <c r="B223" s="636"/>
      <c r="C223" s="575"/>
      <c r="D223" s="576"/>
      <c r="E223" s="576"/>
      <c r="F223" s="576"/>
      <c r="G223" s="577"/>
      <c r="H223" s="577"/>
      <c r="I223" s="577"/>
      <c r="J223" s="577"/>
      <c r="K223" s="577"/>
      <c r="L223" s="882"/>
      <c r="M223" s="882"/>
      <c r="N223" s="645"/>
    </row>
    <row r="224">
      <c r="A224" s="67"/>
      <c r="B224" s="636"/>
      <c r="C224" s="575"/>
      <c r="D224" s="576"/>
      <c r="E224" s="576"/>
      <c r="F224" s="576"/>
      <c r="G224" s="577"/>
      <c r="H224" s="577"/>
      <c r="I224" s="577"/>
      <c r="J224" s="577"/>
      <c r="K224" s="577"/>
      <c r="L224" s="882"/>
      <c r="M224" s="882"/>
      <c r="N224" s="645"/>
    </row>
    <row r="225">
      <c r="A225" s="67"/>
      <c r="B225" s="636"/>
      <c r="C225" s="575"/>
      <c r="D225" s="576"/>
      <c r="E225" s="576"/>
      <c r="F225" s="576"/>
      <c r="G225" s="577"/>
      <c r="H225" s="577"/>
      <c r="I225" s="577"/>
      <c r="J225" s="577"/>
      <c r="K225" s="577"/>
      <c r="L225" s="882"/>
      <c r="M225" s="882"/>
      <c r="N225" s="645"/>
    </row>
    <row r="226">
      <c r="A226" s="67"/>
      <c r="B226" s="636"/>
      <c r="C226" s="575"/>
      <c r="D226" s="576"/>
      <c r="E226" s="576"/>
      <c r="F226" s="576"/>
      <c r="G226" s="577"/>
      <c r="H226" s="577"/>
      <c r="I226" s="577"/>
      <c r="J226" s="577"/>
      <c r="K226" s="577"/>
      <c r="L226" s="882"/>
      <c r="M226" s="882"/>
      <c r="N226" s="645"/>
    </row>
    <row r="227">
      <c r="A227" s="67"/>
      <c r="B227" s="636"/>
      <c r="C227" s="575"/>
      <c r="D227" s="576"/>
      <c r="E227" s="576"/>
      <c r="F227" s="576"/>
      <c r="G227" s="577"/>
      <c r="H227" s="577"/>
      <c r="I227" s="577"/>
      <c r="J227" s="577"/>
      <c r="K227" s="577"/>
      <c r="L227" s="882"/>
      <c r="M227" s="882"/>
      <c r="N227" s="645"/>
    </row>
    <row r="228">
      <c r="A228" s="67"/>
      <c r="B228" s="636"/>
      <c r="C228" s="575"/>
      <c r="D228" s="576"/>
      <c r="E228" s="576"/>
      <c r="F228" s="576"/>
      <c r="G228" s="577"/>
      <c r="H228" s="577"/>
      <c r="I228" s="577"/>
      <c r="J228" s="577"/>
      <c r="K228" s="577"/>
      <c r="L228" s="882"/>
      <c r="M228" s="882"/>
      <c r="N228" s="645"/>
    </row>
    <row r="229">
      <c r="A229" s="67"/>
      <c r="B229" s="636"/>
      <c r="C229" s="575"/>
      <c r="D229" s="576"/>
      <c r="E229" s="576"/>
      <c r="F229" s="576"/>
      <c r="G229" s="577"/>
      <c r="H229" s="577"/>
      <c r="I229" s="577"/>
      <c r="J229" s="577"/>
      <c r="K229" s="577"/>
      <c r="L229" s="882"/>
      <c r="M229" s="882"/>
      <c r="N229" s="645"/>
    </row>
    <row r="230">
      <c r="A230" s="67"/>
      <c r="B230" s="636"/>
      <c r="C230" s="575"/>
      <c r="D230" s="576"/>
      <c r="E230" s="576"/>
      <c r="F230" s="576"/>
      <c r="G230" s="577"/>
      <c r="H230" s="577"/>
      <c r="I230" s="577"/>
      <c r="J230" s="577"/>
      <c r="K230" s="577"/>
      <c r="L230" s="882"/>
      <c r="M230" s="882"/>
      <c r="N230" s="645"/>
    </row>
    <row r="231">
      <c r="A231" s="67"/>
      <c r="B231" s="636"/>
      <c r="C231" s="575"/>
      <c r="D231" s="576"/>
      <c r="E231" s="576"/>
      <c r="F231" s="576"/>
      <c r="G231" s="577"/>
      <c r="H231" s="577"/>
      <c r="I231" s="577"/>
      <c r="J231" s="577"/>
      <c r="K231" s="577"/>
      <c r="L231" s="882"/>
      <c r="M231" s="882"/>
      <c r="N231" s="645"/>
    </row>
    <row r="232">
      <c r="A232" s="67"/>
      <c r="B232" s="636"/>
      <c r="C232" s="575"/>
      <c r="D232" s="576"/>
      <c r="E232" s="576"/>
      <c r="F232" s="576"/>
      <c r="G232" s="577"/>
      <c r="H232" s="577"/>
      <c r="I232" s="577"/>
      <c r="J232" s="577"/>
      <c r="K232" s="577"/>
      <c r="L232" s="882"/>
      <c r="M232" s="882"/>
      <c r="N232" s="645"/>
    </row>
    <row r="233">
      <c r="A233" s="67"/>
      <c r="B233" s="636"/>
      <c r="C233" s="575"/>
      <c r="D233" s="576"/>
      <c r="E233" s="576"/>
      <c r="F233" s="576"/>
      <c r="G233" s="577"/>
      <c r="H233" s="577"/>
      <c r="I233" s="577"/>
      <c r="J233" s="577"/>
      <c r="K233" s="577"/>
      <c r="L233" s="882"/>
      <c r="M233" s="882"/>
      <c r="N233" s="645"/>
    </row>
    <row r="234">
      <c r="A234" s="67"/>
      <c r="B234" s="636"/>
      <c r="C234" s="575"/>
      <c r="D234" s="576"/>
      <c r="E234" s="576"/>
      <c r="F234" s="576"/>
      <c r="G234" s="577"/>
      <c r="H234" s="577"/>
      <c r="I234" s="577"/>
      <c r="J234" s="577"/>
      <c r="K234" s="577"/>
      <c r="L234" s="882"/>
      <c r="M234" s="882"/>
      <c r="N234" s="645"/>
    </row>
    <row r="235">
      <c r="A235" s="67"/>
      <c r="B235" s="636"/>
      <c r="C235" s="575"/>
      <c r="D235" s="576"/>
      <c r="E235" s="576"/>
      <c r="F235" s="576"/>
      <c r="G235" s="577"/>
      <c r="H235" s="577"/>
      <c r="I235" s="577"/>
      <c r="J235" s="577"/>
      <c r="K235" s="577"/>
      <c r="L235" s="882"/>
      <c r="M235" s="882"/>
      <c r="N235" s="645"/>
    </row>
    <row r="236">
      <c r="A236" s="67"/>
      <c r="B236" s="636"/>
      <c r="C236" s="575"/>
      <c r="D236" s="576"/>
      <c r="E236" s="576"/>
      <c r="F236" s="576"/>
      <c r="G236" s="577"/>
      <c r="H236" s="577"/>
      <c r="I236" s="577"/>
      <c r="J236" s="577"/>
      <c r="K236" s="577"/>
      <c r="L236" s="882"/>
      <c r="M236" s="882"/>
      <c r="N236" s="645"/>
    </row>
    <row r="237">
      <c r="A237" s="67"/>
      <c r="B237" s="636"/>
      <c r="C237" s="575"/>
      <c r="D237" s="576"/>
      <c r="E237" s="576"/>
      <c r="F237" s="576"/>
      <c r="G237" s="577"/>
      <c r="H237" s="577"/>
      <c r="I237" s="577"/>
      <c r="J237" s="577"/>
      <c r="K237" s="577"/>
      <c r="L237" s="882"/>
      <c r="M237" s="882"/>
      <c r="N237" s="645"/>
    </row>
    <row r="238">
      <c r="A238" s="67"/>
      <c r="B238" s="636"/>
      <c r="C238" s="575"/>
      <c r="D238" s="576"/>
      <c r="E238" s="576"/>
      <c r="F238" s="576"/>
      <c r="G238" s="577"/>
      <c r="H238" s="577"/>
      <c r="I238" s="577"/>
      <c r="J238" s="577"/>
      <c r="K238" s="577"/>
      <c r="L238" s="882"/>
      <c r="M238" s="882"/>
      <c r="N238" s="645"/>
    </row>
    <row r="239">
      <c r="A239" s="67"/>
      <c r="B239" s="636"/>
      <c r="C239" s="575"/>
      <c r="D239" s="576"/>
      <c r="E239" s="576"/>
      <c r="F239" s="576"/>
      <c r="G239" s="577"/>
      <c r="H239" s="577"/>
      <c r="I239" s="577"/>
      <c r="J239" s="577"/>
      <c r="K239" s="577"/>
      <c r="L239" s="882"/>
      <c r="M239" s="882"/>
      <c r="N239" s="645"/>
    </row>
    <row r="240">
      <c r="A240" s="67"/>
      <c r="B240" s="636"/>
      <c r="C240" s="575"/>
      <c r="D240" s="576"/>
      <c r="E240" s="576"/>
      <c r="F240" s="576"/>
      <c r="G240" s="577"/>
      <c r="H240" s="577"/>
      <c r="I240" s="577"/>
      <c r="J240" s="577"/>
      <c r="K240" s="577"/>
      <c r="L240" s="882"/>
      <c r="M240" s="882"/>
      <c r="N240" s="645"/>
    </row>
    <row r="241">
      <c r="A241" s="67"/>
      <c r="B241" s="636"/>
      <c r="C241" s="575"/>
      <c r="D241" s="576"/>
      <c r="E241" s="576"/>
      <c r="F241" s="576"/>
      <c r="G241" s="577"/>
      <c r="H241" s="577"/>
      <c r="I241" s="577"/>
      <c r="J241" s="577"/>
      <c r="K241" s="577"/>
      <c r="L241" s="882"/>
      <c r="M241" s="882"/>
      <c r="N241" s="645"/>
    </row>
    <row r="242">
      <c r="A242" s="67"/>
      <c r="B242" s="636"/>
      <c r="C242" s="575"/>
      <c r="D242" s="576"/>
      <c r="E242" s="576"/>
      <c r="F242" s="576"/>
      <c r="G242" s="577"/>
      <c r="H242" s="577"/>
      <c r="I242" s="577"/>
      <c r="J242" s="577"/>
      <c r="K242" s="577"/>
      <c r="L242" s="882"/>
      <c r="M242" s="882"/>
      <c r="N242" s="645"/>
    </row>
    <row r="243">
      <c r="A243" s="67"/>
      <c r="B243" s="636"/>
      <c r="C243" s="575"/>
      <c r="D243" s="576"/>
      <c r="E243" s="576"/>
      <c r="F243" s="576"/>
      <c r="G243" s="577"/>
      <c r="H243" s="577"/>
      <c r="I243" s="577"/>
      <c r="J243" s="577"/>
      <c r="K243" s="577"/>
      <c r="L243" s="882"/>
      <c r="M243" s="882"/>
      <c r="N243" s="645"/>
    </row>
    <row r="244">
      <c r="A244" s="67"/>
      <c r="B244" s="636"/>
      <c r="C244" s="575"/>
      <c r="D244" s="576"/>
      <c r="E244" s="576"/>
      <c r="F244" s="576"/>
      <c r="G244" s="577"/>
      <c r="H244" s="577"/>
      <c r="I244" s="577"/>
      <c r="J244" s="577"/>
      <c r="K244" s="577"/>
      <c r="L244" s="882"/>
      <c r="M244" s="882"/>
      <c r="N244" s="645"/>
    </row>
    <row r="245">
      <c r="A245" s="67"/>
      <c r="B245" s="636"/>
      <c r="C245" s="575"/>
      <c r="D245" s="576"/>
      <c r="E245" s="576"/>
      <c r="F245" s="576"/>
      <c r="G245" s="577"/>
      <c r="H245" s="577"/>
      <c r="I245" s="577"/>
      <c r="J245" s="577"/>
      <c r="K245" s="577"/>
      <c r="L245" s="882"/>
      <c r="M245" s="882"/>
      <c r="N245" s="645"/>
    </row>
    <row r="246">
      <c r="A246" s="67"/>
      <c r="B246" s="636"/>
      <c r="C246" s="575"/>
      <c r="D246" s="576"/>
      <c r="E246" s="576"/>
      <c r="F246" s="576"/>
      <c r="G246" s="577"/>
      <c r="H246" s="577"/>
      <c r="I246" s="577"/>
      <c r="J246" s="577"/>
      <c r="K246" s="577"/>
      <c r="L246" s="882"/>
      <c r="M246" s="882"/>
      <c r="N246" s="645"/>
    </row>
    <row r="247">
      <c r="A247" s="67"/>
      <c r="B247" s="636"/>
      <c r="C247" s="575"/>
      <c r="D247" s="576"/>
      <c r="E247" s="576"/>
      <c r="F247" s="576"/>
      <c r="G247" s="577"/>
      <c r="H247" s="577"/>
      <c r="I247" s="577"/>
      <c r="J247" s="577"/>
      <c r="K247" s="577"/>
      <c r="L247" s="882"/>
      <c r="M247" s="882"/>
      <c r="N247" s="645"/>
    </row>
    <row r="248">
      <c r="A248" s="67"/>
      <c r="B248" s="636"/>
      <c r="C248" s="575"/>
      <c r="D248" s="576"/>
      <c r="E248" s="576"/>
      <c r="F248" s="576"/>
      <c r="G248" s="577"/>
      <c r="H248" s="577"/>
      <c r="I248" s="577"/>
      <c r="J248" s="577"/>
      <c r="K248" s="577"/>
      <c r="L248" s="882"/>
      <c r="M248" s="882"/>
      <c r="N248" s="645"/>
    </row>
    <row r="249">
      <c r="A249" s="67"/>
      <c r="B249" s="636"/>
      <c r="C249" s="575"/>
      <c r="D249" s="576"/>
      <c r="E249" s="576"/>
      <c r="F249" s="576"/>
      <c r="G249" s="577"/>
      <c r="H249" s="577"/>
      <c r="I249" s="577"/>
      <c r="J249" s="577"/>
      <c r="K249" s="577"/>
      <c r="L249" s="882"/>
      <c r="M249" s="882"/>
      <c r="N249" s="645"/>
    </row>
    <row r="250">
      <c r="A250" s="67"/>
      <c r="B250" s="636"/>
      <c r="C250" s="575"/>
      <c r="D250" s="576"/>
      <c r="E250" s="576"/>
      <c r="F250" s="576"/>
      <c r="G250" s="577"/>
      <c r="H250" s="577"/>
      <c r="I250" s="577"/>
      <c r="J250" s="577"/>
      <c r="K250" s="577"/>
      <c r="L250" s="882"/>
      <c r="M250" s="882"/>
      <c r="N250" s="645"/>
    </row>
    <row r="251">
      <c r="A251" s="67"/>
      <c r="B251" s="636"/>
      <c r="C251" s="575"/>
      <c r="D251" s="576"/>
      <c r="E251" s="576"/>
      <c r="F251" s="576"/>
      <c r="G251" s="577"/>
      <c r="H251" s="577"/>
      <c r="I251" s="577"/>
      <c r="J251" s="577"/>
      <c r="K251" s="577"/>
      <c r="L251" s="882"/>
      <c r="M251" s="882"/>
      <c r="N251" s="645"/>
    </row>
    <row r="252">
      <c r="A252" s="67"/>
      <c r="B252" s="636"/>
      <c r="C252" s="575"/>
      <c r="D252" s="576"/>
      <c r="E252" s="576"/>
      <c r="F252" s="576"/>
      <c r="G252" s="577"/>
      <c r="H252" s="577"/>
      <c r="I252" s="577"/>
      <c r="J252" s="577"/>
      <c r="K252" s="577"/>
      <c r="L252" s="882"/>
      <c r="M252" s="882"/>
      <c r="N252" s="645"/>
    </row>
    <row r="253">
      <c r="A253" s="67"/>
      <c r="B253" s="636"/>
      <c r="C253" s="575"/>
      <c r="D253" s="576"/>
      <c r="E253" s="576"/>
      <c r="F253" s="576"/>
      <c r="G253" s="577"/>
      <c r="H253" s="577"/>
      <c r="I253" s="577"/>
      <c r="J253" s="577"/>
      <c r="K253" s="577"/>
      <c r="L253" s="882"/>
      <c r="M253" s="882"/>
      <c r="N253" s="645"/>
    </row>
    <row r="254">
      <c r="A254" s="67"/>
      <c r="B254" s="636"/>
      <c r="C254" s="575"/>
      <c r="D254" s="576"/>
      <c r="E254" s="576"/>
      <c r="F254" s="576"/>
      <c r="G254" s="577"/>
      <c r="H254" s="577"/>
      <c r="I254" s="577"/>
      <c r="J254" s="577"/>
      <c r="K254" s="577"/>
      <c r="L254" s="882"/>
      <c r="M254" s="882"/>
      <c r="N254" s="645"/>
    </row>
    <row r="255">
      <c r="A255" s="67"/>
      <c r="B255" s="636"/>
      <c r="C255" s="575"/>
      <c r="D255" s="576"/>
      <c r="E255" s="576"/>
      <c r="F255" s="576"/>
      <c r="G255" s="577"/>
      <c r="H255" s="577"/>
      <c r="I255" s="577"/>
      <c r="J255" s="577"/>
      <c r="K255" s="577"/>
      <c r="L255" s="882"/>
      <c r="M255" s="882"/>
      <c r="N255" s="645"/>
    </row>
    <row r="256">
      <c r="A256" s="67"/>
      <c r="B256" s="636"/>
      <c r="C256" s="575"/>
      <c r="D256" s="576"/>
      <c r="E256" s="576"/>
      <c r="F256" s="576"/>
      <c r="G256" s="577"/>
      <c r="H256" s="577"/>
      <c r="I256" s="577"/>
      <c r="J256" s="577"/>
      <c r="K256" s="577"/>
      <c r="L256" s="882"/>
      <c r="M256" s="882"/>
      <c r="N256" s="645"/>
    </row>
    <row r="257">
      <c r="A257" s="67"/>
      <c r="B257" s="636"/>
      <c r="C257" s="575"/>
      <c r="D257" s="576"/>
      <c r="E257" s="576"/>
      <c r="F257" s="576"/>
      <c r="G257" s="577"/>
      <c r="H257" s="577"/>
      <c r="I257" s="577"/>
      <c r="J257" s="577"/>
      <c r="K257" s="577"/>
      <c r="L257" s="882"/>
      <c r="M257" s="882"/>
      <c r="N257" s="645"/>
    </row>
    <row r="258">
      <c r="A258" s="67"/>
      <c r="B258" s="636"/>
      <c r="C258" s="575"/>
      <c r="D258" s="576"/>
      <c r="E258" s="576"/>
      <c r="F258" s="576"/>
      <c r="G258" s="577"/>
      <c r="H258" s="577"/>
      <c r="I258" s="577"/>
      <c r="J258" s="577"/>
      <c r="K258" s="577"/>
      <c r="L258" s="882"/>
      <c r="M258" s="882"/>
      <c r="N258" s="645"/>
    </row>
    <row r="259">
      <c r="A259" s="67"/>
      <c r="B259" s="636"/>
      <c r="C259" s="575"/>
      <c r="D259" s="576"/>
      <c r="E259" s="576"/>
      <c r="F259" s="576"/>
      <c r="G259" s="577"/>
      <c r="H259" s="577"/>
      <c r="I259" s="577"/>
      <c r="J259" s="577"/>
      <c r="K259" s="577"/>
      <c r="L259" s="882"/>
      <c r="M259" s="882"/>
      <c r="N259" s="645"/>
    </row>
    <row r="260">
      <c r="A260" s="67"/>
      <c r="B260" s="636"/>
      <c r="C260" s="575"/>
      <c r="D260" s="576"/>
      <c r="E260" s="576"/>
      <c r="F260" s="576"/>
      <c r="G260" s="577"/>
      <c r="H260" s="577"/>
      <c r="I260" s="577"/>
      <c r="J260" s="577"/>
      <c r="K260" s="577"/>
      <c r="L260" s="882"/>
      <c r="M260" s="882"/>
      <c r="N260" s="645"/>
    </row>
    <row r="261">
      <c r="A261" s="67"/>
      <c r="B261" s="636"/>
      <c r="C261" s="575"/>
      <c r="D261" s="576"/>
      <c r="E261" s="576"/>
      <c r="F261" s="576"/>
      <c r="G261" s="577"/>
      <c r="H261" s="577"/>
      <c r="I261" s="577"/>
      <c r="J261" s="577"/>
      <c r="K261" s="577"/>
      <c r="L261" s="882"/>
      <c r="M261" s="882"/>
      <c r="N261" s="645"/>
    </row>
    <row r="262">
      <c r="A262" s="67"/>
      <c r="B262" s="636"/>
      <c r="C262" s="575"/>
      <c r="D262" s="576"/>
      <c r="E262" s="576"/>
      <c r="F262" s="576"/>
      <c r="G262" s="577"/>
      <c r="H262" s="577"/>
      <c r="I262" s="577"/>
      <c r="J262" s="577"/>
      <c r="K262" s="577"/>
      <c r="L262" s="882"/>
      <c r="M262" s="882"/>
      <c r="N262" s="645"/>
    </row>
    <row r="263">
      <c r="A263" s="67"/>
      <c r="B263" s="636"/>
      <c r="C263" s="575"/>
      <c r="D263" s="576"/>
      <c r="E263" s="576"/>
      <c r="F263" s="576"/>
      <c r="G263" s="577"/>
      <c r="H263" s="577"/>
      <c r="I263" s="577"/>
      <c r="J263" s="577"/>
      <c r="K263" s="577"/>
      <c r="L263" s="882"/>
      <c r="M263" s="882"/>
      <c r="N263" s="645"/>
    </row>
    <row r="264">
      <c r="A264" s="67"/>
      <c r="B264" s="636"/>
      <c r="C264" s="575"/>
      <c r="D264" s="576"/>
      <c r="E264" s="576"/>
      <c r="F264" s="576"/>
      <c r="G264" s="577"/>
      <c r="H264" s="577"/>
      <c r="I264" s="577"/>
      <c r="J264" s="577"/>
      <c r="K264" s="577"/>
      <c r="L264" s="882"/>
      <c r="M264" s="882"/>
      <c r="N264" s="645"/>
    </row>
    <row r="265">
      <c r="A265" s="67"/>
      <c r="B265" s="636"/>
      <c r="C265" s="575"/>
      <c r="D265" s="576"/>
      <c r="E265" s="576"/>
      <c r="F265" s="576"/>
      <c r="G265" s="577"/>
      <c r="H265" s="577"/>
      <c r="I265" s="577"/>
      <c r="J265" s="577"/>
      <c r="K265" s="577"/>
      <c r="L265" s="882"/>
      <c r="M265" s="882"/>
      <c r="N265" s="645"/>
    </row>
    <row r="266">
      <c r="A266" s="67"/>
      <c r="B266" s="636"/>
      <c r="C266" s="575"/>
      <c r="D266" s="576"/>
      <c r="E266" s="576"/>
      <c r="F266" s="576"/>
      <c r="G266" s="577"/>
      <c r="H266" s="577"/>
      <c r="I266" s="577"/>
      <c r="J266" s="577"/>
      <c r="K266" s="577"/>
      <c r="L266" s="882"/>
      <c r="M266" s="882"/>
      <c r="N266" s="645"/>
    </row>
    <row r="267">
      <c r="A267" s="67"/>
      <c r="B267" s="636"/>
      <c r="C267" s="575"/>
      <c r="D267" s="576"/>
      <c r="E267" s="576"/>
      <c r="F267" s="576"/>
      <c r="G267" s="577"/>
      <c r="H267" s="577"/>
      <c r="I267" s="577"/>
      <c r="J267" s="577"/>
      <c r="K267" s="577"/>
      <c r="L267" s="882"/>
      <c r="M267" s="882"/>
      <c r="N267" s="645"/>
    </row>
    <row r="268">
      <c r="A268" s="67"/>
      <c r="B268" s="636"/>
      <c r="C268" s="575"/>
      <c r="D268" s="576"/>
      <c r="E268" s="576"/>
      <c r="F268" s="576"/>
      <c r="G268" s="577"/>
      <c r="H268" s="577"/>
      <c r="I268" s="577"/>
      <c r="J268" s="577"/>
      <c r="K268" s="577"/>
      <c r="L268" s="882"/>
      <c r="M268" s="882"/>
      <c r="N268" s="645"/>
    </row>
    <row r="269">
      <c r="A269" s="67"/>
      <c r="B269" s="636"/>
      <c r="C269" s="575"/>
      <c r="D269" s="576"/>
      <c r="E269" s="576"/>
      <c r="F269" s="576"/>
      <c r="G269" s="577"/>
      <c r="H269" s="577"/>
      <c r="I269" s="577"/>
      <c r="J269" s="577"/>
      <c r="K269" s="577"/>
      <c r="L269" s="882"/>
      <c r="M269" s="882"/>
      <c r="N269" s="645"/>
    </row>
    <row r="270">
      <c r="A270" s="67"/>
      <c r="B270" s="636"/>
      <c r="C270" s="575"/>
      <c r="D270" s="576"/>
      <c r="E270" s="576"/>
      <c r="F270" s="576"/>
      <c r="G270" s="577"/>
      <c r="H270" s="577"/>
      <c r="I270" s="577"/>
      <c r="J270" s="577"/>
      <c r="K270" s="577"/>
      <c r="L270" s="882"/>
      <c r="M270" s="882"/>
      <c r="N270" s="645"/>
    </row>
    <row r="271">
      <c r="A271" s="67"/>
      <c r="B271" s="636"/>
      <c r="C271" s="575"/>
      <c r="D271" s="576"/>
      <c r="E271" s="576"/>
      <c r="F271" s="576"/>
      <c r="G271" s="577"/>
      <c r="H271" s="577"/>
      <c r="I271" s="577"/>
      <c r="J271" s="577"/>
      <c r="K271" s="577"/>
      <c r="L271" s="882"/>
      <c r="M271" s="882"/>
      <c r="N271" s="645"/>
    </row>
    <row r="272">
      <c r="A272" s="67"/>
      <c r="B272" s="636"/>
      <c r="C272" s="575"/>
      <c r="D272" s="576"/>
      <c r="E272" s="576"/>
      <c r="F272" s="576"/>
      <c r="G272" s="577"/>
      <c r="H272" s="577"/>
      <c r="I272" s="577"/>
      <c r="J272" s="577"/>
      <c r="K272" s="577"/>
      <c r="L272" s="882"/>
      <c r="M272" s="882"/>
      <c r="N272" s="645"/>
    </row>
    <row r="273">
      <c r="A273" s="67"/>
      <c r="B273" s="636"/>
      <c r="C273" s="575"/>
      <c r="D273" s="576"/>
      <c r="E273" s="576"/>
      <c r="F273" s="576"/>
      <c r="G273" s="577"/>
      <c r="H273" s="577"/>
      <c r="I273" s="577"/>
      <c r="J273" s="577"/>
      <c r="K273" s="577"/>
      <c r="L273" s="882"/>
      <c r="M273" s="882"/>
      <c r="N273" s="645"/>
    </row>
    <row r="274">
      <c r="A274" s="67"/>
      <c r="B274" s="636"/>
      <c r="C274" s="575"/>
      <c r="D274" s="576"/>
      <c r="E274" s="576"/>
      <c r="F274" s="576"/>
      <c r="G274" s="577"/>
      <c r="H274" s="577"/>
      <c r="I274" s="577"/>
      <c r="J274" s="577"/>
      <c r="K274" s="577"/>
      <c r="L274" s="882"/>
      <c r="M274" s="882"/>
      <c r="N274" s="645"/>
    </row>
    <row r="275">
      <c r="A275" s="67"/>
      <c r="B275" s="636"/>
      <c r="C275" s="575"/>
      <c r="D275" s="576"/>
      <c r="E275" s="576"/>
      <c r="F275" s="576"/>
      <c r="G275" s="577"/>
      <c r="H275" s="577"/>
      <c r="I275" s="577"/>
      <c r="J275" s="577"/>
      <c r="K275" s="577"/>
      <c r="L275" s="882"/>
      <c r="M275" s="882"/>
      <c r="N275" s="645"/>
    </row>
    <row r="276">
      <c r="A276" s="67"/>
      <c r="B276" s="636"/>
      <c r="C276" s="575"/>
      <c r="D276" s="576"/>
      <c r="E276" s="576"/>
      <c r="F276" s="576"/>
      <c r="G276" s="577"/>
      <c r="H276" s="577"/>
      <c r="I276" s="577"/>
      <c r="J276" s="577"/>
      <c r="K276" s="577"/>
      <c r="L276" s="882"/>
      <c r="M276" s="882"/>
      <c r="N276" s="645"/>
    </row>
    <row r="277">
      <c r="A277" s="67"/>
      <c r="B277" s="636"/>
      <c r="C277" s="575"/>
      <c r="D277" s="576"/>
      <c r="E277" s="576"/>
      <c r="F277" s="576"/>
      <c r="G277" s="577"/>
      <c r="H277" s="577"/>
      <c r="I277" s="577"/>
      <c r="J277" s="577"/>
      <c r="K277" s="577"/>
      <c r="L277" s="882"/>
      <c r="M277" s="882"/>
      <c r="N277" s="645"/>
    </row>
    <row r="278">
      <c r="A278" s="67"/>
      <c r="B278" s="636"/>
      <c r="C278" s="575"/>
      <c r="D278" s="576"/>
      <c r="E278" s="576"/>
      <c r="F278" s="576"/>
      <c r="G278" s="577"/>
      <c r="H278" s="577"/>
      <c r="I278" s="577"/>
      <c r="J278" s="577"/>
      <c r="K278" s="577"/>
      <c r="L278" s="882"/>
      <c r="M278" s="882"/>
      <c r="N278" s="645"/>
    </row>
    <row r="279">
      <c r="A279" s="67"/>
      <c r="B279" s="636"/>
      <c r="C279" s="575"/>
      <c r="D279" s="576"/>
      <c r="E279" s="576"/>
      <c r="F279" s="576"/>
      <c r="G279" s="577"/>
      <c r="H279" s="577"/>
      <c r="I279" s="577"/>
      <c r="J279" s="577"/>
      <c r="K279" s="577"/>
      <c r="L279" s="882"/>
      <c r="M279" s="882"/>
      <c r="N279" s="645"/>
    </row>
    <row r="280">
      <c r="A280" s="67"/>
      <c r="B280" s="636"/>
      <c r="C280" s="575"/>
      <c r="D280" s="576"/>
      <c r="E280" s="576"/>
      <c r="F280" s="576"/>
      <c r="G280" s="577"/>
      <c r="H280" s="577"/>
      <c r="I280" s="577"/>
      <c r="J280" s="577"/>
      <c r="K280" s="577"/>
      <c r="L280" s="882"/>
      <c r="M280" s="882"/>
      <c r="N280" s="645"/>
    </row>
    <row r="281">
      <c r="A281" s="67"/>
      <c r="B281" s="636"/>
      <c r="C281" s="575"/>
      <c r="D281" s="576"/>
      <c r="E281" s="576"/>
      <c r="F281" s="576"/>
      <c r="G281" s="577"/>
      <c r="H281" s="577"/>
      <c r="I281" s="577"/>
      <c r="J281" s="577"/>
      <c r="K281" s="577"/>
      <c r="L281" s="882"/>
      <c r="M281" s="882"/>
      <c r="N281" s="645"/>
    </row>
    <row r="282">
      <c r="A282" s="67"/>
      <c r="B282" s="636"/>
      <c r="C282" s="575"/>
      <c r="D282" s="576"/>
      <c r="E282" s="576"/>
      <c r="F282" s="576"/>
      <c r="G282" s="577"/>
      <c r="H282" s="577"/>
      <c r="I282" s="577"/>
      <c r="J282" s="577"/>
      <c r="K282" s="577"/>
      <c r="L282" s="882"/>
      <c r="M282" s="882"/>
      <c r="N282" s="645"/>
    </row>
    <row r="283">
      <c r="A283" s="67"/>
      <c r="B283" s="636"/>
      <c r="C283" s="575"/>
      <c r="D283" s="576"/>
      <c r="E283" s="576"/>
      <c r="F283" s="576"/>
      <c r="G283" s="577"/>
      <c r="H283" s="577"/>
      <c r="I283" s="577"/>
      <c r="J283" s="577"/>
      <c r="K283" s="577"/>
      <c r="L283" s="882"/>
      <c r="M283" s="882"/>
      <c r="N283" s="645"/>
    </row>
    <row r="284">
      <c r="A284" s="67"/>
      <c r="B284" s="636"/>
      <c r="C284" s="575"/>
      <c r="D284" s="576"/>
      <c r="E284" s="576"/>
      <c r="F284" s="576"/>
      <c r="G284" s="577"/>
      <c r="H284" s="577"/>
      <c r="I284" s="577"/>
      <c r="J284" s="577"/>
      <c r="K284" s="577"/>
      <c r="L284" s="882"/>
      <c r="M284" s="882"/>
      <c r="N284" s="645"/>
    </row>
    <row r="285">
      <c r="A285" s="67"/>
      <c r="B285" s="636"/>
      <c r="C285" s="575"/>
      <c r="D285" s="576"/>
      <c r="E285" s="576"/>
      <c r="F285" s="576"/>
      <c r="G285" s="577"/>
      <c r="H285" s="577"/>
      <c r="I285" s="577"/>
      <c r="J285" s="577"/>
      <c r="K285" s="577"/>
      <c r="L285" s="882"/>
      <c r="M285" s="882"/>
      <c r="N285" s="645"/>
    </row>
    <row r="286">
      <c r="A286" s="67"/>
      <c r="B286" s="636"/>
      <c r="C286" s="575"/>
      <c r="D286" s="576"/>
      <c r="E286" s="576"/>
      <c r="F286" s="576"/>
      <c r="G286" s="577"/>
      <c r="H286" s="577"/>
      <c r="I286" s="577"/>
      <c r="J286" s="577"/>
      <c r="K286" s="577"/>
      <c r="L286" s="882"/>
      <c r="M286" s="882"/>
      <c r="N286" s="645"/>
    </row>
    <row r="287">
      <c r="A287" s="67"/>
      <c r="B287" s="636"/>
      <c r="C287" s="575"/>
      <c r="D287" s="576"/>
      <c r="E287" s="576"/>
      <c r="F287" s="576"/>
      <c r="G287" s="577"/>
      <c r="H287" s="577"/>
      <c r="I287" s="577"/>
      <c r="J287" s="577"/>
      <c r="K287" s="577"/>
      <c r="L287" s="882"/>
      <c r="M287" s="882"/>
      <c r="N287" s="645"/>
    </row>
    <row r="288">
      <c r="A288" s="67"/>
      <c r="B288" s="636"/>
      <c r="C288" s="575"/>
      <c r="D288" s="576"/>
      <c r="E288" s="576"/>
      <c r="F288" s="576"/>
      <c r="G288" s="577"/>
      <c r="H288" s="577"/>
      <c r="I288" s="577"/>
      <c r="J288" s="577"/>
      <c r="K288" s="577"/>
      <c r="L288" s="882"/>
      <c r="M288" s="882"/>
      <c r="N288" s="645"/>
    </row>
    <row r="289">
      <c r="A289" s="67"/>
      <c r="B289" s="636"/>
      <c r="C289" s="575"/>
      <c r="D289" s="576"/>
      <c r="E289" s="576"/>
      <c r="F289" s="576"/>
      <c r="G289" s="577"/>
      <c r="H289" s="577"/>
      <c r="I289" s="577"/>
      <c r="J289" s="577"/>
      <c r="K289" s="577"/>
      <c r="L289" s="882"/>
      <c r="M289" s="882"/>
      <c r="N289" s="645"/>
    </row>
    <row r="290">
      <c r="A290" s="67"/>
      <c r="B290" s="636"/>
      <c r="C290" s="575"/>
      <c r="D290" s="576"/>
      <c r="E290" s="576"/>
      <c r="F290" s="576"/>
      <c r="G290" s="577"/>
      <c r="H290" s="577"/>
      <c r="I290" s="577"/>
      <c r="J290" s="577"/>
      <c r="K290" s="577"/>
      <c r="L290" s="882"/>
      <c r="M290" s="882"/>
      <c r="N290" s="645"/>
    </row>
    <row r="291">
      <c r="A291" s="67"/>
      <c r="B291" s="636"/>
      <c r="C291" s="575"/>
      <c r="D291" s="576"/>
      <c r="E291" s="576"/>
      <c r="F291" s="576"/>
      <c r="G291" s="577"/>
      <c r="H291" s="577"/>
      <c r="I291" s="577"/>
      <c r="J291" s="577"/>
      <c r="K291" s="577"/>
      <c r="L291" s="882"/>
      <c r="M291" s="882"/>
      <c r="N291" s="645"/>
    </row>
    <row r="292">
      <c r="A292" s="67"/>
      <c r="B292" s="636"/>
      <c r="C292" s="575"/>
      <c r="D292" s="576"/>
      <c r="E292" s="576"/>
      <c r="F292" s="576"/>
      <c r="G292" s="577"/>
      <c r="H292" s="577"/>
      <c r="I292" s="577"/>
      <c r="J292" s="577"/>
      <c r="K292" s="577"/>
      <c r="L292" s="882"/>
      <c r="M292" s="882"/>
      <c r="N292" s="645"/>
    </row>
    <row r="293">
      <c r="A293" s="67"/>
      <c r="B293" s="636"/>
      <c r="C293" s="575"/>
      <c r="D293" s="576"/>
      <c r="E293" s="576"/>
      <c r="F293" s="576"/>
      <c r="G293" s="577"/>
      <c r="H293" s="577"/>
      <c r="I293" s="577"/>
      <c r="J293" s="577"/>
      <c r="K293" s="577"/>
      <c r="L293" s="882"/>
      <c r="M293" s="882"/>
      <c r="N293" s="645"/>
    </row>
    <row r="294">
      <c r="A294" s="67"/>
      <c r="B294" s="636"/>
      <c r="C294" s="575"/>
      <c r="D294" s="576"/>
      <c r="E294" s="576"/>
      <c r="F294" s="576"/>
      <c r="G294" s="577"/>
      <c r="H294" s="577"/>
      <c r="I294" s="577"/>
      <c r="J294" s="577"/>
      <c r="K294" s="577"/>
      <c r="L294" s="882"/>
      <c r="M294" s="882"/>
      <c r="N294" s="645"/>
    </row>
    <row r="295">
      <c r="A295" s="67"/>
      <c r="B295" s="636"/>
      <c r="C295" s="575"/>
      <c r="D295" s="576"/>
      <c r="E295" s="576"/>
      <c r="F295" s="576"/>
      <c r="G295" s="577"/>
      <c r="H295" s="577"/>
      <c r="I295" s="577"/>
      <c r="J295" s="577"/>
      <c r="K295" s="577"/>
      <c r="L295" s="882"/>
      <c r="M295" s="882"/>
      <c r="N295" s="645"/>
    </row>
    <row r="296">
      <c r="A296" s="67"/>
      <c r="B296" s="636"/>
      <c r="C296" s="575"/>
      <c r="D296" s="576"/>
      <c r="E296" s="576"/>
      <c r="F296" s="576"/>
      <c r="G296" s="577"/>
      <c r="H296" s="577"/>
      <c r="I296" s="577"/>
      <c r="J296" s="577"/>
      <c r="K296" s="577"/>
      <c r="L296" s="882"/>
      <c r="M296" s="882"/>
      <c r="N296" s="645"/>
    </row>
    <row r="297">
      <c r="A297" s="67"/>
      <c r="B297" s="636"/>
      <c r="C297" s="575"/>
      <c r="D297" s="576"/>
      <c r="E297" s="576"/>
      <c r="F297" s="576"/>
      <c r="G297" s="577"/>
      <c r="H297" s="577"/>
      <c r="I297" s="577"/>
      <c r="J297" s="577"/>
      <c r="K297" s="577"/>
      <c r="L297" s="882"/>
      <c r="M297" s="882"/>
      <c r="N297" s="645"/>
    </row>
    <row r="298">
      <c r="A298" s="67"/>
      <c r="B298" s="636"/>
      <c r="C298" s="575"/>
      <c r="D298" s="576"/>
      <c r="E298" s="576"/>
      <c r="F298" s="576"/>
      <c r="G298" s="577"/>
      <c r="H298" s="577"/>
      <c r="I298" s="577"/>
      <c r="J298" s="577"/>
      <c r="K298" s="577"/>
      <c r="L298" s="882"/>
      <c r="M298" s="882"/>
      <c r="N298" s="645"/>
    </row>
    <row r="299">
      <c r="A299" s="67"/>
      <c r="B299" s="636"/>
      <c r="C299" s="575"/>
      <c r="D299" s="576"/>
      <c r="E299" s="576"/>
      <c r="F299" s="576"/>
      <c r="G299" s="577"/>
      <c r="H299" s="577"/>
      <c r="I299" s="577"/>
      <c r="J299" s="577"/>
      <c r="K299" s="577"/>
      <c r="L299" s="882"/>
      <c r="M299" s="882"/>
      <c r="N299" s="645"/>
    </row>
    <row r="300">
      <c r="A300" s="67"/>
      <c r="B300" s="636"/>
      <c r="C300" s="575"/>
      <c r="D300" s="576"/>
      <c r="E300" s="576"/>
      <c r="F300" s="576"/>
      <c r="G300" s="577"/>
      <c r="H300" s="577"/>
      <c r="I300" s="577"/>
      <c r="J300" s="577"/>
      <c r="K300" s="577"/>
      <c r="L300" s="882"/>
      <c r="M300" s="882"/>
      <c r="N300" s="645"/>
    </row>
    <row r="301">
      <c r="A301" s="67"/>
      <c r="B301" s="636"/>
      <c r="C301" s="575"/>
      <c r="D301" s="576"/>
      <c r="E301" s="576"/>
      <c r="F301" s="576"/>
      <c r="G301" s="577"/>
      <c r="H301" s="577"/>
      <c r="I301" s="577"/>
      <c r="J301" s="577"/>
      <c r="K301" s="577"/>
      <c r="L301" s="882"/>
      <c r="M301" s="882"/>
      <c r="N301" s="645"/>
    </row>
    <row r="302">
      <c r="A302" s="67"/>
      <c r="B302" s="636"/>
      <c r="C302" s="575"/>
      <c r="D302" s="576"/>
      <c r="E302" s="576"/>
      <c r="F302" s="576"/>
      <c r="G302" s="577"/>
      <c r="H302" s="577"/>
      <c r="I302" s="577"/>
      <c r="J302" s="577"/>
      <c r="K302" s="577"/>
      <c r="L302" s="882"/>
      <c r="M302" s="882"/>
      <c r="N302" s="645"/>
    </row>
    <row r="303">
      <c r="A303" s="67"/>
      <c r="B303" s="645"/>
      <c r="C303" s="575"/>
      <c r="D303" s="576"/>
      <c r="E303" s="576"/>
      <c r="F303" s="576"/>
      <c r="G303" s="577"/>
      <c r="H303" s="577"/>
      <c r="I303" s="577"/>
      <c r="J303" s="577"/>
      <c r="K303" s="577"/>
      <c r="L303" s="882"/>
      <c r="M303" s="882"/>
      <c r="N303" s="645"/>
    </row>
    <row r="304">
      <c r="A304" s="67"/>
      <c r="B304" s="645"/>
      <c r="C304" s="575"/>
      <c r="D304" s="576"/>
      <c r="E304" s="576"/>
      <c r="F304" s="576"/>
      <c r="G304" s="577"/>
      <c r="H304" s="577"/>
      <c r="I304" s="577"/>
      <c r="J304" s="577"/>
      <c r="K304" s="577"/>
      <c r="L304" s="882"/>
      <c r="M304" s="882"/>
      <c r="N304" s="645"/>
    </row>
    <row r="305">
      <c r="A305" s="67"/>
      <c r="B305" s="645"/>
      <c r="C305" s="575"/>
      <c r="D305" s="576"/>
      <c r="E305" s="576"/>
      <c r="F305" s="576"/>
      <c r="G305" s="577"/>
      <c r="H305" s="577"/>
      <c r="I305" s="577"/>
      <c r="J305" s="577"/>
      <c r="K305" s="577"/>
      <c r="L305" s="882"/>
      <c r="M305" s="882"/>
      <c r="N305" s="645"/>
    </row>
    <row r="306">
      <c r="A306" s="67"/>
      <c r="B306" s="645"/>
      <c r="C306" s="575"/>
      <c r="D306" s="576"/>
      <c r="E306" s="576"/>
      <c r="F306" s="576"/>
      <c r="G306" s="577"/>
      <c r="H306" s="577"/>
      <c r="I306" s="577"/>
      <c r="J306" s="577"/>
      <c r="K306" s="577"/>
      <c r="L306" s="882"/>
      <c r="M306" s="882"/>
      <c r="N306" s="645"/>
    </row>
    <row r="307">
      <c r="A307" s="67"/>
      <c r="B307" s="645"/>
      <c r="C307" s="575"/>
      <c r="D307" s="576"/>
      <c r="E307" s="576"/>
      <c r="F307" s="576"/>
      <c r="G307" s="577"/>
      <c r="H307" s="577"/>
      <c r="I307" s="577"/>
      <c r="J307" s="577"/>
      <c r="K307" s="577"/>
      <c r="L307" s="882"/>
      <c r="M307" s="882"/>
      <c r="N307" s="645"/>
    </row>
    <row r="308">
      <c r="A308" s="67"/>
      <c r="B308" s="645"/>
      <c r="C308" s="575"/>
      <c r="D308" s="576"/>
      <c r="E308" s="576"/>
      <c r="F308" s="576"/>
      <c r="G308" s="577"/>
      <c r="H308" s="577"/>
      <c r="I308" s="577"/>
      <c r="J308" s="577"/>
      <c r="K308" s="577"/>
      <c r="L308" s="882"/>
      <c r="M308" s="882"/>
      <c r="N308" s="645"/>
    </row>
    <row r="309">
      <c r="A309" s="67"/>
      <c r="B309" s="645"/>
      <c r="C309" s="575"/>
      <c r="D309" s="576"/>
      <c r="E309" s="576"/>
      <c r="F309" s="576"/>
      <c r="G309" s="577"/>
      <c r="H309" s="577"/>
      <c r="I309" s="577"/>
      <c r="J309" s="577"/>
      <c r="K309" s="577"/>
      <c r="L309" s="882"/>
      <c r="M309" s="882"/>
      <c r="N309" s="645"/>
    </row>
    <row r="310">
      <c r="A310" s="67"/>
      <c r="B310" s="645"/>
      <c r="C310" s="575"/>
      <c r="D310" s="576"/>
      <c r="E310" s="576"/>
      <c r="F310" s="576"/>
      <c r="G310" s="577"/>
      <c r="H310" s="577"/>
      <c r="I310" s="577"/>
      <c r="J310" s="577"/>
      <c r="K310" s="577"/>
      <c r="L310" s="882"/>
      <c r="M310" s="882"/>
      <c r="N310" s="645"/>
    </row>
    <row r="311">
      <c r="A311" s="67"/>
      <c r="B311" s="645"/>
      <c r="C311" s="575"/>
      <c r="D311" s="576"/>
      <c r="E311" s="576"/>
      <c r="F311" s="576"/>
      <c r="G311" s="577"/>
      <c r="H311" s="577"/>
      <c r="I311" s="577"/>
      <c r="J311" s="577"/>
      <c r="K311" s="577"/>
      <c r="L311" s="882"/>
      <c r="M311" s="882"/>
      <c r="N311" s="645"/>
    </row>
    <row r="312">
      <c r="A312" s="67"/>
      <c r="B312" s="645"/>
      <c r="C312" s="575"/>
      <c r="D312" s="576"/>
      <c r="E312" s="576"/>
      <c r="F312" s="576"/>
      <c r="G312" s="577"/>
      <c r="H312" s="577"/>
      <c r="I312" s="577"/>
      <c r="J312" s="577"/>
      <c r="K312" s="577"/>
      <c r="L312" s="882"/>
      <c r="M312" s="882"/>
      <c r="N312" s="645"/>
    </row>
    <row r="313">
      <c r="A313" s="67"/>
      <c r="B313" s="645"/>
      <c r="C313" s="575"/>
      <c r="D313" s="576"/>
      <c r="E313" s="576"/>
      <c r="F313" s="576"/>
      <c r="G313" s="577"/>
      <c r="H313" s="577"/>
      <c r="I313" s="577"/>
      <c r="J313" s="577"/>
      <c r="K313" s="577"/>
      <c r="L313" s="882"/>
      <c r="M313" s="882"/>
      <c r="N313" s="645"/>
    </row>
    <row r="314">
      <c r="A314" s="67"/>
      <c r="B314" s="645"/>
      <c r="C314" s="575"/>
      <c r="D314" s="576"/>
      <c r="E314" s="576"/>
      <c r="F314" s="576"/>
      <c r="G314" s="577"/>
      <c r="H314" s="577"/>
      <c r="I314" s="577"/>
      <c r="J314" s="577"/>
      <c r="K314" s="577"/>
      <c r="L314" s="882"/>
      <c r="M314" s="882"/>
      <c r="N314" s="645"/>
    </row>
    <row r="315">
      <c r="A315" s="67"/>
      <c r="B315" s="645"/>
      <c r="C315" s="575"/>
      <c r="D315" s="576"/>
      <c r="E315" s="576"/>
      <c r="F315" s="576"/>
      <c r="G315" s="577"/>
      <c r="H315" s="577"/>
      <c r="I315" s="577"/>
      <c r="J315" s="577"/>
      <c r="K315" s="577"/>
      <c r="L315" s="882"/>
      <c r="M315" s="882"/>
      <c r="N315" s="645"/>
    </row>
    <row r="316">
      <c r="A316" s="67"/>
      <c r="B316" s="645"/>
      <c r="C316" s="575"/>
      <c r="D316" s="576"/>
      <c r="E316" s="576"/>
      <c r="F316" s="576"/>
      <c r="G316" s="577"/>
      <c r="H316" s="577"/>
      <c r="I316" s="577"/>
      <c r="J316" s="577"/>
      <c r="K316" s="577"/>
      <c r="L316" s="882"/>
      <c r="M316" s="882"/>
      <c r="N316" s="645"/>
    </row>
    <row r="317">
      <c r="A317" s="67"/>
      <c r="B317" s="645"/>
      <c r="C317" s="575"/>
      <c r="D317" s="576"/>
      <c r="E317" s="576"/>
      <c r="F317" s="576"/>
      <c r="G317" s="577"/>
      <c r="H317" s="577"/>
      <c r="I317" s="577"/>
      <c r="J317" s="577"/>
      <c r="K317" s="577"/>
      <c r="L317" s="882"/>
      <c r="M317" s="882"/>
      <c r="N317" s="645"/>
    </row>
    <row r="318">
      <c r="A318" s="67"/>
      <c r="B318" s="645"/>
      <c r="C318" s="575"/>
      <c r="D318" s="576"/>
      <c r="E318" s="576"/>
      <c r="F318" s="576"/>
      <c r="G318" s="577"/>
      <c r="H318" s="577"/>
      <c r="I318" s="577"/>
      <c r="J318" s="577"/>
      <c r="K318" s="577"/>
      <c r="L318" s="882"/>
      <c r="M318" s="882"/>
      <c r="N318" s="645"/>
    </row>
    <row r="319">
      <c r="A319" s="67"/>
      <c r="B319" s="645"/>
      <c r="C319" s="575"/>
      <c r="D319" s="576"/>
      <c r="E319" s="576"/>
      <c r="F319" s="576"/>
      <c r="G319" s="577"/>
      <c r="H319" s="577"/>
      <c r="I319" s="577"/>
      <c r="J319" s="577"/>
      <c r="K319" s="577"/>
      <c r="L319" s="882"/>
      <c r="M319" s="882"/>
      <c r="N319" s="645"/>
    </row>
    <row r="320">
      <c r="A320" s="67"/>
      <c r="B320" s="645"/>
      <c r="C320" s="575"/>
      <c r="D320" s="576"/>
      <c r="E320" s="576"/>
      <c r="F320" s="576"/>
      <c r="G320" s="577"/>
      <c r="H320" s="577"/>
      <c r="I320" s="577"/>
      <c r="J320" s="577"/>
      <c r="K320" s="577"/>
      <c r="L320" s="882"/>
      <c r="M320" s="882"/>
      <c r="N320" s="645"/>
    </row>
    <row r="321">
      <c r="A321" s="67"/>
      <c r="B321" s="645"/>
      <c r="C321" s="575"/>
      <c r="D321" s="576"/>
      <c r="E321" s="576"/>
      <c r="F321" s="576"/>
      <c r="G321" s="577"/>
      <c r="H321" s="577"/>
      <c r="I321" s="577"/>
      <c r="J321" s="577"/>
      <c r="K321" s="577"/>
      <c r="L321" s="882"/>
      <c r="M321" s="882"/>
      <c r="N321" s="645"/>
    </row>
    <row r="322">
      <c r="A322" s="67"/>
      <c r="B322" s="645"/>
      <c r="C322" s="575"/>
      <c r="D322" s="576"/>
      <c r="E322" s="576"/>
      <c r="F322" s="576"/>
      <c r="G322" s="577"/>
      <c r="H322" s="577"/>
      <c r="I322" s="577"/>
      <c r="J322" s="577"/>
      <c r="K322" s="577"/>
      <c r="L322" s="882"/>
      <c r="M322" s="882"/>
      <c r="N322" s="645"/>
    </row>
    <row r="323">
      <c r="A323" s="67"/>
      <c r="B323" s="645"/>
      <c r="C323" s="575"/>
      <c r="D323" s="576"/>
      <c r="E323" s="576"/>
      <c r="F323" s="576"/>
      <c r="G323" s="577"/>
      <c r="H323" s="577"/>
      <c r="I323" s="577"/>
      <c r="J323" s="577"/>
      <c r="K323" s="577"/>
      <c r="L323" s="882"/>
      <c r="M323" s="882"/>
      <c r="N323" s="645"/>
    </row>
    <row r="324">
      <c r="A324" s="67"/>
      <c r="B324" s="645"/>
      <c r="C324" s="575"/>
      <c r="D324" s="576"/>
      <c r="E324" s="576"/>
      <c r="F324" s="576"/>
      <c r="G324" s="577"/>
      <c r="H324" s="577"/>
      <c r="I324" s="577"/>
      <c r="J324" s="577"/>
      <c r="K324" s="577"/>
      <c r="L324" s="882"/>
      <c r="M324" s="882"/>
      <c r="N324" s="645"/>
    </row>
    <row r="325">
      <c r="A325" s="67"/>
      <c r="B325" s="645"/>
      <c r="C325" s="575"/>
      <c r="D325" s="576"/>
      <c r="E325" s="576"/>
      <c r="F325" s="576"/>
      <c r="G325" s="577"/>
      <c r="H325" s="577"/>
      <c r="I325" s="577"/>
      <c r="J325" s="577"/>
      <c r="K325" s="577"/>
      <c r="L325" s="882"/>
      <c r="M325" s="882"/>
      <c r="N325" s="645"/>
    </row>
    <row r="326">
      <c r="A326" s="67"/>
      <c r="B326" s="645"/>
      <c r="C326" s="575"/>
      <c r="D326" s="576"/>
      <c r="E326" s="576"/>
      <c r="F326" s="576"/>
      <c r="G326" s="577"/>
      <c r="H326" s="577"/>
      <c r="I326" s="577"/>
      <c r="J326" s="577"/>
      <c r="K326" s="577"/>
      <c r="L326" s="882"/>
      <c r="M326" s="882"/>
      <c r="N326" s="645"/>
    </row>
    <row r="327">
      <c r="A327" s="67"/>
      <c r="B327" s="645"/>
      <c r="C327" s="575"/>
      <c r="D327" s="576"/>
      <c r="E327" s="576"/>
      <c r="F327" s="576"/>
      <c r="G327" s="577"/>
      <c r="H327" s="577"/>
      <c r="I327" s="577"/>
      <c r="J327" s="577"/>
      <c r="K327" s="577"/>
      <c r="L327" s="882"/>
      <c r="M327" s="882"/>
      <c r="N327" s="645"/>
    </row>
    <row r="328">
      <c r="A328" s="67"/>
      <c r="B328" s="645"/>
      <c r="C328" s="575"/>
      <c r="D328" s="576"/>
      <c r="E328" s="576"/>
      <c r="F328" s="576"/>
      <c r="G328" s="577"/>
      <c r="H328" s="577"/>
      <c r="I328" s="577"/>
      <c r="J328" s="577"/>
      <c r="K328" s="577"/>
      <c r="L328" s="882"/>
      <c r="M328" s="882"/>
      <c r="N328" s="645"/>
    </row>
    <row r="329">
      <c r="A329" s="67"/>
      <c r="B329" s="645"/>
      <c r="C329" s="575"/>
      <c r="D329" s="576"/>
      <c r="E329" s="576"/>
      <c r="F329" s="576"/>
      <c r="G329" s="577"/>
      <c r="H329" s="577"/>
      <c r="I329" s="577"/>
      <c r="J329" s="577"/>
      <c r="K329" s="577"/>
      <c r="L329" s="882"/>
      <c r="M329" s="882"/>
      <c r="N329" s="645"/>
    </row>
    <row r="330">
      <c r="A330" s="67"/>
      <c r="B330" s="645"/>
      <c r="C330" s="575"/>
      <c r="D330" s="576"/>
      <c r="E330" s="576"/>
      <c r="F330" s="576"/>
      <c r="G330" s="577"/>
      <c r="H330" s="577"/>
      <c r="I330" s="577"/>
      <c r="J330" s="577"/>
      <c r="K330" s="577"/>
      <c r="L330" s="882"/>
      <c r="M330" s="882"/>
      <c r="N330" s="645"/>
    </row>
    <row r="331">
      <c r="A331" s="67"/>
      <c r="B331" s="645"/>
      <c r="C331" s="575"/>
      <c r="D331" s="576"/>
      <c r="E331" s="576"/>
      <c r="F331" s="576"/>
      <c r="G331" s="577"/>
      <c r="H331" s="577"/>
      <c r="I331" s="577"/>
      <c r="J331" s="577"/>
      <c r="K331" s="577"/>
      <c r="L331" s="882"/>
      <c r="M331" s="882"/>
      <c r="N331" s="645"/>
    </row>
    <row r="332">
      <c r="A332" s="67"/>
      <c r="B332" s="645"/>
      <c r="C332" s="575"/>
      <c r="D332" s="576"/>
      <c r="E332" s="576"/>
      <c r="F332" s="576"/>
      <c r="G332" s="577"/>
      <c r="H332" s="577"/>
      <c r="I332" s="577"/>
      <c r="J332" s="577"/>
      <c r="K332" s="577"/>
      <c r="L332" s="882"/>
      <c r="M332" s="882"/>
      <c r="N332" s="645"/>
    </row>
    <row r="333">
      <c r="A333" s="67"/>
      <c r="B333" s="645"/>
      <c r="C333" s="575"/>
      <c r="D333" s="576"/>
      <c r="E333" s="576"/>
      <c r="F333" s="576"/>
      <c r="G333" s="577"/>
      <c r="H333" s="577"/>
      <c r="I333" s="577"/>
      <c r="J333" s="577"/>
      <c r="K333" s="577"/>
      <c r="L333" s="882"/>
      <c r="M333" s="882"/>
      <c r="N333" s="645"/>
    </row>
    <row r="334">
      <c r="A334" s="67"/>
      <c r="B334" s="645"/>
      <c r="C334" s="575"/>
      <c r="D334" s="576"/>
      <c r="E334" s="576"/>
      <c r="F334" s="576"/>
      <c r="G334" s="577"/>
      <c r="H334" s="577"/>
      <c r="I334" s="577"/>
      <c r="J334" s="577"/>
      <c r="K334" s="577"/>
      <c r="L334" s="882"/>
      <c r="M334" s="882"/>
      <c r="N334" s="645"/>
    </row>
    <row r="335">
      <c r="A335" s="67"/>
      <c r="B335" s="645"/>
      <c r="C335" s="575"/>
      <c r="D335" s="576"/>
      <c r="E335" s="576"/>
      <c r="F335" s="576"/>
      <c r="G335" s="577"/>
      <c r="H335" s="577"/>
      <c r="I335" s="577"/>
      <c r="J335" s="577"/>
      <c r="K335" s="577"/>
      <c r="L335" s="882"/>
      <c r="M335" s="882"/>
      <c r="N335" s="645"/>
    </row>
    <row r="336">
      <c r="A336" s="67"/>
      <c r="B336" s="645"/>
      <c r="C336" s="575"/>
      <c r="D336" s="576"/>
      <c r="E336" s="576"/>
      <c r="F336" s="576"/>
      <c r="G336" s="577"/>
      <c r="H336" s="577"/>
      <c r="I336" s="577"/>
      <c r="J336" s="577"/>
      <c r="K336" s="577"/>
      <c r="L336" s="882"/>
      <c r="M336" s="882"/>
      <c r="N336" s="645"/>
    </row>
    <row r="337">
      <c r="A337" s="67"/>
      <c r="B337" s="645"/>
      <c r="C337" s="575"/>
      <c r="D337" s="576"/>
      <c r="E337" s="576"/>
      <c r="F337" s="576"/>
      <c r="G337" s="577"/>
      <c r="H337" s="577"/>
      <c r="I337" s="577"/>
      <c r="J337" s="577"/>
      <c r="K337" s="577"/>
      <c r="L337" s="882"/>
      <c r="M337" s="882"/>
      <c r="N337" s="645"/>
    </row>
    <row r="338">
      <c r="A338" s="67"/>
      <c r="B338" s="645"/>
      <c r="C338" s="575"/>
      <c r="D338" s="576"/>
      <c r="E338" s="576"/>
      <c r="F338" s="576"/>
      <c r="G338" s="577"/>
      <c r="H338" s="577"/>
      <c r="I338" s="577"/>
      <c r="J338" s="577"/>
      <c r="K338" s="577"/>
      <c r="L338" s="882"/>
      <c r="M338" s="882"/>
      <c r="N338" s="645"/>
    </row>
    <row r="339">
      <c r="A339" s="67"/>
      <c r="B339" s="645"/>
      <c r="C339" s="575"/>
      <c r="D339" s="576"/>
      <c r="E339" s="576"/>
      <c r="F339" s="576"/>
      <c r="G339" s="577"/>
      <c r="H339" s="577"/>
      <c r="I339" s="577"/>
      <c r="J339" s="577"/>
      <c r="K339" s="577"/>
      <c r="L339" s="882"/>
      <c r="M339" s="882"/>
      <c r="N339" s="645"/>
    </row>
    <row r="340">
      <c r="A340" s="67"/>
      <c r="B340" s="645"/>
      <c r="C340" s="575"/>
      <c r="D340" s="576"/>
      <c r="E340" s="576"/>
      <c r="F340" s="576"/>
      <c r="G340" s="577"/>
      <c r="H340" s="577"/>
      <c r="I340" s="577"/>
      <c r="J340" s="577"/>
      <c r="K340" s="577"/>
      <c r="L340" s="882"/>
      <c r="M340" s="882"/>
      <c r="N340" s="645"/>
    </row>
    <row r="341">
      <c r="A341" s="67"/>
      <c r="B341" s="645"/>
      <c r="C341" s="575"/>
      <c r="D341" s="576"/>
      <c r="E341" s="576"/>
      <c r="F341" s="576"/>
      <c r="G341" s="577"/>
      <c r="H341" s="577"/>
      <c r="I341" s="577"/>
      <c r="J341" s="577"/>
      <c r="K341" s="577"/>
      <c r="L341" s="882"/>
      <c r="M341" s="882"/>
      <c r="N341" s="645"/>
    </row>
    <row r="342">
      <c r="A342" s="67"/>
      <c r="B342" s="645"/>
      <c r="C342" s="575"/>
      <c r="D342" s="576"/>
      <c r="E342" s="576"/>
      <c r="F342" s="576"/>
      <c r="G342" s="577"/>
      <c r="H342" s="577"/>
      <c r="I342" s="577"/>
      <c r="J342" s="577"/>
      <c r="K342" s="577"/>
      <c r="L342" s="882"/>
      <c r="M342" s="882"/>
      <c r="N342" s="645"/>
    </row>
    <row r="343">
      <c r="A343" s="67"/>
      <c r="B343" s="645"/>
      <c r="C343" s="575"/>
      <c r="D343" s="576"/>
      <c r="E343" s="576"/>
      <c r="F343" s="576"/>
      <c r="G343" s="577"/>
      <c r="H343" s="577"/>
      <c r="I343" s="577"/>
      <c r="J343" s="577"/>
      <c r="K343" s="577"/>
      <c r="L343" s="882"/>
      <c r="M343" s="882"/>
      <c r="N343" s="645"/>
    </row>
    <row r="344">
      <c r="A344" s="67"/>
      <c r="B344" s="645"/>
      <c r="C344" s="575"/>
      <c r="D344" s="576"/>
      <c r="E344" s="576"/>
      <c r="F344" s="576"/>
      <c r="G344" s="577"/>
      <c r="H344" s="577"/>
      <c r="I344" s="577"/>
      <c r="J344" s="577"/>
      <c r="K344" s="577"/>
      <c r="L344" s="882"/>
      <c r="M344" s="882"/>
      <c r="N344" s="645"/>
    </row>
    <row r="345">
      <c r="A345" s="67"/>
      <c r="B345" s="645"/>
      <c r="C345" s="575"/>
      <c r="D345" s="576"/>
      <c r="E345" s="576"/>
      <c r="F345" s="576"/>
      <c r="G345" s="577"/>
      <c r="H345" s="577"/>
      <c r="I345" s="577"/>
      <c r="J345" s="577"/>
      <c r="K345" s="577"/>
      <c r="L345" s="882"/>
      <c r="M345" s="882"/>
      <c r="N345" s="645"/>
    </row>
    <row r="346">
      <c r="A346" s="67"/>
      <c r="B346" s="645"/>
      <c r="C346" s="575"/>
      <c r="D346" s="576"/>
      <c r="E346" s="576"/>
      <c r="F346" s="576"/>
      <c r="G346" s="577"/>
      <c r="H346" s="577"/>
      <c r="I346" s="577"/>
      <c r="J346" s="577"/>
      <c r="K346" s="577"/>
      <c r="L346" s="882"/>
      <c r="M346" s="882"/>
      <c r="N346" s="645"/>
    </row>
    <row r="347">
      <c r="A347" s="67"/>
      <c r="B347" s="645"/>
      <c r="C347" s="575"/>
      <c r="D347" s="576"/>
      <c r="E347" s="576"/>
      <c r="F347" s="576"/>
      <c r="G347" s="577"/>
      <c r="H347" s="577"/>
      <c r="I347" s="577"/>
      <c r="J347" s="577"/>
      <c r="K347" s="577"/>
      <c r="L347" s="882"/>
      <c r="M347" s="882"/>
      <c r="N347" s="645"/>
    </row>
    <row r="348">
      <c r="A348" s="67"/>
      <c r="B348" s="645"/>
      <c r="C348" s="575"/>
      <c r="D348" s="576"/>
      <c r="E348" s="576"/>
      <c r="F348" s="576"/>
      <c r="G348" s="577"/>
      <c r="H348" s="577"/>
      <c r="I348" s="577"/>
      <c r="J348" s="577"/>
      <c r="K348" s="577"/>
      <c r="L348" s="882"/>
      <c r="M348" s="882"/>
      <c r="N348" s="645"/>
    </row>
    <row r="349">
      <c r="A349" s="67"/>
      <c r="B349" s="645"/>
      <c r="C349" s="575"/>
      <c r="D349" s="576"/>
      <c r="E349" s="576"/>
      <c r="F349" s="576"/>
      <c r="G349" s="577"/>
      <c r="H349" s="577"/>
      <c r="I349" s="577"/>
      <c r="J349" s="577"/>
      <c r="K349" s="577"/>
      <c r="L349" s="882"/>
      <c r="M349" s="882"/>
      <c r="N349" s="645"/>
    </row>
    <row r="350">
      <c r="A350" s="67"/>
      <c r="B350" s="645"/>
      <c r="C350" s="575"/>
      <c r="D350" s="576"/>
      <c r="E350" s="576"/>
      <c r="F350" s="576"/>
      <c r="G350" s="577"/>
      <c r="H350" s="577"/>
      <c r="I350" s="577"/>
      <c r="J350" s="577"/>
      <c r="K350" s="577"/>
      <c r="L350" s="882"/>
      <c r="M350" s="882"/>
      <c r="N350" s="645"/>
    </row>
    <row r="351">
      <c r="A351" s="67"/>
      <c r="B351" s="645"/>
      <c r="C351" s="575"/>
      <c r="D351" s="576"/>
      <c r="E351" s="576"/>
      <c r="F351" s="576"/>
      <c r="G351" s="577"/>
      <c r="H351" s="577"/>
      <c r="I351" s="577"/>
      <c r="J351" s="577"/>
      <c r="K351" s="577"/>
      <c r="L351" s="882"/>
      <c r="M351" s="882"/>
      <c r="N351" s="645"/>
    </row>
    <row r="352">
      <c r="A352" s="67"/>
      <c r="B352" s="645"/>
      <c r="C352" s="575"/>
      <c r="D352" s="576"/>
      <c r="E352" s="576"/>
      <c r="F352" s="576"/>
      <c r="G352" s="577"/>
      <c r="H352" s="577"/>
      <c r="I352" s="577"/>
      <c r="J352" s="577"/>
      <c r="K352" s="577"/>
      <c r="L352" s="882"/>
      <c r="M352" s="882"/>
      <c r="N352" s="645"/>
    </row>
    <row r="353">
      <c r="A353" s="67"/>
      <c r="B353" s="645"/>
      <c r="C353" s="575"/>
      <c r="D353" s="576"/>
      <c r="E353" s="576"/>
      <c r="F353" s="576"/>
      <c r="G353" s="577"/>
      <c r="H353" s="577"/>
      <c r="I353" s="577"/>
      <c r="J353" s="577"/>
      <c r="K353" s="577"/>
      <c r="L353" s="882"/>
      <c r="M353" s="882"/>
      <c r="N353" s="645"/>
    </row>
    <row r="354">
      <c r="A354" s="67"/>
      <c r="B354" s="645"/>
      <c r="C354" s="575"/>
      <c r="D354" s="576"/>
      <c r="E354" s="576"/>
      <c r="F354" s="576"/>
      <c r="G354" s="577"/>
      <c r="H354" s="577"/>
      <c r="I354" s="577"/>
      <c r="J354" s="577"/>
      <c r="K354" s="577"/>
      <c r="L354" s="882"/>
      <c r="M354" s="882"/>
      <c r="N354" s="645"/>
    </row>
    <row r="355">
      <c r="A355" s="67"/>
      <c r="B355" s="645"/>
      <c r="C355" s="575"/>
      <c r="D355" s="576"/>
      <c r="E355" s="576"/>
      <c r="F355" s="576"/>
      <c r="G355" s="577"/>
      <c r="H355" s="577"/>
      <c r="I355" s="577"/>
      <c r="J355" s="577"/>
      <c r="K355" s="577"/>
      <c r="L355" s="882"/>
      <c r="M355" s="882"/>
      <c r="N355" s="645"/>
    </row>
    <row r="356">
      <c r="A356" s="67"/>
      <c r="B356" s="645"/>
      <c r="C356" s="575"/>
      <c r="D356" s="576"/>
      <c r="E356" s="576"/>
      <c r="F356" s="576"/>
      <c r="G356" s="577"/>
      <c r="H356" s="577"/>
      <c r="I356" s="577"/>
      <c r="J356" s="577"/>
      <c r="K356" s="577"/>
      <c r="L356" s="882"/>
      <c r="M356" s="882"/>
      <c r="N356" s="645"/>
    </row>
    <row r="357">
      <c r="A357" s="67"/>
      <c r="B357" s="645"/>
      <c r="C357" s="575"/>
      <c r="D357" s="576"/>
      <c r="E357" s="576"/>
      <c r="F357" s="576"/>
      <c r="G357" s="577"/>
      <c r="H357" s="577"/>
      <c r="I357" s="577"/>
      <c r="J357" s="577"/>
      <c r="K357" s="577"/>
      <c r="L357" s="882"/>
      <c r="M357" s="882"/>
      <c r="N357" s="645"/>
    </row>
    <row r="358">
      <c r="A358" s="67"/>
      <c r="B358" s="645"/>
      <c r="C358" s="575"/>
      <c r="D358" s="576"/>
      <c r="E358" s="576"/>
      <c r="F358" s="576"/>
      <c r="G358" s="577"/>
      <c r="H358" s="577"/>
      <c r="I358" s="577"/>
      <c r="J358" s="577"/>
      <c r="K358" s="577"/>
      <c r="L358" s="882"/>
      <c r="M358" s="882"/>
      <c r="N358" s="645"/>
    </row>
    <row r="359">
      <c r="A359" s="67"/>
      <c r="B359" s="645"/>
      <c r="C359" s="575"/>
      <c r="D359" s="576"/>
      <c r="E359" s="576"/>
      <c r="F359" s="576"/>
      <c r="G359" s="577"/>
      <c r="H359" s="577"/>
      <c r="I359" s="577"/>
      <c r="J359" s="577"/>
      <c r="K359" s="577"/>
      <c r="L359" s="882"/>
      <c r="M359" s="882"/>
      <c r="N359" s="645"/>
    </row>
    <row r="360">
      <c r="A360" s="67"/>
      <c r="B360" s="645"/>
      <c r="C360" s="575"/>
      <c r="D360" s="576"/>
      <c r="E360" s="576"/>
      <c r="F360" s="576"/>
      <c r="G360" s="577"/>
      <c r="H360" s="577"/>
      <c r="I360" s="577"/>
      <c r="J360" s="577"/>
      <c r="K360" s="577"/>
      <c r="L360" s="882"/>
      <c r="M360" s="882"/>
      <c r="N360" s="645"/>
    </row>
    <row r="361">
      <c r="A361" s="67"/>
      <c r="B361" s="645"/>
      <c r="C361" s="575"/>
      <c r="D361" s="576"/>
      <c r="E361" s="576"/>
      <c r="F361" s="576"/>
      <c r="G361" s="577"/>
      <c r="H361" s="577"/>
      <c r="I361" s="577"/>
      <c r="J361" s="577"/>
      <c r="K361" s="577"/>
      <c r="L361" s="882"/>
      <c r="M361" s="882"/>
      <c r="N361" s="645"/>
    </row>
    <row r="362">
      <c r="A362" s="67"/>
      <c r="B362" s="645"/>
      <c r="C362" s="575"/>
      <c r="D362" s="576"/>
      <c r="E362" s="576"/>
      <c r="F362" s="576"/>
      <c r="G362" s="577"/>
      <c r="H362" s="577"/>
      <c r="I362" s="577"/>
      <c r="J362" s="577"/>
      <c r="K362" s="577"/>
      <c r="L362" s="882"/>
      <c r="M362" s="882"/>
      <c r="N362" s="645"/>
    </row>
    <row r="363">
      <c r="A363" s="67"/>
      <c r="B363" s="645"/>
      <c r="C363" s="575"/>
      <c r="D363" s="576"/>
      <c r="E363" s="576"/>
      <c r="F363" s="576"/>
      <c r="G363" s="577"/>
      <c r="H363" s="577"/>
      <c r="I363" s="577"/>
      <c r="J363" s="577"/>
      <c r="K363" s="577"/>
      <c r="L363" s="882"/>
      <c r="M363" s="882"/>
      <c r="N363" s="645"/>
    </row>
    <row r="364">
      <c r="A364" s="67"/>
      <c r="B364" s="645"/>
      <c r="C364" s="575"/>
      <c r="D364" s="576"/>
      <c r="E364" s="576"/>
      <c r="F364" s="576"/>
      <c r="G364" s="577"/>
      <c r="H364" s="577"/>
      <c r="I364" s="577"/>
      <c r="J364" s="577"/>
      <c r="K364" s="577"/>
      <c r="L364" s="882"/>
      <c r="M364" s="882"/>
      <c r="N364" s="645"/>
    </row>
    <row r="365">
      <c r="A365" s="67"/>
      <c r="B365" s="645"/>
      <c r="C365" s="575"/>
      <c r="D365" s="576"/>
      <c r="E365" s="576"/>
      <c r="F365" s="576"/>
      <c r="G365" s="577"/>
      <c r="H365" s="577"/>
      <c r="I365" s="577"/>
      <c r="J365" s="577"/>
      <c r="K365" s="577"/>
      <c r="L365" s="882"/>
      <c r="M365" s="882"/>
      <c r="N365" s="645"/>
    </row>
    <row r="366">
      <c r="A366" s="67"/>
      <c r="B366" s="645"/>
      <c r="C366" s="575"/>
      <c r="D366" s="576"/>
      <c r="E366" s="576"/>
      <c r="F366" s="576"/>
      <c r="G366" s="577"/>
      <c r="H366" s="577"/>
      <c r="I366" s="577"/>
      <c r="J366" s="577"/>
      <c r="K366" s="577"/>
      <c r="L366" s="882"/>
      <c r="M366" s="882"/>
      <c r="N366" s="645"/>
    </row>
    <row r="367">
      <c r="A367" s="67"/>
      <c r="B367" s="645"/>
      <c r="C367" s="575"/>
      <c r="D367" s="576"/>
      <c r="E367" s="576"/>
      <c r="F367" s="576"/>
      <c r="G367" s="577"/>
      <c r="H367" s="577"/>
      <c r="I367" s="577"/>
      <c r="J367" s="577"/>
      <c r="K367" s="577"/>
      <c r="L367" s="882"/>
      <c r="M367" s="882"/>
      <c r="N367" s="645"/>
    </row>
    <row r="368">
      <c r="A368" s="67"/>
      <c r="B368" s="645"/>
      <c r="C368" s="575"/>
      <c r="D368" s="576"/>
      <c r="E368" s="576"/>
      <c r="F368" s="576"/>
      <c r="G368" s="577"/>
      <c r="H368" s="577"/>
      <c r="I368" s="577"/>
      <c r="J368" s="577"/>
      <c r="K368" s="577"/>
      <c r="L368" s="882"/>
      <c r="M368" s="882"/>
      <c r="N368" s="645"/>
    </row>
    <row r="369">
      <c r="A369" s="67"/>
      <c r="B369" s="645"/>
      <c r="C369" s="575"/>
      <c r="D369" s="576"/>
      <c r="E369" s="576"/>
      <c r="F369" s="576"/>
      <c r="G369" s="577"/>
      <c r="H369" s="577"/>
      <c r="I369" s="577"/>
      <c r="J369" s="577"/>
      <c r="K369" s="577"/>
      <c r="L369" s="882"/>
      <c r="M369" s="882"/>
      <c r="N369" s="645"/>
    </row>
    <row r="370">
      <c r="A370" s="67"/>
      <c r="B370" s="645"/>
      <c r="C370" s="575"/>
      <c r="D370" s="576"/>
      <c r="E370" s="576"/>
      <c r="F370" s="576"/>
      <c r="G370" s="577"/>
      <c r="H370" s="577"/>
      <c r="I370" s="577"/>
      <c r="J370" s="577"/>
      <c r="K370" s="577"/>
      <c r="L370" s="882"/>
      <c r="M370" s="882"/>
      <c r="N370" s="645"/>
    </row>
    <row r="371">
      <c r="A371" s="67"/>
      <c r="B371" s="645"/>
      <c r="C371" s="575"/>
      <c r="D371" s="576"/>
      <c r="E371" s="576"/>
      <c r="F371" s="576"/>
      <c r="G371" s="577"/>
      <c r="H371" s="577"/>
      <c r="I371" s="577"/>
      <c r="J371" s="577"/>
      <c r="K371" s="577"/>
      <c r="L371" s="882"/>
      <c r="M371" s="882"/>
      <c r="N371" s="645"/>
    </row>
    <row r="372">
      <c r="A372" s="67"/>
      <c r="B372" s="645"/>
      <c r="C372" s="575"/>
      <c r="D372" s="576"/>
      <c r="E372" s="576"/>
      <c r="F372" s="576"/>
      <c r="G372" s="577"/>
      <c r="H372" s="577"/>
      <c r="I372" s="577"/>
      <c r="J372" s="577"/>
      <c r="K372" s="577"/>
      <c r="L372" s="882"/>
      <c r="M372" s="882"/>
      <c r="N372" s="645"/>
    </row>
    <row r="373">
      <c r="A373" s="67"/>
      <c r="B373" s="645"/>
      <c r="C373" s="575"/>
      <c r="D373" s="576"/>
      <c r="E373" s="576"/>
      <c r="F373" s="576"/>
      <c r="G373" s="577"/>
      <c r="H373" s="577"/>
      <c r="I373" s="577"/>
      <c r="J373" s="577"/>
      <c r="K373" s="577"/>
      <c r="L373" s="882"/>
      <c r="M373" s="882"/>
      <c r="N373" s="645"/>
    </row>
    <row r="374">
      <c r="A374" s="67"/>
      <c r="B374" s="645"/>
      <c r="C374" s="575"/>
      <c r="D374" s="576"/>
      <c r="E374" s="576"/>
      <c r="F374" s="576"/>
      <c r="G374" s="577"/>
      <c r="H374" s="577"/>
      <c r="I374" s="577"/>
      <c r="J374" s="577"/>
      <c r="K374" s="577"/>
      <c r="L374" s="882"/>
      <c r="M374" s="882"/>
      <c r="N374" s="645"/>
    </row>
    <row r="375">
      <c r="A375" s="67"/>
      <c r="B375" s="645"/>
      <c r="C375" s="575"/>
      <c r="D375" s="576"/>
      <c r="E375" s="576"/>
      <c r="F375" s="576"/>
      <c r="G375" s="577"/>
      <c r="H375" s="577"/>
      <c r="I375" s="577"/>
      <c r="J375" s="577"/>
      <c r="K375" s="577"/>
      <c r="L375" s="882"/>
      <c r="M375" s="882"/>
      <c r="N375" s="645"/>
    </row>
    <row r="376">
      <c r="A376" s="67"/>
      <c r="B376" s="645"/>
      <c r="C376" s="575"/>
      <c r="D376" s="576"/>
      <c r="E376" s="576"/>
      <c r="F376" s="576"/>
      <c r="G376" s="577"/>
      <c r="H376" s="577"/>
      <c r="I376" s="577"/>
      <c r="J376" s="577"/>
      <c r="K376" s="577"/>
      <c r="L376" s="882"/>
      <c r="M376" s="882"/>
      <c r="N376" s="645"/>
    </row>
    <row r="377">
      <c r="A377" s="67"/>
      <c r="B377" s="645"/>
      <c r="C377" s="575"/>
      <c r="D377" s="576"/>
      <c r="E377" s="576"/>
      <c r="F377" s="576"/>
      <c r="G377" s="577"/>
      <c r="H377" s="577"/>
      <c r="I377" s="577"/>
      <c r="J377" s="577"/>
      <c r="K377" s="577"/>
      <c r="L377" s="882"/>
      <c r="M377" s="882"/>
      <c r="N377" s="645"/>
    </row>
    <row r="378">
      <c r="A378" s="67"/>
      <c r="B378" s="645"/>
      <c r="C378" s="575"/>
      <c r="D378" s="576"/>
      <c r="E378" s="576"/>
      <c r="F378" s="576"/>
      <c r="G378" s="577"/>
      <c r="H378" s="577"/>
      <c r="I378" s="577"/>
      <c r="J378" s="577"/>
      <c r="K378" s="577"/>
      <c r="L378" s="882"/>
      <c r="M378" s="882"/>
      <c r="N378" s="645"/>
    </row>
    <row r="379">
      <c r="A379" s="67"/>
      <c r="B379" s="645"/>
      <c r="C379" s="575"/>
      <c r="D379" s="576"/>
      <c r="E379" s="576"/>
      <c r="F379" s="576"/>
      <c r="G379" s="577"/>
      <c r="H379" s="577"/>
      <c r="I379" s="577"/>
      <c r="J379" s="577"/>
      <c r="K379" s="577"/>
      <c r="L379" s="882"/>
      <c r="M379" s="882"/>
      <c r="N379" s="645"/>
    </row>
    <row r="380">
      <c r="A380" s="67"/>
      <c r="B380" s="645"/>
      <c r="C380" s="575"/>
      <c r="D380" s="576"/>
      <c r="E380" s="576"/>
      <c r="F380" s="576"/>
      <c r="G380" s="577"/>
      <c r="H380" s="577"/>
      <c r="I380" s="577"/>
      <c r="J380" s="577"/>
      <c r="K380" s="577"/>
      <c r="L380" s="882"/>
      <c r="M380" s="882"/>
      <c r="N380" s="645"/>
    </row>
    <row r="381">
      <c r="A381" s="67"/>
      <c r="B381" s="645"/>
      <c r="C381" s="575"/>
      <c r="D381" s="576"/>
      <c r="E381" s="576"/>
      <c r="F381" s="576"/>
      <c r="G381" s="577"/>
      <c r="H381" s="577"/>
      <c r="I381" s="577"/>
      <c r="J381" s="577"/>
      <c r="K381" s="577"/>
      <c r="L381" s="882"/>
      <c r="M381" s="882"/>
      <c r="N381" s="645"/>
    </row>
    <row r="382">
      <c r="A382" s="67"/>
      <c r="B382" s="645"/>
      <c r="C382" s="575"/>
      <c r="D382" s="576"/>
      <c r="E382" s="576"/>
      <c r="F382" s="576"/>
      <c r="G382" s="577"/>
      <c r="H382" s="577"/>
      <c r="I382" s="577"/>
      <c r="J382" s="577"/>
      <c r="K382" s="577"/>
      <c r="L382" s="882"/>
      <c r="M382" s="882"/>
      <c r="N382" s="645"/>
    </row>
    <row r="383">
      <c r="A383" s="67"/>
      <c r="B383" s="645"/>
      <c r="C383" s="575"/>
      <c r="D383" s="576"/>
      <c r="E383" s="576"/>
      <c r="F383" s="576"/>
      <c r="G383" s="577"/>
      <c r="H383" s="577"/>
      <c r="I383" s="577"/>
      <c r="J383" s="577"/>
      <c r="K383" s="577"/>
      <c r="L383" s="882"/>
      <c r="M383" s="882"/>
      <c r="N383" s="645"/>
    </row>
    <row r="384">
      <c r="A384" s="67"/>
      <c r="B384" s="645"/>
      <c r="C384" s="575"/>
      <c r="D384" s="576"/>
      <c r="E384" s="576"/>
      <c r="F384" s="576"/>
      <c r="G384" s="577"/>
      <c r="H384" s="577"/>
      <c r="I384" s="577"/>
      <c r="J384" s="577"/>
      <c r="K384" s="577"/>
      <c r="L384" s="882"/>
      <c r="M384" s="882"/>
      <c r="N384" s="645"/>
    </row>
    <row r="385">
      <c r="A385" s="67"/>
      <c r="B385" s="645"/>
      <c r="C385" s="575"/>
      <c r="D385" s="576"/>
      <c r="E385" s="576"/>
      <c r="F385" s="576"/>
      <c r="G385" s="577"/>
      <c r="H385" s="577"/>
      <c r="I385" s="577"/>
      <c r="J385" s="577"/>
      <c r="K385" s="577"/>
      <c r="L385" s="882"/>
      <c r="M385" s="882"/>
      <c r="N385" s="645"/>
    </row>
    <row r="386">
      <c r="A386" s="67"/>
      <c r="B386" s="645"/>
      <c r="C386" s="575"/>
      <c r="D386" s="576"/>
      <c r="E386" s="576"/>
      <c r="F386" s="576"/>
      <c r="G386" s="577"/>
      <c r="H386" s="577"/>
      <c r="I386" s="577"/>
      <c r="J386" s="577"/>
      <c r="K386" s="577"/>
      <c r="L386" s="882"/>
      <c r="M386" s="882"/>
      <c r="N386" s="645"/>
    </row>
    <row r="387">
      <c r="A387" s="67"/>
      <c r="B387" s="645"/>
      <c r="C387" s="575"/>
      <c r="D387" s="576"/>
      <c r="E387" s="576"/>
      <c r="F387" s="576"/>
      <c r="G387" s="577"/>
      <c r="H387" s="577"/>
      <c r="I387" s="577"/>
      <c r="J387" s="577"/>
      <c r="K387" s="577"/>
      <c r="L387" s="882"/>
      <c r="M387" s="882"/>
      <c r="N387" s="645"/>
    </row>
    <row r="388">
      <c r="A388" s="67"/>
      <c r="B388" s="645"/>
      <c r="C388" s="575"/>
      <c r="D388" s="576"/>
      <c r="E388" s="576"/>
      <c r="F388" s="576"/>
      <c r="G388" s="577"/>
      <c r="H388" s="577"/>
      <c r="I388" s="577"/>
      <c r="J388" s="577"/>
      <c r="K388" s="577"/>
      <c r="L388" s="882"/>
      <c r="M388" s="882"/>
      <c r="N388" s="645"/>
    </row>
    <row r="389">
      <c r="A389" s="67"/>
      <c r="B389" s="645"/>
      <c r="C389" s="575"/>
      <c r="D389" s="576"/>
      <c r="E389" s="576"/>
      <c r="F389" s="576"/>
      <c r="G389" s="577"/>
      <c r="H389" s="577"/>
      <c r="I389" s="577"/>
      <c r="J389" s="577"/>
      <c r="K389" s="577"/>
      <c r="L389" s="882"/>
      <c r="M389" s="882"/>
      <c r="N389" s="645"/>
    </row>
    <row r="390">
      <c r="A390" s="67"/>
      <c r="B390" s="645"/>
      <c r="C390" s="575"/>
      <c r="D390" s="576"/>
      <c r="E390" s="576"/>
      <c r="F390" s="576"/>
      <c r="G390" s="577"/>
      <c r="H390" s="577"/>
      <c r="I390" s="577"/>
      <c r="J390" s="577"/>
      <c r="K390" s="577"/>
      <c r="L390" s="882"/>
      <c r="M390" s="882"/>
      <c r="N390" s="645"/>
    </row>
    <row r="391">
      <c r="A391" s="67"/>
      <c r="B391" s="645"/>
      <c r="C391" s="575"/>
      <c r="D391" s="576"/>
      <c r="E391" s="576"/>
      <c r="F391" s="576"/>
      <c r="G391" s="577"/>
      <c r="H391" s="577"/>
      <c r="I391" s="577"/>
      <c r="J391" s="577"/>
      <c r="K391" s="577"/>
      <c r="L391" s="882"/>
      <c r="M391" s="882"/>
      <c r="N391" s="645"/>
    </row>
    <row r="392">
      <c r="A392" s="67"/>
      <c r="B392" s="645"/>
      <c r="C392" s="575"/>
      <c r="D392" s="576"/>
      <c r="E392" s="576"/>
      <c r="F392" s="576"/>
      <c r="G392" s="577"/>
      <c r="H392" s="577"/>
      <c r="I392" s="577"/>
      <c r="J392" s="577"/>
      <c r="K392" s="577"/>
      <c r="L392" s="882"/>
      <c r="M392" s="882"/>
      <c r="N392" s="645"/>
    </row>
    <row r="393">
      <c r="A393" s="67"/>
      <c r="B393" s="645"/>
      <c r="C393" s="575"/>
      <c r="D393" s="576"/>
      <c r="E393" s="576"/>
      <c r="F393" s="576"/>
      <c r="G393" s="577"/>
      <c r="H393" s="577"/>
      <c r="I393" s="577"/>
      <c r="J393" s="577"/>
      <c r="K393" s="577"/>
      <c r="L393" s="882"/>
      <c r="M393" s="882"/>
      <c r="N393" s="645"/>
    </row>
    <row r="394">
      <c r="A394" s="67"/>
      <c r="B394" s="645"/>
      <c r="C394" s="575"/>
      <c r="D394" s="576"/>
      <c r="E394" s="576"/>
      <c r="F394" s="576"/>
      <c r="G394" s="577"/>
      <c r="H394" s="577"/>
      <c r="I394" s="577"/>
      <c r="J394" s="577"/>
      <c r="K394" s="577"/>
      <c r="L394" s="882"/>
      <c r="M394" s="882"/>
      <c r="N394" s="645"/>
    </row>
    <row r="395">
      <c r="A395" s="67"/>
      <c r="B395" s="645"/>
      <c r="C395" s="575"/>
      <c r="D395" s="576"/>
      <c r="E395" s="576"/>
      <c r="F395" s="576"/>
      <c r="G395" s="577"/>
      <c r="H395" s="577"/>
      <c r="I395" s="577"/>
      <c r="J395" s="577"/>
      <c r="K395" s="577"/>
      <c r="L395" s="882"/>
      <c r="M395" s="882"/>
      <c r="N395" s="645"/>
    </row>
    <row r="396">
      <c r="A396" s="67"/>
      <c r="B396" s="645"/>
      <c r="C396" s="575"/>
      <c r="D396" s="576"/>
      <c r="E396" s="576"/>
      <c r="F396" s="576"/>
      <c r="G396" s="577"/>
      <c r="H396" s="577"/>
      <c r="I396" s="577"/>
      <c r="J396" s="577"/>
      <c r="K396" s="577"/>
      <c r="L396" s="882"/>
      <c r="M396" s="882"/>
      <c r="N396" s="645"/>
    </row>
    <row r="397">
      <c r="A397" s="67"/>
      <c r="B397" s="645"/>
      <c r="C397" s="575"/>
      <c r="D397" s="576"/>
      <c r="E397" s="576"/>
      <c r="F397" s="576"/>
      <c r="G397" s="577"/>
      <c r="H397" s="577"/>
      <c r="I397" s="577"/>
      <c r="J397" s="577"/>
      <c r="K397" s="577"/>
      <c r="L397" s="882"/>
      <c r="M397" s="882"/>
      <c r="N397" s="645"/>
    </row>
    <row r="398">
      <c r="A398" s="67"/>
      <c r="B398" s="645"/>
      <c r="C398" s="575"/>
      <c r="D398" s="576"/>
      <c r="E398" s="576"/>
      <c r="F398" s="576"/>
      <c r="G398" s="577"/>
      <c r="H398" s="577"/>
      <c r="I398" s="577"/>
      <c r="J398" s="577"/>
      <c r="K398" s="577"/>
      <c r="L398" s="882"/>
      <c r="M398" s="882"/>
      <c r="N398" s="645"/>
    </row>
    <row r="399">
      <c r="A399" s="67"/>
      <c r="B399" s="645"/>
      <c r="C399" s="575"/>
      <c r="D399" s="576"/>
      <c r="E399" s="576"/>
      <c r="F399" s="576"/>
      <c r="G399" s="577"/>
      <c r="H399" s="577"/>
      <c r="I399" s="577"/>
      <c r="J399" s="577"/>
      <c r="K399" s="577"/>
      <c r="L399" s="882"/>
      <c r="M399" s="882"/>
      <c r="N399" s="645"/>
    </row>
    <row r="400">
      <c r="A400" s="67"/>
      <c r="B400" s="645"/>
      <c r="C400" s="575"/>
      <c r="D400" s="576"/>
      <c r="E400" s="576"/>
      <c r="F400" s="576"/>
      <c r="G400" s="577"/>
      <c r="H400" s="577"/>
      <c r="I400" s="577"/>
      <c r="J400" s="577"/>
      <c r="K400" s="577"/>
      <c r="L400" s="882"/>
      <c r="M400" s="882"/>
      <c r="N400" s="645"/>
    </row>
    <row r="401">
      <c r="A401" s="67"/>
      <c r="B401" s="645"/>
      <c r="C401" s="575"/>
      <c r="D401" s="576"/>
      <c r="E401" s="576"/>
      <c r="F401" s="576"/>
      <c r="G401" s="577"/>
      <c r="H401" s="577"/>
      <c r="I401" s="577"/>
      <c r="J401" s="577"/>
      <c r="K401" s="577"/>
      <c r="L401" s="882"/>
      <c r="M401" s="882"/>
      <c r="N401" s="645"/>
    </row>
    <row r="402">
      <c r="A402" s="67"/>
      <c r="B402" s="645"/>
      <c r="C402" s="575"/>
      <c r="D402" s="576"/>
      <c r="E402" s="576"/>
      <c r="F402" s="576"/>
      <c r="G402" s="577"/>
      <c r="H402" s="577"/>
      <c r="I402" s="577"/>
      <c r="J402" s="577"/>
      <c r="K402" s="577"/>
      <c r="L402" s="882"/>
      <c r="M402" s="882"/>
      <c r="N402" s="645"/>
    </row>
    <row r="403">
      <c r="A403" s="67"/>
      <c r="B403" s="645"/>
      <c r="C403" s="575"/>
      <c r="D403" s="576"/>
      <c r="E403" s="576"/>
      <c r="F403" s="576"/>
      <c r="G403" s="577"/>
      <c r="H403" s="577"/>
      <c r="I403" s="577"/>
      <c r="J403" s="577"/>
      <c r="K403" s="577"/>
      <c r="L403" s="882"/>
      <c r="M403" s="882"/>
      <c r="N403" s="645"/>
    </row>
    <row r="404">
      <c r="A404" s="67"/>
      <c r="B404" s="645"/>
      <c r="C404" s="575"/>
      <c r="D404" s="576"/>
      <c r="E404" s="576"/>
      <c r="F404" s="576"/>
      <c r="G404" s="577"/>
      <c r="H404" s="577"/>
      <c r="I404" s="577"/>
      <c r="J404" s="577"/>
      <c r="K404" s="577"/>
      <c r="L404" s="882"/>
      <c r="M404" s="882"/>
      <c r="N404" s="645"/>
    </row>
    <row r="405">
      <c r="A405" s="67"/>
      <c r="B405" s="645"/>
      <c r="C405" s="575"/>
      <c r="D405" s="576"/>
      <c r="E405" s="576"/>
      <c r="F405" s="576"/>
      <c r="G405" s="577"/>
      <c r="H405" s="577"/>
      <c r="I405" s="577"/>
      <c r="J405" s="577"/>
      <c r="K405" s="577"/>
      <c r="L405" s="882"/>
      <c r="M405" s="882"/>
      <c r="N405" s="645"/>
    </row>
    <row r="406">
      <c r="A406" s="67"/>
      <c r="B406" s="645"/>
      <c r="C406" s="575"/>
      <c r="D406" s="576"/>
      <c r="E406" s="576"/>
      <c r="F406" s="576"/>
      <c r="G406" s="577"/>
      <c r="H406" s="577"/>
      <c r="I406" s="577"/>
      <c r="J406" s="577"/>
      <c r="K406" s="577"/>
      <c r="L406" s="882"/>
      <c r="M406" s="882"/>
      <c r="N406" s="645"/>
    </row>
    <row r="407">
      <c r="A407" s="67"/>
      <c r="B407" s="645"/>
      <c r="C407" s="575"/>
      <c r="D407" s="576"/>
      <c r="E407" s="576"/>
      <c r="F407" s="576"/>
      <c r="G407" s="577"/>
      <c r="H407" s="577"/>
      <c r="I407" s="577"/>
      <c r="J407" s="577"/>
      <c r="K407" s="577"/>
      <c r="L407" s="882"/>
      <c r="M407" s="882"/>
      <c r="N407" s="645"/>
    </row>
    <row r="408">
      <c r="A408" s="67"/>
      <c r="B408" s="645"/>
      <c r="C408" s="575"/>
      <c r="D408" s="576"/>
      <c r="E408" s="576"/>
      <c r="F408" s="576"/>
      <c r="G408" s="577"/>
      <c r="H408" s="577"/>
      <c r="I408" s="577"/>
      <c r="J408" s="577"/>
      <c r="K408" s="577"/>
      <c r="L408" s="882"/>
      <c r="M408" s="882"/>
      <c r="N408" s="645"/>
    </row>
    <row r="409">
      <c r="A409" s="67"/>
      <c r="B409" s="645"/>
      <c r="C409" s="575"/>
      <c r="D409" s="576"/>
      <c r="E409" s="576"/>
      <c r="F409" s="576"/>
      <c r="G409" s="577"/>
      <c r="H409" s="577"/>
      <c r="I409" s="577"/>
      <c r="J409" s="577"/>
      <c r="K409" s="577"/>
      <c r="L409" s="882"/>
      <c r="M409" s="882"/>
      <c r="N409" s="645"/>
    </row>
    <row r="410">
      <c r="A410" s="67"/>
      <c r="B410" s="645"/>
      <c r="C410" s="575"/>
      <c r="D410" s="576"/>
      <c r="E410" s="576"/>
      <c r="F410" s="576"/>
      <c r="G410" s="577"/>
      <c r="H410" s="577"/>
      <c r="I410" s="577"/>
      <c r="J410" s="577"/>
      <c r="K410" s="577"/>
      <c r="L410" s="882"/>
      <c r="M410" s="882"/>
      <c r="N410" s="645"/>
    </row>
    <row r="411">
      <c r="A411" s="67"/>
      <c r="B411" s="645"/>
      <c r="C411" s="575"/>
      <c r="D411" s="576"/>
      <c r="E411" s="576"/>
      <c r="F411" s="576"/>
      <c r="G411" s="577"/>
      <c r="H411" s="577"/>
      <c r="I411" s="577"/>
      <c r="J411" s="577"/>
      <c r="K411" s="577"/>
      <c r="L411" s="882"/>
      <c r="M411" s="882"/>
      <c r="N411" s="645"/>
    </row>
    <row r="412">
      <c r="A412" s="67"/>
      <c r="B412" s="645"/>
      <c r="C412" s="575"/>
      <c r="D412" s="576"/>
      <c r="E412" s="576"/>
      <c r="F412" s="576"/>
      <c r="G412" s="577"/>
      <c r="H412" s="577"/>
      <c r="I412" s="577"/>
      <c r="J412" s="577"/>
      <c r="K412" s="577"/>
      <c r="L412" s="882"/>
      <c r="M412" s="882"/>
      <c r="N412" s="645"/>
    </row>
    <row r="413">
      <c r="A413" s="67"/>
      <c r="B413" s="645"/>
      <c r="C413" s="575"/>
      <c r="D413" s="576"/>
      <c r="E413" s="576"/>
      <c r="F413" s="576"/>
      <c r="G413" s="577"/>
      <c r="H413" s="577"/>
      <c r="I413" s="577"/>
      <c r="J413" s="577"/>
      <c r="K413" s="577"/>
      <c r="L413" s="882"/>
      <c r="M413" s="882"/>
      <c r="N413" s="645"/>
    </row>
    <row r="414">
      <c r="A414" s="67"/>
      <c r="B414" s="645"/>
      <c r="C414" s="575"/>
      <c r="D414" s="576"/>
      <c r="E414" s="576"/>
      <c r="F414" s="576"/>
      <c r="G414" s="577"/>
      <c r="H414" s="577"/>
      <c r="I414" s="577"/>
      <c r="J414" s="577"/>
      <c r="K414" s="577"/>
      <c r="L414" s="882"/>
      <c r="M414" s="882"/>
      <c r="N414" s="645"/>
    </row>
    <row r="415">
      <c r="A415" s="67"/>
      <c r="B415" s="645"/>
      <c r="C415" s="575"/>
      <c r="D415" s="576"/>
      <c r="E415" s="576"/>
      <c r="F415" s="576"/>
      <c r="G415" s="577"/>
      <c r="H415" s="577"/>
      <c r="I415" s="577"/>
      <c r="J415" s="577"/>
      <c r="K415" s="577"/>
      <c r="L415" s="882"/>
      <c r="M415" s="882"/>
      <c r="N415" s="645"/>
    </row>
    <row r="416">
      <c r="A416" s="67"/>
      <c r="B416" s="645"/>
      <c r="C416" s="575"/>
      <c r="D416" s="576"/>
      <c r="E416" s="576"/>
      <c r="F416" s="576"/>
      <c r="G416" s="577"/>
      <c r="H416" s="577"/>
      <c r="I416" s="577"/>
      <c r="J416" s="577"/>
      <c r="K416" s="577"/>
      <c r="L416" s="882"/>
      <c r="M416" s="882"/>
      <c r="N416" s="645"/>
    </row>
    <row r="417">
      <c r="A417" s="67"/>
      <c r="B417" s="645"/>
      <c r="C417" s="575"/>
      <c r="D417" s="576"/>
      <c r="E417" s="576"/>
      <c r="F417" s="576"/>
      <c r="G417" s="577"/>
      <c r="H417" s="577"/>
      <c r="I417" s="577"/>
      <c r="J417" s="577"/>
      <c r="K417" s="577"/>
      <c r="L417" s="882"/>
      <c r="M417" s="882"/>
      <c r="N417" s="645"/>
    </row>
    <row r="418">
      <c r="A418" s="67"/>
      <c r="B418" s="645"/>
      <c r="C418" s="575"/>
      <c r="D418" s="576"/>
      <c r="E418" s="576"/>
      <c r="F418" s="576"/>
      <c r="G418" s="577"/>
      <c r="H418" s="577"/>
      <c r="I418" s="577"/>
      <c r="J418" s="577"/>
      <c r="K418" s="577"/>
      <c r="L418" s="882"/>
      <c r="M418" s="882"/>
      <c r="N418" s="645"/>
    </row>
    <row r="419">
      <c r="A419" s="67"/>
      <c r="B419" s="645"/>
      <c r="C419" s="575"/>
      <c r="D419" s="576"/>
      <c r="E419" s="576"/>
      <c r="F419" s="576"/>
      <c r="G419" s="577"/>
      <c r="H419" s="577"/>
      <c r="I419" s="577"/>
      <c r="J419" s="577"/>
      <c r="K419" s="577"/>
      <c r="L419" s="882"/>
      <c r="M419" s="882"/>
      <c r="N419" s="645"/>
    </row>
    <row r="420">
      <c r="A420" s="67"/>
      <c r="B420" s="645"/>
      <c r="C420" s="575"/>
      <c r="D420" s="576"/>
      <c r="E420" s="576"/>
      <c r="F420" s="576"/>
      <c r="G420" s="577"/>
      <c r="H420" s="577"/>
      <c r="I420" s="577"/>
      <c r="J420" s="577"/>
      <c r="K420" s="577"/>
      <c r="L420" s="882"/>
      <c r="M420" s="882"/>
      <c r="N420" s="645"/>
    </row>
    <row r="421">
      <c r="A421" s="67"/>
      <c r="B421" s="645"/>
      <c r="C421" s="575"/>
      <c r="D421" s="576"/>
      <c r="E421" s="576"/>
      <c r="F421" s="576"/>
      <c r="G421" s="577"/>
      <c r="H421" s="577"/>
      <c r="I421" s="577"/>
      <c r="J421" s="577"/>
      <c r="K421" s="577"/>
      <c r="L421" s="882"/>
      <c r="M421" s="882"/>
      <c r="N421" s="645"/>
    </row>
    <row r="422">
      <c r="A422" s="67"/>
      <c r="B422" s="645"/>
      <c r="C422" s="575"/>
      <c r="D422" s="576"/>
      <c r="E422" s="576"/>
      <c r="F422" s="576"/>
      <c r="G422" s="577"/>
      <c r="H422" s="577"/>
      <c r="I422" s="577"/>
      <c r="J422" s="577"/>
      <c r="K422" s="577"/>
      <c r="L422" s="882"/>
      <c r="M422" s="882"/>
      <c r="N422" s="645"/>
    </row>
    <row r="423">
      <c r="A423" s="67"/>
      <c r="B423" s="645"/>
      <c r="C423" s="575"/>
      <c r="D423" s="576"/>
      <c r="E423" s="576"/>
      <c r="F423" s="576"/>
      <c r="G423" s="577"/>
      <c r="H423" s="577"/>
      <c r="I423" s="577"/>
      <c r="J423" s="577"/>
      <c r="K423" s="577"/>
      <c r="L423" s="882"/>
      <c r="M423" s="882"/>
      <c r="N423" s="645"/>
    </row>
    <row r="424">
      <c r="A424" s="67"/>
      <c r="B424" s="645"/>
      <c r="C424" s="575"/>
      <c r="D424" s="576"/>
      <c r="E424" s="576"/>
      <c r="F424" s="576"/>
      <c r="G424" s="577"/>
      <c r="H424" s="577"/>
      <c r="I424" s="577"/>
      <c r="J424" s="577"/>
      <c r="K424" s="577"/>
      <c r="L424" s="882"/>
      <c r="M424" s="882"/>
      <c r="N424" s="645"/>
    </row>
    <row r="425">
      <c r="A425" s="67"/>
      <c r="B425" s="645"/>
      <c r="C425" s="575"/>
      <c r="D425" s="576"/>
      <c r="E425" s="576"/>
      <c r="F425" s="576"/>
      <c r="G425" s="577"/>
      <c r="H425" s="577"/>
      <c r="I425" s="577"/>
      <c r="J425" s="577"/>
      <c r="K425" s="577"/>
      <c r="L425" s="882"/>
      <c r="M425" s="882"/>
      <c r="N425" s="645"/>
    </row>
    <row r="426">
      <c r="A426" s="67"/>
      <c r="B426" s="645"/>
      <c r="C426" s="575"/>
      <c r="D426" s="576"/>
      <c r="E426" s="576"/>
      <c r="F426" s="576"/>
      <c r="G426" s="577"/>
      <c r="H426" s="577"/>
      <c r="I426" s="577"/>
      <c r="J426" s="577"/>
      <c r="K426" s="577"/>
      <c r="L426" s="882"/>
      <c r="M426" s="882"/>
      <c r="N426" s="645"/>
    </row>
    <row r="427">
      <c r="A427" s="67"/>
      <c r="B427" s="645"/>
      <c r="C427" s="575"/>
      <c r="D427" s="576"/>
      <c r="E427" s="576"/>
      <c r="F427" s="576"/>
      <c r="G427" s="577"/>
      <c r="H427" s="577"/>
      <c r="I427" s="577"/>
      <c r="J427" s="577"/>
      <c r="K427" s="577"/>
      <c r="L427" s="882"/>
      <c r="M427" s="882"/>
      <c r="N427" s="645"/>
    </row>
    <row r="428">
      <c r="A428" s="67"/>
      <c r="B428" s="645"/>
      <c r="C428" s="575"/>
      <c r="D428" s="576"/>
      <c r="E428" s="576"/>
      <c r="F428" s="576"/>
      <c r="G428" s="577"/>
      <c r="H428" s="577"/>
      <c r="I428" s="577"/>
      <c r="J428" s="577"/>
      <c r="K428" s="577"/>
      <c r="L428" s="882"/>
      <c r="M428" s="882"/>
      <c r="N428" s="645"/>
    </row>
    <row r="429">
      <c r="A429" s="67"/>
      <c r="B429" s="645"/>
      <c r="C429" s="575"/>
      <c r="D429" s="576"/>
      <c r="E429" s="576"/>
      <c r="F429" s="576"/>
      <c r="G429" s="577"/>
      <c r="H429" s="577"/>
      <c r="I429" s="577"/>
      <c r="J429" s="577"/>
      <c r="K429" s="577"/>
      <c r="L429" s="882"/>
      <c r="M429" s="882"/>
      <c r="N429" s="645"/>
    </row>
    <row r="430">
      <c r="A430" s="67"/>
      <c r="B430" s="645"/>
      <c r="C430" s="575"/>
      <c r="D430" s="576"/>
      <c r="E430" s="576"/>
      <c r="F430" s="576"/>
      <c r="G430" s="577"/>
      <c r="H430" s="577"/>
      <c r="I430" s="577"/>
      <c r="J430" s="577"/>
      <c r="K430" s="577"/>
      <c r="L430" s="882"/>
      <c r="M430" s="882"/>
      <c r="N430" s="645"/>
    </row>
    <row r="431">
      <c r="A431" s="67"/>
      <c r="B431" s="645"/>
      <c r="C431" s="575"/>
      <c r="D431" s="576"/>
      <c r="E431" s="576"/>
      <c r="F431" s="576"/>
      <c r="G431" s="577"/>
      <c r="H431" s="577"/>
      <c r="I431" s="577"/>
      <c r="J431" s="577"/>
      <c r="K431" s="577"/>
      <c r="L431" s="882"/>
      <c r="M431" s="882"/>
      <c r="N431" s="645"/>
    </row>
    <row r="432">
      <c r="A432" s="67"/>
      <c r="B432" s="645"/>
      <c r="C432" s="575"/>
      <c r="D432" s="576"/>
      <c r="E432" s="576"/>
      <c r="F432" s="576"/>
      <c r="G432" s="577"/>
      <c r="H432" s="577"/>
      <c r="I432" s="577"/>
      <c r="J432" s="577"/>
      <c r="K432" s="577"/>
      <c r="L432" s="882"/>
      <c r="M432" s="882"/>
      <c r="N432" s="645"/>
    </row>
    <row r="433">
      <c r="A433" s="67"/>
      <c r="B433" s="645"/>
      <c r="C433" s="575"/>
      <c r="D433" s="576"/>
      <c r="E433" s="576"/>
      <c r="F433" s="576"/>
      <c r="G433" s="577"/>
      <c r="H433" s="577"/>
      <c r="I433" s="577"/>
      <c r="J433" s="577"/>
      <c r="K433" s="577"/>
      <c r="L433" s="882"/>
      <c r="M433" s="882"/>
      <c r="N433" s="645"/>
    </row>
    <row r="434">
      <c r="A434" s="67"/>
      <c r="B434" s="645"/>
      <c r="C434" s="575"/>
      <c r="D434" s="576"/>
      <c r="E434" s="576"/>
      <c r="F434" s="576"/>
      <c r="G434" s="577"/>
      <c r="H434" s="577"/>
      <c r="I434" s="577"/>
      <c r="J434" s="577"/>
      <c r="K434" s="577"/>
      <c r="L434" s="882"/>
      <c r="M434" s="882"/>
      <c r="N434" s="645"/>
    </row>
    <row r="435">
      <c r="A435" s="67"/>
      <c r="B435" s="645"/>
      <c r="C435" s="575"/>
      <c r="D435" s="576"/>
      <c r="E435" s="576"/>
      <c r="F435" s="576"/>
      <c r="G435" s="577"/>
      <c r="H435" s="577"/>
      <c r="I435" s="577"/>
      <c r="J435" s="577"/>
      <c r="K435" s="577"/>
      <c r="L435" s="882"/>
      <c r="M435" s="882"/>
      <c r="N435" s="645"/>
    </row>
    <row r="436">
      <c r="A436" s="67"/>
      <c r="B436" s="645"/>
      <c r="C436" s="575"/>
      <c r="D436" s="576"/>
      <c r="E436" s="576"/>
      <c r="F436" s="576"/>
      <c r="G436" s="577"/>
      <c r="H436" s="577"/>
      <c r="I436" s="577"/>
      <c r="J436" s="577"/>
      <c r="K436" s="577"/>
      <c r="L436" s="882"/>
      <c r="M436" s="882"/>
      <c r="N436" s="645"/>
    </row>
    <row r="437">
      <c r="A437" s="67"/>
      <c r="B437" s="645"/>
      <c r="C437" s="575"/>
      <c r="D437" s="576"/>
      <c r="E437" s="576"/>
      <c r="F437" s="576"/>
      <c r="G437" s="577"/>
      <c r="H437" s="577"/>
      <c r="I437" s="577"/>
      <c r="J437" s="577"/>
      <c r="K437" s="577"/>
      <c r="L437" s="882"/>
      <c r="M437" s="882"/>
      <c r="N437" s="645"/>
    </row>
    <row r="438">
      <c r="A438" s="67"/>
      <c r="B438" s="645"/>
      <c r="C438" s="575"/>
      <c r="D438" s="576"/>
      <c r="E438" s="576"/>
      <c r="F438" s="576"/>
      <c r="G438" s="577"/>
      <c r="H438" s="577"/>
      <c r="I438" s="577"/>
      <c r="J438" s="577"/>
      <c r="K438" s="577"/>
      <c r="L438" s="882"/>
      <c r="M438" s="882"/>
      <c r="N438" s="645"/>
    </row>
    <row r="439">
      <c r="A439" s="67"/>
      <c r="B439" s="645"/>
      <c r="C439" s="575"/>
      <c r="D439" s="576"/>
      <c r="E439" s="576"/>
      <c r="F439" s="576"/>
      <c r="G439" s="577"/>
      <c r="H439" s="577"/>
      <c r="I439" s="577"/>
      <c r="J439" s="577"/>
      <c r="K439" s="577"/>
      <c r="L439" s="882"/>
      <c r="M439" s="882"/>
      <c r="N439" s="645"/>
    </row>
    <row r="440">
      <c r="A440" s="67"/>
      <c r="B440" s="645"/>
      <c r="C440" s="575"/>
      <c r="D440" s="576"/>
      <c r="E440" s="576"/>
      <c r="F440" s="576"/>
      <c r="G440" s="577"/>
      <c r="H440" s="577"/>
      <c r="I440" s="577"/>
      <c r="J440" s="577"/>
      <c r="K440" s="577"/>
      <c r="L440" s="882"/>
      <c r="M440" s="882"/>
      <c r="N440" s="645"/>
    </row>
    <row r="441">
      <c r="A441" s="67"/>
      <c r="B441" s="645"/>
      <c r="C441" s="575"/>
      <c r="D441" s="576"/>
      <c r="E441" s="576"/>
      <c r="F441" s="576"/>
      <c r="G441" s="577"/>
      <c r="H441" s="577"/>
      <c r="I441" s="577"/>
      <c r="J441" s="577"/>
      <c r="K441" s="577"/>
      <c r="L441" s="882"/>
      <c r="M441" s="882"/>
      <c r="N441" s="645"/>
    </row>
    <row r="442">
      <c r="A442" s="67"/>
      <c r="B442" s="645"/>
      <c r="C442" s="575"/>
      <c r="D442" s="576"/>
      <c r="E442" s="576"/>
      <c r="F442" s="576"/>
      <c r="G442" s="577"/>
      <c r="H442" s="577"/>
      <c r="I442" s="577"/>
      <c r="J442" s="577"/>
      <c r="K442" s="577"/>
      <c r="L442" s="882"/>
      <c r="M442" s="882"/>
      <c r="N442" s="645"/>
    </row>
    <row r="443">
      <c r="A443" s="67"/>
      <c r="B443" s="645"/>
      <c r="C443" s="575"/>
      <c r="D443" s="576"/>
      <c r="E443" s="576"/>
      <c r="F443" s="576"/>
      <c r="G443" s="577"/>
      <c r="H443" s="577"/>
      <c r="I443" s="577"/>
      <c r="J443" s="577"/>
      <c r="K443" s="577"/>
      <c r="L443" s="882"/>
      <c r="M443" s="882"/>
      <c r="N443" s="645"/>
    </row>
    <row r="444">
      <c r="A444" s="67"/>
      <c r="B444" s="645"/>
      <c r="C444" s="575"/>
      <c r="D444" s="576"/>
      <c r="E444" s="576"/>
      <c r="F444" s="576"/>
      <c r="G444" s="577"/>
      <c r="H444" s="577"/>
      <c r="I444" s="577"/>
      <c r="J444" s="577"/>
      <c r="K444" s="577"/>
      <c r="L444" s="882"/>
      <c r="M444" s="882"/>
      <c r="N444" s="645"/>
    </row>
    <row r="445">
      <c r="A445" s="67"/>
      <c r="B445" s="645"/>
      <c r="C445" s="575"/>
      <c r="D445" s="576"/>
      <c r="E445" s="576"/>
      <c r="F445" s="576"/>
      <c r="G445" s="577"/>
      <c r="H445" s="577"/>
      <c r="I445" s="577"/>
      <c r="J445" s="577"/>
      <c r="K445" s="577"/>
      <c r="L445" s="882"/>
      <c r="M445" s="882"/>
      <c r="N445" s="645"/>
    </row>
    <row r="446">
      <c r="A446" s="67"/>
      <c r="B446" s="645"/>
      <c r="C446" s="575"/>
      <c r="D446" s="576"/>
      <c r="E446" s="576"/>
      <c r="F446" s="576"/>
      <c r="G446" s="577"/>
      <c r="H446" s="577"/>
      <c r="I446" s="577"/>
      <c r="J446" s="577"/>
      <c r="K446" s="577"/>
      <c r="L446" s="882"/>
      <c r="M446" s="882"/>
      <c r="N446" s="645"/>
    </row>
    <row r="447">
      <c r="A447" s="67"/>
      <c r="B447" s="645"/>
      <c r="C447" s="575"/>
      <c r="D447" s="576"/>
      <c r="E447" s="576"/>
      <c r="F447" s="576"/>
      <c r="G447" s="577"/>
      <c r="H447" s="577"/>
      <c r="I447" s="577"/>
      <c r="J447" s="577"/>
      <c r="K447" s="577"/>
      <c r="L447" s="882"/>
      <c r="M447" s="882"/>
      <c r="N447" s="645"/>
    </row>
    <row r="448">
      <c r="A448" s="67"/>
      <c r="B448" s="645"/>
      <c r="C448" s="575"/>
      <c r="D448" s="576"/>
      <c r="E448" s="576"/>
      <c r="F448" s="576"/>
      <c r="G448" s="577"/>
      <c r="H448" s="577"/>
      <c r="I448" s="577"/>
      <c r="J448" s="577"/>
      <c r="K448" s="577"/>
      <c r="L448" s="882"/>
      <c r="M448" s="882"/>
      <c r="N448" s="645"/>
    </row>
    <row r="449">
      <c r="A449" s="67"/>
      <c r="B449" s="645"/>
      <c r="C449" s="575"/>
      <c r="D449" s="576"/>
      <c r="E449" s="576"/>
      <c r="F449" s="576"/>
      <c r="G449" s="577"/>
      <c r="H449" s="577"/>
      <c r="I449" s="577"/>
      <c r="J449" s="577"/>
      <c r="K449" s="577"/>
      <c r="L449" s="882"/>
      <c r="M449" s="882"/>
      <c r="N449" s="645"/>
    </row>
    <row r="450">
      <c r="A450" s="67"/>
      <c r="B450" s="645"/>
      <c r="C450" s="575"/>
      <c r="D450" s="576"/>
      <c r="E450" s="576"/>
      <c r="F450" s="576"/>
      <c r="G450" s="577"/>
      <c r="H450" s="577"/>
      <c r="I450" s="577"/>
      <c r="J450" s="577"/>
      <c r="K450" s="577"/>
      <c r="L450" s="882"/>
      <c r="M450" s="882"/>
      <c r="N450" s="645"/>
    </row>
    <row r="451">
      <c r="A451" s="67"/>
      <c r="B451" s="645"/>
      <c r="C451" s="575"/>
      <c r="D451" s="576"/>
      <c r="E451" s="576"/>
      <c r="F451" s="576"/>
      <c r="G451" s="577"/>
      <c r="H451" s="577"/>
      <c r="I451" s="577"/>
      <c r="J451" s="577"/>
      <c r="K451" s="577"/>
      <c r="L451" s="882"/>
      <c r="M451" s="882"/>
      <c r="N451" s="645"/>
    </row>
    <row r="452">
      <c r="A452" s="67"/>
      <c r="B452" s="645"/>
      <c r="C452" s="575"/>
      <c r="D452" s="576"/>
      <c r="E452" s="576"/>
      <c r="F452" s="576"/>
      <c r="G452" s="577"/>
      <c r="H452" s="577"/>
      <c r="I452" s="577"/>
      <c r="J452" s="577"/>
      <c r="K452" s="577"/>
      <c r="L452" s="882"/>
      <c r="M452" s="882"/>
      <c r="N452" s="645"/>
    </row>
    <row r="453">
      <c r="A453" s="67"/>
      <c r="B453" s="645"/>
      <c r="C453" s="575"/>
      <c r="D453" s="576"/>
      <c r="E453" s="576"/>
      <c r="F453" s="576"/>
      <c r="G453" s="577"/>
      <c r="H453" s="577"/>
      <c r="I453" s="577"/>
      <c r="J453" s="577"/>
      <c r="K453" s="577"/>
      <c r="L453" s="882"/>
      <c r="M453" s="882"/>
      <c r="N453" s="645"/>
    </row>
    <row r="454">
      <c r="A454" s="67"/>
      <c r="B454" s="645"/>
      <c r="C454" s="575"/>
      <c r="D454" s="576"/>
      <c r="E454" s="576"/>
      <c r="F454" s="576"/>
      <c r="G454" s="577"/>
      <c r="H454" s="577"/>
      <c r="I454" s="577"/>
      <c r="J454" s="577"/>
      <c r="K454" s="577"/>
      <c r="L454" s="882"/>
      <c r="M454" s="882"/>
      <c r="N454" s="645"/>
    </row>
    <row r="455">
      <c r="A455" s="67"/>
      <c r="B455" s="645"/>
      <c r="C455" s="575"/>
      <c r="D455" s="576"/>
      <c r="E455" s="576"/>
      <c r="F455" s="576"/>
      <c r="G455" s="577"/>
      <c r="H455" s="577"/>
      <c r="I455" s="577"/>
      <c r="J455" s="577"/>
      <c r="K455" s="577"/>
      <c r="L455" s="882"/>
      <c r="M455" s="882"/>
      <c r="N455" s="645"/>
    </row>
    <row r="456">
      <c r="A456" s="67"/>
      <c r="B456" s="645"/>
      <c r="C456" s="575"/>
      <c r="D456" s="576"/>
      <c r="E456" s="576"/>
      <c r="F456" s="576"/>
      <c r="G456" s="577"/>
      <c r="H456" s="577"/>
      <c r="I456" s="577"/>
      <c r="J456" s="577"/>
      <c r="K456" s="577"/>
      <c r="L456" s="882"/>
      <c r="M456" s="882"/>
      <c r="N456" s="645"/>
    </row>
    <row r="457">
      <c r="A457" s="67"/>
      <c r="B457" s="645"/>
      <c r="C457" s="575"/>
      <c r="D457" s="576"/>
      <c r="E457" s="576"/>
      <c r="F457" s="576"/>
      <c r="G457" s="577"/>
      <c r="H457" s="577"/>
      <c r="I457" s="577"/>
      <c r="J457" s="577"/>
      <c r="K457" s="577"/>
      <c r="L457" s="882"/>
      <c r="M457" s="882"/>
      <c r="N457" s="645"/>
    </row>
    <row r="458">
      <c r="A458" s="67"/>
      <c r="B458" s="645"/>
      <c r="C458" s="575"/>
      <c r="D458" s="576"/>
      <c r="E458" s="576"/>
      <c r="F458" s="576"/>
      <c r="G458" s="577"/>
      <c r="H458" s="577"/>
      <c r="I458" s="577"/>
      <c r="J458" s="577"/>
      <c r="K458" s="577"/>
      <c r="L458" s="882"/>
      <c r="M458" s="882"/>
      <c r="N458" s="645"/>
    </row>
    <row r="459">
      <c r="A459" s="67"/>
      <c r="B459" s="645"/>
      <c r="C459" s="575"/>
      <c r="D459" s="576"/>
      <c r="E459" s="576"/>
      <c r="F459" s="576"/>
      <c r="G459" s="577"/>
      <c r="H459" s="577"/>
      <c r="I459" s="577"/>
      <c r="J459" s="577"/>
      <c r="K459" s="577"/>
      <c r="L459" s="882"/>
      <c r="M459" s="882"/>
      <c r="N459" s="645"/>
    </row>
    <row r="460">
      <c r="A460" s="67"/>
      <c r="B460" s="645"/>
      <c r="C460" s="575"/>
      <c r="D460" s="576"/>
      <c r="E460" s="576"/>
      <c r="F460" s="576"/>
      <c r="G460" s="577"/>
      <c r="H460" s="577"/>
      <c r="I460" s="577"/>
      <c r="J460" s="577"/>
      <c r="K460" s="577"/>
      <c r="L460" s="882"/>
      <c r="M460" s="882"/>
      <c r="N460" s="645"/>
    </row>
    <row r="461">
      <c r="A461" s="67"/>
      <c r="B461" s="645"/>
      <c r="C461" s="575"/>
      <c r="D461" s="576"/>
      <c r="E461" s="576"/>
      <c r="F461" s="576"/>
      <c r="G461" s="577"/>
      <c r="H461" s="577"/>
      <c r="I461" s="577"/>
      <c r="J461" s="577"/>
      <c r="K461" s="577"/>
      <c r="L461" s="882"/>
      <c r="M461" s="882"/>
      <c r="N461" s="645"/>
    </row>
    <row r="462">
      <c r="A462" s="67"/>
      <c r="B462" s="645"/>
      <c r="C462" s="575"/>
      <c r="D462" s="576"/>
      <c r="E462" s="576"/>
      <c r="F462" s="576"/>
      <c r="G462" s="577"/>
      <c r="H462" s="577"/>
      <c r="I462" s="577"/>
      <c r="J462" s="577"/>
      <c r="K462" s="577"/>
      <c r="L462" s="882"/>
      <c r="M462" s="882"/>
      <c r="N462" s="645"/>
    </row>
    <row r="463">
      <c r="A463" s="67"/>
      <c r="B463" s="645"/>
      <c r="C463" s="575"/>
      <c r="D463" s="576"/>
      <c r="E463" s="576"/>
      <c r="F463" s="576"/>
      <c r="G463" s="577"/>
      <c r="H463" s="577"/>
      <c r="I463" s="577"/>
      <c r="J463" s="577"/>
      <c r="K463" s="577"/>
      <c r="L463" s="882"/>
      <c r="M463" s="882"/>
      <c r="N463" s="645"/>
    </row>
    <row r="464">
      <c r="A464" s="67"/>
      <c r="B464" s="645"/>
      <c r="C464" s="575"/>
      <c r="D464" s="576"/>
      <c r="E464" s="576"/>
      <c r="F464" s="576"/>
      <c r="G464" s="577"/>
      <c r="H464" s="577"/>
      <c r="I464" s="577"/>
      <c r="J464" s="577"/>
      <c r="K464" s="577"/>
      <c r="L464" s="882"/>
      <c r="M464" s="882"/>
      <c r="N464" s="645"/>
    </row>
    <row r="465">
      <c r="A465" s="67"/>
      <c r="B465" s="645"/>
      <c r="C465" s="575"/>
      <c r="D465" s="576"/>
      <c r="E465" s="576"/>
      <c r="F465" s="576"/>
      <c r="G465" s="577"/>
      <c r="H465" s="577"/>
      <c r="I465" s="577"/>
      <c r="J465" s="577"/>
      <c r="K465" s="577"/>
      <c r="L465" s="882"/>
      <c r="M465" s="882"/>
      <c r="N465" s="645"/>
    </row>
    <row r="466">
      <c r="A466" s="67"/>
      <c r="B466" s="645"/>
      <c r="C466" s="575"/>
      <c r="D466" s="576"/>
      <c r="E466" s="576"/>
      <c r="F466" s="576"/>
      <c r="G466" s="577"/>
      <c r="H466" s="577"/>
      <c r="I466" s="577"/>
      <c r="J466" s="577"/>
      <c r="K466" s="577"/>
      <c r="L466" s="882"/>
      <c r="M466" s="882"/>
      <c r="N466" s="645"/>
    </row>
    <row r="467">
      <c r="A467" s="67"/>
      <c r="B467" s="645"/>
      <c r="C467" s="575"/>
      <c r="D467" s="576"/>
      <c r="E467" s="576"/>
      <c r="F467" s="576"/>
      <c r="G467" s="577"/>
      <c r="H467" s="577"/>
      <c r="I467" s="577"/>
      <c r="J467" s="577"/>
      <c r="K467" s="577"/>
      <c r="L467" s="882"/>
      <c r="M467" s="882"/>
      <c r="N467" s="645"/>
    </row>
    <row r="468">
      <c r="A468" s="67"/>
      <c r="B468" s="645"/>
      <c r="C468" s="575"/>
      <c r="D468" s="576"/>
      <c r="E468" s="576"/>
      <c r="F468" s="576"/>
      <c r="G468" s="577"/>
      <c r="H468" s="577"/>
      <c r="I468" s="577"/>
      <c r="J468" s="577"/>
      <c r="K468" s="577"/>
      <c r="L468" s="882"/>
      <c r="M468" s="882"/>
      <c r="N468" s="645"/>
    </row>
    <row r="469">
      <c r="A469" s="67"/>
      <c r="B469" s="645"/>
      <c r="C469" s="575"/>
      <c r="D469" s="576"/>
      <c r="E469" s="576"/>
      <c r="F469" s="576"/>
      <c r="G469" s="577"/>
      <c r="H469" s="577"/>
      <c r="I469" s="577"/>
      <c r="J469" s="577"/>
      <c r="K469" s="577"/>
      <c r="L469" s="882"/>
      <c r="M469" s="882"/>
      <c r="N469" s="645"/>
    </row>
    <row r="470">
      <c r="A470" s="67"/>
      <c r="B470" s="645"/>
      <c r="C470" s="575"/>
      <c r="D470" s="576"/>
      <c r="E470" s="576"/>
      <c r="F470" s="576"/>
      <c r="G470" s="577"/>
      <c r="H470" s="577"/>
      <c r="I470" s="577"/>
      <c r="J470" s="577"/>
      <c r="K470" s="577"/>
      <c r="L470" s="882"/>
      <c r="M470" s="882"/>
      <c r="N470" s="645"/>
    </row>
    <row r="471">
      <c r="A471" s="67"/>
      <c r="B471" s="645"/>
      <c r="C471" s="575"/>
      <c r="D471" s="576"/>
      <c r="E471" s="576"/>
      <c r="F471" s="576"/>
      <c r="G471" s="577"/>
      <c r="H471" s="577"/>
      <c r="I471" s="577"/>
      <c r="J471" s="577"/>
      <c r="K471" s="577"/>
      <c r="L471" s="882"/>
      <c r="M471" s="882"/>
      <c r="N471" s="645"/>
    </row>
    <row r="472">
      <c r="A472" s="67"/>
      <c r="B472" s="645"/>
      <c r="C472" s="575"/>
      <c r="D472" s="576"/>
      <c r="E472" s="576"/>
      <c r="F472" s="576"/>
      <c r="G472" s="577"/>
      <c r="H472" s="577"/>
      <c r="I472" s="577"/>
      <c r="J472" s="577"/>
      <c r="K472" s="577"/>
      <c r="L472" s="882"/>
      <c r="M472" s="882"/>
      <c r="N472" s="645"/>
    </row>
    <row r="473">
      <c r="A473" s="67"/>
      <c r="B473" s="645"/>
      <c r="C473" s="575"/>
      <c r="D473" s="576"/>
      <c r="E473" s="576"/>
      <c r="F473" s="576"/>
      <c r="G473" s="577"/>
      <c r="H473" s="577"/>
      <c r="I473" s="577"/>
      <c r="J473" s="577"/>
      <c r="K473" s="577"/>
      <c r="L473" s="882"/>
      <c r="M473" s="882"/>
      <c r="N473" s="645"/>
    </row>
    <row r="474">
      <c r="A474" s="67"/>
      <c r="B474" s="645"/>
      <c r="C474" s="575"/>
      <c r="D474" s="576"/>
      <c r="E474" s="576"/>
      <c r="F474" s="576"/>
      <c r="G474" s="577"/>
      <c r="H474" s="577"/>
      <c r="I474" s="577"/>
      <c r="J474" s="577"/>
      <c r="K474" s="577"/>
      <c r="L474" s="882"/>
      <c r="M474" s="882"/>
      <c r="N474" s="645"/>
    </row>
    <row r="475">
      <c r="A475" s="67"/>
      <c r="B475" s="645"/>
      <c r="C475" s="575"/>
      <c r="D475" s="576"/>
      <c r="E475" s="576"/>
      <c r="F475" s="576"/>
      <c r="G475" s="577"/>
      <c r="H475" s="577"/>
      <c r="I475" s="577"/>
      <c r="J475" s="577"/>
      <c r="K475" s="577"/>
      <c r="L475" s="882"/>
      <c r="M475" s="882"/>
      <c r="N475" s="645"/>
    </row>
    <row r="476">
      <c r="A476" s="67"/>
      <c r="B476" s="645"/>
      <c r="C476" s="575"/>
      <c r="D476" s="576"/>
      <c r="E476" s="576"/>
      <c r="F476" s="576"/>
      <c r="G476" s="577"/>
      <c r="H476" s="577"/>
      <c r="I476" s="577"/>
      <c r="J476" s="577"/>
      <c r="K476" s="577"/>
      <c r="L476" s="882"/>
      <c r="M476" s="882"/>
      <c r="N476" s="645"/>
    </row>
    <row r="477">
      <c r="A477" s="67"/>
      <c r="B477" s="645"/>
      <c r="C477" s="575"/>
      <c r="D477" s="576"/>
      <c r="E477" s="576"/>
      <c r="F477" s="576"/>
      <c r="G477" s="577"/>
      <c r="H477" s="577"/>
      <c r="I477" s="577"/>
      <c r="J477" s="577"/>
      <c r="K477" s="577"/>
      <c r="L477" s="882"/>
      <c r="M477" s="882"/>
      <c r="N477" s="645"/>
    </row>
    <row r="478">
      <c r="A478" s="67"/>
      <c r="B478" s="645"/>
      <c r="C478" s="575"/>
      <c r="D478" s="576"/>
      <c r="E478" s="576"/>
      <c r="F478" s="576"/>
      <c r="G478" s="577"/>
      <c r="H478" s="577"/>
      <c r="I478" s="577"/>
      <c r="J478" s="577"/>
      <c r="K478" s="577"/>
      <c r="L478" s="882"/>
      <c r="M478" s="882"/>
      <c r="N478" s="645"/>
    </row>
    <row r="479">
      <c r="A479" s="67"/>
      <c r="B479" s="645"/>
      <c r="C479" s="575"/>
      <c r="D479" s="576"/>
      <c r="E479" s="576"/>
      <c r="F479" s="576"/>
      <c r="G479" s="577"/>
      <c r="H479" s="577"/>
      <c r="I479" s="577"/>
      <c r="J479" s="577"/>
      <c r="K479" s="577"/>
      <c r="L479" s="882"/>
      <c r="M479" s="882"/>
      <c r="N479" s="645"/>
    </row>
    <row r="480">
      <c r="A480" s="67"/>
      <c r="B480" s="645"/>
      <c r="C480" s="575"/>
      <c r="D480" s="576"/>
      <c r="E480" s="576"/>
      <c r="F480" s="576"/>
      <c r="G480" s="577"/>
      <c r="H480" s="577"/>
      <c r="I480" s="577"/>
      <c r="J480" s="577"/>
      <c r="K480" s="577"/>
      <c r="L480" s="882"/>
      <c r="M480" s="882"/>
      <c r="N480" s="645"/>
    </row>
    <row r="481">
      <c r="A481" s="67"/>
      <c r="B481" s="645"/>
      <c r="C481" s="575"/>
      <c r="D481" s="576"/>
      <c r="E481" s="576"/>
      <c r="F481" s="576"/>
      <c r="G481" s="577"/>
      <c r="H481" s="577"/>
      <c r="I481" s="577"/>
      <c r="J481" s="577"/>
      <c r="K481" s="577"/>
      <c r="L481" s="882"/>
      <c r="M481" s="882"/>
      <c r="N481" s="645"/>
    </row>
    <row r="482">
      <c r="A482" s="67"/>
      <c r="B482" s="645"/>
      <c r="C482" s="575"/>
      <c r="D482" s="576"/>
      <c r="E482" s="576"/>
      <c r="F482" s="576"/>
      <c r="G482" s="577"/>
      <c r="H482" s="577"/>
      <c r="I482" s="577"/>
      <c r="J482" s="577"/>
      <c r="K482" s="577"/>
      <c r="L482" s="882"/>
      <c r="M482" s="882"/>
      <c r="N482" s="645"/>
    </row>
    <row r="483">
      <c r="A483" s="67"/>
      <c r="B483" s="645"/>
      <c r="C483" s="575"/>
      <c r="D483" s="576"/>
      <c r="E483" s="576"/>
      <c r="F483" s="576"/>
      <c r="G483" s="577"/>
      <c r="H483" s="577"/>
      <c r="I483" s="577"/>
      <c r="J483" s="577"/>
      <c r="K483" s="577"/>
      <c r="L483" s="882"/>
      <c r="M483" s="882"/>
      <c r="N483" s="645"/>
    </row>
    <row r="484">
      <c r="A484" s="67"/>
      <c r="B484" s="645"/>
      <c r="C484" s="575"/>
      <c r="D484" s="576"/>
      <c r="E484" s="576"/>
      <c r="F484" s="576"/>
      <c r="G484" s="577"/>
      <c r="H484" s="577"/>
      <c r="I484" s="577"/>
      <c r="J484" s="577"/>
      <c r="K484" s="577"/>
      <c r="L484" s="882"/>
      <c r="M484" s="882"/>
      <c r="N484" s="645"/>
    </row>
    <row r="485">
      <c r="A485" s="67"/>
      <c r="B485" s="645"/>
      <c r="C485" s="575"/>
      <c r="D485" s="576"/>
      <c r="E485" s="576"/>
      <c r="F485" s="576"/>
      <c r="G485" s="577"/>
      <c r="H485" s="577"/>
      <c r="I485" s="577"/>
      <c r="J485" s="577"/>
      <c r="K485" s="577"/>
      <c r="L485" s="882"/>
      <c r="M485" s="882"/>
      <c r="N485" s="645"/>
    </row>
    <row r="486">
      <c r="A486" s="67"/>
      <c r="B486" s="645"/>
      <c r="C486" s="575"/>
      <c r="D486" s="576"/>
      <c r="E486" s="576"/>
      <c r="F486" s="576"/>
      <c r="G486" s="577"/>
      <c r="H486" s="577"/>
      <c r="I486" s="577"/>
      <c r="J486" s="577"/>
      <c r="K486" s="577"/>
      <c r="L486" s="882"/>
      <c r="M486" s="882"/>
      <c r="N486" s="645"/>
    </row>
    <row r="487">
      <c r="A487" s="67"/>
      <c r="B487" s="645"/>
      <c r="C487" s="575"/>
      <c r="D487" s="576"/>
      <c r="E487" s="576"/>
      <c r="F487" s="576"/>
      <c r="G487" s="577"/>
      <c r="H487" s="577"/>
      <c r="I487" s="577"/>
      <c r="J487" s="577"/>
      <c r="K487" s="577"/>
      <c r="L487" s="882"/>
      <c r="M487" s="882"/>
      <c r="N487" s="645"/>
    </row>
    <row r="488">
      <c r="A488" s="67"/>
      <c r="B488" s="645"/>
      <c r="C488" s="575"/>
      <c r="D488" s="576"/>
      <c r="E488" s="576"/>
      <c r="F488" s="576"/>
      <c r="G488" s="577"/>
      <c r="H488" s="577"/>
      <c r="I488" s="577"/>
      <c r="J488" s="577"/>
      <c r="K488" s="577"/>
      <c r="L488" s="882"/>
      <c r="M488" s="882"/>
      <c r="N488" s="645"/>
    </row>
    <row r="489">
      <c r="A489" s="67"/>
      <c r="B489" s="645"/>
      <c r="C489" s="575"/>
      <c r="D489" s="576"/>
      <c r="E489" s="576"/>
      <c r="F489" s="576"/>
      <c r="G489" s="577"/>
      <c r="H489" s="577"/>
      <c r="I489" s="577"/>
      <c r="J489" s="577"/>
      <c r="K489" s="577"/>
      <c r="L489" s="882"/>
      <c r="M489" s="882"/>
      <c r="N489" s="645"/>
    </row>
    <row r="490">
      <c r="A490" s="67"/>
      <c r="B490" s="645"/>
      <c r="C490" s="575"/>
      <c r="D490" s="576"/>
      <c r="E490" s="576"/>
      <c r="F490" s="576"/>
      <c r="G490" s="577"/>
      <c r="H490" s="577"/>
      <c r="I490" s="577"/>
      <c r="J490" s="577"/>
      <c r="K490" s="577"/>
      <c r="L490" s="882"/>
      <c r="M490" s="882"/>
      <c r="N490" s="645"/>
    </row>
    <row r="491">
      <c r="A491" s="67"/>
      <c r="B491" s="645"/>
      <c r="C491" s="575"/>
      <c r="D491" s="576"/>
      <c r="E491" s="576"/>
      <c r="F491" s="576"/>
      <c r="G491" s="577"/>
      <c r="H491" s="577"/>
      <c r="I491" s="577"/>
      <c r="J491" s="577"/>
      <c r="K491" s="577"/>
      <c r="L491" s="882"/>
      <c r="M491" s="882"/>
      <c r="N491" s="645"/>
    </row>
    <row r="492">
      <c r="A492" s="67"/>
      <c r="B492" s="645"/>
      <c r="C492" s="575"/>
      <c r="D492" s="576"/>
      <c r="E492" s="576"/>
      <c r="F492" s="576"/>
      <c r="G492" s="577"/>
      <c r="H492" s="577"/>
      <c r="I492" s="577"/>
      <c r="J492" s="577"/>
      <c r="K492" s="577"/>
      <c r="L492" s="882"/>
      <c r="M492" s="882"/>
      <c r="N492" s="645"/>
    </row>
    <row r="493">
      <c r="A493" s="67"/>
      <c r="B493" s="645"/>
      <c r="C493" s="575"/>
      <c r="D493" s="576"/>
      <c r="E493" s="576"/>
      <c r="F493" s="576"/>
      <c r="G493" s="577"/>
      <c r="H493" s="577"/>
      <c r="I493" s="577"/>
      <c r="J493" s="577"/>
      <c r="K493" s="577"/>
      <c r="L493" s="882"/>
      <c r="M493" s="882"/>
      <c r="N493" s="645"/>
    </row>
    <row r="494">
      <c r="A494" s="67"/>
      <c r="B494" s="645"/>
      <c r="C494" s="575"/>
      <c r="D494" s="576"/>
      <c r="E494" s="576"/>
      <c r="F494" s="576"/>
      <c r="G494" s="577"/>
      <c r="H494" s="577"/>
      <c r="I494" s="577"/>
      <c r="J494" s="577"/>
      <c r="K494" s="577"/>
      <c r="L494" s="882"/>
      <c r="M494" s="882"/>
      <c r="N494" s="645"/>
    </row>
    <row r="495">
      <c r="A495" s="67"/>
      <c r="B495" s="645"/>
      <c r="C495" s="575"/>
      <c r="D495" s="576"/>
      <c r="E495" s="576"/>
      <c r="F495" s="576"/>
      <c r="G495" s="577"/>
      <c r="H495" s="577"/>
      <c r="I495" s="577"/>
      <c r="J495" s="577"/>
      <c r="K495" s="577"/>
      <c r="L495" s="882"/>
      <c r="M495" s="882"/>
      <c r="N495" s="645"/>
    </row>
    <row r="496">
      <c r="A496" s="67"/>
      <c r="B496" s="645"/>
      <c r="C496" s="575"/>
      <c r="D496" s="576"/>
      <c r="E496" s="576"/>
      <c r="F496" s="576"/>
      <c r="G496" s="577"/>
      <c r="H496" s="577"/>
      <c r="I496" s="577"/>
      <c r="J496" s="577"/>
      <c r="K496" s="577"/>
      <c r="L496" s="882"/>
      <c r="M496" s="882"/>
      <c r="N496" s="645"/>
    </row>
    <row r="497">
      <c r="A497" s="67"/>
      <c r="B497" s="645"/>
      <c r="C497" s="575"/>
      <c r="D497" s="576"/>
      <c r="E497" s="576"/>
      <c r="F497" s="576"/>
      <c r="G497" s="577"/>
      <c r="H497" s="577"/>
      <c r="I497" s="577"/>
      <c r="J497" s="577"/>
      <c r="K497" s="577"/>
      <c r="L497" s="882"/>
      <c r="M497" s="882"/>
      <c r="N497" s="645"/>
    </row>
    <row r="498">
      <c r="A498" s="67"/>
      <c r="B498" s="645"/>
      <c r="C498" s="575"/>
      <c r="D498" s="576"/>
      <c r="E498" s="576"/>
      <c r="F498" s="576"/>
      <c r="G498" s="577"/>
      <c r="H498" s="577"/>
      <c r="I498" s="577"/>
      <c r="J498" s="577"/>
      <c r="K498" s="577"/>
      <c r="L498" s="882"/>
      <c r="M498" s="882"/>
      <c r="N498" s="645"/>
    </row>
    <row r="499">
      <c r="A499" s="67"/>
      <c r="B499" s="645"/>
      <c r="C499" s="575"/>
      <c r="D499" s="576"/>
      <c r="E499" s="576"/>
      <c r="F499" s="576"/>
      <c r="G499" s="577"/>
      <c r="H499" s="577"/>
      <c r="I499" s="577"/>
      <c r="J499" s="577"/>
      <c r="K499" s="577"/>
      <c r="L499" s="882"/>
      <c r="M499" s="882"/>
      <c r="N499" s="645"/>
    </row>
    <row r="500">
      <c r="A500" s="67"/>
      <c r="B500" s="645"/>
      <c r="C500" s="575"/>
      <c r="D500" s="576"/>
      <c r="E500" s="576"/>
      <c r="F500" s="576"/>
      <c r="G500" s="577"/>
      <c r="H500" s="577"/>
      <c r="I500" s="577"/>
      <c r="J500" s="577"/>
      <c r="K500" s="577"/>
      <c r="L500" s="882"/>
      <c r="M500" s="882"/>
      <c r="N500" s="645"/>
    </row>
    <row r="501">
      <c r="A501" s="67"/>
      <c r="B501" s="645"/>
      <c r="C501" s="575"/>
      <c r="D501" s="576"/>
      <c r="E501" s="576"/>
      <c r="F501" s="576"/>
      <c r="G501" s="577"/>
      <c r="H501" s="577"/>
      <c r="I501" s="577"/>
      <c r="J501" s="577"/>
      <c r="K501" s="577"/>
      <c r="L501" s="882"/>
      <c r="M501" s="882"/>
      <c r="N501" s="645"/>
    </row>
    <row r="502">
      <c r="A502" s="67"/>
      <c r="B502" s="645"/>
      <c r="C502" s="575"/>
      <c r="D502" s="576"/>
      <c r="E502" s="576"/>
      <c r="F502" s="576"/>
      <c r="G502" s="577"/>
      <c r="H502" s="577"/>
      <c r="I502" s="577"/>
      <c r="J502" s="577"/>
      <c r="K502" s="577"/>
      <c r="L502" s="882"/>
      <c r="M502" s="882"/>
      <c r="N502" s="645"/>
    </row>
    <row r="503">
      <c r="A503" s="67"/>
      <c r="B503" s="645"/>
      <c r="C503" s="575"/>
      <c r="D503" s="576"/>
      <c r="E503" s="576"/>
      <c r="F503" s="576"/>
      <c r="G503" s="577"/>
      <c r="H503" s="577"/>
      <c r="I503" s="577"/>
      <c r="J503" s="577"/>
      <c r="K503" s="577"/>
      <c r="L503" s="882"/>
      <c r="M503" s="882"/>
      <c r="N503" s="645"/>
    </row>
    <row r="504">
      <c r="A504" s="67"/>
      <c r="B504" s="645"/>
      <c r="C504" s="575"/>
      <c r="D504" s="576"/>
      <c r="E504" s="576"/>
      <c r="F504" s="576"/>
      <c r="G504" s="577"/>
      <c r="H504" s="577"/>
      <c r="I504" s="577"/>
      <c r="J504" s="577"/>
      <c r="K504" s="577"/>
      <c r="L504" s="882"/>
      <c r="M504" s="882"/>
      <c r="N504" s="645"/>
    </row>
    <row r="505">
      <c r="A505" s="67"/>
      <c r="B505" s="645"/>
      <c r="C505" s="575"/>
      <c r="D505" s="576"/>
      <c r="E505" s="576"/>
      <c r="F505" s="576"/>
      <c r="G505" s="577"/>
      <c r="H505" s="577"/>
      <c r="I505" s="577"/>
      <c r="J505" s="577"/>
      <c r="K505" s="577"/>
      <c r="L505" s="882"/>
      <c r="M505" s="882"/>
      <c r="N505" s="645"/>
    </row>
    <row r="506">
      <c r="A506" s="67"/>
      <c r="B506" s="645"/>
      <c r="C506" s="575"/>
      <c r="D506" s="576"/>
      <c r="E506" s="576"/>
      <c r="F506" s="576"/>
      <c r="G506" s="577"/>
      <c r="H506" s="577"/>
      <c r="I506" s="577"/>
      <c r="J506" s="577"/>
      <c r="K506" s="577"/>
      <c r="L506" s="882"/>
      <c r="M506" s="882"/>
      <c r="N506" s="645"/>
    </row>
    <row r="507">
      <c r="A507" s="67"/>
      <c r="B507" s="645"/>
      <c r="C507" s="575"/>
      <c r="D507" s="576"/>
      <c r="E507" s="576"/>
      <c r="F507" s="576"/>
      <c r="G507" s="577"/>
      <c r="H507" s="577"/>
      <c r="I507" s="577"/>
      <c r="J507" s="577"/>
      <c r="K507" s="577"/>
      <c r="L507" s="882"/>
      <c r="M507" s="882"/>
      <c r="N507" s="645"/>
    </row>
    <row r="508">
      <c r="A508" s="67"/>
      <c r="B508" s="645"/>
      <c r="C508" s="575"/>
      <c r="D508" s="576"/>
      <c r="E508" s="576"/>
      <c r="F508" s="576"/>
      <c r="G508" s="577"/>
      <c r="H508" s="577"/>
      <c r="I508" s="577"/>
      <c r="J508" s="577"/>
      <c r="K508" s="577"/>
      <c r="L508" s="882"/>
      <c r="M508" s="882"/>
      <c r="N508" s="645"/>
    </row>
    <row r="509">
      <c r="A509" s="67"/>
      <c r="B509" s="645"/>
      <c r="C509" s="575"/>
      <c r="D509" s="576"/>
      <c r="E509" s="576"/>
      <c r="F509" s="576"/>
      <c r="G509" s="577"/>
      <c r="H509" s="577"/>
      <c r="I509" s="577"/>
      <c r="J509" s="577"/>
      <c r="K509" s="577"/>
      <c r="L509" s="882"/>
      <c r="M509" s="882"/>
      <c r="N509" s="645"/>
    </row>
    <row r="510">
      <c r="A510" s="67"/>
      <c r="B510" s="645"/>
      <c r="C510" s="575"/>
      <c r="D510" s="576"/>
      <c r="E510" s="576"/>
      <c r="F510" s="576"/>
      <c r="G510" s="577"/>
      <c r="H510" s="577"/>
      <c r="I510" s="577"/>
      <c r="J510" s="577"/>
      <c r="K510" s="577"/>
      <c r="L510" s="882"/>
      <c r="M510" s="882"/>
      <c r="N510" s="645"/>
    </row>
    <row r="511">
      <c r="A511" s="67"/>
      <c r="B511" s="645"/>
      <c r="C511" s="575"/>
      <c r="D511" s="576"/>
      <c r="E511" s="576"/>
      <c r="F511" s="576"/>
      <c r="G511" s="577"/>
      <c r="H511" s="577"/>
      <c r="I511" s="577"/>
      <c r="J511" s="577"/>
      <c r="K511" s="577"/>
      <c r="L511" s="882"/>
      <c r="M511" s="882"/>
      <c r="N511" s="645"/>
    </row>
    <row r="512">
      <c r="A512" s="67"/>
      <c r="B512" s="645"/>
      <c r="C512" s="575"/>
      <c r="D512" s="576"/>
      <c r="E512" s="576"/>
      <c r="F512" s="576"/>
      <c r="G512" s="577"/>
      <c r="H512" s="577"/>
      <c r="I512" s="577"/>
      <c r="J512" s="577"/>
      <c r="K512" s="577"/>
      <c r="L512" s="882"/>
      <c r="M512" s="882"/>
      <c r="N512" s="645"/>
    </row>
    <row r="513">
      <c r="A513" s="67"/>
      <c r="B513" s="645"/>
      <c r="C513" s="575"/>
      <c r="D513" s="576"/>
      <c r="E513" s="576"/>
      <c r="F513" s="576"/>
      <c r="G513" s="577"/>
      <c r="H513" s="577"/>
      <c r="I513" s="577"/>
      <c r="J513" s="577"/>
      <c r="K513" s="577"/>
      <c r="L513" s="882"/>
      <c r="M513" s="882"/>
      <c r="N513" s="645"/>
    </row>
    <row r="514">
      <c r="A514" s="67"/>
      <c r="B514" s="645"/>
      <c r="C514" s="575"/>
      <c r="D514" s="576"/>
      <c r="E514" s="576"/>
      <c r="F514" s="576"/>
      <c r="G514" s="577"/>
      <c r="H514" s="577"/>
      <c r="I514" s="577"/>
      <c r="J514" s="577"/>
      <c r="K514" s="577"/>
      <c r="L514" s="882"/>
      <c r="M514" s="882"/>
      <c r="N514" s="645"/>
    </row>
    <row r="515">
      <c r="A515" s="67"/>
      <c r="B515" s="645"/>
      <c r="C515" s="575"/>
      <c r="D515" s="576"/>
      <c r="E515" s="576"/>
      <c r="F515" s="576"/>
      <c r="G515" s="577"/>
      <c r="H515" s="577"/>
      <c r="I515" s="577"/>
      <c r="J515" s="577"/>
      <c r="K515" s="577"/>
      <c r="L515" s="882"/>
      <c r="M515" s="882"/>
      <c r="N515" s="645"/>
    </row>
    <row r="516">
      <c r="A516" s="67"/>
      <c r="B516" s="645"/>
      <c r="C516" s="575"/>
      <c r="D516" s="576"/>
      <c r="E516" s="576"/>
      <c r="F516" s="576"/>
      <c r="G516" s="577"/>
      <c r="H516" s="577"/>
      <c r="I516" s="577"/>
      <c r="J516" s="577"/>
      <c r="K516" s="577"/>
      <c r="L516" s="882"/>
      <c r="M516" s="882"/>
      <c r="N516" s="645"/>
    </row>
    <row r="517">
      <c r="A517" s="67"/>
      <c r="B517" s="645"/>
      <c r="C517" s="575"/>
      <c r="D517" s="576"/>
      <c r="E517" s="576"/>
      <c r="F517" s="576"/>
      <c r="G517" s="577"/>
      <c r="H517" s="577"/>
      <c r="I517" s="577"/>
      <c r="J517" s="577"/>
      <c r="K517" s="577"/>
      <c r="L517" s="882"/>
      <c r="M517" s="882"/>
      <c r="N517" s="645"/>
    </row>
    <row r="518">
      <c r="A518" s="67"/>
      <c r="B518" s="645"/>
      <c r="C518" s="575"/>
      <c r="D518" s="576"/>
      <c r="E518" s="576"/>
      <c r="F518" s="576"/>
      <c r="G518" s="577"/>
      <c r="H518" s="577"/>
      <c r="I518" s="577"/>
      <c r="J518" s="577"/>
      <c r="K518" s="577"/>
      <c r="L518" s="882"/>
      <c r="M518" s="882"/>
      <c r="N518" s="645"/>
    </row>
    <row r="519">
      <c r="A519" s="67"/>
      <c r="B519" s="645"/>
      <c r="C519" s="575"/>
      <c r="D519" s="576"/>
      <c r="E519" s="576"/>
      <c r="F519" s="576"/>
      <c r="G519" s="577"/>
      <c r="H519" s="577"/>
      <c r="I519" s="577"/>
      <c r="J519" s="577"/>
      <c r="K519" s="577"/>
      <c r="L519" s="882"/>
      <c r="M519" s="882"/>
      <c r="N519" s="645"/>
    </row>
    <row r="520">
      <c r="A520" s="67"/>
      <c r="B520" s="645"/>
      <c r="C520" s="575"/>
      <c r="D520" s="576"/>
      <c r="E520" s="576"/>
      <c r="F520" s="576"/>
      <c r="G520" s="577"/>
      <c r="H520" s="577"/>
      <c r="I520" s="577"/>
      <c r="J520" s="577"/>
      <c r="K520" s="577"/>
      <c r="L520" s="882"/>
      <c r="M520" s="882"/>
      <c r="N520" s="645"/>
    </row>
    <row r="521">
      <c r="A521" s="67"/>
      <c r="B521" s="645"/>
      <c r="C521" s="575"/>
      <c r="D521" s="576"/>
      <c r="E521" s="576"/>
      <c r="F521" s="576"/>
      <c r="G521" s="577"/>
      <c r="H521" s="577"/>
      <c r="I521" s="577"/>
      <c r="J521" s="577"/>
      <c r="K521" s="577"/>
      <c r="L521" s="882"/>
      <c r="M521" s="882"/>
      <c r="N521" s="645"/>
    </row>
    <row r="522">
      <c r="A522" s="67"/>
      <c r="B522" s="645"/>
      <c r="C522" s="575"/>
      <c r="D522" s="576"/>
      <c r="E522" s="576"/>
      <c r="F522" s="576"/>
      <c r="G522" s="577"/>
      <c r="H522" s="577"/>
      <c r="I522" s="577"/>
      <c r="J522" s="577"/>
      <c r="K522" s="577"/>
      <c r="L522" s="882"/>
      <c r="M522" s="882"/>
      <c r="N522" s="645"/>
    </row>
    <row r="523">
      <c r="A523" s="67"/>
      <c r="B523" s="645"/>
      <c r="C523" s="575"/>
      <c r="D523" s="576"/>
      <c r="E523" s="576"/>
      <c r="F523" s="576"/>
      <c r="G523" s="577"/>
      <c r="H523" s="577"/>
      <c r="I523" s="577"/>
      <c r="J523" s="577"/>
      <c r="K523" s="577"/>
      <c r="L523" s="882"/>
      <c r="M523" s="882"/>
      <c r="N523" s="645"/>
    </row>
    <row r="524">
      <c r="A524" s="67"/>
      <c r="B524" s="645"/>
      <c r="C524" s="575"/>
      <c r="D524" s="576"/>
      <c r="E524" s="576"/>
      <c r="F524" s="576"/>
      <c r="G524" s="577"/>
      <c r="H524" s="577"/>
      <c r="I524" s="577"/>
      <c r="J524" s="577"/>
      <c r="K524" s="577"/>
      <c r="L524" s="882"/>
      <c r="M524" s="882"/>
      <c r="N524" s="645"/>
    </row>
    <row r="525">
      <c r="A525" s="67"/>
      <c r="B525" s="645"/>
      <c r="C525" s="575"/>
      <c r="D525" s="576"/>
      <c r="E525" s="576"/>
      <c r="F525" s="576"/>
      <c r="G525" s="577"/>
      <c r="H525" s="577"/>
      <c r="I525" s="577"/>
      <c r="J525" s="577"/>
      <c r="K525" s="577"/>
      <c r="L525" s="882"/>
      <c r="M525" s="882"/>
      <c r="N525" s="645"/>
    </row>
    <row r="526">
      <c r="A526" s="67"/>
      <c r="B526" s="645"/>
      <c r="C526" s="575"/>
      <c r="D526" s="576"/>
      <c r="E526" s="576"/>
      <c r="F526" s="576"/>
      <c r="G526" s="577"/>
      <c r="H526" s="577"/>
      <c r="I526" s="577"/>
      <c r="J526" s="577"/>
      <c r="K526" s="577"/>
      <c r="L526" s="882"/>
      <c r="M526" s="882"/>
      <c r="N526" s="645"/>
    </row>
    <row r="527">
      <c r="A527" s="67"/>
      <c r="B527" s="645"/>
      <c r="C527" s="575"/>
      <c r="D527" s="576"/>
      <c r="E527" s="576"/>
      <c r="F527" s="576"/>
      <c r="G527" s="577"/>
      <c r="H527" s="577"/>
      <c r="I527" s="577"/>
      <c r="J527" s="577"/>
      <c r="K527" s="577"/>
      <c r="L527" s="882"/>
      <c r="M527" s="882"/>
      <c r="N527" s="645"/>
    </row>
    <row r="528">
      <c r="A528" s="67"/>
      <c r="B528" s="645"/>
      <c r="C528" s="575"/>
      <c r="D528" s="576"/>
      <c r="E528" s="576"/>
      <c r="F528" s="576"/>
      <c r="G528" s="577"/>
      <c r="H528" s="577"/>
      <c r="I528" s="577"/>
      <c r="J528" s="577"/>
      <c r="K528" s="577"/>
      <c r="L528" s="882"/>
      <c r="M528" s="882"/>
      <c r="N528" s="645"/>
    </row>
    <row r="529">
      <c r="A529" s="67"/>
      <c r="B529" s="645"/>
      <c r="C529" s="575"/>
      <c r="D529" s="576"/>
      <c r="E529" s="576"/>
      <c r="F529" s="576"/>
      <c r="G529" s="577"/>
      <c r="H529" s="577"/>
      <c r="I529" s="577"/>
      <c r="J529" s="577"/>
      <c r="K529" s="577"/>
      <c r="L529" s="882"/>
      <c r="M529" s="882"/>
      <c r="N529" s="645"/>
    </row>
    <row r="530">
      <c r="A530" s="67"/>
      <c r="B530" s="645"/>
      <c r="C530" s="575"/>
      <c r="D530" s="576"/>
      <c r="E530" s="576"/>
      <c r="F530" s="576"/>
      <c r="G530" s="577"/>
      <c r="H530" s="577"/>
      <c r="I530" s="577"/>
      <c r="J530" s="577"/>
      <c r="K530" s="577"/>
      <c r="L530" s="882"/>
      <c r="M530" s="882"/>
      <c r="N530" s="645"/>
    </row>
    <row r="531">
      <c r="A531" s="67"/>
      <c r="B531" s="645"/>
      <c r="C531" s="575"/>
      <c r="D531" s="576"/>
      <c r="E531" s="576"/>
      <c r="F531" s="576"/>
      <c r="G531" s="577"/>
      <c r="H531" s="577"/>
      <c r="I531" s="577"/>
      <c r="J531" s="577"/>
      <c r="K531" s="577"/>
      <c r="L531" s="882"/>
      <c r="M531" s="882"/>
      <c r="N531" s="645"/>
    </row>
    <row r="532">
      <c r="A532" s="67"/>
      <c r="B532" s="645"/>
      <c r="C532" s="575"/>
      <c r="D532" s="576"/>
      <c r="E532" s="576"/>
      <c r="F532" s="576"/>
      <c r="G532" s="577"/>
      <c r="H532" s="577"/>
      <c r="I532" s="577"/>
      <c r="J532" s="577"/>
      <c r="K532" s="577"/>
      <c r="L532" s="882"/>
      <c r="M532" s="882"/>
      <c r="N532" s="645"/>
    </row>
    <row r="533">
      <c r="A533" s="67"/>
      <c r="B533" s="645"/>
      <c r="C533" s="575"/>
      <c r="D533" s="576"/>
      <c r="E533" s="576"/>
      <c r="F533" s="576"/>
      <c r="G533" s="577"/>
      <c r="H533" s="577"/>
      <c r="I533" s="577"/>
      <c r="J533" s="577"/>
      <c r="K533" s="577"/>
      <c r="L533" s="882"/>
      <c r="M533" s="882"/>
      <c r="N533" s="645"/>
    </row>
    <row r="534">
      <c r="A534" s="67"/>
      <c r="B534" s="645"/>
      <c r="C534" s="575"/>
      <c r="D534" s="576"/>
      <c r="E534" s="576"/>
      <c r="F534" s="576"/>
      <c r="G534" s="577"/>
      <c r="H534" s="577"/>
      <c r="I534" s="577"/>
      <c r="J534" s="577"/>
      <c r="K534" s="577"/>
      <c r="L534" s="882"/>
      <c r="M534" s="882"/>
      <c r="N534" s="645"/>
    </row>
    <row r="535">
      <c r="A535" s="67"/>
      <c r="B535" s="645"/>
      <c r="C535" s="575"/>
      <c r="D535" s="576"/>
      <c r="E535" s="576"/>
      <c r="F535" s="576"/>
      <c r="G535" s="577"/>
      <c r="H535" s="577"/>
      <c r="I535" s="577"/>
      <c r="J535" s="577"/>
      <c r="K535" s="577"/>
      <c r="L535" s="882"/>
      <c r="M535" s="882"/>
      <c r="N535" s="645"/>
    </row>
    <row r="536">
      <c r="A536" s="67"/>
      <c r="B536" s="645"/>
      <c r="C536" s="575"/>
      <c r="D536" s="576"/>
      <c r="E536" s="576"/>
      <c r="F536" s="576"/>
      <c r="G536" s="577"/>
      <c r="H536" s="577"/>
      <c r="I536" s="577"/>
      <c r="J536" s="577"/>
      <c r="K536" s="577"/>
      <c r="L536" s="882"/>
      <c r="M536" s="882"/>
      <c r="N536" s="645"/>
    </row>
    <row r="537">
      <c r="A537" s="67"/>
      <c r="B537" s="645"/>
      <c r="C537" s="575"/>
      <c r="D537" s="576"/>
      <c r="E537" s="576"/>
      <c r="F537" s="576"/>
      <c r="G537" s="577"/>
      <c r="H537" s="577"/>
      <c r="I537" s="577"/>
      <c r="J537" s="577"/>
      <c r="K537" s="577"/>
      <c r="L537" s="882"/>
      <c r="M537" s="882"/>
      <c r="N537" s="645"/>
    </row>
    <row r="538">
      <c r="A538" s="67"/>
      <c r="B538" s="645"/>
      <c r="C538" s="575"/>
      <c r="D538" s="576"/>
      <c r="E538" s="576"/>
      <c r="F538" s="576"/>
      <c r="G538" s="577"/>
      <c r="H538" s="577"/>
      <c r="I538" s="577"/>
      <c r="J538" s="577"/>
      <c r="K538" s="577"/>
      <c r="L538" s="882"/>
      <c r="M538" s="882"/>
      <c r="N538" s="645"/>
    </row>
    <row r="539">
      <c r="A539" s="67"/>
      <c r="B539" s="645"/>
      <c r="C539" s="575"/>
      <c r="D539" s="576"/>
      <c r="E539" s="576"/>
      <c r="F539" s="576"/>
      <c r="G539" s="577"/>
      <c r="H539" s="577"/>
      <c r="I539" s="577"/>
      <c r="J539" s="577"/>
      <c r="K539" s="577"/>
      <c r="L539" s="882"/>
      <c r="M539" s="882"/>
      <c r="N539" s="645"/>
    </row>
    <row r="540">
      <c r="A540" s="67"/>
      <c r="B540" s="645"/>
      <c r="C540" s="575"/>
      <c r="D540" s="576"/>
      <c r="E540" s="576"/>
      <c r="F540" s="576"/>
      <c r="G540" s="577"/>
      <c r="H540" s="577"/>
      <c r="I540" s="577"/>
      <c r="J540" s="577"/>
      <c r="K540" s="577"/>
      <c r="L540" s="882"/>
      <c r="M540" s="882"/>
      <c r="N540" s="645"/>
    </row>
    <row r="541">
      <c r="A541" s="67"/>
      <c r="B541" s="645"/>
      <c r="C541" s="575"/>
      <c r="D541" s="576"/>
      <c r="E541" s="576"/>
      <c r="F541" s="576"/>
      <c r="G541" s="577"/>
      <c r="H541" s="577"/>
      <c r="I541" s="577"/>
      <c r="J541" s="577"/>
      <c r="K541" s="577"/>
      <c r="L541" s="882"/>
      <c r="M541" s="882"/>
      <c r="N541" s="645"/>
    </row>
    <row r="542">
      <c r="A542" s="67"/>
      <c r="B542" s="645"/>
      <c r="C542" s="575"/>
      <c r="D542" s="576"/>
      <c r="E542" s="576"/>
      <c r="F542" s="576"/>
      <c r="G542" s="577"/>
      <c r="H542" s="577"/>
      <c r="I542" s="577"/>
      <c r="J542" s="577"/>
      <c r="K542" s="577"/>
      <c r="L542" s="882"/>
      <c r="M542" s="882"/>
      <c r="N542" s="645"/>
    </row>
    <row r="543">
      <c r="A543" s="67"/>
      <c r="B543" s="645"/>
      <c r="C543" s="575"/>
      <c r="D543" s="576"/>
      <c r="E543" s="576"/>
      <c r="F543" s="576"/>
      <c r="G543" s="577"/>
      <c r="H543" s="577"/>
      <c r="I543" s="577"/>
      <c r="J543" s="577"/>
      <c r="K543" s="577"/>
      <c r="L543" s="882"/>
      <c r="M543" s="882"/>
      <c r="N543" s="645"/>
    </row>
    <row r="544">
      <c r="A544" s="67"/>
      <c r="B544" s="645"/>
      <c r="C544" s="575"/>
      <c r="D544" s="576"/>
      <c r="E544" s="576"/>
      <c r="F544" s="576"/>
      <c r="G544" s="577"/>
      <c r="H544" s="577"/>
      <c r="I544" s="577"/>
      <c r="J544" s="577"/>
      <c r="K544" s="577"/>
      <c r="L544" s="882"/>
      <c r="M544" s="882"/>
      <c r="N544" s="645"/>
    </row>
    <row r="545">
      <c r="A545" s="67"/>
      <c r="B545" s="645"/>
      <c r="C545" s="575"/>
      <c r="D545" s="576"/>
      <c r="E545" s="576"/>
      <c r="F545" s="576"/>
      <c r="G545" s="577"/>
      <c r="H545" s="577"/>
      <c r="I545" s="577"/>
      <c r="J545" s="577"/>
      <c r="K545" s="577"/>
      <c r="L545" s="882"/>
      <c r="M545" s="882"/>
      <c r="N545" s="645"/>
    </row>
    <row r="546">
      <c r="A546" s="67"/>
      <c r="B546" s="645"/>
      <c r="C546" s="575"/>
      <c r="D546" s="576"/>
      <c r="E546" s="576"/>
      <c r="F546" s="576"/>
      <c r="G546" s="577"/>
      <c r="H546" s="577"/>
      <c r="I546" s="577"/>
      <c r="J546" s="577"/>
      <c r="K546" s="577"/>
      <c r="L546" s="882"/>
      <c r="M546" s="882"/>
      <c r="N546" s="645"/>
    </row>
    <row r="547">
      <c r="A547" s="67"/>
      <c r="B547" s="645"/>
      <c r="C547" s="575"/>
      <c r="D547" s="576"/>
      <c r="E547" s="576"/>
      <c r="F547" s="576"/>
      <c r="G547" s="577"/>
      <c r="H547" s="577"/>
      <c r="I547" s="577"/>
      <c r="J547" s="577"/>
      <c r="K547" s="577"/>
      <c r="L547" s="882"/>
      <c r="M547" s="882"/>
      <c r="N547" s="645"/>
    </row>
    <row r="548">
      <c r="A548" s="67"/>
      <c r="B548" s="645"/>
      <c r="C548" s="575"/>
      <c r="D548" s="576"/>
      <c r="E548" s="576"/>
      <c r="F548" s="576"/>
      <c r="G548" s="577"/>
      <c r="H548" s="577"/>
      <c r="I548" s="577"/>
      <c r="J548" s="577"/>
      <c r="K548" s="577"/>
      <c r="L548" s="882"/>
      <c r="M548" s="882"/>
      <c r="N548" s="645"/>
    </row>
    <row r="549">
      <c r="A549" s="67"/>
      <c r="B549" s="645"/>
      <c r="C549" s="575"/>
      <c r="D549" s="576"/>
      <c r="E549" s="576"/>
      <c r="F549" s="576"/>
      <c r="G549" s="577"/>
      <c r="H549" s="577"/>
      <c r="I549" s="577"/>
      <c r="J549" s="577"/>
      <c r="K549" s="577"/>
      <c r="L549" s="882"/>
      <c r="M549" s="882"/>
      <c r="N549" s="645"/>
    </row>
    <row r="550">
      <c r="A550" s="67"/>
      <c r="B550" s="645"/>
      <c r="C550" s="575"/>
      <c r="D550" s="576"/>
      <c r="E550" s="576"/>
      <c r="F550" s="576"/>
      <c r="G550" s="577"/>
      <c r="H550" s="577"/>
      <c r="I550" s="577"/>
      <c r="J550" s="577"/>
      <c r="K550" s="577"/>
      <c r="L550" s="882"/>
      <c r="M550" s="882"/>
      <c r="N550" s="645"/>
    </row>
    <row r="551">
      <c r="A551" s="67"/>
      <c r="B551" s="645"/>
      <c r="C551" s="575"/>
      <c r="D551" s="576"/>
      <c r="E551" s="576"/>
      <c r="F551" s="576"/>
      <c r="G551" s="577"/>
      <c r="H551" s="577"/>
      <c r="I551" s="577"/>
      <c r="J551" s="577"/>
      <c r="K551" s="577"/>
      <c r="L551" s="882"/>
      <c r="M551" s="882"/>
      <c r="N551" s="645"/>
    </row>
    <row r="552">
      <c r="A552" s="67"/>
      <c r="B552" s="645"/>
      <c r="C552" s="575"/>
      <c r="D552" s="576"/>
      <c r="E552" s="576"/>
      <c r="F552" s="576"/>
      <c r="G552" s="577"/>
      <c r="H552" s="577"/>
      <c r="I552" s="577"/>
      <c r="J552" s="577"/>
      <c r="K552" s="577"/>
      <c r="L552" s="882"/>
      <c r="M552" s="882"/>
      <c r="N552" s="645"/>
    </row>
    <row r="553">
      <c r="A553" s="67"/>
      <c r="B553" s="645"/>
      <c r="C553" s="575"/>
      <c r="D553" s="576"/>
      <c r="E553" s="576"/>
      <c r="F553" s="576"/>
      <c r="G553" s="577"/>
      <c r="H553" s="577"/>
      <c r="I553" s="577"/>
      <c r="J553" s="577"/>
      <c r="K553" s="577"/>
      <c r="L553" s="882"/>
      <c r="M553" s="882"/>
      <c r="N553" s="645"/>
    </row>
    <row r="554">
      <c r="A554" s="67"/>
      <c r="B554" s="645"/>
      <c r="C554" s="575"/>
      <c r="D554" s="576"/>
      <c r="E554" s="576"/>
      <c r="F554" s="576"/>
      <c r="G554" s="577"/>
      <c r="H554" s="577"/>
      <c r="I554" s="577"/>
      <c r="J554" s="577"/>
      <c r="K554" s="577"/>
      <c r="L554" s="882"/>
      <c r="M554" s="882"/>
      <c r="N554" s="645"/>
    </row>
    <row r="555">
      <c r="A555" s="67"/>
      <c r="B555" s="645"/>
      <c r="C555" s="575"/>
      <c r="D555" s="576"/>
      <c r="E555" s="576"/>
      <c r="F555" s="576"/>
      <c r="G555" s="577"/>
      <c r="H555" s="577"/>
      <c r="I555" s="577"/>
      <c r="J555" s="577"/>
      <c r="K555" s="577"/>
      <c r="L555" s="882"/>
      <c r="M555" s="882"/>
      <c r="N555" s="645"/>
    </row>
    <row r="556">
      <c r="A556" s="67"/>
      <c r="B556" s="645"/>
      <c r="C556" s="575"/>
      <c r="D556" s="576"/>
      <c r="E556" s="576"/>
      <c r="F556" s="576"/>
      <c r="G556" s="577"/>
      <c r="H556" s="577"/>
      <c r="I556" s="577"/>
      <c r="J556" s="577"/>
      <c r="K556" s="577"/>
      <c r="L556" s="882"/>
      <c r="M556" s="882"/>
      <c r="N556" s="645"/>
    </row>
    <row r="557">
      <c r="A557" s="67"/>
      <c r="B557" s="645"/>
      <c r="C557" s="575"/>
      <c r="D557" s="576"/>
      <c r="E557" s="576"/>
      <c r="F557" s="576"/>
      <c r="G557" s="577"/>
      <c r="H557" s="577"/>
      <c r="I557" s="577"/>
      <c r="J557" s="577"/>
      <c r="K557" s="577"/>
      <c r="L557" s="882"/>
      <c r="M557" s="882"/>
      <c r="N557" s="645"/>
    </row>
    <row r="558">
      <c r="A558" s="67"/>
      <c r="B558" s="645"/>
      <c r="C558" s="575"/>
      <c r="D558" s="576"/>
      <c r="E558" s="576"/>
      <c r="F558" s="576"/>
      <c r="G558" s="577"/>
      <c r="H558" s="577"/>
      <c r="I558" s="577"/>
      <c r="J558" s="577"/>
      <c r="K558" s="577"/>
      <c r="L558" s="882"/>
      <c r="M558" s="882"/>
      <c r="N558" s="645"/>
    </row>
    <row r="559">
      <c r="A559" s="67"/>
      <c r="B559" s="645"/>
      <c r="C559" s="575"/>
      <c r="D559" s="576"/>
      <c r="E559" s="576"/>
      <c r="F559" s="576"/>
      <c r="G559" s="577"/>
      <c r="H559" s="577"/>
      <c r="I559" s="577"/>
      <c r="J559" s="577"/>
      <c r="K559" s="577"/>
      <c r="L559" s="882"/>
      <c r="M559" s="882"/>
      <c r="N559" s="645"/>
    </row>
    <row r="560">
      <c r="A560" s="67"/>
      <c r="B560" s="645"/>
      <c r="C560" s="575"/>
      <c r="D560" s="576"/>
      <c r="E560" s="576"/>
      <c r="F560" s="576"/>
      <c r="G560" s="577"/>
      <c r="H560" s="577"/>
      <c r="I560" s="577"/>
      <c r="J560" s="577"/>
      <c r="K560" s="577"/>
      <c r="L560" s="882"/>
      <c r="M560" s="882"/>
      <c r="N560" s="645"/>
    </row>
    <row r="561">
      <c r="A561" s="67"/>
      <c r="B561" s="645"/>
      <c r="C561" s="575"/>
      <c r="D561" s="576"/>
      <c r="E561" s="576"/>
      <c r="F561" s="576"/>
      <c r="G561" s="577"/>
      <c r="H561" s="577"/>
      <c r="I561" s="577"/>
      <c r="J561" s="577"/>
      <c r="K561" s="577"/>
      <c r="L561" s="882"/>
      <c r="M561" s="882"/>
      <c r="N561" s="645"/>
    </row>
    <row r="562">
      <c r="A562" s="67"/>
      <c r="B562" s="645"/>
      <c r="C562" s="575"/>
      <c r="D562" s="576"/>
      <c r="E562" s="576"/>
      <c r="F562" s="576"/>
      <c r="G562" s="577"/>
      <c r="H562" s="577"/>
      <c r="I562" s="577"/>
      <c r="J562" s="577"/>
      <c r="K562" s="577"/>
      <c r="L562" s="882"/>
      <c r="M562" s="882"/>
      <c r="N562" s="645"/>
    </row>
    <row r="563">
      <c r="A563" s="67"/>
      <c r="B563" s="645"/>
      <c r="C563" s="575"/>
      <c r="D563" s="576"/>
      <c r="E563" s="576"/>
      <c r="F563" s="576"/>
      <c r="G563" s="577"/>
      <c r="H563" s="577"/>
      <c r="I563" s="577"/>
      <c r="J563" s="577"/>
      <c r="K563" s="577"/>
      <c r="L563" s="882"/>
      <c r="M563" s="882"/>
      <c r="N563" s="645"/>
    </row>
    <row r="564">
      <c r="A564" s="67"/>
      <c r="B564" s="645"/>
      <c r="C564" s="575"/>
      <c r="D564" s="576"/>
      <c r="E564" s="576"/>
      <c r="F564" s="576"/>
      <c r="G564" s="577"/>
      <c r="H564" s="577"/>
      <c r="I564" s="577"/>
      <c r="J564" s="577"/>
      <c r="K564" s="577"/>
      <c r="L564" s="882"/>
      <c r="M564" s="882"/>
      <c r="N564" s="645"/>
    </row>
    <row r="565">
      <c r="A565" s="67"/>
      <c r="B565" s="645"/>
      <c r="C565" s="575"/>
      <c r="D565" s="576"/>
      <c r="E565" s="576"/>
      <c r="F565" s="576"/>
      <c r="G565" s="577"/>
      <c r="H565" s="577"/>
      <c r="I565" s="577"/>
      <c r="J565" s="577"/>
      <c r="K565" s="577"/>
      <c r="L565" s="882"/>
      <c r="M565" s="882"/>
      <c r="N565" s="645"/>
    </row>
    <row r="566">
      <c r="A566" s="67"/>
      <c r="B566" s="645"/>
      <c r="C566" s="575"/>
      <c r="D566" s="576"/>
      <c r="E566" s="576"/>
      <c r="F566" s="576"/>
      <c r="G566" s="577"/>
      <c r="H566" s="577"/>
      <c r="I566" s="577"/>
      <c r="J566" s="577"/>
      <c r="K566" s="577"/>
      <c r="L566" s="882"/>
      <c r="M566" s="882"/>
      <c r="N566" s="645"/>
    </row>
    <row r="567">
      <c r="A567" s="67"/>
      <c r="B567" s="645"/>
      <c r="C567" s="575"/>
      <c r="D567" s="576"/>
      <c r="E567" s="576"/>
      <c r="F567" s="576"/>
      <c r="G567" s="577"/>
      <c r="H567" s="577"/>
      <c r="I567" s="577"/>
      <c r="J567" s="577"/>
      <c r="K567" s="577"/>
      <c r="L567" s="882"/>
      <c r="M567" s="882"/>
      <c r="N567" s="645"/>
    </row>
    <row r="568">
      <c r="A568" s="67"/>
      <c r="B568" s="645"/>
      <c r="C568" s="575"/>
      <c r="D568" s="576"/>
      <c r="E568" s="576"/>
      <c r="F568" s="576"/>
      <c r="G568" s="577"/>
      <c r="H568" s="577"/>
      <c r="I568" s="577"/>
      <c r="J568" s="577"/>
      <c r="K568" s="577"/>
      <c r="L568" s="882"/>
      <c r="M568" s="882"/>
      <c r="N568" s="645"/>
    </row>
    <row r="569">
      <c r="A569" s="67"/>
      <c r="B569" s="645"/>
      <c r="C569" s="575"/>
      <c r="D569" s="576"/>
      <c r="E569" s="576"/>
      <c r="F569" s="576"/>
      <c r="G569" s="577"/>
      <c r="H569" s="577"/>
      <c r="I569" s="577"/>
      <c r="J569" s="577"/>
      <c r="K569" s="577"/>
      <c r="L569" s="882"/>
      <c r="M569" s="882"/>
      <c r="N569" s="645"/>
    </row>
    <row r="570">
      <c r="A570" s="67"/>
      <c r="B570" s="645"/>
      <c r="C570" s="575"/>
      <c r="D570" s="576"/>
      <c r="E570" s="576"/>
      <c r="F570" s="576"/>
      <c r="G570" s="577"/>
      <c r="H570" s="577"/>
      <c r="I570" s="577"/>
      <c r="J570" s="577"/>
      <c r="K570" s="577"/>
      <c r="L570" s="882"/>
      <c r="M570" s="882"/>
      <c r="N570" s="645"/>
    </row>
    <row r="571">
      <c r="A571" s="67"/>
      <c r="B571" s="645"/>
      <c r="C571" s="575"/>
      <c r="D571" s="576"/>
      <c r="E571" s="576"/>
      <c r="F571" s="576"/>
      <c r="G571" s="577"/>
      <c r="H571" s="577"/>
      <c r="I571" s="577"/>
      <c r="J571" s="577"/>
      <c r="K571" s="577"/>
      <c r="L571" s="882"/>
      <c r="M571" s="882"/>
      <c r="N571" s="645"/>
    </row>
    <row r="572">
      <c r="A572" s="67"/>
      <c r="B572" s="645"/>
      <c r="C572" s="575"/>
      <c r="D572" s="576"/>
      <c r="E572" s="576"/>
      <c r="F572" s="576"/>
      <c r="G572" s="577"/>
      <c r="H572" s="577"/>
      <c r="I572" s="577"/>
      <c r="J572" s="577"/>
      <c r="K572" s="577"/>
      <c r="L572" s="882"/>
      <c r="M572" s="882"/>
      <c r="N572" s="645"/>
    </row>
    <row r="573">
      <c r="A573" s="67"/>
      <c r="B573" s="645"/>
      <c r="C573" s="575"/>
      <c r="D573" s="576"/>
      <c r="E573" s="576"/>
      <c r="F573" s="576"/>
      <c r="G573" s="577"/>
      <c r="H573" s="577"/>
      <c r="I573" s="577"/>
      <c r="J573" s="577"/>
      <c r="K573" s="577"/>
      <c r="L573" s="882"/>
      <c r="M573" s="882"/>
      <c r="N573" s="645"/>
    </row>
    <row r="574">
      <c r="A574" s="67"/>
      <c r="B574" s="645"/>
      <c r="C574" s="575"/>
      <c r="D574" s="576"/>
      <c r="E574" s="576"/>
      <c r="F574" s="576"/>
      <c r="G574" s="577"/>
      <c r="H574" s="577"/>
      <c r="I574" s="577"/>
      <c r="J574" s="577"/>
      <c r="K574" s="577"/>
      <c r="L574" s="882"/>
      <c r="M574" s="882"/>
      <c r="N574" s="645"/>
    </row>
    <row r="575">
      <c r="A575" s="67"/>
      <c r="B575" s="645"/>
      <c r="C575" s="575"/>
      <c r="D575" s="576"/>
      <c r="E575" s="576"/>
      <c r="F575" s="576"/>
      <c r="G575" s="577"/>
      <c r="H575" s="577"/>
      <c r="I575" s="577"/>
      <c r="J575" s="577"/>
      <c r="K575" s="577"/>
      <c r="L575" s="882"/>
      <c r="M575" s="882"/>
      <c r="N575" s="645"/>
    </row>
    <row r="576">
      <c r="A576" s="67"/>
      <c r="B576" s="645"/>
      <c r="C576" s="575"/>
      <c r="D576" s="576"/>
      <c r="E576" s="576"/>
      <c r="F576" s="576"/>
      <c r="G576" s="577"/>
      <c r="H576" s="577"/>
      <c r="I576" s="577"/>
      <c r="J576" s="577"/>
      <c r="K576" s="577"/>
      <c r="L576" s="882"/>
      <c r="M576" s="882"/>
      <c r="N576" s="645"/>
    </row>
    <row r="577">
      <c r="A577" s="67"/>
      <c r="B577" s="645"/>
      <c r="C577" s="575"/>
      <c r="D577" s="576"/>
      <c r="E577" s="576"/>
      <c r="F577" s="576"/>
      <c r="G577" s="577"/>
      <c r="H577" s="577"/>
      <c r="I577" s="577"/>
      <c r="J577" s="577"/>
      <c r="K577" s="577"/>
      <c r="L577" s="882"/>
      <c r="M577" s="882"/>
      <c r="N577" s="645"/>
    </row>
    <row r="578">
      <c r="A578" s="67"/>
      <c r="B578" s="645"/>
      <c r="C578" s="575"/>
      <c r="D578" s="576"/>
      <c r="E578" s="576"/>
      <c r="F578" s="576"/>
      <c r="G578" s="577"/>
      <c r="H578" s="577"/>
      <c r="I578" s="577"/>
      <c r="J578" s="577"/>
      <c r="K578" s="577"/>
      <c r="L578" s="882"/>
      <c r="M578" s="882"/>
      <c r="N578" s="645"/>
    </row>
    <row r="579">
      <c r="A579" s="67"/>
      <c r="B579" s="645"/>
      <c r="C579" s="575"/>
      <c r="D579" s="576"/>
      <c r="E579" s="576"/>
      <c r="F579" s="576"/>
      <c r="G579" s="577"/>
      <c r="H579" s="577"/>
      <c r="I579" s="577"/>
      <c r="J579" s="577"/>
      <c r="K579" s="577"/>
      <c r="L579" s="882"/>
      <c r="M579" s="882"/>
      <c r="N579" s="645"/>
    </row>
    <row r="580">
      <c r="A580" s="67"/>
      <c r="B580" s="645"/>
      <c r="C580" s="575"/>
      <c r="D580" s="576"/>
      <c r="E580" s="576"/>
      <c r="F580" s="576"/>
      <c r="G580" s="577"/>
      <c r="H580" s="577"/>
      <c r="I580" s="577"/>
      <c r="J580" s="577"/>
      <c r="K580" s="577"/>
      <c r="L580" s="882"/>
      <c r="M580" s="882"/>
      <c r="N580" s="645"/>
    </row>
    <row r="581">
      <c r="A581" s="67"/>
      <c r="B581" s="645"/>
      <c r="C581" s="575"/>
      <c r="D581" s="576"/>
      <c r="E581" s="576"/>
      <c r="F581" s="576"/>
      <c r="G581" s="577"/>
      <c r="H581" s="577"/>
      <c r="I581" s="577"/>
      <c r="J581" s="577"/>
      <c r="K581" s="577"/>
      <c r="L581" s="882"/>
      <c r="M581" s="882"/>
      <c r="N581" s="645"/>
    </row>
    <row r="582">
      <c r="A582" s="67"/>
      <c r="B582" s="645"/>
      <c r="C582" s="575"/>
      <c r="D582" s="576"/>
      <c r="E582" s="576"/>
      <c r="F582" s="576"/>
      <c r="G582" s="577"/>
      <c r="H582" s="577"/>
      <c r="I582" s="577"/>
      <c r="J582" s="577"/>
      <c r="K582" s="577"/>
      <c r="L582" s="882"/>
      <c r="M582" s="882"/>
      <c r="N582" s="645"/>
    </row>
    <row r="583">
      <c r="A583" s="67"/>
      <c r="B583" s="645"/>
      <c r="C583" s="575"/>
      <c r="D583" s="576"/>
      <c r="E583" s="576"/>
      <c r="F583" s="576"/>
      <c r="G583" s="577"/>
      <c r="H583" s="577"/>
      <c r="I583" s="577"/>
      <c r="J583" s="577"/>
      <c r="K583" s="577"/>
      <c r="L583" s="882"/>
      <c r="M583" s="882"/>
      <c r="N583" s="645"/>
    </row>
    <row r="584">
      <c r="A584" s="67"/>
      <c r="B584" s="645"/>
      <c r="C584" s="575"/>
      <c r="D584" s="576"/>
      <c r="E584" s="576"/>
      <c r="F584" s="576"/>
      <c r="G584" s="577"/>
      <c r="H584" s="577"/>
      <c r="I584" s="577"/>
      <c r="J584" s="577"/>
      <c r="K584" s="577"/>
      <c r="L584" s="882"/>
      <c r="M584" s="882"/>
      <c r="N584" s="645"/>
    </row>
    <row r="585">
      <c r="A585" s="67"/>
      <c r="B585" s="645"/>
      <c r="C585" s="575"/>
      <c r="D585" s="576"/>
      <c r="E585" s="576"/>
      <c r="F585" s="576"/>
      <c r="G585" s="577"/>
      <c r="H585" s="577"/>
      <c r="I585" s="577"/>
      <c r="J585" s="577"/>
      <c r="K585" s="577"/>
      <c r="L585" s="882"/>
      <c r="M585" s="882"/>
      <c r="N585" s="645"/>
    </row>
    <row r="586">
      <c r="A586" s="67"/>
      <c r="B586" s="645"/>
      <c r="C586" s="575"/>
      <c r="D586" s="576"/>
      <c r="E586" s="576"/>
      <c r="F586" s="576"/>
      <c r="G586" s="577"/>
      <c r="H586" s="577"/>
      <c r="I586" s="577"/>
      <c r="J586" s="577"/>
      <c r="K586" s="577"/>
      <c r="L586" s="882"/>
      <c r="M586" s="882"/>
      <c r="N586" s="645"/>
    </row>
    <row r="587">
      <c r="A587" s="67"/>
      <c r="B587" s="645"/>
      <c r="C587" s="575"/>
      <c r="D587" s="576"/>
      <c r="E587" s="576"/>
      <c r="F587" s="576"/>
      <c r="G587" s="577"/>
      <c r="H587" s="577"/>
      <c r="I587" s="577"/>
      <c r="J587" s="577"/>
      <c r="K587" s="577"/>
      <c r="L587" s="882"/>
      <c r="M587" s="882"/>
      <c r="N587" s="645"/>
    </row>
    <row r="588">
      <c r="A588" s="67"/>
      <c r="B588" s="645"/>
      <c r="C588" s="575"/>
      <c r="D588" s="576"/>
      <c r="E588" s="576"/>
      <c r="F588" s="576"/>
      <c r="G588" s="577"/>
      <c r="H588" s="577"/>
      <c r="I588" s="577"/>
      <c r="J588" s="577"/>
      <c r="K588" s="577"/>
      <c r="L588" s="882"/>
      <c r="M588" s="882"/>
      <c r="N588" s="645"/>
    </row>
    <row r="589">
      <c r="A589" s="67"/>
      <c r="B589" s="645"/>
      <c r="C589" s="575"/>
      <c r="D589" s="576"/>
      <c r="E589" s="576"/>
      <c r="F589" s="576"/>
      <c r="G589" s="577"/>
      <c r="H589" s="577"/>
      <c r="I589" s="577"/>
      <c r="J589" s="577"/>
      <c r="K589" s="577"/>
      <c r="L589" s="882"/>
      <c r="M589" s="882"/>
      <c r="N589" s="645"/>
    </row>
    <row r="590">
      <c r="A590" s="67"/>
      <c r="B590" s="645"/>
      <c r="C590" s="575"/>
      <c r="D590" s="576"/>
      <c r="E590" s="576"/>
      <c r="F590" s="576"/>
      <c r="G590" s="577"/>
      <c r="H590" s="577"/>
      <c r="I590" s="577"/>
      <c r="J590" s="577"/>
      <c r="K590" s="577"/>
      <c r="L590" s="882"/>
      <c r="M590" s="882"/>
      <c r="N590" s="645"/>
    </row>
    <row r="591">
      <c r="A591" s="67"/>
      <c r="B591" s="645"/>
      <c r="C591" s="575"/>
      <c r="D591" s="576"/>
      <c r="E591" s="576"/>
      <c r="F591" s="576"/>
      <c r="G591" s="577"/>
      <c r="H591" s="577"/>
      <c r="I591" s="577"/>
      <c r="J591" s="577"/>
      <c r="K591" s="577"/>
      <c r="L591" s="882"/>
      <c r="M591" s="882"/>
      <c r="N591" s="645"/>
    </row>
    <row r="592">
      <c r="A592" s="67"/>
      <c r="B592" s="645"/>
      <c r="C592" s="575"/>
      <c r="D592" s="576"/>
      <c r="E592" s="576"/>
      <c r="F592" s="576"/>
      <c r="G592" s="577"/>
      <c r="H592" s="577"/>
      <c r="I592" s="577"/>
      <c r="J592" s="577"/>
      <c r="K592" s="577"/>
      <c r="L592" s="882"/>
      <c r="M592" s="882"/>
      <c r="N592" s="645"/>
    </row>
    <row r="593">
      <c r="A593" s="67"/>
      <c r="B593" s="645"/>
      <c r="C593" s="575"/>
      <c r="D593" s="576"/>
      <c r="E593" s="576"/>
      <c r="F593" s="576"/>
      <c r="G593" s="577"/>
      <c r="H593" s="577"/>
      <c r="I593" s="577"/>
      <c r="J593" s="577"/>
      <c r="K593" s="577"/>
      <c r="L593" s="882"/>
      <c r="M593" s="882"/>
      <c r="N593" s="645"/>
    </row>
    <row r="594">
      <c r="A594" s="67"/>
      <c r="B594" s="645"/>
      <c r="C594" s="575"/>
      <c r="D594" s="576"/>
      <c r="E594" s="576"/>
      <c r="F594" s="576"/>
      <c r="G594" s="577"/>
      <c r="H594" s="577"/>
      <c r="I594" s="577"/>
      <c r="J594" s="577"/>
      <c r="K594" s="577"/>
      <c r="L594" s="882"/>
      <c r="M594" s="882"/>
      <c r="N594" s="645"/>
    </row>
    <row r="595">
      <c r="A595" s="67"/>
      <c r="B595" s="645"/>
      <c r="C595" s="575"/>
      <c r="D595" s="576"/>
      <c r="E595" s="576"/>
      <c r="F595" s="576"/>
      <c r="G595" s="577"/>
      <c r="H595" s="577"/>
      <c r="I595" s="577"/>
      <c r="J595" s="577"/>
      <c r="K595" s="577"/>
      <c r="L595" s="882"/>
      <c r="M595" s="882"/>
      <c r="N595" s="645"/>
    </row>
    <row r="596">
      <c r="A596" s="67"/>
      <c r="B596" s="645"/>
      <c r="C596" s="575"/>
      <c r="D596" s="576"/>
      <c r="E596" s="576"/>
      <c r="F596" s="576"/>
      <c r="G596" s="577"/>
      <c r="H596" s="577"/>
      <c r="I596" s="577"/>
      <c r="J596" s="577"/>
      <c r="K596" s="577"/>
      <c r="L596" s="882"/>
      <c r="M596" s="882"/>
      <c r="N596" s="645"/>
    </row>
    <row r="597">
      <c r="A597" s="67"/>
      <c r="B597" s="645"/>
      <c r="C597" s="575"/>
      <c r="D597" s="576"/>
      <c r="E597" s="576"/>
      <c r="F597" s="576"/>
      <c r="G597" s="577"/>
      <c r="H597" s="577"/>
      <c r="I597" s="577"/>
      <c r="J597" s="577"/>
      <c r="K597" s="577"/>
      <c r="L597" s="882"/>
      <c r="M597" s="882"/>
      <c r="N597" s="645"/>
    </row>
    <row r="598">
      <c r="A598" s="67"/>
      <c r="B598" s="645"/>
      <c r="C598" s="575"/>
      <c r="D598" s="576"/>
      <c r="E598" s="576"/>
      <c r="F598" s="576"/>
      <c r="G598" s="577"/>
      <c r="H598" s="577"/>
      <c r="I598" s="577"/>
      <c r="J598" s="577"/>
      <c r="K598" s="577"/>
      <c r="L598" s="882"/>
      <c r="M598" s="882"/>
      <c r="N598" s="645"/>
    </row>
    <row r="599">
      <c r="A599" s="67"/>
      <c r="B599" s="645"/>
      <c r="C599" s="575"/>
      <c r="D599" s="576"/>
      <c r="E599" s="576"/>
      <c r="F599" s="576"/>
      <c r="G599" s="577"/>
      <c r="H599" s="577"/>
      <c r="I599" s="577"/>
      <c r="J599" s="577"/>
      <c r="K599" s="577"/>
      <c r="L599" s="882"/>
      <c r="M599" s="882"/>
      <c r="N599" s="645"/>
    </row>
    <row r="600">
      <c r="A600" s="67"/>
      <c r="B600" s="645"/>
      <c r="C600" s="575"/>
      <c r="D600" s="576"/>
      <c r="E600" s="576"/>
      <c r="F600" s="576"/>
      <c r="G600" s="577"/>
      <c r="H600" s="577"/>
      <c r="I600" s="577"/>
      <c r="J600" s="577"/>
      <c r="K600" s="577"/>
      <c r="L600" s="882"/>
      <c r="M600" s="882"/>
      <c r="N600" s="645"/>
    </row>
    <row r="601">
      <c r="A601" s="67"/>
      <c r="B601" s="645"/>
      <c r="C601" s="575"/>
      <c r="D601" s="576"/>
      <c r="E601" s="576"/>
      <c r="F601" s="576"/>
      <c r="G601" s="577"/>
      <c r="H601" s="577"/>
      <c r="I601" s="577"/>
      <c r="J601" s="577"/>
      <c r="K601" s="577"/>
      <c r="L601" s="882"/>
      <c r="M601" s="882"/>
      <c r="N601" s="645"/>
    </row>
    <row r="602">
      <c r="A602" s="67"/>
      <c r="B602" s="645"/>
      <c r="C602" s="575"/>
      <c r="D602" s="576"/>
      <c r="E602" s="576"/>
      <c r="F602" s="576"/>
      <c r="G602" s="577"/>
      <c r="H602" s="577"/>
      <c r="I602" s="577"/>
      <c r="J602" s="577"/>
      <c r="K602" s="577"/>
      <c r="L602" s="882"/>
      <c r="M602" s="882"/>
      <c r="N602" s="645"/>
    </row>
    <row r="603">
      <c r="A603" s="67"/>
      <c r="B603" s="645"/>
      <c r="C603" s="575"/>
      <c r="D603" s="576"/>
      <c r="E603" s="576"/>
      <c r="F603" s="576"/>
      <c r="G603" s="577"/>
      <c r="H603" s="577"/>
      <c r="I603" s="577"/>
      <c r="J603" s="577"/>
      <c r="K603" s="577"/>
      <c r="L603" s="882"/>
      <c r="M603" s="882"/>
      <c r="N603" s="645"/>
    </row>
    <row r="604">
      <c r="A604" s="67"/>
      <c r="B604" s="645"/>
      <c r="C604" s="575"/>
      <c r="D604" s="576"/>
      <c r="E604" s="576"/>
      <c r="F604" s="576"/>
      <c r="G604" s="577"/>
      <c r="H604" s="577"/>
      <c r="I604" s="577"/>
      <c r="J604" s="577"/>
      <c r="K604" s="577"/>
      <c r="L604" s="882"/>
      <c r="M604" s="882"/>
      <c r="N604" s="645"/>
    </row>
    <row r="605">
      <c r="A605" s="67"/>
      <c r="B605" s="645"/>
      <c r="C605" s="575"/>
      <c r="D605" s="576"/>
      <c r="E605" s="576"/>
      <c r="F605" s="576"/>
      <c r="G605" s="577"/>
      <c r="H605" s="577"/>
      <c r="I605" s="577"/>
      <c r="J605" s="577"/>
      <c r="K605" s="577"/>
      <c r="L605" s="882"/>
      <c r="M605" s="882"/>
      <c r="N605" s="645"/>
    </row>
    <row r="606">
      <c r="A606" s="67"/>
      <c r="B606" s="645"/>
      <c r="C606" s="575"/>
      <c r="D606" s="576"/>
      <c r="E606" s="576"/>
      <c r="F606" s="576"/>
      <c r="G606" s="577"/>
      <c r="H606" s="577"/>
      <c r="I606" s="577"/>
      <c r="J606" s="577"/>
      <c r="K606" s="577"/>
      <c r="L606" s="882"/>
      <c r="M606" s="882"/>
      <c r="N606" s="645"/>
    </row>
    <row r="607">
      <c r="A607" s="67"/>
      <c r="B607" s="645"/>
      <c r="C607" s="575"/>
      <c r="D607" s="576"/>
      <c r="E607" s="576"/>
      <c r="F607" s="576"/>
      <c r="G607" s="577"/>
      <c r="H607" s="577"/>
      <c r="I607" s="577"/>
      <c r="J607" s="577"/>
      <c r="K607" s="577"/>
      <c r="L607" s="882"/>
      <c r="M607" s="882"/>
      <c r="N607" s="645"/>
    </row>
    <row r="608">
      <c r="A608" s="67"/>
      <c r="B608" s="645"/>
      <c r="C608" s="575"/>
      <c r="D608" s="576"/>
      <c r="E608" s="576"/>
      <c r="F608" s="576"/>
      <c r="G608" s="577"/>
      <c r="H608" s="577"/>
      <c r="I608" s="577"/>
      <c r="J608" s="577"/>
      <c r="K608" s="577"/>
      <c r="L608" s="882"/>
      <c r="M608" s="882"/>
      <c r="N608" s="645"/>
    </row>
    <row r="609">
      <c r="A609" s="67"/>
      <c r="B609" s="645"/>
      <c r="C609" s="575"/>
      <c r="D609" s="576"/>
      <c r="E609" s="576"/>
      <c r="F609" s="576"/>
      <c r="G609" s="577"/>
      <c r="H609" s="577"/>
      <c r="I609" s="577"/>
      <c r="J609" s="577"/>
      <c r="K609" s="577"/>
      <c r="L609" s="882"/>
      <c r="M609" s="882"/>
      <c r="N609" s="645"/>
    </row>
    <row r="610">
      <c r="A610" s="67"/>
      <c r="B610" s="645"/>
      <c r="C610" s="575"/>
      <c r="D610" s="576"/>
      <c r="E610" s="576"/>
      <c r="F610" s="576"/>
      <c r="G610" s="577"/>
      <c r="H610" s="577"/>
      <c r="I610" s="577"/>
      <c r="J610" s="577"/>
      <c r="K610" s="577"/>
      <c r="L610" s="882"/>
      <c r="M610" s="882"/>
      <c r="N610" s="645"/>
    </row>
    <row r="611">
      <c r="A611" s="67"/>
      <c r="B611" s="645"/>
      <c r="C611" s="575"/>
      <c r="D611" s="576"/>
      <c r="E611" s="576"/>
      <c r="F611" s="576"/>
      <c r="G611" s="577"/>
      <c r="H611" s="577"/>
      <c r="I611" s="577"/>
      <c r="J611" s="577"/>
      <c r="K611" s="577"/>
      <c r="L611" s="882"/>
      <c r="M611" s="882"/>
      <c r="N611" s="645"/>
    </row>
    <row r="612">
      <c r="A612" s="67"/>
      <c r="B612" s="645"/>
      <c r="C612" s="575"/>
      <c r="D612" s="576"/>
      <c r="E612" s="576"/>
      <c r="F612" s="576"/>
      <c r="G612" s="577"/>
      <c r="H612" s="577"/>
      <c r="I612" s="577"/>
      <c r="J612" s="577"/>
      <c r="K612" s="577"/>
      <c r="L612" s="882"/>
      <c r="M612" s="882"/>
      <c r="N612" s="645"/>
    </row>
    <row r="613">
      <c r="A613" s="67"/>
      <c r="B613" s="645"/>
      <c r="C613" s="575"/>
      <c r="D613" s="576"/>
      <c r="E613" s="576"/>
      <c r="F613" s="576"/>
      <c r="G613" s="577"/>
      <c r="H613" s="577"/>
      <c r="I613" s="577"/>
      <c r="J613" s="577"/>
      <c r="K613" s="577"/>
      <c r="L613" s="882"/>
      <c r="M613" s="882"/>
      <c r="N613" s="645"/>
    </row>
    <row r="614">
      <c r="A614" s="67"/>
      <c r="B614" s="645"/>
      <c r="C614" s="575"/>
      <c r="D614" s="576"/>
      <c r="E614" s="576"/>
      <c r="F614" s="576"/>
      <c r="G614" s="577"/>
      <c r="H614" s="577"/>
      <c r="I614" s="577"/>
      <c r="J614" s="577"/>
      <c r="K614" s="577"/>
      <c r="L614" s="882"/>
      <c r="M614" s="882"/>
      <c r="N614" s="645"/>
    </row>
    <row r="615">
      <c r="A615" s="67"/>
      <c r="B615" s="645"/>
      <c r="C615" s="575"/>
      <c r="D615" s="576"/>
      <c r="E615" s="576"/>
      <c r="F615" s="576"/>
      <c r="G615" s="577"/>
      <c r="H615" s="577"/>
      <c r="I615" s="577"/>
      <c r="J615" s="577"/>
      <c r="K615" s="577"/>
      <c r="L615" s="882"/>
      <c r="M615" s="882"/>
      <c r="N615" s="645"/>
    </row>
    <row r="616">
      <c r="A616" s="67"/>
      <c r="B616" s="645"/>
      <c r="C616" s="575"/>
      <c r="D616" s="576"/>
      <c r="E616" s="576"/>
      <c r="F616" s="576"/>
      <c r="G616" s="577"/>
      <c r="H616" s="577"/>
      <c r="I616" s="577"/>
      <c r="J616" s="577"/>
      <c r="K616" s="577"/>
      <c r="L616" s="882"/>
      <c r="M616" s="882"/>
      <c r="N616" s="645"/>
    </row>
    <row r="617">
      <c r="A617" s="67"/>
      <c r="B617" s="645"/>
      <c r="C617" s="575"/>
      <c r="D617" s="576"/>
      <c r="E617" s="576"/>
      <c r="F617" s="576"/>
      <c r="G617" s="577"/>
      <c r="H617" s="577"/>
      <c r="I617" s="577"/>
      <c r="J617" s="577"/>
      <c r="K617" s="577"/>
      <c r="L617" s="882"/>
      <c r="M617" s="882"/>
      <c r="N617" s="645"/>
    </row>
    <row r="618">
      <c r="A618" s="67"/>
      <c r="B618" s="645"/>
      <c r="C618" s="575"/>
      <c r="D618" s="576"/>
      <c r="E618" s="576"/>
      <c r="F618" s="576"/>
      <c r="G618" s="577"/>
      <c r="H618" s="577"/>
      <c r="I618" s="577"/>
      <c r="J618" s="577"/>
      <c r="K618" s="577"/>
      <c r="L618" s="882"/>
      <c r="M618" s="882"/>
      <c r="N618" s="645"/>
    </row>
    <row r="619">
      <c r="A619" s="67"/>
      <c r="B619" s="645"/>
      <c r="C619" s="575"/>
      <c r="D619" s="576"/>
      <c r="E619" s="576"/>
      <c r="F619" s="576"/>
      <c r="G619" s="577"/>
      <c r="H619" s="577"/>
      <c r="I619" s="577"/>
      <c r="J619" s="577"/>
      <c r="K619" s="577"/>
      <c r="L619" s="882"/>
      <c r="M619" s="882"/>
      <c r="N619" s="645"/>
    </row>
    <row r="620">
      <c r="A620" s="67"/>
      <c r="B620" s="645"/>
      <c r="C620" s="575"/>
      <c r="D620" s="576"/>
      <c r="E620" s="576"/>
      <c r="F620" s="576"/>
      <c r="G620" s="577"/>
      <c r="H620" s="577"/>
      <c r="I620" s="577"/>
      <c r="J620" s="577"/>
      <c r="K620" s="577"/>
      <c r="L620" s="882"/>
      <c r="M620" s="882"/>
      <c r="N620" s="645"/>
    </row>
    <row r="621">
      <c r="A621" s="67"/>
      <c r="B621" s="645"/>
      <c r="C621" s="575"/>
      <c r="D621" s="576"/>
      <c r="E621" s="576"/>
      <c r="F621" s="576"/>
      <c r="G621" s="577"/>
      <c r="H621" s="577"/>
      <c r="I621" s="577"/>
      <c r="J621" s="577"/>
      <c r="K621" s="577"/>
      <c r="L621" s="882"/>
      <c r="M621" s="882"/>
      <c r="N621" s="645"/>
    </row>
    <row r="622">
      <c r="A622" s="67"/>
      <c r="B622" s="645"/>
      <c r="C622" s="575"/>
      <c r="D622" s="576"/>
      <c r="E622" s="576"/>
      <c r="F622" s="576"/>
      <c r="G622" s="577"/>
      <c r="H622" s="577"/>
      <c r="I622" s="577"/>
      <c r="J622" s="577"/>
      <c r="K622" s="577"/>
      <c r="L622" s="882"/>
      <c r="M622" s="882"/>
      <c r="N622" s="645"/>
    </row>
    <row r="623">
      <c r="A623" s="67"/>
      <c r="B623" s="645"/>
      <c r="C623" s="575"/>
      <c r="D623" s="576"/>
      <c r="E623" s="576"/>
      <c r="F623" s="576"/>
      <c r="G623" s="577"/>
      <c r="H623" s="577"/>
      <c r="I623" s="577"/>
      <c r="J623" s="577"/>
      <c r="K623" s="577"/>
      <c r="L623" s="882"/>
      <c r="M623" s="882"/>
      <c r="N623" s="645"/>
    </row>
    <row r="624">
      <c r="A624" s="67"/>
      <c r="B624" s="645"/>
      <c r="C624" s="575"/>
      <c r="D624" s="576"/>
      <c r="E624" s="576"/>
      <c r="F624" s="576"/>
      <c r="G624" s="577"/>
      <c r="H624" s="577"/>
      <c r="I624" s="577"/>
      <c r="J624" s="577"/>
      <c r="K624" s="577"/>
      <c r="L624" s="882"/>
      <c r="M624" s="882"/>
      <c r="N624" s="645"/>
    </row>
    <row r="625">
      <c r="A625" s="67"/>
      <c r="B625" s="645"/>
      <c r="C625" s="575"/>
      <c r="D625" s="576"/>
      <c r="E625" s="576"/>
      <c r="F625" s="576"/>
      <c r="G625" s="577"/>
      <c r="H625" s="577"/>
      <c r="I625" s="577"/>
      <c r="J625" s="577"/>
      <c r="K625" s="577"/>
      <c r="L625" s="882"/>
      <c r="M625" s="882"/>
      <c r="N625" s="645"/>
    </row>
    <row r="626">
      <c r="A626" s="67"/>
      <c r="B626" s="645"/>
      <c r="C626" s="575"/>
      <c r="D626" s="576"/>
      <c r="E626" s="576"/>
      <c r="F626" s="576"/>
      <c r="G626" s="577"/>
      <c r="H626" s="577"/>
      <c r="I626" s="577"/>
      <c r="J626" s="577"/>
      <c r="K626" s="577"/>
      <c r="L626" s="882"/>
      <c r="M626" s="882"/>
      <c r="N626" s="645"/>
    </row>
    <row r="627">
      <c r="A627" s="67"/>
      <c r="B627" s="645"/>
      <c r="C627" s="575"/>
      <c r="D627" s="576"/>
      <c r="E627" s="576"/>
      <c r="F627" s="576"/>
      <c r="G627" s="577"/>
      <c r="H627" s="577"/>
      <c r="I627" s="577"/>
      <c r="J627" s="577"/>
      <c r="K627" s="577"/>
      <c r="L627" s="882"/>
      <c r="M627" s="882"/>
      <c r="N627" s="645"/>
    </row>
    <row r="628">
      <c r="A628" s="67"/>
      <c r="B628" s="645"/>
      <c r="C628" s="575"/>
      <c r="D628" s="576"/>
      <c r="E628" s="576"/>
      <c r="F628" s="576"/>
      <c r="G628" s="577"/>
      <c r="H628" s="577"/>
      <c r="I628" s="577"/>
      <c r="J628" s="577"/>
      <c r="K628" s="577"/>
      <c r="L628" s="882"/>
      <c r="M628" s="882"/>
      <c r="N628" s="645"/>
    </row>
    <row r="629">
      <c r="A629" s="67"/>
      <c r="B629" s="645"/>
      <c r="C629" s="575"/>
      <c r="D629" s="576"/>
      <c r="E629" s="576"/>
      <c r="F629" s="576"/>
      <c r="G629" s="577"/>
      <c r="H629" s="577"/>
      <c r="I629" s="577"/>
      <c r="J629" s="577"/>
      <c r="K629" s="577"/>
      <c r="L629" s="882"/>
      <c r="M629" s="882"/>
      <c r="N629" s="645"/>
    </row>
    <row r="630">
      <c r="A630" s="67"/>
      <c r="B630" s="645"/>
      <c r="C630" s="575"/>
      <c r="D630" s="576"/>
      <c r="E630" s="576"/>
      <c r="F630" s="576"/>
      <c r="G630" s="577"/>
      <c r="H630" s="577"/>
      <c r="I630" s="577"/>
      <c r="J630" s="577"/>
      <c r="K630" s="577"/>
      <c r="L630" s="882"/>
      <c r="M630" s="882"/>
      <c r="N630" s="645"/>
    </row>
    <row r="631">
      <c r="A631" s="67"/>
      <c r="B631" s="645"/>
      <c r="C631" s="575"/>
      <c r="D631" s="576"/>
      <c r="E631" s="576"/>
      <c r="F631" s="576"/>
      <c r="G631" s="577"/>
      <c r="H631" s="577"/>
      <c r="I631" s="577"/>
      <c r="J631" s="577"/>
      <c r="K631" s="577"/>
      <c r="L631" s="882"/>
      <c r="M631" s="882"/>
      <c r="N631" s="645"/>
    </row>
    <row r="632">
      <c r="A632" s="67"/>
      <c r="B632" s="645"/>
      <c r="C632" s="575"/>
      <c r="D632" s="576"/>
      <c r="E632" s="576"/>
      <c r="F632" s="576"/>
      <c r="G632" s="577"/>
      <c r="H632" s="577"/>
      <c r="I632" s="577"/>
      <c r="J632" s="577"/>
      <c r="K632" s="577"/>
      <c r="L632" s="882"/>
      <c r="M632" s="882"/>
      <c r="N632" s="645"/>
    </row>
    <row r="633">
      <c r="A633" s="67"/>
      <c r="B633" s="645"/>
      <c r="C633" s="575"/>
      <c r="D633" s="576"/>
      <c r="E633" s="576"/>
      <c r="F633" s="576"/>
      <c r="G633" s="577"/>
      <c r="H633" s="577"/>
      <c r="I633" s="577"/>
      <c r="J633" s="577"/>
      <c r="K633" s="577"/>
      <c r="L633" s="882"/>
      <c r="M633" s="882"/>
      <c r="N633" s="645"/>
    </row>
    <row r="634">
      <c r="A634" s="67"/>
      <c r="B634" s="645"/>
      <c r="C634" s="575"/>
      <c r="D634" s="576"/>
      <c r="E634" s="576"/>
      <c r="F634" s="576"/>
      <c r="G634" s="577"/>
      <c r="H634" s="577"/>
      <c r="I634" s="577"/>
      <c r="J634" s="577"/>
      <c r="K634" s="577"/>
      <c r="L634" s="882"/>
      <c r="M634" s="882"/>
      <c r="N634" s="645"/>
    </row>
    <row r="635">
      <c r="A635" s="67"/>
      <c r="B635" s="645"/>
      <c r="C635" s="575"/>
      <c r="D635" s="576"/>
      <c r="E635" s="576"/>
      <c r="F635" s="576"/>
      <c r="G635" s="577"/>
      <c r="H635" s="577"/>
      <c r="I635" s="577"/>
      <c r="J635" s="577"/>
      <c r="K635" s="577"/>
      <c r="L635" s="882"/>
      <c r="M635" s="882"/>
      <c r="N635" s="645"/>
    </row>
    <row r="636">
      <c r="A636" s="67"/>
      <c r="B636" s="645"/>
      <c r="C636" s="575"/>
      <c r="D636" s="576"/>
      <c r="E636" s="576"/>
      <c r="F636" s="576"/>
      <c r="G636" s="577"/>
      <c r="H636" s="577"/>
      <c r="I636" s="577"/>
      <c r="J636" s="577"/>
      <c r="K636" s="577"/>
      <c r="L636" s="882"/>
      <c r="M636" s="882"/>
      <c r="N636" s="645"/>
    </row>
    <row r="637">
      <c r="A637" s="67"/>
      <c r="B637" s="645"/>
      <c r="C637" s="575"/>
      <c r="D637" s="576"/>
      <c r="E637" s="576"/>
      <c r="F637" s="576"/>
      <c r="G637" s="577"/>
      <c r="H637" s="577"/>
      <c r="I637" s="577"/>
      <c r="J637" s="577"/>
      <c r="K637" s="577"/>
      <c r="L637" s="882"/>
      <c r="M637" s="882"/>
      <c r="N637" s="645"/>
    </row>
    <row r="638">
      <c r="A638" s="67"/>
      <c r="B638" s="645"/>
      <c r="C638" s="575"/>
      <c r="D638" s="576"/>
      <c r="E638" s="576"/>
      <c r="F638" s="576"/>
      <c r="G638" s="577"/>
      <c r="H638" s="577"/>
      <c r="I638" s="577"/>
      <c r="J638" s="577"/>
      <c r="K638" s="577"/>
      <c r="L638" s="882"/>
      <c r="M638" s="882"/>
      <c r="N638" s="645"/>
    </row>
    <row r="639">
      <c r="A639" s="67"/>
      <c r="B639" s="645"/>
      <c r="C639" s="575"/>
      <c r="D639" s="576"/>
      <c r="E639" s="576"/>
      <c r="F639" s="576"/>
      <c r="G639" s="577"/>
      <c r="H639" s="577"/>
      <c r="I639" s="577"/>
      <c r="J639" s="577"/>
      <c r="K639" s="577"/>
      <c r="L639" s="882"/>
      <c r="M639" s="882"/>
      <c r="N639" s="645"/>
    </row>
    <row r="640">
      <c r="A640" s="67"/>
      <c r="B640" s="645"/>
      <c r="C640" s="575"/>
      <c r="D640" s="576"/>
      <c r="E640" s="576"/>
      <c r="F640" s="576"/>
      <c r="G640" s="577"/>
      <c r="H640" s="577"/>
      <c r="I640" s="577"/>
      <c r="J640" s="577"/>
      <c r="K640" s="577"/>
      <c r="L640" s="882"/>
      <c r="M640" s="882"/>
      <c r="N640" s="645"/>
    </row>
    <row r="641">
      <c r="A641" s="67"/>
      <c r="B641" s="645"/>
      <c r="C641" s="575"/>
      <c r="D641" s="576"/>
      <c r="E641" s="576"/>
      <c r="F641" s="576"/>
      <c r="G641" s="577"/>
      <c r="H641" s="577"/>
      <c r="I641" s="577"/>
      <c r="J641" s="577"/>
      <c r="K641" s="577"/>
      <c r="L641" s="882"/>
      <c r="M641" s="882"/>
      <c r="N641" s="645"/>
    </row>
    <row r="642">
      <c r="A642" s="67"/>
      <c r="B642" s="645"/>
      <c r="C642" s="575"/>
      <c r="D642" s="576"/>
      <c r="E642" s="576"/>
      <c r="F642" s="576"/>
      <c r="G642" s="577"/>
      <c r="H642" s="577"/>
      <c r="I642" s="577"/>
      <c r="J642" s="577"/>
      <c r="K642" s="577"/>
      <c r="L642" s="882"/>
      <c r="M642" s="882"/>
      <c r="N642" s="645"/>
    </row>
    <row r="643">
      <c r="A643" s="67"/>
      <c r="B643" s="645"/>
      <c r="C643" s="575"/>
      <c r="D643" s="576"/>
      <c r="E643" s="576"/>
      <c r="F643" s="576"/>
      <c r="G643" s="577"/>
      <c r="H643" s="577"/>
      <c r="I643" s="577"/>
      <c r="J643" s="577"/>
      <c r="K643" s="577"/>
      <c r="L643" s="882"/>
      <c r="M643" s="882"/>
      <c r="N643" s="645"/>
    </row>
    <row r="644">
      <c r="A644" s="67"/>
      <c r="B644" s="645"/>
      <c r="C644" s="575"/>
      <c r="D644" s="576"/>
      <c r="E644" s="576"/>
      <c r="F644" s="576"/>
      <c r="G644" s="577"/>
      <c r="H644" s="577"/>
      <c r="I644" s="577"/>
      <c r="J644" s="577"/>
      <c r="K644" s="577"/>
      <c r="L644" s="882"/>
      <c r="M644" s="882"/>
      <c r="N644" s="645"/>
    </row>
    <row r="645">
      <c r="A645" s="67"/>
      <c r="B645" s="645"/>
      <c r="C645" s="575"/>
      <c r="D645" s="576"/>
      <c r="E645" s="576"/>
      <c r="F645" s="576"/>
      <c r="G645" s="577"/>
      <c r="H645" s="577"/>
      <c r="I645" s="577"/>
      <c r="J645" s="577"/>
      <c r="K645" s="577"/>
      <c r="L645" s="882"/>
      <c r="M645" s="882"/>
      <c r="N645" s="645"/>
    </row>
    <row r="646">
      <c r="A646" s="67"/>
      <c r="B646" s="645"/>
      <c r="C646" s="575"/>
      <c r="D646" s="576"/>
      <c r="E646" s="576"/>
      <c r="F646" s="576"/>
      <c r="G646" s="577"/>
      <c r="H646" s="577"/>
      <c r="I646" s="577"/>
      <c r="J646" s="577"/>
      <c r="K646" s="577"/>
      <c r="L646" s="882"/>
      <c r="M646" s="882"/>
      <c r="N646" s="645"/>
    </row>
    <row r="647">
      <c r="A647" s="67"/>
      <c r="B647" s="645"/>
      <c r="C647" s="575"/>
      <c r="D647" s="576"/>
      <c r="E647" s="576"/>
      <c r="F647" s="576"/>
      <c r="G647" s="577"/>
      <c r="H647" s="577"/>
      <c r="I647" s="577"/>
      <c r="J647" s="577"/>
      <c r="K647" s="577"/>
      <c r="L647" s="882"/>
      <c r="M647" s="882"/>
      <c r="N647" s="645"/>
    </row>
    <row r="648">
      <c r="A648" s="67"/>
      <c r="B648" s="645"/>
      <c r="C648" s="575"/>
      <c r="D648" s="576"/>
      <c r="E648" s="576"/>
      <c r="F648" s="576"/>
      <c r="G648" s="577"/>
      <c r="H648" s="577"/>
      <c r="I648" s="577"/>
      <c r="J648" s="577"/>
      <c r="K648" s="577"/>
      <c r="L648" s="882"/>
      <c r="M648" s="882"/>
      <c r="N648" s="645"/>
    </row>
    <row r="649">
      <c r="A649" s="67"/>
      <c r="B649" s="645"/>
      <c r="C649" s="575"/>
      <c r="D649" s="576"/>
      <c r="E649" s="576"/>
      <c r="F649" s="576"/>
      <c r="G649" s="577"/>
      <c r="H649" s="577"/>
      <c r="I649" s="577"/>
      <c r="J649" s="577"/>
      <c r="K649" s="577"/>
      <c r="L649" s="882"/>
      <c r="M649" s="882"/>
      <c r="N649" s="645"/>
    </row>
    <row r="650">
      <c r="A650" s="67"/>
      <c r="B650" s="645"/>
      <c r="C650" s="575"/>
      <c r="D650" s="576"/>
      <c r="E650" s="576"/>
      <c r="F650" s="576"/>
      <c r="G650" s="577"/>
      <c r="H650" s="577"/>
      <c r="I650" s="577"/>
      <c r="J650" s="577"/>
      <c r="K650" s="577"/>
      <c r="L650" s="882"/>
      <c r="M650" s="882"/>
      <c r="N650" s="645"/>
    </row>
    <row r="651">
      <c r="A651" s="67"/>
      <c r="B651" s="645"/>
      <c r="C651" s="575"/>
      <c r="D651" s="576"/>
      <c r="E651" s="576"/>
      <c r="F651" s="576"/>
      <c r="G651" s="577"/>
      <c r="H651" s="577"/>
      <c r="I651" s="577"/>
      <c r="J651" s="577"/>
      <c r="K651" s="577"/>
      <c r="L651" s="882"/>
      <c r="M651" s="882"/>
      <c r="N651" s="645"/>
    </row>
    <row r="652">
      <c r="A652" s="67"/>
      <c r="B652" s="645"/>
      <c r="C652" s="575"/>
      <c r="D652" s="576"/>
      <c r="E652" s="576"/>
      <c r="F652" s="576"/>
      <c r="G652" s="577"/>
      <c r="H652" s="577"/>
      <c r="I652" s="577"/>
      <c r="J652" s="577"/>
      <c r="K652" s="577"/>
      <c r="L652" s="882"/>
      <c r="M652" s="882"/>
      <c r="N652" s="645"/>
    </row>
    <row r="653">
      <c r="A653" s="67"/>
      <c r="B653" s="645"/>
      <c r="C653" s="575"/>
      <c r="D653" s="576"/>
      <c r="E653" s="576"/>
      <c r="F653" s="576"/>
      <c r="G653" s="577"/>
      <c r="H653" s="577"/>
      <c r="I653" s="577"/>
      <c r="J653" s="577"/>
      <c r="K653" s="577"/>
      <c r="L653" s="882"/>
      <c r="M653" s="882"/>
      <c r="N653" s="645"/>
    </row>
    <row r="654">
      <c r="A654" s="67"/>
      <c r="B654" s="645"/>
      <c r="C654" s="575"/>
      <c r="D654" s="576"/>
      <c r="E654" s="576"/>
      <c r="F654" s="576"/>
      <c r="G654" s="577"/>
      <c r="H654" s="577"/>
      <c r="I654" s="577"/>
      <c r="J654" s="577"/>
      <c r="K654" s="577"/>
      <c r="L654" s="882"/>
      <c r="M654" s="882"/>
      <c r="N654" s="645"/>
    </row>
    <row r="655">
      <c r="A655" s="67"/>
      <c r="B655" s="645"/>
      <c r="C655" s="575"/>
      <c r="D655" s="576"/>
      <c r="E655" s="576"/>
      <c r="F655" s="576"/>
      <c r="G655" s="577"/>
      <c r="H655" s="577"/>
      <c r="I655" s="577"/>
      <c r="J655" s="577"/>
      <c r="K655" s="577"/>
      <c r="L655" s="882"/>
      <c r="M655" s="882"/>
      <c r="N655" s="645"/>
    </row>
    <row r="656">
      <c r="A656" s="67"/>
      <c r="B656" s="645"/>
      <c r="C656" s="575"/>
      <c r="D656" s="576"/>
      <c r="E656" s="576"/>
      <c r="F656" s="576"/>
      <c r="G656" s="577"/>
      <c r="H656" s="577"/>
      <c r="I656" s="577"/>
      <c r="J656" s="577"/>
      <c r="K656" s="577"/>
      <c r="L656" s="882"/>
      <c r="M656" s="882"/>
      <c r="N656" s="645"/>
    </row>
    <row r="657">
      <c r="A657" s="67"/>
      <c r="B657" s="645"/>
      <c r="C657" s="575"/>
      <c r="D657" s="576"/>
      <c r="E657" s="576"/>
      <c r="F657" s="576"/>
      <c r="G657" s="577"/>
      <c r="H657" s="577"/>
      <c r="I657" s="577"/>
      <c r="J657" s="577"/>
      <c r="K657" s="577"/>
      <c r="L657" s="882"/>
      <c r="M657" s="882"/>
      <c r="N657" s="645"/>
    </row>
    <row r="658">
      <c r="A658" s="67"/>
      <c r="B658" s="645"/>
      <c r="C658" s="575"/>
      <c r="D658" s="576"/>
      <c r="E658" s="576"/>
      <c r="F658" s="576"/>
      <c r="G658" s="577"/>
      <c r="H658" s="577"/>
      <c r="I658" s="577"/>
      <c r="J658" s="577"/>
      <c r="K658" s="577"/>
      <c r="L658" s="882"/>
      <c r="M658" s="882"/>
      <c r="N658" s="645"/>
    </row>
    <row r="659">
      <c r="A659" s="67"/>
      <c r="B659" s="645"/>
      <c r="C659" s="575"/>
      <c r="D659" s="576"/>
      <c r="E659" s="576"/>
      <c r="F659" s="576"/>
      <c r="G659" s="577"/>
      <c r="H659" s="577"/>
      <c r="I659" s="577"/>
      <c r="J659" s="577"/>
      <c r="K659" s="577"/>
      <c r="L659" s="882"/>
      <c r="M659" s="882"/>
      <c r="N659" s="645"/>
    </row>
    <row r="660">
      <c r="A660" s="67"/>
      <c r="B660" s="645"/>
      <c r="C660" s="575"/>
      <c r="D660" s="576"/>
      <c r="E660" s="576"/>
      <c r="F660" s="576"/>
      <c r="G660" s="577"/>
      <c r="H660" s="577"/>
      <c r="I660" s="577"/>
      <c r="J660" s="577"/>
      <c r="K660" s="577"/>
      <c r="L660" s="882"/>
      <c r="M660" s="882"/>
      <c r="N660" s="645"/>
    </row>
    <row r="661">
      <c r="A661" s="67"/>
      <c r="B661" s="645"/>
      <c r="C661" s="575"/>
      <c r="D661" s="576"/>
      <c r="E661" s="576"/>
      <c r="F661" s="576"/>
      <c r="G661" s="577"/>
      <c r="H661" s="577"/>
      <c r="I661" s="577"/>
      <c r="J661" s="577"/>
      <c r="K661" s="577"/>
      <c r="L661" s="882"/>
      <c r="M661" s="882"/>
      <c r="N661" s="645"/>
    </row>
    <row r="662">
      <c r="A662" s="67"/>
      <c r="B662" s="645"/>
      <c r="C662" s="575"/>
      <c r="D662" s="576"/>
      <c r="E662" s="576"/>
      <c r="F662" s="576"/>
      <c r="G662" s="577"/>
      <c r="H662" s="577"/>
      <c r="I662" s="577"/>
      <c r="J662" s="577"/>
      <c r="K662" s="577"/>
      <c r="L662" s="882"/>
      <c r="M662" s="882"/>
      <c r="N662" s="645"/>
    </row>
    <row r="663">
      <c r="A663" s="67"/>
      <c r="B663" s="645"/>
      <c r="C663" s="575"/>
      <c r="D663" s="576"/>
      <c r="E663" s="576"/>
      <c r="F663" s="576"/>
      <c r="G663" s="577"/>
      <c r="H663" s="577"/>
      <c r="I663" s="577"/>
      <c r="J663" s="577"/>
      <c r="K663" s="577"/>
      <c r="L663" s="882"/>
      <c r="M663" s="882"/>
      <c r="N663" s="645"/>
    </row>
    <row r="664">
      <c r="A664" s="67"/>
      <c r="B664" s="645"/>
      <c r="C664" s="575"/>
      <c r="D664" s="576"/>
      <c r="E664" s="576"/>
      <c r="F664" s="576"/>
      <c r="G664" s="577"/>
      <c r="H664" s="577"/>
      <c r="I664" s="577"/>
      <c r="J664" s="577"/>
      <c r="K664" s="577"/>
      <c r="L664" s="882"/>
      <c r="M664" s="882"/>
      <c r="N664" s="645"/>
    </row>
    <row r="665">
      <c r="A665" s="67"/>
      <c r="B665" s="645"/>
      <c r="C665" s="575"/>
      <c r="D665" s="576"/>
      <c r="E665" s="576"/>
      <c r="F665" s="576"/>
      <c r="G665" s="577"/>
      <c r="H665" s="577"/>
      <c r="I665" s="577"/>
      <c r="J665" s="577"/>
      <c r="K665" s="577"/>
      <c r="L665" s="882"/>
      <c r="M665" s="882"/>
      <c r="N665" s="645"/>
    </row>
    <row r="666">
      <c r="A666" s="67"/>
      <c r="B666" s="645"/>
      <c r="C666" s="575"/>
      <c r="D666" s="576"/>
      <c r="E666" s="576"/>
      <c r="F666" s="576"/>
      <c r="G666" s="577"/>
      <c r="H666" s="577"/>
      <c r="I666" s="577"/>
      <c r="J666" s="577"/>
      <c r="K666" s="577"/>
      <c r="L666" s="882"/>
      <c r="M666" s="882"/>
      <c r="N666" s="645"/>
    </row>
    <row r="667">
      <c r="A667" s="67"/>
      <c r="B667" s="645"/>
      <c r="C667" s="575"/>
      <c r="D667" s="576"/>
      <c r="E667" s="576"/>
      <c r="F667" s="576"/>
      <c r="G667" s="577"/>
      <c r="H667" s="577"/>
      <c r="I667" s="577"/>
      <c r="J667" s="577"/>
      <c r="K667" s="577"/>
      <c r="L667" s="882"/>
      <c r="M667" s="882"/>
      <c r="N667" s="645"/>
    </row>
    <row r="668">
      <c r="A668" s="67"/>
      <c r="B668" s="645"/>
      <c r="C668" s="575"/>
      <c r="D668" s="576"/>
      <c r="E668" s="576"/>
      <c r="F668" s="576"/>
      <c r="G668" s="577"/>
      <c r="H668" s="577"/>
      <c r="I668" s="577"/>
      <c r="J668" s="577"/>
      <c r="K668" s="577"/>
      <c r="L668" s="882"/>
      <c r="M668" s="882"/>
      <c r="N668" s="645"/>
    </row>
    <row r="669">
      <c r="A669" s="67"/>
      <c r="B669" s="645"/>
      <c r="C669" s="575"/>
      <c r="D669" s="576"/>
      <c r="E669" s="576"/>
      <c r="F669" s="576"/>
      <c r="G669" s="577"/>
      <c r="H669" s="577"/>
      <c r="I669" s="577"/>
      <c r="J669" s="577"/>
      <c r="K669" s="577"/>
      <c r="L669" s="882"/>
      <c r="M669" s="882"/>
      <c r="N669" s="645"/>
    </row>
    <row r="670">
      <c r="A670" s="67"/>
      <c r="B670" s="645"/>
      <c r="C670" s="575"/>
      <c r="D670" s="576"/>
      <c r="E670" s="576"/>
      <c r="F670" s="576"/>
      <c r="G670" s="577"/>
      <c r="H670" s="577"/>
      <c r="I670" s="577"/>
      <c r="J670" s="577"/>
      <c r="K670" s="577"/>
      <c r="L670" s="882"/>
      <c r="M670" s="882"/>
      <c r="N670" s="645"/>
    </row>
    <row r="671">
      <c r="A671" s="67"/>
      <c r="B671" s="645"/>
      <c r="C671" s="575"/>
      <c r="D671" s="576"/>
      <c r="E671" s="576"/>
      <c r="F671" s="576"/>
      <c r="G671" s="577"/>
      <c r="H671" s="577"/>
      <c r="I671" s="577"/>
      <c r="J671" s="577"/>
      <c r="K671" s="577"/>
      <c r="L671" s="882"/>
      <c r="M671" s="882"/>
      <c r="N671" s="645"/>
    </row>
    <row r="672">
      <c r="A672" s="67"/>
      <c r="B672" s="645"/>
      <c r="C672" s="575"/>
      <c r="D672" s="576"/>
      <c r="E672" s="576"/>
      <c r="F672" s="576"/>
      <c r="G672" s="577"/>
      <c r="H672" s="577"/>
      <c r="I672" s="577"/>
      <c r="J672" s="577"/>
      <c r="K672" s="577"/>
      <c r="L672" s="882"/>
      <c r="M672" s="882"/>
      <c r="N672" s="645"/>
    </row>
    <row r="673">
      <c r="A673" s="67"/>
      <c r="B673" s="645"/>
      <c r="C673" s="575"/>
      <c r="D673" s="576"/>
      <c r="E673" s="576"/>
      <c r="F673" s="576"/>
      <c r="G673" s="577"/>
      <c r="H673" s="577"/>
      <c r="I673" s="577"/>
      <c r="J673" s="577"/>
      <c r="K673" s="577"/>
      <c r="L673" s="882"/>
      <c r="M673" s="882"/>
      <c r="N673" s="645"/>
    </row>
    <row r="674">
      <c r="A674" s="67"/>
      <c r="B674" s="645"/>
      <c r="C674" s="575"/>
      <c r="D674" s="576"/>
      <c r="E674" s="576"/>
      <c r="F674" s="576"/>
      <c r="G674" s="577"/>
      <c r="H674" s="577"/>
      <c r="I674" s="577"/>
      <c r="J674" s="577"/>
      <c r="K674" s="577"/>
      <c r="L674" s="882"/>
      <c r="M674" s="882"/>
      <c r="N674" s="645"/>
    </row>
    <row r="675">
      <c r="A675" s="67"/>
      <c r="B675" s="645"/>
      <c r="C675" s="575"/>
      <c r="D675" s="576"/>
      <c r="E675" s="576"/>
      <c r="F675" s="576"/>
      <c r="G675" s="577"/>
      <c r="H675" s="577"/>
      <c r="I675" s="577"/>
      <c r="J675" s="577"/>
      <c r="K675" s="577"/>
      <c r="L675" s="882"/>
      <c r="M675" s="882"/>
      <c r="N675" s="645"/>
    </row>
    <row r="676">
      <c r="A676" s="67"/>
      <c r="B676" s="645"/>
      <c r="C676" s="575"/>
      <c r="D676" s="576"/>
      <c r="E676" s="576"/>
      <c r="F676" s="576"/>
      <c r="G676" s="577"/>
      <c r="H676" s="577"/>
      <c r="I676" s="577"/>
      <c r="J676" s="577"/>
      <c r="K676" s="577"/>
      <c r="L676" s="882"/>
      <c r="M676" s="882"/>
      <c r="N676" s="645"/>
    </row>
    <row r="677">
      <c r="A677" s="67"/>
      <c r="B677" s="645"/>
      <c r="C677" s="575"/>
      <c r="D677" s="576"/>
      <c r="E677" s="576"/>
      <c r="F677" s="576"/>
      <c r="G677" s="577"/>
      <c r="H677" s="577"/>
      <c r="I677" s="577"/>
      <c r="J677" s="577"/>
      <c r="K677" s="577"/>
      <c r="L677" s="882"/>
      <c r="M677" s="882"/>
      <c r="N677" s="645"/>
    </row>
    <row r="678">
      <c r="A678" s="67"/>
      <c r="B678" s="645"/>
      <c r="C678" s="575"/>
      <c r="D678" s="576"/>
      <c r="E678" s="576"/>
      <c r="F678" s="576"/>
      <c r="G678" s="577"/>
      <c r="H678" s="577"/>
      <c r="I678" s="577"/>
      <c r="J678" s="577"/>
      <c r="K678" s="577"/>
      <c r="L678" s="882"/>
      <c r="M678" s="882"/>
      <c r="N678" s="645"/>
    </row>
    <row r="679">
      <c r="A679" s="67"/>
      <c r="B679" s="645"/>
      <c r="C679" s="575"/>
      <c r="D679" s="576"/>
      <c r="E679" s="576"/>
      <c r="F679" s="576"/>
      <c r="G679" s="577"/>
      <c r="H679" s="577"/>
      <c r="I679" s="577"/>
      <c r="J679" s="577"/>
      <c r="K679" s="577"/>
      <c r="L679" s="882"/>
      <c r="M679" s="882"/>
      <c r="N679" s="645"/>
    </row>
    <row r="680">
      <c r="A680" s="67"/>
      <c r="B680" s="645"/>
      <c r="C680" s="575"/>
      <c r="D680" s="576"/>
      <c r="E680" s="576"/>
      <c r="F680" s="576"/>
      <c r="G680" s="577"/>
      <c r="H680" s="577"/>
      <c r="I680" s="577"/>
      <c r="J680" s="577"/>
      <c r="K680" s="577"/>
      <c r="L680" s="882"/>
      <c r="M680" s="882"/>
      <c r="N680" s="645"/>
    </row>
  </sheetData>
  <mergeCells count="2">
    <mergeCell ref="B1:F4"/>
    <mergeCell ref="A6:D6"/>
  </mergeCells>
  <dataValidations>
    <dataValidation type="list" allowBlank="1" showErrorMessage="1" sqref="B9:B302">
      <formula1>"Class"</formula1>
    </dataValidation>
  </dataValidations>
  <hyperlinks>
    <hyperlink r:id="rId1" ref="B5"/>
    <hyperlink r:id="rId2" ref="G9"/>
    <hyperlink r:id="rId3" ref="J9"/>
    <hyperlink r:id="rId4" ref="K9"/>
    <hyperlink r:id="rId5" ref="G10"/>
    <hyperlink r:id="rId6" ref="J10"/>
    <hyperlink r:id="rId7" ref="K10"/>
    <hyperlink r:id="rId8" ref="G11"/>
    <hyperlink r:id="rId9" ref="J11"/>
    <hyperlink r:id="rId10" ref="K11"/>
    <hyperlink r:id="rId11" ref="G12"/>
    <hyperlink r:id="rId12" ref="J12"/>
    <hyperlink r:id="rId13" ref="K12"/>
    <hyperlink r:id="rId14" ref="G13"/>
    <hyperlink r:id="rId15" ref="J13"/>
    <hyperlink r:id="rId16" ref="K13"/>
    <hyperlink r:id="rId17" ref="G14"/>
    <hyperlink r:id="rId18" ref="J14"/>
    <hyperlink r:id="rId19" ref="K14"/>
    <hyperlink r:id="rId20" ref="G15"/>
    <hyperlink r:id="rId21" ref="J15"/>
    <hyperlink r:id="rId22" ref="K15"/>
    <hyperlink r:id="rId23" ref="G16"/>
    <hyperlink r:id="rId24" ref="J16"/>
    <hyperlink r:id="rId25" ref="K16"/>
    <hyperlink r:id="rId26" ref="G17"/>
    <hyperlink r:id="rId27" ref="J17"/>
    <hyperlink r:id="rId28" ref="K17"/>
    <hyperlink r:id="rId29" ref="G18"/>
    <hyperlink r:id="rId30" ref="J18"/>
    <hyperlink r:id="rId31" ref="K18"/>
    <hyperlink r:id="rId32" ref="G19"/>
    <hyperlink r:id="rId33" ref="J19"/>
    <hyperlink r:id="rId34" ref="K19"/>
    <hyperlink r:id="rId35" ref="G20"/>
    <hyperlink r:id="rId36" ref="J20"/>
    <hyperlink r:id="rId37" ref="K20"/>
    <hyperlink r:id="rId38" ref="G21"/>
    <hyperlink r:id="rId39" ref="J21"/>
    <hyperlink r:id="rId40" ref="K21"/>
    <hyperlink r:id="rId41" ref="G22"/>
    <hyperlink r:id="rId42" ref="J22"/>
    <hyperlink r:id="rId43" ref="K22"/>
    <hyperlink r:id="rId44" ref="G23"/>
    <hyperlink r:id="rId45" ref="J23"/>
    <hyperlink r:id="rId46" ref="K23"/>
    <hyperlink r:id="rId47" ref="G24"/>
    <hyperlink r:id="rId48" ref="J24"/>
    <hyperlink r:id="rId49" ref="K24"/>
    <hyperlink r:id="rId50" ref="G25"/>
    <hyperlink r:id="rId51" ref="J25"/>
    <hyperlink r:id="rId52" ref="K25"/>
    <hyperlink r:id="rId53" ref="G26"/>
    <hyperlink r:id="rId54" ref="J26"/>
    <hyperlink r:id="rId55" ref="K26"/>
    <hyperlink r:id="rId56" ref="G27"/>
    <hyperlink r:id="rId57" ref="J27"/>
    <hyperlink r:id="rId58" ref="K27"/>
    <hyperlink r:id="rId59" ref="G28"/>
    <hyperlink r:id="rId60" ref="J28"/>
    <hyperlink r:id="rId61" ref="K28"/>
    <hyperlink r:id="rId62" ref="G29"/>
    <hyperlink r:id="rId63" ref="J29"/>
    <hyperlink r:id="rId64" ref="K29"/>
    <hyperlink r:id="rId65" ref="G30"/>
    <hyperlink r:id="rId66" ref="J30"/>
    <hyperlink r:id="rId67" ref="K30"/>
    <hyperlink r:id="rId68" ref="G31"/>
    <hyperlink r:id="rId69" ref="J31"/>
    <hyperlink r:id="rId70" ref="K31"/>
    <hyperlink r:id="rId71" ref="G32"/>
    <hyperlink r:id="rId72" ref="J32"/>
    <hyperlink r:id="rId73" ref="K32"/>
    <hyperlink r:id="rId74" ref="G33"/>
    <hyperlink r:id="rId75" ref="J33"/>
    <hyperlink r:id="rId76" ref="K33"/>
    <hyperlink r:id="rId77" ref="G34"/>
    <hyperlink r:id="rId78" ref="J34"/>
    <hyperlink r:id="rId79" ref="K34"/>
    <hyperlink r:id="rId80" ref="G35"/>
    <hyperlink r:id="rId81" ref="J35"/>
    <hyperlink r:id="rId82" ref="K35"/>
    <hyperlink r:id="rId83" ref="G36"/>
    <hyperlink r:id="rId84" ref="J36"/>
    <hyperlink r:id="rId85" ref="K36"/>
    <hyperlink r:id="rId86" ref="G37"/>
    <hyperlink r:id="rId87" ref="J37"/>
    <hyperlink r:id="rId88" ref="K37"/>
    <hyperlink r:id="rId89" ref="G38"/>
    <hyperlink r:id="rId90" ref="J38"/>
    <hyperlink r:id="rId91" ref="K38"/>
    <hyperlink r:id="rId92" ref="G39"/>
    <hyperlink r:id="rId93" ref="J39"/>
    <hyperlink r:id="rId94" ref="K39"/>
    <hyperlink r:id="rId95" ref="G40"/>
    <hyperlink r:id="rId96" ref="J40"/>
    <hyperlink r:id="rId97" ref="K40"/>
    <hyperlink r:id="rId98" ref="G41"/>
    <hyperlink r:id="rId99" ref="J41"/>
    <hyperlink r:id="rId100" ref="K41"/>
    <hyperlink r:id="rId101" ref="G42"/>
    <hyperlink r:id="rId102" ref="J42"/>
    <hyperlink r:id="rId103" ref="K42"/>
    <hyperlink r:id="rId104" ref="G43"/>
    <hyperlink r:id="rId105" ref="J43"/>
    <hyperlink r:id="rId106" ref="K43"/>
    <hyperlink r:id="rId107" ref="F44"/>
    <hyperlink r:id="rId108" ref="G44"/>
    <hyperlink r:id="rId109" ref="J44"/>
    <hyperlink r:id="rId110" ref="K44"/>
    <hyperlink r:id="rId111" ref="G45"/>
    <hyperlink r:id="rId112" ref="J45"/>
    <hyperlink r:id="rId113" ref="K45"/>
    <hyperlink r:id="rId114" ref="G46"/>
    <hyperlink r:id="rId115" ref="J46"/>
    <hyperlink r:id="rId116" ref="K46"/>
    <hyperlink r:id="rId117" ref="G47"/>
    <hyperlink r:id="rId118" ref="J47"/>
    <hyperlink r:id="rId119" ref="K47"/>
    <hyperlink r:id="rId120" ref="G48"/>
    <hyperlink r:id="rId121" ref="J48"/>
    <hyperlink r:id="rId122" ref="K48"/>
    <hyperlink r:id="rId123" ref="G49"/>
    <hyperlink r:id="rId124" ref="J49"/>
    <hyperlink r:id="rId125" ref="K49"/>
    <hyperlink r:id="rId126" ref="G50"/>
    <hyperlink r:id="rId127" ref="J50"/>
    <hyperlink r:id="rId128" ref="K50"/>
    <hyperlink r:id="rId129" ref="G51"/>
    <hyperlink r:id="rId130" ref="J51"/>
    <hyperlink r:id="rId131" ref="K51"/>
    <hyperlink r:id="rId132" ref="G52"/>
    <hyperlink r:id="rId133" ref="J52"/>
    <hyperlink r:id="rId134" ref="K52"/>
    <hyperlink r:id="rId135" ref="G53"/>
    <hyperlink r:id="rId136" ref="J53"/>
    <hyperlink r:id="rId137" ref="K53"/>
    <hyperlink r:id="rId138" ref="G54"/>
    <hyperlink r:id="rId139" ref="J54"/>
    <hyperlink r:id="rId140" ref="K54"/>
    <hyperlink r:id="rId141" ref="G55"/>
    <hyperlink r:id="rId142" ref="J55"/>
    <hyperlink r:id="rId143" ref="K55"/>
    <hyperlink r:id="rId144" ref="G56"/>
    <hyperlink r:id="rId145" ref="J56"/>
    <hyperlink r:id="rId146" ref="K56"/>
    <hyperlink r:id="rId147" ref="G57"/>
    <hyperlink r:id="rId148" ref="J57"/>
    <hyperlink r:id="rId149" ref="K57"/>
    <hyperlink r:id="rId150" ref="G58"/>
    <hyperlink r:id="rId151" ref="J58"/>
    <hyperlink r:id="rId152" ref="K58"/>
    <hyperlink r:id="rId153" ref="G59"/>
    <hyperlink r:id="rId154" ref="J59"/>
    <hyperlink r:id="rId155" ref="K59"/>
    <hyperlink r:id="rId156" ref="G60"/>
    <hyperlink r:id="rId157" ref="J60"/>
    <hyperlink r:id="rId158" ref="K60"/>
    <hyperlink r:id="rId159" ref="G61"/>
    <hyperlink r:id="rId160" ref="J61"/>
    <hyperlink r:id="rId161" ref="K61"/>
    <hyperlink r:id="rId162" ref="G62"/>
    <hyperlink r:id="rId163" ref="J62"/>
    <hyperlink r:id="rId164" ref="K62"/>
    <hyperlink r:id="rId165" ref="G63"/>
    <hyperlink r:id="rId166" ref="J63"/>
    <hyperlink r:id="rId167" ref="K63"/>
    <hyperlink r:id="rId168" ref="G64"/>
    <hyperlink r:id="rId169" ref="J64"/>
    <hyperlink r:id="rId170" ref="K64"/>
    <hyperlink r:id="rId171" ref="F65"/>
    <hyperlink r:id="rId172" ref="G65"/>
    <hyperlink r:id="rId173" ref="J65"/>
    <hyperlink r:id="rId174" ref="K65"/>
    <hyperlink r:id="rId175" ref="G66"/>
    <hyperlink r:id="rId176" ref="J66"/>
    <hyperlink r:id="rId177" ref="K66"/>
    <hyperlink r:id="rId178" ref="G67"/>
    <hyperlink r:id="rId179" ref="J67"/>
    <hyperlink r:id="rId180" ref="K67"/>
    <hyperlink r:id="rId181" ref="G68"/>
    <hyperlink r:id="rId182" ref="J68"/>
    <hyperlink r:id="rId183" ref="K68"/>
    <hyperlink r:id="rId184" ref="G69"/>
    <hyperlink r:id="rId185" ref="J69"/>
    <hyperlink r:id="rId186" ref="K69"/>
    <hyperlink r:id="rId187" ref="G70"/>
    <hyperlink r:id="rId188" ref="J70"/>
    <hyperlink r:id="rId189" ref="K70"/>
    <hyperlink r:id="rId190" ref="G71"/>
    <hyperlink r:id="rId191" ref="J71"/>
    <hyperlink r:id="rId192" ref="K71"/>
    <hyperlink r:id="rId193" ref="G72"/>
    <hyperlink r:id="rId194" ref="J72"/>
    <hyperlink r:id="rId195" ref="K72"/>
    <hyperlink r:id="rId196" ref="G73"/>
    <hyperlink r:id="rId197" ref="J73"/>
    <hyperlink r:id="rId198" ref="K73"/>
    <hyperlink r:id="rId199" ref="G74"/>
    <hyperlink r:id="rId200" ref="J74"/>
    <hyperlink r:id="rId201" ref="K74"/>
    <hyperlink r:id="rId202" ref="G75"/>
    <hyperlink r:id="rId203" ref="J75"/>
    <hyperlink r:id="rId204" ref="K75"/>
    <hyperlink r:id="rId205" ref="G76"/>
    <hyperlink r:id="rId206" ref="J76"/>
    <hyperlink r:id="rId207" ref="K76"/>
    <hyperlink r:id="rId208" ref="J77"/>
    <hyperlink r:id="rId209" ref="K77"/>
    <hyperlink r:id="rId210" ref="G78"/>
    <hyperlink r:id="rId211" ref="J78"/>
    <hyperlink r:id="rId212" ref="K78"/>
    <hyperlink r:id="rId213" ref="G79"/>
    <hyperlink r:id="rId214" ref="J79"/>
    <hyperlink r:id="rId215" ref="K79"/>
    <hyperlink r:id="rId216" ref="G80"/>
    <hyperlink r:id="rId217" ref="J80"/>
    <hyperlink r:id="rId218" ref="K80"/>
    <hyperlink r:id="rId219" ref="G81"/>
    <hyperlink r:id="rId220" ref="J81"/>
    <hyperlink r:id="rId221" ref="K81"/>
    <hyperlink r:id="rId222" ref="G82"/>
    <hyperlink r:id="rId223" ref="J82"/>
    <hyperlink r:id="rId224" ref="K82"/>
    <hyperlink r:id="rId225" ref="G83"/>
    <hyperlink r:id="rId226" ref="J83"/>
    <hyperlink r:id="rId227" ref="K83"/>
    <hyperlink r:id="rId228" ref="G84"/>
    <hyperlink r:id="rId229" ref="J84"/>
    <hyperlink r:id="rId230" ref="K84"/>
    <hyperlink r:id="rId231" ref="G85"/>
    <hyperlink r:id="rId232" ref="J85"/>
    <hyperlink r:id="rId233" ref="K85"/>
    <hyperlink r:id="rId234" ref="G86"/>
    <hyperlink r:id="rId235" ref="J86"/>
    <hyperlink r:id="rId236" ref="K86"/>
    <hyperlink r:id="rId237" ref="G87"/>
    <hyperlink r:id="rId238" ref="J87"/>
    <hyperlink r:id="rId239" ref="K87"/>
    <hyperlink r:id="rId240" ref="G88"/>
    <hyperlink r:id="rId241" ref="J88"/>
    <hyperlink r:id="rId242" ref="K88"/>
    <hyperlink r:id="rId243" ref="G89"/>
    <hyperlink r:id="rId244" ref="J89"/>
    <hyperlink r:id="rId245" ref="K89"/>
    <hyperlink r:id="rId246" ref="G90"/>
    <hyperlink r:id="rId247" ref="J90"/>
    <hyperlink r:id="rId248" ref="K90"/>
    <hyperlink r:id="rId249" ref="G91"/>
    <hyperlink r:id="rId250" ref="J91"/>
    <hyperlink r:id="rId251" ref="K91"/>
    <hyperlink r:id="rId252" ref="G92"/>
    <hyperlink r:id="rId253" ref="J92"/>
    <hyperlink r:id="rId254" ref="G93"/>
    <hyperlink r:id="rId255" ref="J93"/>
    <hyperlink r:id="rId256" ref="G94"/>
    <hyperlink r:id="rId257" ref="J94"/>
    <hyperlink r:id="rId258" ref="G95"/>
    <hyperlink r:id="rId259" ref="J95"/>
    <hyperlink r:id="rId260" ref="J96"/>
    <hyperlink r:id="rId261" ref="G97"/>
    <hyperlink r:id="rId262" ref="J97"/>
    <hyperlink r:id="rId263" ref="G98"/>
    <hyperlink r:id="rId264" ref="J98"/>
    <hyperlink r:id="rId265" ref="G99"/>
    <hyperlink r:id="rId266" ref="J99"/>
    <hyperlink r:id="rId267" ref="G100"/>
    <hyperlink r:id="rId268" ref="J100"/>
    <hyperlink r:id="rId269" ref="G101"/>
    <hyperlink r:id="rId270" ref="J101"/>
    <hyperlink r:id="rId271" ref="G102"/>
    <hyperlink r:id="rId272" ref="J102"/>
    <hyperlink r:id="rId273" ref="G103"/>
    <hyperlink r:id="rId274" ref="J103"/>
    <hyperlink r:id="rId275" ref="K103"/>
    <hyperlink r:id="rId276" ref="G104"/>
    <hyperlink r:id="rId277" ref="J104"/>
    <hyperlink r:id="rId278" ref="K104"/>
  </hyperlinks>
  <drawing r:id="rId279"/>
  <tableParts count="11">
    <tablePart r:id="rId291"/>
    <tablePart r:id="rId292"/>
    <tablePart r:id="rId293"/>
    <tablePart r:id="rId294"/>
    <tablePart r:id="rId295"/>
    <tablePart r:id="rId296"/>
    <tablePart r:id="rId297"/>
    <tablePart r:id="rId298"/>
    <tablePart r:id="rId299"/>
    <tablePart r:id="rId300"/>
    <tablePart r:id="rId301"/>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outlineLevelCol="1"/>
  <cols>
    <col customWidth="1" min="1" max="1" width="5.0"/>
    <col customWidth="1" min="2" max="2" width="42.71"/>
    <col customWidth="1" min="3" max="3" width="80.14"/>
    <col customWidth="1" min="4" max="11" width="27.29"/>
  </cols>
  <sheetData>
    <row r="1">
      <c r="A1" s="8" t="s">
        <v>3906</v>
      </c>
      <c r="B1" s="9" t="s">
        <v>4857</v>
      </c>
      <c r="C1" s="11"/>
      <c r="D1" s="18"/>
      <c r="E1" s="18"/>
      <c r="F1" s="18"/>
      <c r="G1" s="18"/>
      <c r="H1" s="18"/>
      <c r="I1" s="18"/>
      <c r="J1" s="18"/>
      <c r="K1" s="18"/>
      <c r="L1" s="692"/>
      <c r="M1" s="692"/>
    </row>
    <row r="2">
      <c r="A2" s="21"/>
      <c r="B2" s="22"/>
      <c r="C2" s="24"/>
      <c r="D2" s="18"/>
      <c r="E2" s="18"/>
      <c r="F2" s="18"/>
      <c r="G2" s="18"/>
      <c r="H2" s="18"/>
      <c r="I2" s="18"/>
      <c r="J2" s="18"/>
      <c r="K2" s="18"/>
      <c r="L2" s="692"/>
      <c r="M2" s="692"/>
    </row>
    <row r="3">
      <c r="A3" s="21"/>
      <c r="B3" s="22"/>
      <c r="C3" s="24"/>
      <c r="D3" s="18"/>
      <c r="E3" s="18"/>
      <c r="F3" s="18"/>
      <c r="G3" s="18"/>
      <c r="H3" s="18"/>
      <c r="I3" s="18"/>
      <c r="J3" s="18"/>
      <c r="K3" s="18"/>
      <c r="L3" s="692"/>
      <c r="M3" s="692"/>
    </row>
    <row r="4">
      <c r="A4" s="21"/>
      <c r="B4" s="26"/>
      <c r="C4" s="28"/>
      <c r="D4" s="18"/>
      <c r="E4" s="18"/>
      <c r="F4" s="18"/>
      <c r="G4" s="18"/>
      <c r="H4" s="18"/>
      <c r="I4" s="18"/>
      <c r="J4" s="18"/>
      <c r="K4" s="18"/>
      <c r="L4" s="692"/>
      <c r="M4" s="692"/>
    </row>
    <row r="5">
      <c r="A5" s="21"/>
      <c r="B5" s="49" t="s">
        <v>39</v>
      </c>
      <c r="C5" s="33"/>
      <c r="D5" s="18"/>
      <c r="E5" s="18"/>
      <c r="F5" s="18"/>
      <c r="G5" s="18"/>
      <c r="H5" s="18"/>
      <c r="I5" s="18"/>
      <c r="J5" s="18"/>
      <c r="K5" s="18"/>
      <c r="L5" s="692"/>
      <c r="M5" s="692"/>
    </row>
    <row r="6">
      <c r="A6" s="106"/>
      <c r="B6" s="52"/>
      <c r="C6" s="53"/>
      <c r="D6" s="18"/>
      <c r="E6" s="18"/>
      <c r="F6" s="18"/>
      <c r="G6" s="18"/>
      <c r="H6" s="18"/>
      <c r="I6" s="18"/>
      <c r="J6" s="18"/>
      <c r="K6" s="18"/>
      <c r="L6" s="19"/>
      <c r="M6" s="19"/>
    </row>
    <row r="7">
      <c r="A7" s="56"/>
      <c r="B7" s="57"/>
      <c r="C7" s="58"/>
      <c r="D7" s="61"/>
      <c r="E7" s="61"/>
      <c r="F7" s="61"/>
      <c r="G7" s="61"/>
      <c r="H7" s="61"/>
      <c r="I7" s="61"/>
      <c r="J7" s="61"/>
      <c r="K7" s="61"/>
      <c r="L7" s="697"/>
      <c r="M7" s="697"/>
    </row>
    <row r="8">
      <c r="A8" s="67"/>
      <c r="B8" s="68" t="s">
        <v>0</v>
      </c>
      <c r="C8" s="68" t="s">
        <v>150</v>
      </c>
      <c r="D8" s="70" t="s">
        <v>152</v>
      </c>
      <c r="E8" s="70" t="s">
        <v>153</v>
      </c>
      <c r="F8" s="70" t="s">
        <v>154</v>
      </c>
      <c r="G8" s="72" t="s">
        <v>156</v>
      </c>
      <c r="H8" s="72" t="s">
        <v>158</v>
      </c>
      <c r="I8" s="72" t="s">
        <v>159</v>
      </c>
      <c r="J8" s="72" t="s">
        <v>160</v>
      </c>
      <c r="K8" s="72" t="s">
        <v>162</v>
      </c>
      <c r="L8" s="75" t="s">
        <v>163</v>
      </c>
      <c r="M8" s="75" t="s">
        <v>164</v>
      </c>
      <c r="N8" s="75" t="s">
        <v>165</v>
      </c>
      <c r="O8" s="75" t="s">
        <v>166</v>
      </c>
    </row>
    <row r="9">
      <c r="A9" s="825"/>
      <c r="B9" s="826" t="s">
        <v>861</v>
      </c>
      <c r="C9" s="827" t="s">
        <v>4890</v>
      </c>
      <c r="D9" s="828" t="s">
        <v>212</v>
      </c>
      <c r="E9" s="828" t="s">
        <v>4893</v>
      </c>
      <c r="F9" s="828" t="s">
        <v>215</v>
      </c>
      <c r="G9" s="829" t="s">
        <v>216</v>
      </c>
      <c r="H9" s="828" t="s">
        <v>192</v>
      </c>
      <c r="I9" s="828" t="s">
        <v>195</v>
      </c>
      <c r="J9" s="830" t="s">
        <v>4897</v>
      </c>
      <c r="K9" s="830" t="s">
        <v>4897</v>
      </c>
      <c r="L9" s="831">
        <v>5.0</v>
      </c>
      <c r="M9" s="832">
        <v>46303.0</v>
      </c>
      <c r="N9" s="833" t="s">
        <v>257</v>
      </c>
      <c r="O9" s="835" t="s">
        <v>4908</v>
      </c>
      <c r="P9" s="836"/>
      <c r="Q9" s="836"/>
      <c r="R9" s="836"/>
      <c r="S9" s="836"/>
      <c r="T9" s="836"/>
      <c r="U9" s="836"/>
      <c r="V9" s="836"/>
      <c r="W9" s="836"/>
      <c r="X9" s="836"/>
      <c r="Y9" s="836"/>
      <c r="Z9" s="836"/>
      <c r="AA9" s="836"/>
      <c r="AB9" s="836"/>
      <c r="AC9" s="836"/>
      <c r="AD9" s="836"/>
      <c r="AE9" s="836"/>
      <c r="AF9" s="836"/>
      <c r="AG9" s="836"/>
      <c r="AH9" s="836"/>
    </row>
    <row r="10">
      <c r="A10" s="825"/>
      <c r="B10" s="826" t="s">
        <v>861</v>
      </c>
      <c r="C10" s="838" t="s">
        <v>4913</v>
      </c>
      <c r="D10" s="831" t="s">
        <v>241</v>
      </c>
      <c r="E10" s="831" t="s">
        <v>317</v>
      </c>
      <c r="F10" s="831" t="s">
        <v>4002</v>
      </c>
      <c r="G10" s="839" t="s">
        <v>245</v>
      </c>
      <c r="H10" s="831"/>
      <c r="I10" s="831"/>
      <c r="J10" s="839" t="s">
        <v>4917</v>
      </c>
      <c r="K10" s="839" t="s">
        <v>4917</v>
      </c>
      <c r="L10" s="832"/>
      <c r="M10" s="832">
        <v>46317.0</v>
      </c>
      <c r="N10" s="833" t="s">
        <v>257</v>
      </c>
      <c r="O10" s="835" t="s">
        <v>4924</v>
      </c>
      <c r="P10" s="836"/>
      <c r="Q10" s="836"/>
      <c r="R10" s="836"/>
      <c r="S10" s="836"/>
      <c r="T10" s="836"/>
      <c r="U10" s="836"/>
      <c r="V10" s="836"/>
      <c r="W10" s="836"/>
      <c r="X10" s="836"/>
      <c r="Y10" s="836"/>
      <c r="Z10" s="836"/>
      <c r="AA10" s="836"/>
      <c r="AB10" s="836"/>
      <c r="AC10" s="836"/>
      <c r="AD10" s="836"/>
      <c r="AE10" s="836"/>
      <c r="AF10" s="836"/>
      <c r="AG10" s="836"/>
      <c r="AH10" s="836"/>
    </row>
    <row r="11">
      <c r="A11" s="836"/>
      <c r="B11" s="826" t="s">
        <v>861</v>
      </c>
      <c r="C11" s="843"/>
      <c r="D11" s="844"/>
      <c r="E11" s="844"/>
      <c r="F11" s="844"/>
      <c r="G11" s="844"/>
      <c r="H11" s="844"/>
      <c r="I11" s="844"/>
      <c r="J11" s="844"/>
      <c r="K11" s="844"/>
      <c r="L11" s="832"/>
      <c r="M11" s="832"/>
      <c r="N11" s="836"/>
      <c r="O11" s="836"/>
      <c r="P11" s="836"/>
      <c r="Q11" s="836"/>
      <c r="R11" s="836"/>
      <c r="S11" s="836"/>
      <c r="T11" s="836"/>
      <c r="U11" s="836"/>
      <c r="V11" s="836"/>
      <c r="W11" s="836"/>
      <c r="X11" s="836"/>
      <c r="Y11" s="836"/>
      <c r="Z11" s="836"/>
      <c r="AA11" s="836"/>
      <c r="AB11" s="836"/>
      <c r="AC11" s="836"/>
      <c r="AD11" s="836"/>
      <c r="AE11" s="836"/>
      <c r="AF11" s="836"/>
      <c r="AG11" s="836"/>
      <c r="AH11" s="836"/>
    </row>
    <row r="12">
      <c r="A12" s="836"/>
      <c r="B12" s="826" t="s">
        <v>861</v>
      </c>
      <c r="C12" s="843"/>
      <c r="D12" s="844"/>
      <c r="E12" s="844"/>
      <c r="F12" s="844"/>
      <c r="G12" s="844"/>
      <c r="H12" s="844"/>
      <c r="I12" s="844"/>
      <c r="J12" s="844"/>
      <c r="K12" s="844"/>
      <c r="L12" s="846"/>
      <c r="M12" s="846"/>
      <c r="N12" s="836"/>
      <c r="O12" s="836"/>
      <c r="P12" s="836"/>
      <c r="Q12" s="836"/>
      <c r="R12" s="836"/>
      <c r="S12" s="836"/>
      <c r="T12" s="836"/>
      <c r="U12" s="836"/>
      <c r="V12" s="836"/>
      <c r="W12" s="836"/>
      <c r="X12" s="836"/>
      <c r="Y12" s="836"/>
      <c r="Z12" s="836"/>
      <c r="AA12" s="836"/>
      <c r="AB12" s="836"/>
      <c r="AC12" s="836"/>
      <c r="AD12" s="836"/>
      <c r="AE12" s="836"/>
      <c r="AF12" s="836"/>
      <c r="AG12" s="836"/>
      <c r="AH12" s="836"/>
    </row>
    <row r="13">
      <c r="A13" s="836"/>
      <c r="B13" s="826" t="s">
        <v>861</v>
      </c>
      <c r="C13" s="843"/>
      <c r="D13" s="844"/>
      <c r="E13" s="844"/>
      <c r="F13" s="844"/>
      <c r="G13" s="844"/>
      <c r="H13" s="844"/>
      <c r="I13" s="844"/>
      <c r="J13" s="844"/>
      <c r="K13" s="844"/>
      <c r="L13" s="846"/>
      <c r="M13" s="846"/>
      <c r="N13" s="836"/>
      <c r="O13" s="836"/>
      <c r="P13" s="836"/>
      <c r="Q13" s="836"/>
      <c r="R13" s="836"/>
      <c r="S13" s="836"/>
      <c r="T13" s="836"/>
      <c r="U13" s="836"/>
      <c r="V13" s="836"/>
      <c r="W13" s="836"/>
      <c r="X13" s="836"/>
      <c r="Y13" s="836"/>
      <c r="Z13" s="836"/>
      <c r="AA13" s="836"/>
      <c r="AB13" s="836"/>
      <c r="AC13" s="836"/>
      <c r="AD13" s="836"/>
      <c r="AE13" s="836"/>
      <c r="AF13" s="836"/>
      <c r="AG13" s="836"/>
      <c r="AH13" s="836"/>
    </row>
    <row r="14">
      <c r="A14" s="836"/>
      <c r="B14" s="826" t="s">
        <v>861</v>
      </c>
      <c r="C14" s="843"/>
      <c r="D14" s="847"/>
      <c r="E14" s="847"/>
      <c r="F14" s="847"/>
      <c r="G14" s="847"/>
      <c r="H14" s="847"/>
      <c r="I14" s="847"/>
      <c r="J14" s="847"/>
      <c r="K14" s="847"/>
      <c r="L14" s="846"/>
      <c r="M14" s="846"/>
      <c r="N14" s="836"/>
      <c r="O14" s="836"/>
      <c r="P14" s="836"/>
      <c r="Q14" s="836"/>
      <c r="R14" s="836"/>
      <c r="S14" s="836"/>
      <c r="T14" s="836"/>
      <c r="U14" s="836"/>
      <c r="V14" s="836"/>
      <c r="W14" s="836"/>
      <c r="X14" s="836"/>
      <c r="Y14" s="836"/>
      <c r="Z14" s="836"/>
      <c r="AA14" s="836"/>
      <c r="AB14" s="836"/>
      <c r="AC14" s="836"/>
      <c r="AD14" s="836"/>
      <c r="AE14" s="836"/>
      <c r="AF14" s="836"/>
      <c r="AG14" s="836"/>
      <c r="AH14" s="836"/>
    </row>
  </sheetData>
  <mergeCells count="2">
    <mergeCell ref="B1:C4"/>
    <mergeCell ref="A6:C6"/>
  </mergeCells>
  <dataValidations>
    <dataValidation type="list" allowBlank="1" showErrorMessage="1" sqref="B9:B14">
      <formula1>"Pré-Vendas (Prospecção),Executivos de Vendas,Planejamento Comercial,Líderes de Vendas,Canais e Parcerias,Class,PipeLovers,Ferramentas de Vendas,CONSTRUÇÃO DE MÁQUINA DE VENDAS,CERTIFICAÇÃO EM IA,Programa de gestão,Certificação de vendedores,ESPECIALIZAÇÃO"</formula1>
    </dataValidation>
  </dataValidations>
  <hyperlinks>
    <hyperlink r:id="rId1" ref="B5"/>
    <hyperlink r:id="rId2" ref="G9"/>
    <hyperlink r:id="rId3" ref="J9"/>
    <hyperlink r:id="rId4" ref="K9"/>
    <hyperlink r:id="rId5" ref="O9"/>
    <hyperlink r:id="rId6" ref="G10"/>
    <hyperlink r:id="rId7" ref="J10"/>
    <hyperlink r:id="rId8" ref="K10"/>
    <hyperlink r:id="rId9" ref="O10"/>
  </hyperlinks>
  <drawing r:id="rId10"/>
  <tableParts count="1">
    <tablePart r:id="rId12"/>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outlineLevelCol="1"/>
  <cols>
    <col customWidth="1" min="1" max="1" width="4.43"/>
    <col customWidth="1" min="2" max="2" width="27.57"/>
    <col customWidth="1" min="3" max="3" width="78.86"/>
    <col customWidth="1" min="4" max="11" width="30.86"/>
  </cols>
  <sheetData>
    <row r="1">
      <c r="A1" s="8" t="s">
        <v>3906</v>
      </c>
      <c r="B1" s="9" t="s">
        <v>5081</v>
      </c>
      <c r="C1" s="11"/>
      <c r="D1" s="18"/>
      <c r="E1" s="18"/>
      <c r="F1" s="18"/>
      <c r="G1" s="18"/>
      <c r="H1" s="18"/>
      <c r="I1" s="18"/>
      <c r="J1" s="18"/>
      <c r="K1" s="18"/>
      <c r="L1" s="692"/>
      <c r="M1" s="692"/>
    </row>
    <row r="2">
      <c r="A2" s="21"/>
      <c r="B2" s="22"/>
      <c r="C2" s="24"/>
      <c r="D2" s="18"/>
      <c r="E2" s="18"/>
      <c r="F2" s="18"/>
      <c r="G2" s="18"/>
      <c r="H2" s="18"/>
      <c r="I2" s="18"/>
      <c r="J2" s="18"/>
      <c r="K2" s="18"/>
      <c r="L2" s="692"/>
      <c r="M2" s="692"/>
    </row>
    <row r="3">
      <c r="A3" s="21"/>
      <c r="B3" s="22"/>
      <c r="C3" s="24"/>
      <c r="D3" s="18"/>
      <c r="E3" s="18"/>
      <c r="F3" s="18"/>
      <c r="G3" s="18"/>
      <c r="H3" s="18"/>
      <c r="I3" s="18"/>
      <c r="J3" s="18"/>
      <c r="K3" s="18"/>
      <c r="L3" s="692"/>
      <c r="M3" s="692"/>
    </row>
    <row r="4">
      <c r="A4" s="21"/>
      <c r="B4" s="26"/>
      <c r="C4" s="28"/>
      <c r="D4" s="18"/>
      <c r="E4" s="18"/>
      <c r="F4" s="18"/>
      <c r="G4" s="18"/>
      <c r="H4" s="18"/>
      <c r="I4" s="18"/>
      <c r="J4" s="18"/>
      <c r="K4" s="18"/>
      <c r="L4" s="692"/>
      <c r="M4" s="692"/>
    </row>
    <row r="5">
      <c r="A5" s="21"/>
      <c r="B5" s="49" t="s">
        <v>39</v>
      </c>
      <c r="C5" s="33"/>
      <c r="D5" s="18"/>
      <c r="E5" s="18"/>
      <c r="F5" s="18"/>
      <c r="G5" s="18"/>
      <c r="H5" s="18"/>
      <c r="I5" s="18"/>
      <c r="J5" s="18"/>
      <c r="K5" s="18"/>
      <c r="L5" s="692"/>
      <c r="M5" s="692"/>
    </row>
    <row r="6">
      <c r="A6" s="106"/>
      <c r="B6" s="52"/>
      <c r="C6" s="53"/>
      <c r="D6" s="18"/>
      <c r="E6" s="18"/>
      <c r="F6" s="18"/>
      <c r="G6" s="18"/>
      <c r="H6" s="18"/>
      <c r="I6" s="18"/>
      <c r="J6" s="18"/>
      <c r="K6" s="18"/>
      <c r="L6" s="19"/>
      <c r="M6" s="19"/>
    </row>
    <row r="7">
      <c r="A7" s="56"/>
      <c r="B7" s="57"/>
      <c r="C7" s="58"/>
      <c r="D7" s="61"/>
      <c r="E7" s="61"/>
      <c r="F7" s="61"/>
      <c r="G7" s="61"/>
      <c r="H7" s="61"/>
      <c r="I7" s="61"/>
      <c r="J7" s="61"/>
      <c r="K7" s="61"/>
      <c r="L7" s="697"/>
      <c r="M7" s="697"/>
    </row>
    <row r="8">
      <c r="A8" s="67"/>
      <c r="B8" s="68" t="s">
        <v>0</v>
      </c>
      <c r="C8" s="68" t="s">
        <v>150</v>
      </c>
      <c r="D8" s="70" t="s">
        <v>152</v>
      </c>
      <c r="E8" s="70" t="s">
        <v>153</v>
      </c>
      <c r="F8" s="70" t="s">
        <v>154</v>
      </c>
      <c r="G8" s="72" t="s">
        <v>156</v>
      </c>
      <c r="H8" s="72" t="s">
        <v>158</v>
      </c>
      <c r="I8" s="72" t="s">
        <v>159</v>
      </c>
      <c r="J8" s="72" t="s">
        <v>160</v>
      </c>
      <c r="K8" s="72" t="s">
        <v>162</v>
      </c>
      <c r="L8" s="75" t="s">
        <v>163</v>
      </c>
      <c r="M8" s="75" t="s">
        <v>164</v>
      </c>
      <c r="N8" s="75" t="s">
        <v>165</v>
      </c>
      <c r="O8" s="75" t="s">
        <v>166</v>
      </c>
    </row>
    <row r="9">
      <c r="A9" s="116"/>
      <c r="B9" s="886" t="s">
        <v>861</v>
      </c>
      <c r="C9" s="393" t="s">
        <v>5095</v>
      </c>
      <c r="D9" s="887" t="s">
        <v>5096</v>
      </c>
      <c r="E9" s="887" t="s">
        <v>1039</v>
      </c>
      <c r="F9" s="887" t="s">
        <v>5097</v>
      </c>
      <c r="G9" s="888" t="s">
        <v>5098</v>
      </c>
      <c r="H9" s="887" t="s">
        <v>485</v>
      </c>
      <c r="I9" s="887" t="s">
        <v>486</v>
      </c>
      <c r="J9" s="887" t="s">
        <v>5101</v>
      </c>
      <c r="K9" s="887" t="s">
        <v>5101</v>
      </c>
      <c r="L9" s="889">
        <v>5.0</v>
      </c>
      <c r="M9" s="890">
        <v>46213.0</v>
      </c>
      <c r="N9" s="602" t="s">
        <v>482</v>
      </c>
    </row>
    <row r="10">
      <c r="A10" s="116"/>
      <c r="B10" s="886" t="s">
        <v>861</v>
      </c>
      <c r="C10" s="246" t="s">
        <v>5102</v>
      </c>
      <c r="D10" s="891" t="s">
        <v>2859</v>
      </c>
      <c r="E10" s="891"/>
      <c r="F10" s="891"/>
      <c r="G10" s="888" t="s">
        <v>981</v>
      </c>
      <c r="H10" s="887" t="s">
        <v>485</v>
      </c>
      <c r="I10" s="887" t="s">
        <v>486</v>
      </c>
      <c r="J10" s="891" t="s">
        <v>5103</v>
      </c>
      <c r="K10" s="891" t="s">
        <v>5103</v>
      </c>
      <c r="L10" s="889">
        <v>5.0</v>
      </c>
      <c r="M10" s="890">
        <v>46227.0</v>
      </c>
      <c r="N10" s="602" t="s">
        <v>284</v>
      </c>
    </row>
    <row r="11">
      <c r="B11" s="886" t="s">
        <v>861</v>
      </c>
      <c r="C11" s="892" t="s">
        <v>5106</v>
      </c>
      <c r="D11" s="893" t="s">
        <v>5107</v>
      </c>
      <c r="E11" s="893" t="s">
        <v>5108</v>
      </c>
      <c r="F11" s="891" t="s">
        <v>5109</v>
      </c>
      <c r="G11" s="888" t="s">
        <v>5110</v>
      </c>
      <c r="H11" s="887" t="s">
        <v>485</v>
      </c>
      <c r="I11" s="887" t="s">
        <v>486</v>
      </c>
      <c r="J11" s="894" t="s">
        <v>5111</v>
      </c>
      <c r="K11" s="894" t="s">
        <v>5111</v>
      </c>
      <c r="L11" s="889">
        <v>5.0</v>
      </c>
      <c r="M11" s="890">
        <v>46241.0</v>
      </c>
      <c r="N11" s="400" t="s">
        <v>533</v>
      </c>
    </row>
    <row r="12" ht="15.0" customHeight="1">
      <c r="B12" s="886" t="s">
        <v>861</v>
      </c>
      <c r="C12" s="892" t="s">
        <v>5116</v>
      </c>
      <c r="D12" s="893" t="s">
        <v>1476</v>
      </c>
      <c r="E12" s="893" t="s">
        <v>317</v>
      </c>
      <c r="F12" s="893" t="s">
        <v>1478</v>
      </c>
      <c r="G12" s="888" t="s">
        <v>1486</v>
      </c>
      <c r="H12" s="887" t="s">
        <v>485</v>
      </c>
      <c r="I12" s="887" t="s">
        <v>486</v>
      </c>
      <c r="J12" s="894" t="s">
        <v>5118</v>
      </c>
      <c r="K12" s="894" t="s">
        <v>5118</v>
      </c>
      <c r="L12" s="889">
        <v>5.0</v>
      </c>
      <c r="M12" s="896">
        <v>46255.0</v>
      </c>
      <c r="N12" s="400" t="s">
        <v>1667</v>
      </c>
    </row>
    <row r="13">
      <c r="B13" s="886" t="s">
        <v>861</v>
      </c>
      <c r="C13" s="892" t="s">
        <v>5120</v>
      </c>
      <c r="D13" s="893" t="s">
        <v>5121</v>
      </c>
      <c r="E13" s="893" t="s">
        <v>2955</v>
      </c>
      <c r="F13" s="893" t="s">
        <v>5122</v>
      </c>
      <c r="G13" s="888" t="s">
        <v>2327</v>
      </c>
      <c r="H13" s="887" t="s">
        <v>485</v>
      </c>
      <c r="I13" s="887" t="s">
        <v>486</v>
      </c>
      <c r="J13" s="894" t="s">
        <v>5123</v>
      </c>
      <c r="K13" s="894" t="s">
        <v>5123</v>
      </c>
      <c r="L13" s="889">
        <v>5.0</v>
      </c>
      <c r="M13" s="896">
        <v>46269.0</v>
      </c>
      <c r="N13" s="400" t="s">
        <v>996</v>
      </c>
    </row>
    <row r="14">
      <c r="B14" s="886" t="s">
        <v>861</v>
      </c>
      <c r="C14" s="892" t="s">
        <v>5127</v>
      </c>
      <c r="D14" s="400" t="s">
        <v>5128</v>
      </c>
      <c r="E14" s="400" t="s">
        <v>2107</v>
      </c>
      <c r="F14" s="400" t="s">
        <v>5129</v>
      </c>
      <c r="G14" s="888" t="s">
        <v>5130</v>
      </c>
      <c r="H14" s="887" t="s">
        <v>485</v>
      </c>
      <c r="I14" s="887" t="s">
        <v>486</v>
      </c>
      <c r="J14" s="399" t="s">
        <v>5132</v>
      </c>
      <c r="K14" s="399" t="s">
        <v>5132</v>
      </c>
      <c r="L14" s="889">
        <v>5.0</v>
      </c>
      <c r="M14" s="896">
        <v>46283.0</v>
      </c>
      <c r="N14" s="400" t="s">
        <v>778</v>
      </c>
    </row>
  </sheetData>
  <mergeCells count="2">
    <mergeCell ref="B1:C4"/>
    <mergeCell ref="A6:C6"/>
  </mergeCells>
  <dataValidations>
    <dataValidation type="list" allowBlank="1" showErrorMessage="1" sqref="B9:B14">
      <formula1>"Pré-Vendas (Prospecção),Executivos de Vendas,Planejamento Comercial,Líderes de Vendas,Canais e Parcerias,Class,PipeLovers,Ferramentas de Vendas,CONSTRUÇÃO DE MÁQUINA DE VENDAS,CERTIFICAÇÃO EM IA,Programa de gestão,Certificação de vendedores,ESPECIALIZAÇÃO"</formula1>
    </dataValidation>
  </dataValidations>
  <hyperlinks>
    <hyperlink r:id="rId1" ref="B5"/>
    <hyperlink r:id="rId2" ref="G9"/>
    <hyperlink r:id="rId3" ref="J9"/>
    <hyperlink r:id="rId4" ref="K9"/>
    <hyperlink r:id="rId5" ref="G10"/>
    <hyperlink r:id="rId6" ref="J10"/>
    <hyperlink r:id="rId7" ref="K10"/>
    <hyperlink r:id="rId8" ref="G11"/>
    <hyperlink r:id="rId9" ref="J11"/>
    <hyperlink r:id="rId10" ref="K11"/>
    <hyperlink r:id="rId11" ref="G12"/>
    <hyperlink r:id="rId12" ref="J12"/>
    <hyperlink r:id="rId13" ref="K12"/>
    <hyperlink r:id="rId14" ref="G13"/>
    <hyperlink r:id="rId15" ref="J13"/>
    <hyperlink r:id="rId16" ref="K13"/>
    <hyperlink r:id="rId17" ref="G14"/>
    <hyperlink r:id="rId18" ref="J14"/>
    <hyperlink r:id="rId19" ref="K14"/>
  </hyperlinks>
  <drawing r:id="rId20"/>
  <tableParts count="1">
    <tablePart r:id="rId22"/>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outlineLevelCol="1"/>
  <cols>
    <col customWidth="1" min="1" max="1" width="2.57"/>
    <col customWidth="1" min="2" max="2" width="22.29"/>
    <col customWidth="1" min="3" max="3" width="123.86"/>
    <col customWidth="1" min="4" max="10" width="39.57"/>
    <col customWidth="1" min="11" max="12" width="26.29"/>
    <col customWidth="1" min="14" max="15" width="43.43"/>
  </cols>
  <sheetData>
    <row r="1">
      <c r="A1" s="8" t="s">
        <v>3906</v>
      </c>
      <c r="B1" s="9" t="s">
        <v>5186</v>
      </c>
      <c r="C1" s="11"/>
      <c r="D1" s="18"/>
      <c r="E1" s="18"/>
      <c r="F1" s="18"/>
      <c r="G1" s="18"/>
      <c r="H1" s="18"/>
      <c r="I1" s="18"/>
      <c r="J1" s="18"/>
      <c r="K1" s="692"/>
      <c r="L1" s="692"/>
      <c r="M1" s="692"/>
      <c r="N1" s="692"/>
      <c r="O1" s="692"/>
    </row>
    <row r="2">
      <c r="A2" s="21"/>
      <c r="B2" s="22"/>
      <c r="C2" s="24"/>
      <c r="D2" s="18"/>
      <c r="E2" s="18"/>
      <c r="F2" s="18"/>
      <c r="G2" s="18"/>
      <c r="H2" s="18"/>
      <c r="I2" s="18"/>
      <c r="J2" s="18"/>
      <c r="K2" s="692"/>
      <c r="L2" s="692"/>
      <c r="M2" s="692"/>
      <c r="N2" s="692"/>
      <c r="O2" s="692"/>
    </row>
    <row r="3" ht="11.25" customHeight="1">
      <c r="A3" s="21"/>
      <c r="B3" s="22"/>
      <c r="C3" s="24"/>
      <c r="D3" s="18"/>
      <c r="E3" s="18"/>
      <c r="F3" s="18"/>
      <c r="G3" s="18"/>
      <c r="H3" s="18"/>
      <c r="I3" s="18"/>
      <c r="J3" s="18"/>
      <c r="K3" s="692"/>
      <c r="L3" s="692"/>
      <c r="M3" s="692"/>
      <c r="N3" s="692"/>
      <c r="O3" s="692"/>
    </row>
    <row r="4" ht="15.0" customHeight="1">
      <c r="A4" s="21"/>
      <c r="B4" s="26"/>
      <c r="C4" s="28"/>
      <c r="D4" s="18"/>
      <c r="E4" s="18"/>
      <c r="F4" s="18"/>
      <c r="G4" s="18"/>
      <c r="H4" s="18"/>
      <c r="I4" s="18"/>
      <c r="J4" s="18"/>
      <c r="K4" s="692"/>
      <c r="L4" s="692"/>
      <c r="M4" s="692"/>
      <c r="N4" s="692"/>
      <c r="O4" s="692"/>
    </row>
    <row r="5" ht="16.5" customHeight="1">
      <c r="A5" s="21"/>
      <c r="B5" s="49" t="s">
        <v>39</v>
      </c>
      <c r="C5" s="33"/>
      <c r="D5" s="18"/>
      <c r="E5" s="18"/>
      <c r="F5" s="18"/>
      <c r="G5" s="18"/>
      <c r="H5" s="18"/>
      <c r="I5" s="18"/>
      <c r="J5" s="18"/>
      <c r="K5" s="692"/>
      <c r="L5" s="692"/>
      <c r="M5" s="692"/>
      <c r="N5" s="692"/>
      <c r="O5" s="692"/>
    </row>
    <row r="6" ht="12.0" customHeight="1">
      <c r="A6" s="106"/>
      <c r="B6" s="52"/>
      <c r="C6" s="53"/>
      <c r="D6" s="18"/>
      <c r="E6" s="18"/>
      <c r="F6" s="18"/>
      <c r="G6" s="18"/>
      <c r="H6" s="18"/>
      <c r="I6" s="18"/>
      <c r="J6" s="18"/>
      <c r="K6" s="19"/>
      <c r="L6" s="19"/>
      <c r="M6" s="19"/>
      <c r="N6" s="19"/>
      <c r="O6" s="19"/>
    </row>
    <row r="7">
      <c r="A7" s="56"/>
      <c r="B7" s="57"/>
      <c r="C7" s="58"/>
      <c r="D7" s="61"/>
      <c r="E7" s="61"/>
      <c r="F7" s="61"/>
      <c r="G7" s="61"/>
      <c r="H7" s="61"/>
      <c r="I7" s="61"/>
      <c r="J7" s="61"/>
      <c r="K7" s="697"/>
      <c r="L7" s="697"/>
      <c r="M7" s="697"/>
      <c r="N7" s="697"/>
      <c r="O7" s="697"/>
    </row>
    <row r="8">
      <c r="A8" s="67"/>
      <c r="B8" s="68" t="s">
        <v>0</v>
      </c>
      <c r="C8" s="68" t="s">
        <v>150</v>
      </c>
      <c r="D8" s="70" t="s">
        <v>152</v>
      </c>
      <c r="E8" s="70" t="s">
        <v>153</v>
      </c>
      <c r="F8" s="70" t="s">
        <v>154</v>
      </c>
      <c r="G8" s="72" t="s">
        <v>156</v>
      </c>
      <c r="H8" s="72" t="s">
        <v>158</v>
      </c>
      <c r="I8" s="72" t="s">
        <v>159</v>
      </c>
      <c r="J8" s="72" t="s">
        <v>160</v>
      </c>
      <c r="K8" s="72" t="s">
        <v>162</v>
      </c>
      <c r="L8" s="75" t="s">
        <v>163</v>
      </c>
      <c r="M8" s="75" t="s">
        <v>164</v>
      </c>
      <c r="N8" s="75" t="s">
        <v>165</v>
      </c>
      <c r="O8" s="75" t="s">
        <v>166</v>
      </c>
    </row>
    <row r="9">
      <c r="A9" s="116"/>
      <c r="B9" s="886" t="s">
        <v>861</v>
      </c>
      <c r="C9" s="393" t="s">
        <v>5199</v>
      </c>
      <c r="D9" s="893" t="s">
        <v>212</v>
      </c>
      <c r="E9" s="893" t="s">
        <v>754</v>
      </c>
      <c r="F9" s="893" t="s">
        <v>215</v>
      </c>
      <c r="G9" s="894" t="s">
        <v>216</v>
      </c>
      <c r="H9" s="887" t="s">
        <v>192</v>
      </c>
      <c r="I9" s="887" t="s">
        <v>195</v>
      </c>
      <c r="J9" s="905" t="s">
        <v>5204</v>
      </c>
      <c r="K9" s="906" t="s">
        <v>5206</v>
      </c>
      <c r="L9" s="889">
        <v>5.0</v>
      </c>
      <c r="M9" s="907">
        <v>45951.0</v>
      </c>
      <c r="N9" s="908" t="s">
        <v>257</v>
      </c>
      <c r="O9" s="909" t="s">
        <v>5209</v>
      </c>
    </row>
    <row r="10">
      <c r="A10" s="116"/>
      <c r="B10" s="886" t="s">
        <v>861</v>
      </c>
      <c r="C10" s="246" t="s">
        <v>5213</v>
      </c>
      <c r="D10" s="893" t="s">
        <v>212</v>
      </c>
      <c r="E10" s="893" t="s">
        <v>754</v>
      </c>
      <c r="F10" s="893" t="s">
        <v>215</v>
      </c>
      <c r="G10" s="894" t="s">
        <v>216</v>
      </c>
      <c r="H10" s="891" t="s">
        <v>461</v>
      </c>
      <c r="I10" s="891" t="s">
        <v>462</v>
      </c>
      <c r="J10" s="911" t="s">
        <v>5214</v>
      </c>
      <c r="K10" s="912" t="s">
        <v>5216</v>
      </c>
      <c r="L10" s="889">
        <v>5.0</v>
      </c>
      <c r="M10" s="907">
        <v>45951.0</v>
      </c>
      <c r="N10" s="908" t="s">
        <v>778</v>
      </c>
      <c r="O10" s="909" t="s">
        <v>5217</v>
      </c>
    </row>
    <row r="11">
      <c r="B11" s="886" t="s">
        <v>861</v>
      </c>
      <c r="C11" s="892" t="s">
        <v>5219</v>
      </c>
      <c r="D11" s="893" t="s">
        <v>212</v>
      </c>
      <c r="E11" s="893" t="s">
        <v>754</v>
      </c>
      <c r="F11" s="893" t="s">
        <v>215</v>
      </c>
      <c r="G11" s="894" t="s">
        <v>216</v>
      </c>
      <c r="H11" s="893" t="s">
        <v>192</v>
      </c>
      <c r="I11" s="893" t="s">
        <v>195</v>
      </c>
      <c r="J11" s="916" t="s">
        <v>5220</v>
      </c>
      <c r="K11" s="916" t="s">
        <v>5226</v>
      </c>
      <c r="L11" s="889">
        <v>5.0</v>
      </c>
      <c r="M11" s="917">
        <v>45964.0</v>
      </c>
      <c r="N11" s="893" t="s">
        <v>284</v>
      </c>
      <c r="O11" s="918" t="s">
        <v>5227</v>
      </c>
    </row>
    <row r="12">
      <c r="B12" s="886" t="s">
        <v>861</v>
      </c>
      <c r="C12" s="892" t="s">
        <v>5229</v>
      </c>
      <c r="D12" s="893" t="s">
        <v>212</v>
      </c>
      <c r="E12" s="893" t="s">
        <v>754</v>
      </c>
      <c r="F12" s="893" t="s">
        <v>215</v>
      </c>
      <c r="G12" s="894" t="s">
        <v>216</v>
      </c>
      <c r="H12" s="893" t="s">
        <v>192</v>
      </c>
      <c r="I12" s="893" t="s">
        <v>195</v>
      </c>
      <c r="J12" s="894" t="s">
        <v>5230</v>
      </c>
      <c r="K12" s="893" t="s">
        <v>5233</v>
      </c>
      <c r="L12" s="889">
        <v>5.0</v>
      </c>
      <c r="M12" s="919">
        <v>45979.0</v>
      </c>
      <c r="N12" s="893" t="s">
        <v>843</v>
      </c>
      <c r="O12" s="918" t="s">
        <v>5234</v>
      </c>
    </row>
    <row r="13">
      <c r="B13" s="886" t="s">
        <v>861</v>
      </c>
      <c r="C13" s="892" t="s">
        <v>5239</v>
      </c>
      <c r="D13" s="893" t="s">
        <v>212</v>
      </c>
      <c r="E13" s="893" t="s">
        <v>754</v>
      </c>
      <c r="F13" s="893" t="s">
        <v>215</v>
      </c>
      <c r="G13" s="894" t="s">
        <v>216</v>
      </c>
      <c r="H13" s="893" t="s">
        <v>192</v>
      </c>
      <c r="I13" s="893" t="s">
        <v>195</v>
      </c>
      <c r="J13" s="894" t="s">
        <v>5240</v>
      </c>
      <c r="K13" s="893" t="s">
        <v>5242</v>
      </c>
      <c r="L13" s="889">
        <v>5.0</v>
      </c>
      <c r="M13" s="907">
        <v>45951.0</v>
      </c>
      <c r="N13" s="893" t="s">
        <v>362</v>
      </c>
      <c r="O13" s="918" t="s">
        <v>5243</v>
      </c>
    </row>
  </sheetData>
  <mergeCells count="2">
    <mergeCell ref="B1:C4"/>
    <mergeCell ref="A6:C6"/>
  </mergeCells>
  <dataValidations>
    <dataValidation type="list" allowBlank="1" showErrorMessage="1" sqref="B9:B13">
      <formula1>"Pré-Vendas (Prospecção),Executivos de Vendas,Planejamento Comercial,Líderes de Vendas,Canais e Parcerias,Class,PipeLovers,Ferramentas de Vendas,CONSTRUÇÃO DE MÁQUINA DE VENDAS,CERTIFICAÇÃO EM IA,Programa de gestão,Certificação de vendedores,ESPECIALIZAÇÃO"</formula1>
    </dataValidation>
  </dataValidations>
  <hyperlinks>
    <hyperlink r:id="rId1" ref="B5"/>
    <hyperlink r:id="rId2" ref="G9"/>
    <hyperlink r:id="rId3" ref="J9"/>
    <hyperlink r:id="rId4" ref="O9"/>
    <hyperlink r:id="rId5" ref="G10"/>
    <hyperlink r:id="rId6" ref="J10"/>
    <hyperlink r:id="rId7" ref="O10"/>
    <hyperlink r:id="rId8" ref="G11"/>
    <hyperlink r:id="rId9" ref="J11"/>
    <hyperlink r:id="rId10" ref="O11"/>
    <hyperlink r:id="rId11" ref="G12"/>
    <hyperlink r:id="rId12" ref="J12"/>
    <hyperlink r:id="rId13" ref="O12"/>
    <hyperlink r:id="rId14" ref="G13"/>
    <hyperlink r:id="rId15" ref="J13"/>
    <hyperlink r:id="rId16" ref="O13"/>
  </hyperlinks>
  <drawing r:id="rId17"/>
  <tableParts count="1">
    <tablePart r:id="rId19"/>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outlineLevelCol="1"/>
  <cols>
    <col customWidth="1" min="1" max="1" width="3.0"/>
    <col customWidth="1" min="2" max="2" width="25.43"/>
    <col customWidth="1" min="3" max="3" width="72.57"/>
    <col customWidth="1" min="4" max="4" width="22.43"/>
    <col customWidth="1" min="5" max="5" width="20.29"/>
    <col customWidth="1" min="6" max="6" width="21.86"/>
    <col customWidth="1" min="7" max="7" width="25.57"/>
    <col customWidth="1" min="8" max="11" width="43.14"/>
    <col customWidth="1" min="12" max="12" width="30.71"/>
    <col customWidth="1" min="14" max="15" width="43.43"/>
  </cols>
  <sheetData>
    <row r="1">
      <c r="A1" s="8" t="s">
        <v>3906</v>
      </c>
      <c r="B1" s="9" t="s">
        <v>5314</v>
      </c>
      <c r="C1" s="10"/>
      <c r="D1" s="10"/>
      <c r="E1" s="10"/>
      <c r="F1" s="11"/>
      <c r="G1" s="15"/>
      <c r="H1" s="18"/>
      <c r="I1" s="18"/>
      <c r="J1" s="18"/>
      <c r="K1" s="18"/>
      <c r="L1" s="692"/>
      <c r="M1" s="692"/>
      <c r="N1" s="692"/>
      <c r="O1" s="692"/>
    </row>
    <row r="2">
      <c r="A2" s="21"/>
      <c r="B2" s="22"/>
      <c r="F2" s="24"/>
      <c r="G2" s="15"/>
      <c r="H2" s="18"/>
      <c r="I2" s="18"/>
      <c r="J2" s="18"/>
      <c r="K2" s="18"/>
      <c r="L2" s="692"/>
      <c r="M2" s="692"/>
      <c r="N2" s="692"/>
      <c r="O2" s="692"/>
    </row>
    <row r="3" ht="11.25" customHeight="1">
      <c r="A3" s="21"/>
      <c r="B3" s="22"/>
      <c r="F3" s="24"/>
      <c r="G3" s="15"/>
      <c r="H3" s="18"/>
      <c r="I3" s="18"/>
      <c r="J3" s="18"/>
      <c r="K3" s="18"/>
      <c r="L3" s="692"/>
      <c r="M3" s="692"/>
      <c r="N3" s="692"/>
      <c r="O3" s="692"/>
    </row>
    <row r="4" ht="15.0" customHeight="1">
      <c r="A4" s="21"/>
      <c r="B4" s="26"/>
      <c r="C4" s="27"/>
      <c r="D4" s="27"/>
      <c r="E4" s="27"/>
      <c r="F4" s="28"/>
      <c r="G4" s="18"/>
      <c r="H4" s="18"/>
      <c r="I4" s="18"/>
      <c r="J4" s="18"/>
      <c r="K4" s="18"/>
      <c r="L4" s="692"/>
      <c r="M4" s="692"/>
      <c r="N4" s="692"/>
      <c r="O4" s="692"/>
    </row>
    <row r="5" ht="16.5" customHeight="1">
      <c r="A5" s="21"/>
      <c r="B5" s="49" t="s">
        <v>39</v>
      </c>
      <c r="C5" s="33"/>
      <c r="D5" s="50"/>
      <c r="E5" s="50"/>
      <c r="F5" s="50"/>
      <c r="G5" s="18"/>
      <c r="H5" s="18"/>
      <c r="I5" s="18"/>
      <c r="J5" s="18"/>
      <c r="K5" s="18"/>
      <c r="L5" s="692"/>
      <c r="M5" s="692"/>
      <c r="N5" s="692"/>
      <c r="O5" s="692"/>
    </row>
    <row r="6" ht="12.0" customHeight="1">
      <c r="A6" s="106"/>
      <c r="B6" s="52"/>
      <c r="C6" s="52"/>
      <c r="D6" s="53"/>
      <c r="E6" s="107"/>
      <c r="F6" s="50"/>
      <c r="G6" s="18"/>
      <c r="H6" s="18"/>
      <c r="I6" s="18"/>
      <c r="J6" s="18"/>
      <c r="K6" s="54"/>
      <c r="L6" s="19"/>
      <c r="M6" s="19"/>
      <c r="N6" s="19"/>
      <c r="O6" s="19"/>
    </row>
    <row r="7">
      <c r="A7" s="56"/>
      <c r="B7" s="57"/>
      <c r="C7" s="58"/>
      <c r="D7" s="60"/>
      <c r="E7" s="111"/>
      <c r="F7" s="60"/>
      <c r="G7" s="61"/>
      <c r="H7" s="61"/>
      <c r="I7" s="61"/>
      <c r="J7" s="61"/>
      <c r="K7" s="61"/>
      <c r="L7" s="697"/>
      <c r="M7" s="697"/>
      <c r="N7" s="697"/>
      <c r="O7" s="697"/>
    </row>
    <row r="8">
      <c r="A8" s="67"/>
      <c r="B8" s="68" t="s">
        <v>0</v>
      </c>
      <c r="C8" s="68" t="s">
        <v>150</v>
      </c>
      <c r="D8" s="70" t="s">
        <v>152</v>
      </c>
      <c r="E8" s="70" t="s">
        <v>153</v>
      </c>
      <c r="F8" s="70" t="s">
        <v>154</v>
      </c>
      <c r="G8" s="72" t="s">
        <v>156</v>
      </c>
      <c r="H8" s="72" t="s">
        <v>158</v>
      </c>
      <c r="I8" s="72" t="s">
        <v>159</v>
      </c>
      <c r="J8" s="72" t="s">
        <v>160</v>
      </c>
      <c r="K8" s="72" t="s">
        <v>162</v>
      </c>
      <c r="L8" s="75" t="s">
        <v>163</v>
      </c>
      <c r="M8" s="75" t="s">
        <v>164</v>
      </c>
      <c r="N8" s="75" t="s">
        <v>165</v>
      </c>
      <c r="O8" s="75" t="s">
        <v>166</v>
      </c>
    </row>
    <row r="9">
      <c r="A9" s="116"/>
      <c r="B9" s="886" t="s">
        <v>861</v>
      </c>
      <c r="C9" s="246" t="s">
        <v>5340</v>
      </c>
      <c r="D9" s="393" t="s">
        <v>5341</v>
      </c>
      <c r="E9" s="393" t="s">
        <v>5342</v>
      </c>
      <c r="F9" s="237" t="s">
        <v>5343</v>
      </c>
      <c r="G9" s="929" t="s">
        <v>1026</v>
      </c>
      <c r="H9" s="930" t="s">
        <v>192</v>
      </c>
      <c r="I9" s="930" t="s">
        <v>276</v>
      </c>
      <c r="J9" s="931" t="s">
        <v>5349</v>
      </c>
      <c r="K9" s="931" t="s">
        <v>5349</v>
      </c>
      <c r="L9" s="889">
        <v>5.0</v>
      </c>
      <c r="M9" s="932">
        <v>46055.0</v>
      </c>
      <c r="N9" s="908" t="s">
        <v>284</v>
      </c>
      <c r="O9" s="909" t="s">
        <v>5356</v>
      </c>
    </row>
    <row r="10">
      <c r="A10" s="116"/>
      <c r="B10" s="886" t="s">
        <v>861</v>
      </c>
      <c r="C10" s="893" t="s">
        <v>5358</v>
      </c>
      <c r="D10" s="893" t="s">
        <v>5359</v>
      </c>
      <c r="E10" s="893" t="s">
        <v>754</v>
      </c>
      <c r="F10" s="893" t="s">
        <v>5361</v>
      </c>
      <c r="G10" s="933" t="s">
        <v>1872</v>
      </c>
      <c r="H10" s="934" t="s">
        <v>461</v>
      </c>
      <c r="I10" s="934" t="s">
        <v>530</v>
      </c>
      <c r="J10" s="399" t="s">
        <v>5368</v>
      </c>
      <c r="K10" s="399" t="s">
        <v>5368</v>
      </c>
      <c r="L10" s="889">
        <v>5.0</v>
      </c>
      <c r="M10" s="932">
        <v>46063.0</v>
      </c>
      <c r="N10" s="908" t="s">
        <v>1667</v>
      </c>
      <c r="O10" s="909" t="s">
        <v>5371</v>
      </c>
    </row>
    <row r="11">
      <c r="B11" s="886" t="s">
        <v>861</v>
      </c>
      <c r="C11" s="893" t="s">
        <v>5373</v>
      </c>
      <c r="D11" s="893" t="s">
        <v>4014</v>
      </c>
      <c r="E11" s="893" t="s">
        <v>5374</v>
      </c>
      <c r="F11" s="893" t="s">
        <v>5375</v>
      </c>
      <c r="G11" s="894" t="s">
        <v>4209</v>
      </c>
      <c r="H11" s="621" t="s">
        <v>192</v>
      </c>
      <c r="I11" s="621" t="s">
        <v>276</v>
      </c>
      <c r="J11" s="399" t="s">
        <v>5376</v>
      </c>
      <c r="K11" s="399" t="s">
        <v>5376</v>
      </c>
      <c r="L11" s="889">
        <v>5.0</v>
      </c>
      <c r="M11" s="932">
        <v>46077.0</v>
      </c>
      <c r="N11" s="893" t="s">
        <v>996</v>
      </c>
      <c r="O11" s="918" t="s">
        <v>5382</v>
      </c>
    </row>
    <row r="12">
      <c r="B12" s="886" t="s">
        <v>861</v>
      </c>
      <c r="C12" s="893" t="s">
        <v>5383</v>
      </c>
      <c r="D12" s="893" t="s">
        <v>1509</v>
      </c>
      <c r="E12" s="893" t="s">
        <v>754</v>
      </c>
      <c r="F12" s="893" t="s">
        <v>1510</v>
      </c>
      <c r="G12" s="894" t="s">
        <v>5384</v>
      </c>
      <c r="H12" s="621" t="s">
        <v>192</v>
      </c>
      <c r="I12" s="621" t="s">
        <v>276</v>
      </c>
      <c r="J12" s="399" t="s">
        <v>5386</v>
      </c>
      <c r="K12" s="399" t="s">
        <v>5386</v>
      </c>
      <c r="L12" s="889">
        <v>5.0</v>
      </c>
      <c r="M12" s="939">
        <v>46090.0</v>
      </c>
      <c r="N12" s="893" t="s">
        <v>749</v>
      </c>
      <c r="O12" s="918" t="s">
        <v>5387</v>
      </c>
    </row>
    <row r="13">
      <c r="B13" s="886" t="s">
        <v>861</v>
      </c>
      <c r="C13" s="893" t="s">
        <v>5391</v>
      </c>
      <c r="D13" s="893" t="s">
        <v>212</v>
      </c>
      <c r="E13" s="893" t="s">
        <v>754</v>
      </c>
      <c r="F13" s="893" t="s">
        <v>215</v>
      </c>
      <c r="G13" s="894" t="s">
        <v>216</v>
      </c>
      <c r="H13" s="621" t="s">
        <v>224</v>
      </c>
      <c r="I13" s="621" t="s">
        <v>440</v>
      </c>
      <c r="J13" s="399" t="s">
        <v>5392</v>
      </c>
      <c r="K13" s="399" t="s">
        <v>5392</v>
      </c>
      <c r="L13" s="889">
        <v>5.0</v>
      </c>
      <c r="M13" s="939">
        <v>46105.0</v>
      </c>
      <c r="N13" s="893" t="s">
        <v>616</v>
      </c>
      <c r="O13" s="918" t="s">
        <v>5394</v>
      </c>
    </row>
    <row r="14">
      <c r="C14" s="940"/>
      <c r="D14" s="940"/>
      <c r="E14" s="940"/>
      <c r="F14" s="940"/>
      <c r="G14" s="940"/>
      <c r="H14" s="941"/>
      <c r="I14" s="941"/>
      <c r="J14" s="941"/>
      <c r="K14" s="941"/>
      <c r="L14" s="941"/>
      <c r="M14" s="941"/>
      <c r="N14" s="940"/>
      <c r="O14" s="940"/>
    </row>
    <row r="15">
      <c r="C15" s="940"/>
      <c r="D15" s="940"/>
      <c r="E15" s="940"/>
      <c r="F15" s="940"/>
      <c r="G15" s="940"/>
      <c r="H15" s="941"/>
      <c r="I15" s="941"/>
      <c r="J15" s="941"/>
      <c r="K15" s="941"/>
      <c r="L15" s="941"/>
      <c r="M15" s="941"/>
      <c r="N15" s="940"/>
      <c r="O15" s="940"/>
    </row>
    <row r="16">
      <c r="K16" s="942"/>
      <c r="L16" s="943"/>
      <c r="M16" s="943"/>
    </row>
    <row r="17">
      <c r="K17" s="400"/>
      <c r="M17" s="943"/>
    </row>
    <row r="18">
      <c r="K18" s="400"/>
      <c r="M18" s="943"/>
    </row>
    <row r="19">
      <c r="K19" s="400"/>
      <c r="M19" s="943"/>
    </row>
    <row r="20">
      <c r="K20" s="400"/>
      <c r="M20" s="943"/>
    </row>
    <row r="21">
      <c r="M21" s="943"/>
    </row>
    <row r="22">
      <c r="M22" s="943"/>
    </row>
    <row r="23">
      <c r="M23" s="943"/>
    </row>
    <row r="24">
      <c r="M24" s="943"/>
    </row>
    <row r="25">
      <c r="M25" s="943"/>
    </row>
    <row r="26">
      <c r="M26" s="943"/>
    </row>
    <row r="27">
      <c r="M27" s="943"/>
    </row>
    <row r="28">
      <c r="M28" s="943"/>
    </row>
    <row r="29">
      <c r="M29" s="943"/>
    </row>
    <row r="30">
      <c r="M30" s="943"/>
    </row>
    <row r="31">
      <c r="M31" s="943"/>
    </row>
    <row r="32">
      <c r="M32" s="943"/>
    </row>
    <row r="33">
      <c r="M33" s="943"/>
    </row>
    <row r="34">
      <c r="M34" s="943"/>
    </row>
    <row r="35">
      <c r="M35" s="943"/>
    </row>
    <row r="36">
      <c r="M36" s="943"/>
    </row>
    <row r="37">
      <c r="M37" s="943"/>
    </row>
    <row r="38">
      <c r="M38" s="943"/>
    </row>
    <row r="39">
      <c r="M39" s="943"/>
    </row>
  </sheetData>
  <mergeCells count="2">
    <mergeCell ref="B1:F4"/>
    <mergeCell ref="A6:D6"/>
  </mergeCells>
  <dataValidations>
    <dataValidation type="list" allowBlank="1" showErrorMessage="1" sqref="B9:B13">
      <formula1>"Pré-Vendas (Prospecção),Executivos de Vendas,Planejamento Comercial,Líderes de Vendas,Canais e Parcerias,Class,PipeLovers,Ferramentas de Vendas,CONSTRUÇÃO DE MÁQUINA DE VENDAS,CERTIFICAÇÃO EM IA,Programa de gestão,Certificação de vendedores,ESPECIALIZAÇÃO"</formula1>
    </dataValidation>
  </dataValidations>
  <hyperlinks>
    <hyperlink r:id="rId1" ref="B5"/>
    <hyperlink r:id="rId2" ref="G9"/>
    <hyperlink r:id="rId3" ref="J9"/>
    <hyperlink r:id="rId4" ref="K9"/>
    <hyperlink r:id="rId5" ref="O9"/>
    <hyperlink r:id="rId6" ref="G10"/>
    <hyperlink r:id="rId7" ref="J10"/>
    <hyperlink r:id="rId8" ref="K10"/>
    <hyperlink r:id="rId9" ref="O10"/>
    <hyperlink r:id="rId10" ref="G11"/>
    <hyperlink r:id="rId11" ref="J11"/>
    <hyperlink r:id="rId12" ref="K11"/>
    <hyperlink r:id="rId13" ref="O11"/>
    <hyperlink r:id="rId14" ref="G12"/>
    <hyperlink r:id="rId15" ref="J12"/>
    <hyperlink r:id="rId16" ref="K12"/>
    <hyperlink r:id="rId17" ref="O12"/>
    <hyperlink r:id="rId18" ref="G13"/>
    <hyperlink r:id="rId19" ref="J13"/>
    <hyperlink r:id="rId20" ref="K13"/>
    <hyperlink r:id="rId21" ref="O13"/>
  </hyperlinks>
  <drawing r:id="rId22"/>
  <tableParts count="1">
    <tablePart r:id="rId24"/>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outlineLevelCol="1"/>
  <cols>
    <col customWidth="1" min="1" max="1" width="3.0"/>
    <col customWidth="1" min="2" max="2" width="27.57"/>
    <col customWidth="1" min="3" max="3" width="78.29"/>
    <col customWidth="1" min="4" max="4" width="27.86"/>
    <col customWidth="1" min="5" max="5" width="33.0"/>
    <col customWidth="1" min="6" max="6" width="24.0"/>
    <col customWidth="1" min="7" max="7" width="37.14"/>
    <col customWidth="1" min="8" max="10" width="35.57"/>
    <col customWidth="1" min="11" max="11" width="34.14"/>
  </cols>
  <sheetData>
    <row r="1">
      <c r="A1" s="16"/>
      <c r="B1" s="9" t="s">
        <v>5474</v>
      </c>
      <c r="C1" s="10"/>
      <c r="D1" s="10"/>
      <c r="E1" s="10"/>
      <c r="F1" s="11"/>
      <c r="G1" s="15"/>
      <c r="H1" s="18"/>
      <c r="I1" s="18"/>
      <c r="J1" s="18"/>
      <c r="K1" s="18"/>
      <c r="L1" s="692"/>
      <c r="M1" s="692"/>
      <c r="N1" s="692"/>
      <c r="O1" s="692"/>
    </row>
    <row r="2">
      <c r="A2" s="16"/>
      <c r="B2" s="22"/>
      <c r="F2" s="24"/>
      <c r="G2" s="15"/>
      <c r="H2" s="18"/>
      <c r="I2" s="18"/>
      <c r="J2" s="18"/>
      <c r="K2" s="18"/>
      <c r="L2" s="692"/>
      <c r="M2" s="692"/>
      <c r="N2" s="692"/>
      <c r="O2" s="692"/>
    </row>
    <row r="3" ht="11.25" customHeight="1">
      <c r="A3" s="16"/>
      <c r="B3" s="22"/>
      <c r="F3" s="24"/>
      <c r="G3" s="15"/>
      <c r="H3" s="18"/>
      <c r="I3" s="18"/>
      <c r="J3" s="18"/>
      <c r="K3" s="18"/>
      <c r="L3" s="692"/>
      <c r="M3" s="692"/>
      <c r="N3" s="692"/>
      <c r="O3" s="692"/>
    </row>
    <row r="4" ht="15.0" customHeight="1">
      <c r="A4" s="16"/>
      <c r="B4" s="26"/>
      <c r="C4" s="27"/>
      <c r="D4" s="27"/>
      <c r="E4" s="27"/>
      <c r="F4" s="28"/>
      <c r="G4" s="18"/>
      <c r="H4" s="18"/>
      <c r="I4" s="18"/>
      <c r="J4" s="18"/>
      <c r="K4" s="18"/>
      <c r="L4" s="692"/>
      <c r="M4" s="692"/>
      <c r="N4" s="692"/>
      <c r="O4" s="692"/>
    </row>
    <row r="5" ht="16.5" customHeight="1">
      <c r="A5" s="978"/>
      <c r="B5" s="49" t="s">
        <v>39</v>
      </c>
      <c r="C5" s="33"/>
      <c r="D5" s="50"/>
      <c r="E5" s="50"/>
      <c r="F5" s="50"/>
      <c r="G5" s="18"/>
      <c r="H5" s="18"/>
      <c r="I5" s="18"/>
      <c r="J5" s="18"/>
      <c r="K5" s="18"/>
      <c r="L5" s="692"/>
      <c r="M5" s="692"/>
      <c r="N5" s="692"/>
      <c r="O5" s="692"/>
    </row>
    <row r="6" ht="12.0" customHeight="1">
      <c r="A6" s="693"/>
      <c r="B6" s="106"/>
      <c r="C6" s="52"/>
      <c r="D6" s="53"/>
      <c r="E6" s="107"/>
      <c r="F6" s="50"/>
      <c r="G6" s="18"/>
      <c r="H6" s="18"/>
      <c r="I6" s="18"/>
      <c r="J6" s="18"/>
      <c r="K6" s="54"/>
      <c r="L6" s="19"/>
      <c r="M6" s="19"/>
      <c r="N6" s="19"/>
      <c r="O6" s="19"/>
    </row>
    <row r="7">
      <c r="A7" s="699"/>
      <c r="B7" s="57"/>
      <c r="C7" s="58"/>
      <c r="D7" s="60"/>
      <c r="E7" s="111"/>
      <c r="F7" s="60"/>
      <c r="G7" s="61"/>
      <c r="H7" s="61"/>
      <c r="I7" s="61"/>
      <c r="J7" s="61"/>
      <c r="K7" s="61"/>
      <c r="L7" s="697"/>
      <c r="M7" s="697"/>
      <c r="N7" s="697"/>
      <c r="O7" s="697"/>
    </row>
    <row r="8">
      <c r="A8" s="75"/>
      <c r="B8" s="68" t="s">
        <v>0</v>
      </c>
      <c r="C8" s="68" t="s">
        <v>150</v>
      </c>
      <c r="D8" s="70" t="s">
        <v>152</v>
      </c>
      <c r="E8" s="70" t="s">
        <v>153</v>
      </c>
      <c r="F8" s="70" t="s">
        <v>154</v>
      </c>
      <c r="G8" s="72" t="s">
        <v>156</v>
      </c>
      <c r="H8" s="72" t="s">
        <v>158</v>
      </c>
      <c r="I8" s="72" t="s">
        <v>159</v>
      </c>
      <c r="J8" s="72" t="s">
        <v>160</v>
      </c>
      <c r="K8" s="72" t="s">
        <v>162</v>
      </c>
      <c r="L8" s="75" t="s">
        <v>163</v>
      </c>
      <c r="M8" s="75" t="s">
        <v>164</v>
      </c>
      <c r="N8" s="75" t="s">
        <v>165</v>
      </c>
      <c r="O8" s="75" t="s">
        <v>166</v>
      </c>
    </row>
    <row r="9">
      <c r="A9" s="980"/>
      <c r="B9" s="886" t="s">
        <v>861</v>
      </c>
      <c r="C9" s="246" t="s">
        <v>5340</v>
      </c>
      <c r="D9" s="393" t="s">
        <v>5341</v>
      </c>
      <c r="E9" s="393" t="s">
        <v>5342</v>
      </c>
      <c r="F9" s="237" t="s">
        <v>5343</v>
      </c>
      <c r="G9" s="929" t="s">
        <v>1026</v>
      </c>
      <c r="H9" s="930" t="s">
        <v>192</v>
      </c>
      <c r="I9" s="930" t="s">
        <v>276</v>
      </c>
      <c r="J9" s="931" t="s">
        <v>5349</v>
      </c>
      <c r="K9" s="931" t="s">
        <v>5349</v>
      </c>
      <c r="L9" s="889">
        <v>5.0</v>
      </c>
      <c r="M9" s="890">
        <v>46122.0</v>
      </c>
      <c r="N9" s="908" t="s">
        <v>284</v>
      </c>
      <c r="O9" s="909" t="s">
        <v>5356</v>
      </c>
    </row>
    <row r="10">
      <c r="A10" s="980"/>
      <c r="B10" s="886" t="s">
        <v>861</v>
      </c>
      <c r="C10" s="602" t="s">
        <v>5493</v>
      </c>
      <c r="D10" s="487" t="s">
        <v>5494</v>
      </c>
      <c r="E10" s="487" t="s">
        <v>317</v>
      </c>
      <c r="F10" s="488" t="s">
        <v>2165</v>
      </c>
      <c r="G10" s="984" t="s">
        <v>2653</v>
      </c>
      <c r="H10" s="400" t="s">
        <v>192</v>
      </c>
      <c r="I10" s="400" t="s">
        <v>276</v>
      </c>
      <c r="J10" s="399" t="s">
        <v>5495</v>
      </c>
      <c r="K10" s="399" t="s">
        <v>5495</v>
      </c>
      <c r="L10" s="889">
        <v>5.0</v>
      </c>
      <c r="M10" s="986">
        <v>46129.0</v>
      </c>
      <c r="N10" s="908" t="s">
        <v>284</v>
      </c>
      <c r="O10" s="909" t="s">
        <v>5501</v>
      </c>
    </row>
    <row r="11">
      <c r="A11" s="980"/>
      <c r="B11" s="886" t="s">
        <v>861</v>
      </c>
      <c r="C11" s="602" t="s">
        <v>5503</v>
      </c>
      <c r="D11" s="487" t="s">
        <v>2800</v>
      </c>
      <c r="E11" s="487" t="s">
        <v>4934</v>
      </c>
      <c r="F11" s="990"/>
      <c r="G11" s="583" t="s">
        <v>5504</v>
      </c>
      <c r="H11" s="991" t="s">
        <v>224</v>
      </c>
      <c r="I11" s="991" t="s">
        <v>440</v>
      </c>
      <c r="J11" s="992" t="s">
        <v>5510</v>
      </c>
      <c r="K11" s="992" t="s">
        <v>5510</v>
      </c>
      <c r="L11" s="889">
        <v>5.0</v>
      </c>
      <c r="M11" s="986">
        <v>46150.0</v>
      </c>
      <c r="N11" s="908" t="s">
        <v>616</v>
      </c>
      <c r="O11" s="909" t="s">
        <v>5512</v>
      </c>
    </row>
    <row r="12">
      <c r="A12" s="980"/>
      <c r="B12" s="886" t="s">
        <v>861</v>
      </c>
      <c r="C12" s="400" t="s">
        <v>5518</v>
      </c>
      <c r="D12" s="400" t="s">
        <v>1804</v>
      </c>
      <c r="E12" s="400" t="s">
        <v>2330</v>
      </c>
      <c r="F12" s="400" t="s">
        <v>215</v>
      </c>
      <c r="G12" s="994" t="s">
        <v>1805</v>
      </c>
      <c r="H12" s="400" t="s">
        <v>461</v>
      </c>
      <c r="I12" s="400" t="s">
        <v>530</v>
      </c>
      <c r="J12" s="996" t="s">
        <v>5510</v>
      </c>
      <c r="K12" s="996" t="s">
        <v>5510</v>
      </c>
      <c r="L12" s="889">
        <v>5.0</v>
      </c>
      <c r="M12" s="896">
        <v>46164.0</v>
      </c>
      <c r="N12" s="400" t="s">
        <v>1131</v>
      </c>
      <c r="O12" s="998" t="s">
        <v>5520</v>
      </c>
    </row>
    <row r="13">
      <c r="A13" s="980"/>
      <c r="B13" s="886" t="s">
        <v>861</v>
      </c>
      <c r="C13" s="400" t="s">
        <v>5526</v>
      </c>
      <c r="D13" s="400" t="s">
        <v>1611</v>
      </c>
      <c r="E13" s="400" t="s">
        <v>5527</v>
      </c>
      <c r="F13" s="400" t="s">
        <v>1021</v>
      </c>
      <c r="G13" s="994" t="s">
        <v>1614</v>
      </c>
      <c r="H13" s="400" t="s">
        <v>192</v>
      </c>
      <c r="I13" s="400" t="s">
        <v>276</v>
      </c>
      <c r="J13" s="996" t="s">
        <v>5510</v>
      </c>
      <c r="K13" s="996" t="s">
        <v>5510</v>
      </c>
      <c r="L13" s="889">
        <v>5.0</v>
      </c>
      <c r="M13" s="896">
        <v>46175.0</v>
      </c>
      <c r="N13" s="400" t="s">
        <v>469</v>
      </c>
      <c r="O13" s="998" t="s">
        <v>5528</v>
      </c>
    </row>
    <row r="14">
      <c r="A14" s="980"/>
      <c r="B14" s="886" t="s">
        <v>861</v>
      </c>
      <c r="C14" s="400" t="s">
        <v>5530</v>
      </c>
      <c r="D14" s="400" t="s">
        <v>212</v>
      </c>
      <c r="E14" s="400" t="s">
        <v>213</v>
      </c>
      <c r="F14" s="400" t="s">
        <v>215</v>
      </c>
      <c r="G14" s="994" t="s">
        <v>216</v>
      </c>
      <c r="H14" s="400" t="s">
        <v>192</v>
      </c>
      <c r="I14" s="400" t="s">
        <v>276</v>
      </c>
      <c r="J14" s="399" t="s">
        <v>5532</v>
      </c>
      <c r="K14" s="399" t="s">
        <v>5532</v>
      </c>
      <c r="L14" s="889">
        <v>5.0</v>
      </c>
      <c r="M14" s="896">
        <v>46192.0</v>
      </c>
      <c r="N14" s="400" t="s">
        <v>791</v>
      </c>
    </row>
  </sheetData>
  <mergeCells count="2">
    <mergeCell ref="B1:F4"/>
    <mergeCell ref="B6:D6"/>
  </mergeCells>
  <dataValidations>
    <dataValidation type="list" allowBlank="1" showErrorMessage="1" sqref="B9:B14">
      <formula1>"Pré-Vendas (Prospecção),Executivos de Vendas,Planejamento Comercial,Líderes de Vendas,Canais e Parcerias,Class,PipeLovers,Ferramentas de Vendas,CONSTRUÇÃO DE MÁQUINA DE VENDAS,CERTIFICAÇÃO EM IA,Programa de gestão,Certificação de vendedores,ESPECIALIZAÇÃO"</formula1>
    </dataValidation>
  </dataValidations>
  <hyperlinks>
    <hyperlink r:id="rId1" ref="B5"/>
    <hyperlink r:id="rId2" ref="G9"/>
    <hyperlink r:id="rId3" ref="J9"/>
    <hyperlink r:id="rId4" ref="K9"/>
    <hyperlink r:id="rId5" ref="O9"/>
    <hyperlink r:id="rId6" ref="G10"/>
    <hyperlink r:id="rId7" ref="J10"/>
    <hyperlink r:id="rId8" ref="K10"/>
    <hyperlink r:id="rId9" ref="O10"/>
    <hyperlink r:id="rId10" ref="G11"/>
    <hyperlink r:id="rId11" ref="J11"/>
    <hyperlink r:id="rId12" ref="K11"/>
    <hyperlink r:id="rId13" ref="O11"/>
    <hyperlink r:id="rId14" ref="G12"/>
    <hyperlink r:id="rId15" ref="J12"/>
    <hyperlink r:id="rId16" ref="K12"/>
    <hyperlink r:id="rId17" ref="O12"/>
    <hyperlink r:id="rId18" ref="G13"/>
    <hyperlink r:id="rId19" ref="J13"/>
    <hyperlink r:id="rId20" ref="K13"/>
    <hyperlink r:id="rId21" ref="O13"/>
    <hyperlink r:id="rId22" ref="G14"/>
    <hyperlink r:id="rId23" ref="J14"/>
    <hyperlink r:id="rId24" ref="K14"/>
  </hyperlinks>
  <drawing r:id="rId25"/>
  <tableParts count="1">
    <tablePart r:id="rId27"/>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4.43" defaultRowHeight="15.75" outlineLevelCol="1"/>
  <cols>
    <col customWidth="1" min="1" max="1" width="2.29"/>
    <col customWidth="1" min="2" max="2" width="13.57"/>
    <col customWidth="1" min="3" max="3" width="59.29"/>
    <col customWidth="1" min="4" max="4" width="13.57"/>
    <col customWidth="1" min="5" max="5" width="51.43"/>
    <col customWidth="1" min="6" max="6" width="20.71"/>
    <col customWidth="1" min="7" max="7" width="28.57"/>
    <col customWidth="1" min="8" max="8" width="25.29"/>
    <col customWidth="1" min="9" max="9" width="51.0"/>
    <col customWidth="1" min="10" max="10" width="22.86"/>
    <col customWidth="1" min="13" max="14" width="20.86"/>
    <col customWidth="1" min="15" max="17" width="2.29"/>
  </cols>
  <sheetData>
    <row r="1">
      <c r="A1" s="693"/>
      <c r="B1" s="16" t="s">
        <v>5581</v>
      </c>
      <c r="H1" s="693"/>
      <c r="I1" s="1017"/>
      <c r="J1" s="1017"/>
      <c r="K1" s="1017"/>
      <c r="L1" s="1017"/>
      <c r="M1" s="1017"/>
      <c r="N1" s="693"/>
      <c r="O1" s="693"/>
      <c r="P1" s="693"/>
      <c r="Q1" s="693"/>
    </row>
    <row r="2" ht="11.25" customHeight="1">
      <c r="A2" s="693"/>
      <c r="H2" s="693"/>
      <c r="I2" s="1017"/>
      <c r="J2" s="1017"/>
      <c r="K2" s="1017"/>
      <c r="L2" s="1017"/>
      <c r="M2" s="1017"/>
      <c r="N2" s="693"/>
      <c r="O2" s="693"/>
      <c r="P2" s="693"/>
      <c r="Q2" s="693"/>
    </row>
    <row r="3" ht="11.25" customHeight="1">
      <c r="A3" s="693"/>
      <c r="H3" s="693"/>
      <c r="I3" s="1017"/>
      <c r="J3" s="1017"/>
      <c r="K3" s="1017"/>
      <c r="L3" s="1017"/>
      <c r="M3" s="1017"/>
      <c r="N3" s="693"/>
      <c r="O3" s="693"/>
      <c r="P3" s="693"/>
      <c r="Q3" s="693"/>
    </row>
    <row r="4" ht="13.5" customHeight="1">
      <c r="A4" s="693"/>
      <c r="H4" s="693"/>
      <c r="I4" s="693"/>
      <c r="J4" s="693"/>
      <c r="K4" s="693"/>
      <c r="L4" s="693"/>
      <c r="M4" s="693"/>
      <c r="N4" s="693"/>
      <c r="O4" s="693"/>
      <c r="P4" s="693"/>
      <c r="Q4" s="693"/>
    </row>
    <row r="5" ht="12.0" customHeight="1">
      <c r="A5" s="693"/>
      <c r="B5" s="16"/>
      <c r="C5" s="16"/>
      <c r="D5" s="16"/>
      <c r="E5" s="16"/>
      <c r="F5" s="16"/>
      <c r="G5" s="16"/>
      <c r="H5" s="693"/>
      <c r="I5" s="693"/>
      <c r="J5" s="693"/>
      <c r="K5" s="693"/>
      <c r="L5" s="693"/>
      <c r="M5" s="693"/>
      <c r="N5" s="693"/>
      <c r="O5" s="693"/>
      <c r="P5" s="693"/>
      <c r="Q5" s="693"/>
    </row>
    <row r="6">
      <c r="A6" s="699"/>
      <c r="B6" s="1018" t="s">
        <v>5590</v>
      </c>
      <c r="C6" s="1018" t="s">
        <v>150</v>
      </c>
      <c r="D6" s="1018" t="s">
        <v>5595</v>
      </c>
      <c r="E6" s="1018" t="s">
        <v>5596</v>
      </c>
      <c r="F6" s="1018" t="s">
        <v>5597</v>
      </c>
      <c r="G6" s="1018" t="s">
        <v>0</v>
      </c>
      <c r="H6" s="1018" t="s">
        <v>5599</v>
      </c>
      <c r="I6" s="1018" t="s">
        <v>153</v>
      </c>
      <c r="J6" s="1018" t="s">
        <v>154</v>
      </c>
      <c r="K6" s="1019" t="s">
        <v>5602</v>
      </c>
      <c r="L6" s="1018" t="s">
        <v>5604</v>
      </c>
      <c r="M6" s="1019" t="s">
        <v>5605</v>
      </c>
      <c r="N6" s="1019" t="s">
        <v>5606</v>
      </c>
      <c r="O6" s="699"/>
      <c r="P6" s="699"/>
      <c r="Q6" s="699"/>
    </row>
    <row r="7">
      <c r="A7" s="699"/>
      <c r="B7" s="1022"/>
      <c r="C7" s="1023" t="s">
        <v>5609</v>
      </c>
      <c r="D7" s="1022">
        <v>2.0</v>
      </c>
      <c r="E7" s="1025" t="s">
        <v>3670</v>
      </c>
      <c r="F7" s="1026">
        <v>44910.0</v>
      </c>
      <c r="G7" s="1028" t="s">
        <v>595</v>
      </c>
      <c r="H7" s="1029" t="s">
        <v>3671</v>
      </c>
      <c r="I7" s="1029" t="s">
        <v>410</v>
      </c>
      <c r="J7" s="1029" t="s">
        <v>3672</v>
      </c>
      <c r="K7" s="1030"/>
      <c r="L7" s="399" t="s">
        <v>5624</v>
      </c>
      <c r="M7" s="1032"/>
      <c r="N7" s="1033"/>
      <c r="O7" s="699"/>
      <c r="P7" s="699"/>
      <c r="Q7" s="699"/>
    </row>
    <row r="8">
      <c r="A8" s="699"/>
      <c r="B8" s="1022"/>
      <c r="C8" s="1023" t="s">
        <v>5656</v>
      </c>
      <c r="D8" s="1022">
        <v>2.0</v>
      </c>
      <c r="E8" s="1025" t="s">
        <v>3670</v>
      </c>
      <c r="F8" s="1026">
        <v>44910.0</v>
      </c>
      <c r="G8" s="1028" t="s">
        <v>595</v>
      </c>
      <c r="H8" s="1029" t="s">
        <v>3671</v>
      </c>
      <c r="I8" s="1029" t="s">
        <v>410</v>
      </c>
      <c r="J8" s="1029" t="s">
        <v>3672</v>
      </c>
      <c r="K8" s="1030"/>
      <c r="L8" s="399" t="s">
        <v>5658</v>
      </c>
      <c r="M8" s="1032"/>
      <c r="N8" s="1033"/>
      <c r="O8" s="699"/>
      <c r="P8" s="699"/>
      <c r="Q8" s="699"/>
    </row>
    <row r="9">
      <c r="A9" s="699"/>
      <c r="B9" s="1022"/>
      <c r="C9" s="1023" t="s">
        <v>5662</v>
      </c>
      <c r="D9" s="1022">
        <v>2.0</v>
      </c>
      <c r="E9" s="1025" t="s">
        <v>3670</v>
      </c>
      <c r="F9" s="1026">
        <v>44910.0</v>
      </c>
      <c r="G9" s="1028" t="s">
        <v>595</v>
      </c>
      <c r="H9" s="1029" t="s">
        <v>3671</v>
      </c>
      <c r="I9" s="1029" t="s">
        <v>410</v>
      </c>
      <c r="J9" s="1029" t="s">
        <v>3672</v>
      </c>
      <c r="K9" s="1030"/>
      <c r="L9" s="399" t="s">
        <v>5665</v>
      </c>
      <c r="M9" s="1032"/>
      <c r="N9" s="1033"/>
      <c r="O9" s="699"/>
      <c r="P9" s="699"/>
      <c r="Q9" s="699"/>
    </row>
    <row r="10">
      <c r="A10" s="699"/>
      <c r="B10" s="1022"/>
      <c r="C10" s="1023" t="s">
        <v>5669</v>
      </c>
      <c r="D10" s="1022">
        <v>2.0</v>
      </c>
      <c r="E10" s="1025" t="s">
        <v>3670</v>
      </c>
      <c r="F10" s="1026">
        <v>44910.0</v>
      </c>
      <c r="G10" s="1028" t="s">
        <v>595</v>
      </c>
      <c r="H10" s="1029" t="s">
        <v>3671</v>
      </c>
      <c r="I10" s="1029" t="s">
        <v>410</v>
      </c>
      <c r="J10" s="1029" t="s">
        <v>3672</v>
      </c>
      <c r="K10" s="1030"/>
      <c r="L10" s="399" t="s">
        <v>5672</v>
      </c>
      <c r="M10" s="1032"/>
      <c r="N10" s="1033"/>
      <c r="O10" s="699"/>
      <c r="P10" s="699"/>
      <c r="Q10" s="699"/>
    </row>
    <row r="11">
      <c r="A11" s="699"/>
      <c r="B11" s="1022"/>
      <c r="C11" s="1023" t="s">
        <v>5678</v>
      </c>
      <c r="D11" s="1022">
        <v>2.0</v>
      </c>
      <c r="E11" s="1025" t="s">
        <v>3670</v>
      </c>
      <c r="F11" s="1026">
        <v>44910.0</v>
      </c>
      <c r="G11" s="1028" t="s">
        <v>595</v>
      </c>
      <c r="H11" s="1029" t="s">
        <v>3671</v>
      </c>
      <c r="I11" s="1029" t="s">
        <v>410</v>
      </c>
      <c r="J11" s="1029" t="s">
        <v>3672</v>
      </c>
      <c r="K11" s="1030"/>
      <c r="L11" s="399" t="s">
        <v>5680</v>
      </c>
      <c r="M11" s="1032"/>
      <c r="N11" s="1033"/>
      <c r="O11" s="699"/>
      <c r="P11" s="699"/>
      <c r="Q11" s="699"/>
    </row>
    <row r="12">
      <c r="A12" s="699"/>
      <c r="B12" s="1022"/>
      <c r="C12" s="1023" t="s">
        <v>5686</v>
      </c>
      <c r="D12" s="1022">
        <v>4.0</v>
      </c>
      <c r="E12" s="1025" t="s">
        <v>5687</v>
      </c>
      <c r="F12" s="1026">
        <v>45015.0</v>
      </c>
      <c r="G12" s="1028" t="s">
        <v>595</v>
      </c>
      <c r="H12" s="1029" t="s">
        <v>3701</v>
      </c>
      <c r="I12" s="1029" t="s">
        <v>5690</v>
      </c>
      <c r="J12" s="1029" t="s">
        <v>5691</v>
      </c>
      <c r="K12" s="1029"/>
      <c r="L12" s="399" t="s">
        <v>5692</v>
      </c>
      <c r="M12" s="1032"/>
      <c r="N12" s="1033"/>
      <c r="O12" s="699"/>
      <c r="P12" s="699"/>
      <c r="Q12" s="699"/>
    </row>
    <row r="13">
      <c r="A13" s="699"/>
      <c r="B13" s="1022"/>
      <c r="C13" s="1023" t="s">
        <v>5699</v>
      </c>
      <c r="D13" s="1022">
        <v>4.0</v>
      </c>
      <c r="E13" s="1025" t="s">
        <v>5687</v>
      </c>
      <c r="F13" s="1026">
        <v>45015.0</v>
      </c>
      <c r="G13" s="1028" t="s">
        <v>595</v>
      </c>
      <c r="H13" s="1029" t="s">
        <v>3701</v>
      </c>
      <c r="I13" s="1029" t="s">
        <v>5690</v>
      </c>
      <c r="J13" s="1029" t="s">
        <v>5691</v>
      </c>
      <c r="K13" s="1029"/>
      <c r="L13" s="399" t="s">
        <v>5701</v>
      </c>
      <c r="M13" s="1032"/>
      <c r="N13" s="1033"/>
      <c r="O13" s="699"/>
      <c r="P13" s="699"/>
      <c r="Q13" s="699"/>
    </row>
    <row r="14">
      <c r="A14" s="699"/>
      <c r="B14" s="1022"/>
      <c r="C14" s="1023" t="s">
        <v>5704</v>
      </c>
      <c r="D14" s="1022">
        <v>4.0</v>
      </c>
      <c r="E14" s="1025" t="s">
        <v>5687</v>
      </c>
      <c r="F14" s="1026">
        <v>45015.0</v>
      </c>
      <c r="G14" s="1028" t="s">
        <v>595</v>
      </c>
      <c r="H14" s="1029" t="s">
        <v>3701</v>
      </c>
      <c r="I14" s="1029" t="s">
        <v>5690</v>
      </c>
      <c r="J14" s="1029" t="s">
        <v>5691</v>
      </c>
      <c r="K14" s="1029"/>
      <c r="L14" s="399" t="s">
        <v>5707</v>
      </c>
      <c r="M14" s="1032"/>
      <c r="N14" s="1033"/>
      <c r="O14" s="699"/>
      <c r="P14" s="699"/>
      <c r="Q14" s="699"/>
    </row>
    <row r="15">
      <c r="A15" s="699"/>
      <c r="B15" s="1022"/>
      <c r="C15" s="1023" t="s">
        <v>5715</v>
      </c>
      <c r="D15" s="1022">
        <v>4.0</v>
      </c>
      <c r="E15" s="1025" t="s">
        <v>5687</v>
      </c>
      <c r="F15" s="1026">
        <v>45015.0</v>
      </c>
      <c r="G15" s="1028" t="s">
        <v>595</v>
      </c>
      <c r="H15" s="1029" t="s">
        <v>3701</v>
      </c>
      <c r="I15" s="1029" t="s">
        <v>5690</v>
      </c>
      <c r="J15" s="1029" t="s">
        <v>5691</v>
      </c>
      <c r="K15" s="1029"/>
      <c r="L15" s="399" t="s">
        <v>5717</v>
      </c>
      <c r="M15" s="1032"/>
      <c r="N15" s="1033"/>
      <c r="O15" s="699"/>
      <c r="P15" s="699"/>
      <c r="Q15" s="699"/>
    </row>
    <row r="16">
      <c r="A16" s="699"/>
      <c r="B16" s="1022"/>
      <c r="C16" s="1023" t="s">
        <v>5721</v>
      </c>
      <c r="D16" s="1022">
        <v>4.0</v>
      </c>
      <c r="E16" s="1025" t="s">
        <v>5687</v>
      </c>
      <c r="F16" s="1026">
        <v>45015.0</v>
      </c>
      <c r="G16" s="1028" t="s">
        <v>595</v>
      </c>
      <c r="H16" s="1029" t="s">
        <v>3701</v>
      </c>
      <c r="I16" s="1029" t="s">
        <v>5690</v>
      </c>
      <c r="J16" s="1029" t="s">
        <v>5691</v>
      </c>
      <c r="K16" s="1038"/>
      <c r="L16" s="399" t="s">
        <v>5723</v>
      </c>
      <c r="M16" s="1032"/>
      <c r="N16" s="1033"/>
      <c r="O16" s="699"/>
      <c r="P16" s="699"/>
      <c r="Q16" s="699"/>
    </row>
    <row r="17">
      <c r="A17" s="699"/>
      <c r="B17" s="1022"/>
      <c r="C17" s="1023" t="s">
        <v>5728</v>
      </c>
      <c r="D17" s="1022">
        <v>4.0</v>
      </c>
      <c r="E17" s="1025" t="s">
        <v>5687</v>
      </c>
      <c r="F17" s="1026">
        <v>45015.0</v>
      </c>
      <c r="G17" s="1028" t="s">
        <v>595</v>
      </c>
      <c r="H17" s="1029" t="s">
        <v>3701</v>
      </c>
      <c r="I17" s="1029" t="s">
        <v>5690</v>
      </c>
      <c r="J17" s="1029" t="s">
        <v>5691</v>
      </c>
      <c r="K17" s="1029"/>
      <c r="L17" s="399" t="s">
        <v>5730</v>
      </c>
      <c r="M17" s="1032"/>
      <c r="N17" s="1033"/>
      <c r="O17" s="699"/>
      <c r="P17" s="699"/>
      <c r="Q17" s="699"/>
    </row>
    <row r="18">
      <c r="A18" s="699"/>
      <c r="B18" s="1022"/>
      <c r="C18" s="1023" t="s">
        <v>5738</v>
      </c>
      <c r="D18" s="1022">
        <v>4.0</v>
      </c>
      <c r="E18" s="1025" t="s">
        <v>5687</v>
      </c>
      <c r="F18" s="1026">
        <v>45015.0</v>
      </c>
      <c r="G18" s="1028" t="s">
        <v>595</v>
      </c>
      <c r="H18" s="1029" t="s">
        <v>3701</v>
      </c>
      <c r="I18" s="1029" t="s">
        <v>5690</v>
      </c>
      <c r="J18" s="1029" t="s">
        <v>5691</v>
      </c>
      <c r="K18" s="1029"/>
      <c r="L18" s="399" t="s">
        <v>5739</v>
      </c>
      <c r="M18" s="1032"/>
      <c r="N18" s="1033"/>
      <c r="O18" s="699"/>
      <c r="P18" s="699"/>
      <c r="Q18" s="699"/>
    </row>
    <row r="19">
      <c r="A19" s="699"/>
      <c r="B19" s="1022"/>
      <c r="C19" s="1023" t="s">
        <v>5748</v>
      </c>
      <c r="D19" s="1022">
        <v>4.0</v>
      </c>
      <c r="E19" s="1025" t="s">
        <v>5687</v>
      </c>
      <c r="F19" s="1026">
        <v>45015.0</v>
      </c>
      <c r="G19" s="1028" t="s">
        <v>595</v>
      </c>
      <c r="H19" s="1029" t="s">
        <v>3701</v>
      </c>
      <c r="I19" s="1029" t="s">
        <v>5690</v>
      </c>
      <c r="J19" s="1029" t="s">
        <v>5691</v>
      </c>
      <c r="K19" s="1029"/>
      <c r="L19" s="399" t="s">
        <v>5750</v>
      </c>
      <c r="M19" s="1032"/>
      <c r="N19" s="1033"/>
      <c r="O19" s="699"/>
      <c r="P19" s="699"/>
      <c r="Q19" s="699"/>
    </row>
    <row r="20">
      <c r="A20" s="699"/>
      <c r="B20" s="1022"/>
      <c r="C20" s="1023" t="s">
        <v>5759</v>
      </c>
      <c r="D20" s="1022">
        <v>4.0</v>
      </c>
      <c r="E20" s="1025" t="s">
        <v>5687</v>
      </c>
      <c r="F20" s="1026">
        <v>45015.0</v>
      </c>
      <c r="G20" s="1028" t="s">
        <v>595</v>
      </c>
      <c r="H20" s="1029" t="s">
        <v>3701</v>
      </c>
      <c r="I20" s="1029" t="s">
        <v>5690</v>
      </c>
      <c r="J20" s="1029" t="s">
        <v>5691</v>
      </c>
      <c r="K20" s="1029"/>
      <c r="L20" s="399" t="s">
        <v>5762</v>
      </c>
      <c r="M20" s="1032"/>
      <c r="N20" s="1033"/>
      <c r="O20" s="699"/>
      <c r="P20" s="699"/>
      <c r="Q20" s="699"/>
    </row>
    <row r="21">
      <c r="A21" s="699"/>
      <c r="B21" s="1022"/>
      <c r="C21" s="1023" t="s">
        <v>5772</v>
      </c>
      <c r="D21" s="1022">
        <v>4.0</v>
      </c>
      <c r="E21" s="1025" t="s">
        <v>5687</v>
      </c>
      <c r="F21" s="1026">
        <v>45015.0</v>
      </c>
      <c r="G21" s="1028" t="s">
        <v>595</v>
      </c>
      <c r="H21" s="1029" t="s">
        <v>3701</v>
      </c>
      <c r="I21" s="1029" t="s">
        <v>5690</v>
      </c>
      <c r="J21" s="1029" t="s">
        <v>5691</v>
      </c>
      <c r="K21" s="1029"/>
      <c r="L21" s="399" t="s">
        <v>5775</v>
      </c>
      <c r="M21" s="1032"/>
      <c r="N21" s="1033"/>
      <c r="O21" s="699"/>
      <c r="P21" s="699"/>
      <c r="Q21" s="699"/>
    </row>
    <row r="22">
      <c r="A22" s="699"/>
      <c r="B22" s="1022"/>
      <c r="C22" s="1023" t="s">
        <v>5783</v>
      </c>
      <c r="D22" s="1055">
        <v>24.0</v>
      </c>
      <c r="E22" s="400" t="s">
        <v>205</v>
      </c>
      <c r="F22" s="1026"/>
      <c r="G22" s="1028" t="s">
        <v>904</v>
      </c>
      <c r="H22" s="1029" t="s">
        <v>1082</v>
      </c>
      <c r="I22" s="1029"/>
      <c r="J22" s="1029" t="s">
        <v>270</v>
      </c>
      <c r="K22" s="1030"/>
      <c r="L22" s="399" t="s">
        <v>5787</v>
      </c>
      <c r="M22" s="1032"/>
      <c r="N22" s="1033"/>
      <c r="O22" s="699"/>
      <c r="P22" s="699"/>
      <c r="Q22" s="699"/>
    </row>
    <row r="23">
      <c r="A23" s="699"/>
      <c r="B23" s="1022"/>
      <c r="C23" s="1023" t="s">
        <v>5797</v>
      </c>
      <c r="D23" s="1022">
        <v>5.0</v>
      </c>
      <c r="E23" s="1025" t="s">
        <v>3713</v>
      </c>
      <c r="F23" s="1026">
        <v>44931.0</v>
      </c>
      <c r="G23" s="1028" t="s">
        <v>595</v>
      </c>
      <c r="H23" s="1029" t="s">
        <v>3714</v>
      </c>
      <c r="I23" s="1029" t="s">
        <v>3715</v>
      </c>
      <c r="J23" s="1029" t="s">
        <v>3716</v>
      </c>
      <c r="K23" s="1030"/>
      <c r="L23" s="399" t="s">
        <v>5801</v>
      </c>
      <c r="M23" s="1032"/>
      <c r="N23" s="1033"/>
      <c r="O23" s="699"/>
      <c r="P23" s="699"/>
      <c r="Q23" s="699"/>
    </row>
    <row r="24">
      <c r="A24" s="699"/>
      <c r="B24" s="1022"/>
      <c r="C24" s="1023" t="s">
        <v>5807</v>
      </c>
      <c r="D24" s="1022">
        <v>5.0</v>
      </c>
      <c r="E24" s="1025" t="s">
        <v>3713</v>
      </c>
      <c r="F24" s="1026">
        <v>44931.0</v>
      </c>
      <c r="G24" s="1028" t="s">
        <v>595</v>
      </c>
      <c r="H24" s="1029" t="s">
        <v>3714</v>
      </c>
      <c r="I24" s="1029" t="s">
        <v>3715</v>
      </c>
      <c r="J24" s="1029" t="s">
        <v>3716</v>
      </c>
      <c r="K24" s="1030"/>
      <c r="L24" s="399" t="s">
        <v>5811</v>
      </c>
      <c r="M24" s="1032"/>
      <c r="N24" s="1033"/>
      <c r="O24" s="699"/>
      <c r="P24" s="699"/>
      <c r="Q24" s="699"/>
    </row>
    <row r="25">
      <c r="A25" s="699"/>
      <c r="B25" s="1022"/>
      <c r="C25" s="1023" t="s">
        <v>5821</v>
      </c>
      <c r="D25" s="1022">
        <v>5.0</v>
      </c>
      <c r="E25" s="1025" t="s">
        <v>3713</v>
      </c>
      <c r="F25" s="1026">
        <v>44931.0</v>
      </c>
      <c r="G25" s="1028" t="s">
        <v>595</v>
      </c>
      <c r="H25" s="1029" t="s">
        <v>3714</v>
      </c>
      <c r="I25" s="1029" t="s">
        <v>3715</v>
      </c>
      <c r="J25" s="1029" t="s">
        <v>3716</v>
      </c>
      <c r="K25" s="1030"/>
      <c r="L25" s="399" t="s">
        <v>5824</v>
      </c>
      <c r="M25" s="1032"/>
      <c r="N25" s="1033"/>
      <c r="O25" s="699"/>
      <c r="P25" s="699"/>
      <c r="Q25" s="699"/>
    </row>
    <row r="26">
      <c r="A26" s="699"/>
      <c r="B26" s="1022"/>
      <c r="C26" s="1023" t="s">
        <v>5830</v>
      </c>
      <c r="D26" s="1022">
        <v>5.0</v>
      </c>
      <c r="E26" s="1025" t="s">
        <v>3713</v>
      </c>
      <c r="F26" s="1026">
        <v>44931.0</v>
      </c>
      <c r="G26" s="1028" t="s">
        <v>595</v>
      </c>
      <c r="H26" s="1029" t="s">
        <v>3714</v>
      </c>
      <c r="I26" s="1029" t="s">
        <v>3715</v>
      </c>
      <c r="J26" s="1029" t="s">
        <v>3716</v>
      </c>
      <c r="K26" s="1030"/>
      <c r="L26" s="399" t="s">
        <v>5833</v>
      </c>
      <c r="M26" s="1032"/>
      <c r="N26" s="1033"/>
      <c r="O26" s="699"/>
      <c r="P26" s="699"/>
      <c r="Q26" s="699"/>
    </row>
    <row r="27">
      <c r="A27" s="699"/>
      <c r="B27" s="1022"/>
      <c r="C27" s="1023" t="s">
        <v>5834</v>
      </c>
      <c r="D27" s="1022">
        <v>5.0</v>
      </c>
      <c r="E27" s="1025" t="s">
        <v>3713</v>
      </c>
      <c r="F27" s="1026">
        <v>44931.0</v>
      </c>
      <c r="G27" s="1028" t="s">
        <v>595</v>
      </c>
      <c r="H27" s="1029" t="s">
        <v>3714</v>
      </c>
      <c r="I27" s="1029" t="s">
        <v>3715</v>
      </c>
      <c r="J27" s="1029" t="s">
        <v>3716</v>
      </c>
      <c r="K27" s="1030"/>
      <c r="L27" s="399" t="s">
        <v>5842</v>
      </c>
      <c r="M27" s="1032"/>
      <c r="N27" s="1033"/>
      <c r="O27" s="699"/>
      <c r="P27" s="699"/>
      <c r="Q27" s="699"/>
    </row>
    <row r="28">
      <c r="A28" s="699"/>
      <c r="B28" s="1022"/>
      <c r="C28" s="1023" t="s">
        <v>5849</v>
      </c>
      <c r="D28" s="1022">
        <v>8.0</v>
      </c>
      <c r="E28" s="1025" t="s">
        <v>3754</v>
      </c>
      <c r="F28" s="1026">
        <v>44952.0</v>
      </c>
      <c r="G28" s="1028" t="s">
        <v>595</v>
      </c>
      <c r="H28" s="1029" t="s">
        <v>3756</v>
      </c>
      <c r="I28" s="1029" t="s">
        <v>5851</v>
      </c>
      <c r="J28" s="1029" t="s">
        <v>5852</v>
      </c>
      <c r="K28" s="1029"/>
      <c r="L28" s="399" t="s">
        <v>5853</v>
      </c>
      <c r="M28" s="1059"/>
      <c r="N28" s="1033"/>
      <c r="O28" s="699"/>
      <c r="P28" s="699"/>
      <c r="Q28" s="699"/>
    </row>
    <row r="29">
      <c r="A29" s="699"/>
      <c r="B29" s="1022"/>
      <c r="C29" s="1023" t="s">
        <v>5860</v>
      </c>
      <c r="D29" s="1022">
        <v>8.0</v>
      </c>
      <c r="E29" s="1025" t="s">
        <v>3754</v>
      </c>
      <c r="F29" s="1026">
        <v>44952.0</v>
      </c>
      <c r="G29" s="1028" t="s">
        <v>595</v>
      </c>
      <c r="H29" s="1029" t="s">
        <v>3756</v>
      </c>
      <c r="I29" s="1029" t="s">
        <v>5851</v>
      </c>
      <c r="J29" s="1029" t="s">
        <v>5852</v>
      </c>
      <c r="K29" s="1029"/>
      <c r="L29" s="399" t="s">
        <v>5865</v>
      </c>
      <c r="M29" s="1032"/>
      <c r="N29" s="1033"/>
      <c r="O29" s="699"/>
      <c r="P29" s="699"/>
      <c r="Q29" s="699"/>
    </row>
    <row r="30">
      <c r="A30" s="699"/>
      <c r="B30" s="1022"/>
      <c r="C30" s="1023" t="s">
        <v>5873</v>
      </c>
      <c r="D30" s="1022">
        <v>8.0</v>
      </c>
      <c r="E30" s="1025" t="s">
        <v>3754</v>
      </c>
      <c r="F30" s="1026">
        <v>44952.0</v>
      </c>
      <c r="G30" s="1028" t="s">
        <v>595</v>
      </c>
      <c r="H30" s="1029" t="s">
        <v>3756</v>
      </c>
      <c r="I30" s="1029" t="s">
        <v>5851</v>
      </c>
      <c r="J30" s="1029" t="s">
        <v>5852</v>
      </c>
      <c r="K30" s="1029"/>
      <c r="L30" s="399" t="s">
        <v>5875</v>
      </c>
      <c r="M30" s="1032"/>
      <c r="N30" s="1033"/>
      <c r="O30" s="699"/>
      <c r="P30" s="699"/>
      <c r="Q30" s="699"/>
    </row>
    <row r="31" ht="15.75" customHeight="1">
      <c r="A31" s="699"/>
      <c r="B31" s="1022"/>
      <c r="C31" s="1023" t="s">
        <v>5883</v>
      </c>
      <c r="D31" s="1022">
        <v>8.0</v>
      </c>
      <c r="E31" s="1025" t="s">
        <v>3754</v>
      </c>
      <c r="F31" s="1026">
        <v>44952.0</v>
      </c>
      <c r="G31" s="1028" t="s">
        <v>595</v>
      </c>
      <c r="H31" s="1029" t="s">
        <v>3756</v>
      </c>
      <c r="I31" s="1029" t="s">
        <v>5851</v>
      </c>
      <c r="J31" s="1029" t="s">
        <v>5852</v>
      </c>
      <c r="K31" s="1029"/>
      <c r="L31" s="399" t="s">
        <v>5886</v>
      </c>
      <c r="M31" s="1032"/>
      <c r="N31" s="1033"/>
      <c r="O31" s="699"/>
      <c r="P31" s="699"/>
      <c r="Q31" s="699"/>
    </row>
    <row r="32">
      <c r="A32" s="699"/>
      <c r="B32" s="1022"/>
      <c r="C32" s="1023" t="s">
        <v>5893</v>
      </c>
      <c r="D32" s="1022">
        <v>8.0</v>
      </c>
      <c r="E32" s="1025" t="s">
        <v>3754</v>
      </c>
      <c r="F32" s="1026">
        <v>44952.0</v>
      </c>
      <c r="G32" s="1028" t="s">
        <v>595</v>
      </c>
      <c r="H32" s="1029" t="s">
        <v>3756</v>
      </c>
      <c r="I32" s="1029" t="s">
        <v>5851</v>
      </c>
      <c r="J32" s="1029" t="s">
        <v>5852</v>
      </c>
      <c r="K32" s="1029"/>
      <c r="L32" s="399" t="s">
        <v>5895</v>
      </c>
      <c r="M32" s="1032"/>
      <c r="N32" s="1033"/>
      <c r="O32" s="699"/>
      <c r="P32" s="699"/>
      <c r="Q32" s="699"/>
    </row>
    <row r="33">
      <c r="A33" s="699"/>
      <c r="B33" s="1022"/>
      <c r="C33" s="1023" t="s">
        <v>5905</v>
      </c>
      <c r="D33" s="1022">
        <v>8.0</v>
      </c>
      <c r="E33" s="1025" t="s">
        <v>3754</v>
      </c>
      <c r="F33" s="1026">
        <v>44952.0</v>
      </c>
      <c r="G33" s="1028" t="s">
        <v>595</v>
      </c>
      <c r="H33" s="1029" t="s">
        <v>3756</v>
      </c>
      <c r="I33" s="1029" t="s">
        <v>5851</v>
      </c>
      <c r="J33" s="1029" t="s">
        <v>5852</v>
      </c>
      <c r="K33" s="1029"/>
      <c r="L33" s="399" t="s">
        <v>5908</v>
      </c>
      <c r="M33" s="1032"/>
      <c r="N33" s="1033"/>
      <c r="O33" s="699"/>
      <c r="P33" s="699"/>
      <c r="Q33" s="699"/>
    </row>
    <row r="34">
      <c r="A34" s="699"/>
      <c r="B34" s="1022"/>
      <c r="C34" s="1023" t="s">
        <v>5857</v>
      </c>
      <c r="D34" s="1022">
        <v>8.0</v>
      </c>
      <c r="E34" s="1025" t="s">
        <v>3754</v>
      </c>
      <c r="F34" s="1026">
        <v>44952.0</v>
      </c>
      <c r="G34" s="1028" t="s">
        <v>595</v>
      </c>
      <c r="H34" s="1029" t="s">
        <v>3756</v>
      </c>
      <c r="I34" s="1029" t="s">
        <v>5851</v>
      </c>
      <c r="J34" s="1029" t="s">
        <v>5852</v>
      </c>
      <c r="K34" s="1029"/>
      <c r="L34" s="399" t="s">
        <v>5913</v>
      </c>
      <c r="M34" s="1032"/>
      <c r="N34" s="1033"/>
      <c r="O34" s="699"/>
      <c r="P34" s="699"/>
      <c r="Q34" s="699"/>
    </row>
    <row r="35">
      <c r="A35" s="699"/>
      <c r="B35" s="1022"/>
      <c r="C35" s="1023" t="s">
        <v>5917</v>
      </c>
      <c r="D35" s="1022">
        <v>10.0</v>
      </c>
      <c r="E35" s="1025" t="s">
        <v>3793</v>
      </c>
      <c r="F35" s="1026">
        <v>44966.0</v>
      </c>
      <c r="G35" s="1028" t="s">
        <v>595</v>
      </c>
      <c r="H35" s="1029" t="s">
        <v>3794</v>
      </c>
      <c r="I35" s="1029" t="s">
        <v>436</v>
      </c>
      <c r="J35" s="1029" t="s">
        <v>3796</v>
      </c>
      <c r="K35" s="1030"/>
      <c r="L35" s="399" t="s">
        <v>5919</v>
      </c>
      <c r="M35" s="1032"/>
      <c r="N35" s="1033"/>
      <c r="O35" s="699"/>
      <c r="P35" s="699"/>
      <c r="Q35" s="699"/>
    </row>
    <row r="36">
      <c r="A36" s="699"/>
      <c r="B36" s="1022"/>
      <c r="C36" s="1023" t="s">
        <v>5924</v>
      </c>
      <c r="D36" s="1022">
        <v>10.0</v>
      </c>
      <c r="E36" s="1025" t="s">
        <v>3793</v>
      </c>
      <c r="F36" s="1026">
        <v>44966.0</v>
      </c>
      <c r="G36" s="1028" t="s">
        <v>595</v>
      </c>
      <c r="H36" s="1029" t="s">
        <v>3794</v>
      </c>
      <c r="I36" s="1029" t="s">
        <v>436</v>
      </c>
      <c r="J36" s="1029" t="s">
        <v>3796</v>
      </c>
      <c r="K36" s="1030"/>
      <c r="L36" s="399" t="s">
        <v>5925</v>
      </c>
      <c r="M36" s="1032"/>
      <c r="N36" s="1033"/>
      <c r="O36" s="699"/>
      <c r="P36" s="699"/>
      <c r="Q36" s="699"/>
    </row>
    <row r="37" ht="14.25" customHeight="1">
      <c r="A37" s="699"/>
      <c r="B37" s="1022"/>
      <c r="C37" s="1023" t="s">
        <v>5928</v>
      </c>
      <c r="D37" s="1022">
        <v>10.0</v>
      </c>
      <c r="E37" s="1025" t="s">
        <v>3793</v>
      </c>
      <c r="F37" s="1026">
        <v>44966.0</v>
      </c>
      <c r="G37" s="1028" t="s">
        <v>595</v>
      </c>
      <c r="H37" s="1029" t="s">
        <v>3794</v>
      </c>
      <c r="I37" s="1029" t="s">
        <v>436</v>
      </c>
      <c r="J37" s="1029" t="s">
        <v>3796</v>
      </c>
      <c r="K37" s="1030"/>
      <c r="L37" s="399" t="s">
        <v>5931</v>
      </c>
      <c r="M37" s="1032"/>
      <c r="N37" s="1033"/>
      <c r="O37" s="699"/>
      <c r="P37" s="699"/>
      <c r="Q37" s="699"/>
    </row>
    <row r="38">
      <c r="A38" s="699"/>
      <c r="B38" s="1022"/>
      <c r="C38" s="1023" t="s">
        <v>5934</v>
      </c>
      <c r="D38" s="1022">
        <v>10.0</v>
      </c>
      <c r="E38" s="1025" t="s">
        <v>3793</v>
      </c>
      <c r="F38" s="1026">
        <v>44966.0</v>
      </c>
      <c r="G38" s="1028" t="s">
        <v>595</v>
      </c>
      <c r="H38" s="1029" t="s">
        <v>3794</v>
      </c>
      <c r="I38" s="1029" t="s">
        <v>436</v>
      </c>
      <c r="J38" s="1029" t="s">
        <v>3796</v>
      </c>
      <c r="K38" s="1030"/>
      <c r="L38" s="399" t="s">
        <v>5936</v>
      </c>
      <c r="M38" s="1032"/>
      <c r="N38" s="1033"/>
      <c r="O38" s="699"/>
      <c r="P38" s="699"/>
      <c r="Q38" s="699"/>
    </row>
    <row r="39">
      <c r="A39" s="699"/>
      <c r="B39" s="1022"/>
      <c r="C39" s="1023" t="s">
        <v>5940</v>
      </c>
      <c r="D39" s="1022">
        <v>10.0</v>
      </c>
      <c r="E39" s="1025" t="s">
        <v>3793</v>
      </c>
      <c r="F39" s="1026">
        <v>44966.0</v>
      </c>
      <c r="G39" s="1028" t="s">
        <v>595</v>
      </c>
      <c r="H39" s="1029" t="s">
        <v>3794</v>
      </c>
      <c r="I39" s="1029" t="s">
        <v>436</v>
      </c>
      <c r="J39" s="1029" t="s">
        <v>3796</v>
      </c>
      <c r="K39" s="1030"/>
      <c r="L39" s="399" t="s">
        <v>5941</v>
      </c>
      <c r="M39" s="1032"/>
      <c r="N39" s="1033"/>
      <c r="O39" s="699"/>
      <c r="P39" s="699"/>
      <c r="Q39" s="699"/>
    </row>
    <row r="40">
      <c r="A40" s="699"/>
      <c r="B40" s="1022"/>
      <c r="C40" s="1023" t="s">
        <v>5945</v>
      </c>
      <c r="D40" s="1022">
        <v>10.0</v>
      </c>
      <c r="E40" s="400" t="s">
        <v>3793</v>
      </c>
      <c r="F40" s="1026">
        <v>44966.0</v>
      </c>
      <c r="G40" s="1028" t="s">
        <v>595</v>
      </c>
      <c r="H40" s="1029" t="s">
        <v>3794</v>
      </c>
      <c r="I40" s="1029" t="s">
        <v>436</v>
      </c>
      <c r="J40" s="1029" t="s">
        <v>3796</v>
      </c>
      <c r="K40" s="1030"/>
      <c r="L40" s="399" t="s">
        <v>5947</v>
      </c>
      <c r="M40" s="1032"/>
      <c r="N40" s="1033"/>
      <c r="O40" s="699"/>
      <c r="P40" s="699"/>
      <c r="Q40" s="699"/>
    </row>
    <row r="41">
      <c r="A41" s="699"/>
      <c r="B41" s="1022"/>
      <c r="C41" s="1023" t="s">
        <v>5953</v>
      </c>
      <c r="D41" s="1022">
        <v>11.0</v>
      </c>
      <c r="E41" s="1025" t="s">
        <v>3807</v>
      </c>
      <c r="F41" s="1026">
        <v>44973.0</v>
      </c>
      <c r="G41" s="1028" t="s">
        <v>595</v>
      </c>
      <c r="H41" s="1029" t="s">
        <v>5954</v>
      </c>
      <c r="I41" s="1029" t="s">
        <v>3809</v>
      </c>
      <c r="J41" s="1029" t="s">
        <v>1100</v>
      </c>
      <c r="K41" s="1030"/>
      <c r="L41" s="399" t="s">
        <v>5957</v>
      </c>
      <c r="M41" s="1032"/>
      <c r="N41" s="1033"/>
      <c r="O41" s="699"/>
      <c r="P41" s="699"/>
      <c r="Q41" s="699"/>
    </row>
    <row r="42">
      <c r="A42" s="699"/>
      <c r="B42" s="1022"/>
      <c r="C42" s="1023" t="s">
        <v>5848</v>
      </c>
      <c r="D42" s="1022">
        <v>11.0</v>
      </c>
      <c r="E42" s="1025" t="s">
        <v>3807</v>
      </c>
      <c r="F42" s="1026">
        <v>44973.0</v>
      </c>
      <c r="G42" s="1028" t="s">
        <v>595</v>
      </c>
      <c r="H42" s="1029" t="s">
        <v>5954</v>
      </c>
      <c r="I42" s="1029" t="s">
        <v>3809</v>
      </c>
      <c r="J42" s="1029" t="s">
        <v>1100</v>
      </c>
      <c r="K42" s="1030"/>
      <c r="L42" s="399" t="s">
        <v>5970</v>
      </c>
      <c r="M42" s="1032"/>
      <c r="N42" s="1033"/>
      <c r="O42" s="699"/>
      <c r="P42" s="699"/>
      <c r="Q42" s="699"/>
    </row>
    <row r="43">
      <c r="A43" s="699"/>
      <c r="B43" s="1022"/>
      <c r="C43" s="1023" t="s">
        <v>5975</v>
      </c>
      <c r="D43" s="1022">
        <v>11.0</v>
      </c>
      <c r="E43" s="1025" t="s">
        <v>3807</v>
      </c>
      <c r="F43" s="1026">
        <v>44973.0</v>
      </c>
      <c r="G43" s="1028" t="s">
        <v>595</v>
      </c>
      <c r="H43" s="1029" t="s">
        <v>5954</v>
      </c>
      <c r="I43" s="1029" t="s">
        <v>3809</v>
      </c>
      <c r="J43" s="1029" t="s">
        <v>1100</v>
      </c>
      <c r="K43" s="1030"/>
      <c r="L43" s="399" t="s">
        <v>5978</v>
      </c>
      <c r="M43" s="1032"/>
      <c r="N43" s="1033"/>
      <c r="O43" s="699"/>
      <c r="P43" s="699"/>
      <c r="Q43" s="699"/>
    </row>
    <row r="44">
      <c r="A44" s="699"/>
      <c r="B44" s="1022"/>
      <c r="C44" s="1023" t="s">
        <v>5845</v>
      </c>
      <c r="D44" s="1022">
        <v>11.0</v>
      </c>
      <c r="E44" s="1025" t="s">
        <v>3807</v>
      </c>
      <c r="F44" s="1026">
        <v>44973.0</v>
      </c>
      <c r="G44" s="1028" t="s">
        <v>595</v>
      </c>
      <c r="H44" s="1029" t="s">
        <v>5954</v>
      </c>
      <c r="I44" s="1029" t="s">
        <v>3809</v>
      </c>
      <c r="J44" s="1029" t="s">
        <v>1100</v>
      </c>
      <c r="K44" s="1030"/>
      <c r="L44" s="399" t="s">
        <v>5986</v>
      </c>
      <c r="M44" s="1032"/>
      <c r="N44" s="1033"/>
      <c r="O44" s="699"/>
      <c r="P44" s="699"/>
      <c r="Q44" s="699"/>
    </row>
    <row r="45">
      <c r="A45" s="699"/>
      <c r="B45" s="1022"/>
      <c r="C45" s="1023" t="s">
        <v>5840</v>
      </c>
      <c r="D45" s="1022">
        <v>11.0</v>
      </c>
      <c r="E45" s="1025" t="s">
        <v>3807</v>
      </c>
      <c r="F45" s="1026">
        <v>44973.0</v>
      </c>
      <c r="G45" s="1028" t="s">
        <v>595</v>
      </c>
      <c r="H45" s="1029" t="s">
        <v>5954</v>
      </c>
      <c r="I45" s="1029" t="s">
        <v>3809</v>
      </c>
      <c r="J45" s="1029" t="s">
        <v>1100</v>
      </c>
      <c r="K45" s="1030"/>
      <c r="L45" s="399" t="s">
        <v>5995</v>
      </c>
      <c r="M45" s="1032"/>
      <c r="N45" s="1033"/>
      <c r="O45" s="699"/>
      <c r="P45" s="699"/>
      <c r="Q45" s="699"/>
    </row>
    <row r="46">
      <c r="A46" s="699"/>
      <c r="B46" s="1022"/>
      <c r="C46" s="1023" t="s">
        <v>6000</v>
      </c>
      <c r="D46" s="1022">
        <v>12.0</v>
      </c>
      <c r="E46" s="1025" t="s">
        <v>6002</v>
      </c>
      <c r="F46" s="1026">
        <v>44980.0</v>
      </c>
      <c r="G46" s="1028" t="s">
        <v>595</v>
      </c>
      <c r="H46" s="1029" t="s">
        <v>6003</v>
      </c>
      <c r="I46" s="1029" t="s">
        <v>6004</v>
      </c>
      <c r="J46" s="1029" t="s">
        <v>1021</v>
      </c>
      <c r="K46" s="1029"/>
      <c r="L46" s="399" t="s">
        <v>6007</v>
      </c>
      <c r="M46" s="1032"/>
      <c r="N46" s="1033"/>
      <c r="O46" s="699"/>
      <c r="P46" s="699"/>
      <c r="Q46" s="699"/>
    </row>
    <row r="47" ht="17.25" customHeight="1">
      <c r="A47" s="699"/>
      <c r="B47" s="1022"/>
      <c r="C47" s="1023" t="s">
        <v>6014</v>
      </c>
      <c r="D47" s="1022">
        <v>12.0</v>
      </c>
      <c r="E47" s="1025" t="s">
        <v>6002</v>
      </c>
      <c r="F47" s="1026">
        <v>44980.0</v>
      </c>
      <c r="G47" s="1028" t="s">
        <v>595</v>
      </c>
      <c r="H47" s="1029" t="s">
        <v>6003</v>
      </c>
      <c r="I47" s="1029" t="s">
        <v>6004</v>
      </c>
      <c r="J47" s="1029" t="s">
        <v>1021</v>
      </c>
      <c r="K47" s="1030"/>
      <c r="L47" s="399" t="s">
        <v>6015</v>
      </c>
      <c r="M47" s="1032"/>
      <c r="N47" s="1033"/>
      <c r="O47" s="699"/>
      <c r="P47" s="699"/>
      <c r="Q47" s="699"/>
    </row>
    <row r="48" ht="15.75" customHeight="1">
      <c r="A48" s="699"/>
      <c r="B48" s="1022"/>
      <c r="C48" s="1023" t="s">
        <v>6023</v>
      </c>
      <c r="D48" s="1022">
        <v>12.0</v>
      </c>
      <c r="E48" s="1025" t="s">
        <v>6002</v>
      </c>
      <c r="F48" s="1026">
        <v>44980.0</v>
      </c>
      <c r="G48" s="1028" t="s">
        <v>595</v>
      </c>
      <c r="H48" s="1029" t="s">
        <v>6003</v>
      </c>
      <c r="I48" s="1029" t="s">
        <v>6004</v>
      </c>
      <c r="J48" s="1029" t="s">
        <v>1021</v>
      </c>
      <c r="K48" s="1030"/>
      <c r="L48" s="399" t="s">
        <v>6025</v>
      </c>
      <c r="M48" s="1032"/>
      <c r="N48" s="1033"/>
      <c r="O48" s="699"/>
      <c r="P48" s="699"/>
      <c r="Q48" s="699"/>
    </row>
    <row r="49">
      <c r="A49" s="699"/>
      <c r="B49" s="1022"/>
      <c r="C49" s="1023" t="s">
        <v>5996</v>
      </c>
      <c r="D49" s="1022">
        <v>12.0</v>
      </c>
      <c r="E49" s="1025" t="s">
        <v>6002</v>
      </c>
      <c r="F49" s="1026">
        <v>44980.0</v>
      </c>
      <c r="G49" s="1028" t="s">
        <v>595</v>
      </c>
      <c r="H49" s="1029" t="s">
        <v>6003</v>
      </c>
      <c r="I49" s="1029" t="s">
        <v>6004</v>
      </c>
      <c r="J49" s="1029" t="s">
        <v>1021</v>
      </c>
      <c r="K49" s="1030"/>
      <c r="L49" s="399" t="s">
        <v>6030</v>
      </c>
      <c r="M49" s="1032"/>
      <c r="N49" s="1033"/>
      <c r="O49" s="699"/>
      <c r="P49" s="699"/>
      <c r="Q49" s="699"/>
    </row>
    <row r="50">
      <c r="A50" s="699"/>
      <c r="B50" s="1022"/>
      <c r="C50" s="1023" t="s">
        <v>6035</v>
      </c>
      <c r="D50" s="1022">
        <v>12.0</v>
      </c>
      <c r="E50" s="1025" t="s">
        <v>6002</v>
      </c>
      <c r="F50" s="1026">
        <v>44980.0</v>
      </c>
      <c r="G50" s="1028" t="s">
        <v>595</v>
      </c>
      <c r="H50" s="1028" t="s">
        <v>6037</v>
      </c>
      <c r="I50" s="1029" t="s">
        <v>6004</v>
      </c>
      <c r="J50" s="1029" t="s">
        <v>1021</v>
      </c>
      <c r="K50" s="1030"/>
      <c r="L50" s="399" t="s">
        <v>6038</v>
      </c>
      <c r="M50" s="1032"/>
      <c r="N50" s="1033"/>
      <c r="O50" s="699"/>
      <c r="P50" s="699"/>
      <c r="Q50" s="699"/>
    </row>
    <row r="51">
      <c r="A51" s="699"/>
      <c r="B51" s="1022"/>
      <c r="C51" s="1023" t="s">
        <v>5977</v>
      </c>
      <c r="D51" s="1022">
        <v>15.0</v>
      </c>
      <c r="E51" s="1025" t="s">
        <v>6039</v>
      </c>
      <c r="F51" s="1026">
        <v>45001.0</v>
      </c>
      <c r="G51" s="1028" t="s">
        <v>595</v>
      </c>
      <c r="H51" s="1029" t="s">
        <v>6040</v>
      </c>
      <c r="I51" s="1029" t="s">
        <v>447</v>
      </c>
      <c r="J51" s="1029" t="s">
        <v>447</v>
      </c>
      <c r="K51" s="1030"/>
      <c r="L51" s="399" t="s">
        <v>6041</v>
      </c>
      <c r="M51" s="1032"/>
      <c r="N51" s="1033"/>
      <c r="O51" s="699"/>
      <c r="P51" s="699"/>
      <c r="Q51" s="699"/>
    </row>
    <row r="52">
      <c r="A52" s="699"/>
      <c r="B52" s="1022"/>
      <c r="C52" s="1023" t="s">
        <v>5972</v>
      </c>
      <c r="D52" s="1022">
        <v>15.0</v>
      </c>
      <c r="E52" s="1025" t="s">
        <v>6039</v>
      </c>
      <c r="F52" s="1026">
        <v>45001.0</v>
      </c>
      <c r="G52" s="1028" t="s">
        <v>595</v>
      </c>
      <c r="H52" s="1029" t="s">
        <v>6040</v>
      </c>
      <c r="I52" s="1029" t="s">
        <v>447</v>
      </c>
      <c r="J52" s="1029" t="s">
        <v>447</v>
      </c>
      <c r="K52" s="1030"/>
      <c r="L52" s="399" t="s">
        <v>6047</v>
      </c>
      <c r="M52" s="1032"/>
      <c r="N52" s="1033"/>
      <c r="O52" s="699"/>
      <c r="P52" s="699"/>
      <c r="Q52" s="699"/>
    </row>
    <row r="53">
      <c r="A53" s="699"/>
      <c r="B53" s="1022"/>
      <c r="C53" s="1023" t="s">
        <v>6010</v>
      </c>
      <c r="D53" s="1022">
        <v>15.0</v>
      </c>
      <c r="E53" s="1025" t="s">
        <v>6039</v>
      </c>
      <c r="F53" s="1026">
        <v>45001.0</v>
      </c>
      <c r="G53" s="1028" t="s">
        <v>595</v>
      </c>
      <c r="H53" s="1029" t="s">
        <v>3869</v>
      </c>
      <c r="I53" s="1029" t="s">
        <v>3870</v>
      </c>
      <c r="J53" s="1029" t="s">
        <v>3871</v>
      </c>
      <c r="K53" s="1030"/>
      <c r="L53" s="399" t="s">
        <v>6058</v>
      </c>
      <c r="M53" s="1032"/>
      <c r="N53" s="1033"/>
      <c r="O53" s="699"/>
      <c r="P53" s="699"/>
      <c r="Q53" s="699"/>
    </row>
    <row r="54">
      <c r="A54" s="699"/>
      <c r="B54" s="1022"/>
      <c r="C54" s="1023" t="s">
        <v>5770</v>
      </c>
      <c r="D54" s="1022">
        <v>15.0</v>
      </c>
      <c r="E54" s="1025" t="s">
        <v>6039</v>
      </c>
      <c r="F54" s="1026">
        <v>45001.0</v>
      </c>
      <c r="G54" s="1028" t="s">
        <v>595</v>
      </c>
      <c r="H54" s="1029" t="s">
        <v>3869</v>
      </c>
      <c r="I54" s="1029" t="s">
        <v>3870</v>
      </c>
      <c r="J54" s="1029" t="s">
        <v>3871</v>
      </c>
      <c r="K54" s="1030"/>
      <c r="L54" s="399" t="s">
        <v>6066</v>
      </c>
      <c r="M54" s="1032"/>
      <c r="N54" s="1033"/>
      <c r="O54" s="699"/>
      <c r="P54" s="699"/>
      <c r="Q54" s="699"/>
    </row>
    <row r="55">
      <c r="A55" s="699"/>
      <c r="B55" s="1022"/>
      <c r="C55" s="1023" t="s">
        <v>5766</v>
      </c>
      <c r="D55" s="1022">
        <v>15.0</v>
      </c>
      <c r="E55" s="1025" t="s">
        <v>6039</v>
      </c>
      <c r="F55" s="1026">
        <v>45001.0</v>
      </c>
      <c r="G55" s="1028" t="s">
        <v>595</v>
      </c>
      <c r="H55" s="1029" t="s">
        <v>3869</v>
      </c>
      <c r="I55" s="1029" t="s">
        <v>3870</v>
      </c>
      <c r="J55" s="1029" t="s">
        <v>3871</v>
      </c>
      <c r="K55" s="1030"/>
      <c r="L55" s="399" t="s">
        <v>6072</v>
      </c>
      <c r="M55" s="1032"/>
      <c r="N55" s="1033"/>
      <c r="O55" s="699"/>
      <c r="P55" s="699"/>
      <c r="Q55" s="699"/>
    </row>
    <row r="56">
      <c r="A56" s="699"/>
      <c r="B56" s="1022"/>
      <c r="C56" s="1023" t="s">
        <v>6081</v>
      </c>
      <c r="D56" s="1022">
        <v>0.0</v>
      </c>
      <c r="E56" s="1062" t="s">
        <v>1276</v>
      </c>
      <c r="F56" s="1026">
        <v>44901.0</v>
      </c>
      <c r="G56" s="1028" t="s">
        <v>1273</v>
      </c>
      <c r="H56" s="1029" t="s">
        <v>365</v>
      </c>
      <c r="I56" s="1029" t="s">
        <v>317</v>
      </c>
      <c r="J56" s="1029" t="s">
        <v>367</v>
      </c>
      <c r="K56" s="1029"/>
      <c r="L56" s="399" t="s">
        <v>6086</v>
      </c>
      <c r="M56" s="1032"/>
      <c r="N56" s="1033"/>
      <c r="O56" s="699"/>
      <c r="P56" s="699"/>
      <c r="Q56" s="699"/>
    </row>
    <row r="57">
      <c r="A57" s="699"/>
      <c r="B57" s="1022"/>
      <c r="C57" s="1023" t="s">
        <v>6092</v>
      </c>
      <c r="D57" s="1022">
        <v>0.0</v>
      </c>
      <c r="E57" s="1062" t="s">
        <v>1276</v>
      </c>
      <c r="F57" s="1026">
        <v>44901.0</v>
      </c>
      <c r="G57" s="1028" t="s">
        <v>1273</v>
      </c>
      <c r="H57" s="1029" t="s">
        <v>365</v>
      </c>
      <c r="I57" s="1029" t="s">
        <v>317</v>
      </c>
      <c r="J57" s="1029" t="s">
        <v>367</v>
      </c>
      <c r="K57" s="1029"/>
      <c r="L57" s="399" t="s">
        <v>6094</v>
      </c>
      <c r="M57" s="1032"/>
      <c r="N57" s="1033"/>
      <c r="O57" s="699"/>
      <c r="P57" s="699"/>
      <c r="Q57" s="699"/>
    </row>
    <row r="58">
      <c r="A58" s="699"/>
      <c r="B58" s="1022"/>
      <c r="C58" s="1023" t="s">
        <v>6106</v>
      </c>
      <c r="D58" s="1022">
        <v>0.0</v>
      </c>
      <c r="E58" s="1062" t="s">
        <v>1276</v>
      </c>
      <c r="F58" s="1026">
        <v>44901.0</v>
      </c>
      <c r="G58" s="1028" t="s">
        <v>1273</v>
      </c>
      <c r="H58" s="1029" t="s">
        <v>365</v>
      </c>
      <c r="I58" s="1029" t="s">
        <v>317</v>
      </c>
      <c r="J58" s="1029" t="s">
        <v>367</v>
      </c>
      <c r="K58" s="1029"/>
      <c r="L58" s="399" t="s">
        <v>6109</v>
      </c>
      <c r="M58" s="1032"/>
      <c r="N58" s="1033"/>
      <c r="O58" s="699"/>
      <c r="P58" s="699"/>
      <c r="Q58" s="699"/>
    </row>
    <row r="59">
      <c r="A59" s="699"/>
      <c r="B59" s="1022"/>
      <c r="C59" s="1023" t="s">
        <v>5816</v>
      </c>
      <c r="D59" s="1022">
        <v>0.0</v>
      </c>
      <c r="E59" s="1062" t="s">
        <v>1276</v>
      </c>
      <c r="F59" s="1026">
        <v>44901.0</v>
      </c>
      <c r="G59" s="1028" t="s">
        <v>1273</v>
      </c>
      <c r="H59" s="1029" t="s">
        <v>365</v>
      </c>
      <c r="I59" s="1029" t="s">
        <v>317</v>
      </c>
      <c r="J59" s="1029" t="s">
        <v>367</v>
      </c>
      <c r="K59" s="1029"/>
      <c r="L59" s="399" t="s">
        <v>6120</v>
      </c>
      <c r="M59" s="1032"/>
      <c r="N59" s="1033"/>
      <c r="O59" s="699"/>
      <c r="P59" s="699"/>
      <c r="Q59" s="699"/>
    </row>
    <row r="60">
      <c r="A60" s="699"/>
      <c r="B60" s="1022"/>
      <c r="C60" s="1023" t="s">
        <v>6124</v>
      </c>
      <c r="D60" s="1022">
        <v>1.0</v>
      </c>
      <c r="E60" s="1064" t="s">
        <v>1302</v>
      </c>
      <c r="F60" s="1065">
        <v>44922.0</v>
      </c>
      <c r="G60" s="1028" t="s">
        <v>1273</v>
      </c>
      <c r="H60" s="1029" t="s">
        <v>1305</v>
      </c>
      <c r="I60" s="1029" t="s">
        <v>1171</v>
      </c>
      <c r="J60" s="1029" t="s">
        <v>979</v>
      </c>
      <c r="K60" s="1029"/>
      <c r="L60" s="399" t="s">
        <v>6127</v>
      </c>
      <c r="M60" s="1032"/>
      <c r="N60" s="1033"/>
      <c r="O60" s="699"/>
      <c r="P60" s="699"/>
      <c r="Q60" s="699"/>
    </row>
    <row r="61">
      <c r="A61" s="699"/>
      <c r="B61" s="1022"/>
      <c r="C61" s="1023" t="s">
        <v>6133</v>
      </c>
      <c r="D61" s="1022">
        <v>1.0</v>
      </c>
      <c r="E61" s="1064" t="s">
        <v>1302</v>
      </c>
      <c r="F61" s="1065">
        <v>44922.0</v>
      </c>
      <c r="G61" s="1028" t="s">
        <v>1273</v>
      </c>
      <c r="H61" s="1029" t="s">
        <v>1305</v>
      </c>
      <c r="I61" s="1029" t="s">
        <v>1171</v>
      </c>
      <c r="J61" s="1029" t="s">
        <v>979</v>
      </c>
      <c r="K61" s="1029"/>
      <c r="L61" s="399" t="s">
        <v>6136</v>
      </c>
      <c r="M61" s="1032"/>
      <c r="N61" s="1033"/>
      <c r="O61" s="699"/>
      <c r="P61" s="699"/>
      <c r="Q61" s="699"/>
    </row>
    <row r="62">
      <c r="A62" s="699"/>
      <c r="B62" s="1022"/>
      <c r="C62" s="1023" t="s">
        <v>6140</v>
      </c>
      <c r="D62" s="1022">
        <v>1.0</v>
      </c>
      <c r="E62" s="1064" t="s">
        <v>1302</v>
      </c>
      <c r="F62" s="1065">
        <v>44922.0</v>
      </c>
      <c r="G62" s="1028" t="s">
        <v>1273</v>
      </c>
      <c r="H62" s="1029" t="s">
        <v>1305</v>
      </c>
      <c r="I62" s="1029" t="s">
        <v>1171</v>
      </c>
      <c r="J62" s="1029" t="s">
        <v>979</v>
      </c>
      <c r="K62" s="1029"/>
      <c r="L62" s="399" t="s">
        <v>6143</v>
      </c>
      <c r="M62" s="1032"/>
      <c r="N62" s="1033"/>
      <c r="O62" s="699"/>
      <c r="P62" s="699"/>
      <c r="Q62" s="699"/>
    </row>
    <row r="63">
      <c r="A63" s="699"/>
      <c r="B63" s="1022"/>
      <c r="C63" s="1023" t="s">
        <v>6145</v>
      </c>
      <c r="D63" s="1022">
        <v>1.0</v>
      </c>
      <c r="E63" s="1064" t="s">
        <v>1302</v>
      </c>
      <c r="F63" s="1065">
        <v>44922.0</v>
      </c>
      <c r="G63" s="1028" t="s">
        <v>1273</v>
      </c>
      <c r="H63" s="1029" t="s">
        <v>1305</v>
      </c>
      <c r="I63" s="1029" t="s">
        <v>1171</v>
      </c>
      <c r="J63" s="1029" t="s">
        <v>979</v>
      </c>
      <c r="K63" s="1029"/>
      <c r="L63" s="399" t="s">
        <v>6154</v>
      </c>
      <c r="M63" s="1032"/>
      <c r="N63" s="1033"/>
      <c r="O63" s="699"/>
      <c r="P63" s="699"/>
      <c r="Q63" s="699"/>
    </row>
    <row r="64">
      <c r="A64" s="699"/>
      <c r="B64" s="1022"/>
      <c r="C64" s="1023" t="s">
        <v>6159</v>
      </c>
      <c r="D64" s="1022">
        <v>1.0</v>
      </c>
      <c r="E64" s="1064" t="s">
        <v>1302</v>
      </c>
      <c r="F64" s="1065">
        <v>44922.0</v>
      </c>
      <c r="G64" s="1028" t="s">
        <v>1273</v>
      </c>
      <c r="H64" s="1029" t="s">
        <v>1305</v>
      </c>
      <c r="I64" s="1029" t="s">
        <v>1171</v>
      </c>
      <c r="J64" s="1029" t="s">
        <v>979</v>
      </c>
      <c r="K64" s="1029"/>
      <c r="L64" s="399" t="s">
        <v>6161</v>
      </c>
      <c r="M64" s="1032"/>
      <c r="N64" s="1033"/>
      <c r="O64" s="699"/>
      <c r="P64" s="699"/>
      <c r="Q64" s="699"/>
    </row>
    <row r="65">
      <c r="A65" s="699"/>
      <c r="B65" s="1022"/>
      <c r="C65" s="1023" t="s">
        <v>6163</v>
      </c>
      <c r="D65" s="1022">
        <v>2.0</v>
      </c>
      <c r="E65" s="1064" t="s">
        <v>1332</v>
      </c>
      <c r="F65" s="1065">
        <v>44929.0</v>
      </c>
      <c r="G65" s="1028" t="s">
        <v>1273</v>
      </c>
      <c r="H65" s="1029" t="s">
        <v>1333</v>
      </c>
      <c r="I65" s="1029" t="s">
        <v>1334</v>
      </c>
      <c r="J65" s="1029" t="s">
        <v>1335</v>
      </c>
      <c r="K65" s="1029"/>
      <c r="L65" s="399" t="s">
        <v>6165</v>
      </c>
      <c r="M65" s="1032"/>
      <c r="N65" s="1033"/>
      <c r="O65" s="699"/>
      <c r="P65" s="699"/>
      <c r="Q65" s="699"/>
    </row>
    <row r="66">
      <c r="A66" s="699"/>
      <c r="B66" s="1022"/>
      <c r="C66" s="1023" t="s">
        <v>6168</v>
      </c>
      <c r="D66" s="1022">
        <v>2.0</v>
      </c>
      <c r="E66" s="1064" t="s">
        <v>1332</v>
      </c>
      <c r="F66" s="1065">
        <v>44929.0</v>
      </c>
      <c r="G66" s="1028" t="s">
        <v>1273</v>
      </c>
      <c r="H66" s="1029" t="s">
        <v>1333</v>
      </c>
      <c r="I66" s="1029" t="s">
        <v>1334</v>
      </c>
      <c r="J66" s="1029" t="s">
        <v>1335</v>
      </c>
      <c r="K66" s="1029"/>
      <c r="L66" s="399" t="s">
        <v>6170</v>
      </c>
      <c r="M66" s="1032"/>
      <c r="N66" s="1033"/>
      <c r="O66" s="699"/>
      <c r="P66" s="699"/>
      <c r="Q66" s="699"/>
    </row>
    <row r="67">
      <c r="A67" s="699"/>
      <c r="B67" s="1022"/>
      <c r="C67" s="1023" t="s">
        <v>6177</v>
      </c>
      <c r="D67" s="1022">
        <v>2.0</v>
      </c>
      <c r="E67" s="1064" t="s">
        <v>1332</v>
      </c>
      <c r="F67" s="1065">
        <v>44929.0</v>
      </c>
      <c r="G67" s="1028" t="s">
        <v>1273</v>
      </c>
      <c r="H67" s="1029" t="s">
        <v>1333</v>
      </c>
      <c r="I67" s="1029" t="s">
        <v>1334</v>
      </c>
      <c r="J67" s="1029" t="s">
        <v>1335</v>
      </c>
      <c r="K67" s="1029"/>
      <c r="L67" s="399" t="s">
        <v>6179</v>
      </c>
      <c r="M67" s="1032"/>
      <c r="N67" s="1033"/>
      <c r="O67" s="699"/>
      <c r="P67" s="699"/>
      <c r="Q67" s="699"/>
    </row>
    <row r="68">
      <c r="A68" s="699"/>
      <c r="B68" s="1022"/>
      <c r="C68" s="1023" t="s">
        <v>6186</v>
      </c>
      <c r="D68" s="1022">
        <v>2.0</v>
      </c>
      <c r="E68" s="1064" t="s">
        <v>1332</v>
      </c>
      <c r="F68" s="1065">
        <v>44929.0</v>
      </c>
      <c r="G68" s="1028" t="s">
        <v>1273</v>
      </c>
      <c r="H68" s="1029" t="s">
        <v>1333</v>
      </c>
      <c r="I68" s="1029" t="s">
        <v>1334</v>
      </c>
      <c r="J68" s="1029" t="s">
        <v>1335</v>
      </c>
      <c r="K68" s="1029"/>
      <c r="L68" s="399" t="s">
        <v>6189</v>
      </c>
      <c r="M68" s="1032"/>
      <c r="N68" s="1033"/>
      <c r="O68" s="699"/>
      <c r="P68" s="699"/>
      <c r="Q68" s="699"/>
    </row>
    <row r="69">
      <c r="A69" s="699"/>
      <c r="B69" s="1022"/>
      <c r="C69" s="1023" t="s">
        <v>6103</v>
      </c>
      <c r="D69" s="1022">
        <v>2.0</v>
      </c>
      <c r="E69" s="1064" t="s">
        <v>1332</v>
      </c>
      <c r="F69" s="1065">
        <v>44929.0</v>
      </c>
      <c r="G69" s="1028" t="s">
        <v>1273</v>
      </c>
      <c r="H69" s="1029" t="s">
        <v>6196</v>
      </c>
      <c r="I69" s="1029" t="s">
        <v>1334</v>
      </c>
      <c r="J69" s="1029" t="s">
        <v>1335</v>
      </c>
      <c r="K69" s="1029"/>
      <c r="L69" s="399" t="s">
        <v>6199</v>
      </c>
      <c r="M69" s="1032"/>
      <c r="N69" s="1033"/>
      <c r="O69" s="699"/>
      <c r="P69" s="699"/>
      <c r="Q69" s="699"/>
    </row>
    <row r="70">
      <c r="A70" s="699"/>
      <c r="B70" s="1022"/>
      <c r="C70" s="1023" t="s">
        <v>6203</v>
      </c>
      <c r="D70" s="1022">
        <v>3.0</v>
      </c>
      <c r="E70" s="1064" t="s">
        <v>1368</v>
      </c>
      <c r="F70" s="1026">
        <v>44936.0</v>
      </c>
      <c r="G70" s="1028" t="s">
        <v>1273</v>
      </c>
      <c r="H70" s="1029" t="s">
        <v>1369</v>
      </c>
      <c r="I70" s="1029" t="s">
        <v>1370</v>
      </c>
      <c r="J70" s="1029" t="s">
        <v>957</v>
      </c>
      <c r="K70" s="1029"/>
      <c r="L70" s="399" t="s">
        <v>6206</v>
      </c>
      <c r="M70" s="1032"/>
      <c r="N70" s="1033"/>
      <c r="O70" s="699"/>
      <c r="P70" s="699"/>
      <c r="Q70" s="699"/>
    </row>
    <row r="71">
      <c r="A71" s="699"/>
      <c r="B71" s="1022"/>
      <c r="C71" s="1023" t="s">
        <v>6212</v>
      </c>
      <c r="D71" s="1022">
        <v>3.0</v>
      </c>
      <c r="E71" s="1064" t="s">
        <v>1368</v>
      </c>
      <c r="F71" s="1026">
        <v>44936.0</v>
      </c>
      <c r="G71" s="1028" t="s">
        <v>1273</v>
      </c>
      <c r="H71" s="1029" t="s">
        <v>1369</v>
      </c>
      <c r="I71" s="1029" t="s">
        <v>1370</v>
      </c>
      <c r="J71" s="1029" t="s">
        <v>957</v>
      </c>
      <c r="K71" s="1029"/>
      <c r="L71" s="399" t="s">
        <v>6214</v>
      </c>
      <c r="M71" s="1032"/>
      <c r="N71" s="1033"/>
      <c r="O71" s="699"/>
      <c r="P71" s="699"/>
      <c r="Q71" s="699"/>
    </row>
    <row r="72">
      <c r="A72" s="699"/>
      <c r="B72" s="1022"/>
      <c r="C72" s="1023" t="s">
        <v>6225</v>
      </c>
      <c r="D72" s="1022">
        <v>3.0</v>
      </c>
      <c r="E72" s="1064" t="s">
        <v>1368</v>
      </c>
      <c r="F72" s="1026">
        <v>44936.0</v>
      </c>
      <c r="G72" s="1028" t="s">
        <v>1273</v>
      </c>
      <c r="H72" s="1029" t="s">
        <v>1369</v>
      </c>
      <c r="I72" s="1029" t="s">
        <v>1370</v>
      </c>
      <c r="J72" s="1029" t="s">
        <v>957</v>
      </c>
      <c r="K72" s="1029"/>
      <c r="L72" s="399" t="s">
        <v>6229</v>
      </c>
      <c r="M72" s="1032"/>
      <c r="N72" s="1033"/>
      <c r="O72" s="699"/>
      <c r="P72" s="699"/>
      <c r="Q72" s="699"/>
    </row>
    <row r="73">
      <c r="A73" s="699"/>
      <c r="B73" s="1022"/>
      <c r="C73" s="1023" t="s">
        <v>6240</v>
      </c>
      <c r="D73" s="1022">
        <v>4.0</v>
      </c>
      <c r="E73" s="1064" t="s">
        <v>1397</v>
      </c>
      <c r="F73" s="1026">
        <v>44943.0</v>
      </c>
      <c r="G73" s="1028" t="s">
        <v>1273</v>
      </c>
      <c r="H73" s="1029" t="s">
        <v>1398</v>
      </c>
      <c r="I73" s="1029" t="s">
        <v>436</v>
      </c>
      <c r="J73" s="1029" t="s">
        <v>1399</v>
      </c>
      <c r="K73" s="1029"/>
      <c r="L73" s="399" t="s">
        <v>6244</v>
      </c>
      <c r="M73" s="1032"/>
      <c r="N73" s="1033"/>
      <c r="O73" s="699"/>
      <c r="P73" s="699"/>
      <c r="Q73" s="699"/>
    </row>
    <row r="74">
      <c r="A74" s="699"/>
      <c r="B74" s="1022"/>
      <c r="C74" s="1023" t="s">
        <v>6249</v>
      </c>
      <c r="D74" s="1022">
        <v>4.0</v>
      </c>
      <c r="E74" s="1064" t="s">
        <v>1397</v>
      </c>
      <c r="F74" s="1026">
        <v>44943.0</v>
      </c>
      <c r="G74" s="1028" t="s">
        <v>1273</v>
      </c>
      <c r="H74" s="1029" t="s">
        <v>1398</v>
      </c>
      <c r="I74" s="1029" t="s">
        <v>436</v>
      </c>
      <c r="J74" s="1029" t="s">
        <v>1399</v>
      </c>
      <c r="K74" s="1029"/>
      <c r="L74" s="399" t="s">
        <v>6252</v>
      </c>
      <c r="M74" s="1032"/>
      <c r="N74" s="1033"/>
      <c r="O74" s="699"/>
      <c r="P74" s="699"/>
      <c r="Q74" s="699"/>
    </row>
    <row r="75">
      <c r="A75" s="699"/>
      <c r="B75" s="1022"/>
      <c r="C75" s="1023" t="s">
        <v>6265</v>
      </c>
      <c r="D75" s="1022">
        <v>4.0</v>
      </c>
      <c r="E75" s="1064" t="s">
        <v>1397</v>
      </c>
      <c r="F75" s="1026">
        <v>44943.0</v>
      </c>
      <c r="G75" s="1028" t="s">
        <v>1273</v>
      </c>
      <c r="H75" s="1029" t="s">
        <v>1398</v>
      </c>
      <c r="I75" s="1029" t="s">
        <v>436</v>
      </c>
      <c r="J75" s="1029" t="s">
        <v>1399</v>
      </c>
      <c r="K75" s="1029"/>
      <c r="L75" s="399" t="s">
        <v>6268</v>
      </c>
      <c r="M75" s="1032"/>
      <c r="N75" s="1033"/>
      <c r="O75" s="699"/>
      <c r="P75" s="699"/>
      <c r="Q75" s="699"/>
    </row>
    <row r="76">
      <c r="A76" s="699"/>
      <c r="B76" s="1022"/>
      <c r="C76" s="1023" t="s">
        <v>6271</v>
      </c>
      <c r="D76" s="1022">
        <v>4.0</v>
      </c>
      <c r="E76" s="1064" t="s">
        <v>1397</v>
      </c>
      <c r="F76" s="1026">
        <v>44943.0</v>
      </c>
      <c r="G76" s="1028" t="s">
        <v>1273</v>
      </c>
      <c r="H76" s="1029" t="s">
        <v>1398</v>
      </c>
      <c r="I76" s="1029" t="s">
        <v>436</v>
      </c>
      <c r="J76" s="1029" t="s">
        <v>1399</v>
      </c>
      <c r="K76" s="1029"/>
      <c r="L76" s="399" t="s">
        <v>6289</v>
      </c>
      <c r="M76" s="1032"/>
      <c r="N76" s="1033"/>
      <c r="O76" s="699"/>
      <c r="P76" s="699"/>
      <c r="Q76" s="699"/>
    </row>
    <row r="77">
      <c r="A77" s="699"/>
      <c r="B77" s="1022"/>
      <c r="C77" s="1023" t="s">
        <v>6117</v>
      </c>
      <c r="D77" s="1022">
        <v>4.0</v>
      </c>
      <c r="E77" s="1064" t="s">
        <v>1397</v>
      </c>
      <c r="F77" s="1026">
        <v>44943.0</v>
      </c>
      <c r="G77" s="1028" t="s">
        <v>1273</v>
      </c>
      <c r="H77" s="1029" t="s">
        <v>1398</v>
      </c>
      <c r="I77" s="1029" t="s">
        <v>436</v>
      </c>
      <c r="J77" s="1029" t="s">
        <v>1399</v>
      </c>
      <c r="K77" s="1029"/>
      <c r="L77" s="399" t="s">
        <v>6303</v>
      </c>
      <c r="M77" s="1032"/>
      <c r="N77" s="1033"/>
      <c r="O77" s="699"/>
      <c r="P77" s="699"/>
      <c r="Q77" s="699"/>
    </row>
    <row r="78">
      <c r="A78" s="699"/>
      <c r="B78" s="1022"/>
      <c r="C78" s="1023" t="s">
        <v>6218</v>
      </c>
      <c r="D78" s="1022">
        <v>5.0</v>
      </c>
      <c r="E78" s="1064" t="s">
        <v>1429</v>
      </c>
      <c r="F78" s="1026">
        <v>44950.0</v>
      </c>
      <c r="G78" s="1028" t="s">
        <v>1273</v>
      </c>
      <c r="H78" s="1029" t="s">
        <v>1431</v>
      </c>
      <c r="I78" s="1029" t="s">
        <v>6316</v>
      </c>
      <c r="J78" s="1029" t="s">
        <v>270</v>
      </c>
      <c r="K78" s="1029"/>
      <c r="L78" s="399" t="s">
        <v>6317</v>
      </c>
      <c r="M78" s="1032"/>
      <c r="N78" s="1033"/>
      <c r="O78" s="699"/>
      <c r="P78" s="699"/>
      <c r="Q78" s="699"/>
    </row>
    <row r="79">
      <c r="A79" s="699"/>
      <c r="B79" s="1022"/>
      <c r="C79" s="1023" t="s">
        <v>6325</v>
      </c>
      <c r="D79" s="1022">
        <v>5.0</v>
      </c>
      <c r="E79" s="1064" t="s">
        <v>1429</v>
      </c>
      <c r="F79" s="1026">
        <v>44950.0</v>
      </c>
      <c r="G79" s="1028" t="s">
        <v>1273</v>
      </c>
      <c r="H79" s="1029" t="s">
        <v>1431</v>
      </c>
      <c r="I79" s="1029" t="s">
        <v>6316</v>
      </c>
      <c r="J79" s="1029" t="s">
        <v>270</v>
      </c>
      <c r="K79" s="1029"/>
      <c r="L79" s="399" t="s">
        <v>6328</v>
      </c>
      <c r="M79" s="1032"/>
      <c r="N79" s="1033"/>
      <c r="O79" s="699"/>
      <c r="P79" s="699"/>
      <c r="Q79" s="699"/>
    </row>
    <row r="80">
      <c r="A80" s="699"/>
      <c r="B80" s="1022"/>
      <c r="C80" s="1023" t="s">
        <v>6335</v>
      </c>
      <c r="D80" s="1022">
        <v>5.0</v>
      </c>
      <c r="E80" s="1064" t="s">
        <v>1429</v>
      </c>
      <c r="F80" s="1026">
        <v>44950.0</v>
      </c>
      <c r="G80" s="1028" t="s">
        <v>1273</v>
      </c>
      <c r="H80" s="1029" t="s">
        <v>1431</v>
      </c>
      <c r="I80" s="1029" t="s">
        <v>6316</v>
      </c>
      <c r="J80" s="1029" t="s">
        <v>270</v>
      </c>
      <c r="K80" s="1029"/>
      <c r="L80" s="399" t="s">
        <v>6338</v>
      </c>
      <c r="M80" s="1032"/>
      <c r="N80" s="1033"/>
      <c r="O80" s="699"/>
      <c r="P80" s="699"/>
      <c r="Q80" s="699"/>
    </row>
    <row r="81">
      <c r="A81" s="699"/>
      <c r="B81" s="1022"/>
      <c r="C81" s="1023" t="s">
        <v>6342</v>
      </c>
      <c r="D81" s="1022">
        <v>5.0</v>
      </c>
      <c r="E81" s="1064" t="s">
        <v>1429</v>
      </c>
      <c r="F81" s="1026">
        <v>44950.0</v>
      </c>
      <c r="G81" s="1028" t="s">
        <v>1273</v>
      </c>
      <c r="H81" s="1029" t="s">
        <v>1431</v>
      </c>
      <c r="I81" s="1029" t="s">
        <v>6316</v>
      </c>
      <c r="J81" s="1029" t="s">
        <v>270</v>
      </c>
      <c r="K81" s="1084"/>
      <c r="L81" s="399" t="s">
        <v>6349</v>
      </c>
      <c r="M81" s="1032"/>
      <c r="N81" s="1033"/>
      <c r="O81" s="699"/>
      <c r="P81" s="699"/>
      <c r="Q81" s="699"/>
    </row>
    <row r="82">
      <c r="A82" s="699"/>
      <c r="B82" s="1022"/>
      <c r="C82" s="1023" t="s">
        <v>6356</v>
      </c>
      <c r="D82" s="1022">
        <v>5.0</v>
      </c>
      <c r="E82" s="1064" t="s">
        <v>1429</v>
      </c>
      <c r="F82" s="1026">
        <v>44950.0</v>
      </c>
      <c r="G82" s="1028" t="s">
        <v>1273</v>
      </c>
      <c r="H82" s="1029" t="s">
        <v>1431</v>
      </c>
      <c r="I82" s="1029" t="s">
        <v>6316</v>
      </c>
      <c r="J82" s="1029" t="s">
        <v>270</v>
      </c>
      <c r="K82" s="1084"/>
      <c r="L82" s="399" t="s">
        <v>6359</v>
      </c>
      <c r="M82" s="1032"/>
      <c r="N82" s="1033"/>
      <c r="O82" s="699"/>
      <c r="P82" s="699"/>
      <c r="Q82" s="699"/>
    </row>
    <row r="83">
      <c r="A83" s="699"/>
      <c r="B83" s="1022"/>
      <c r="C83" s="1023" t="s">
        <v>6360</v>
      </c>
      <c r="D83" s="1022">
        <v>6.0</v>
      </c>
      <c r="E83" s="1064" t="s">
        <v>1452</v>
      </c>
      <c r="F83" s="1026">
        <v>44957.0</v>
      </c>
      <c r="G83" s="1028" t="s">
        <v>1273</v>
      </c>
      <c r="H83" s="1029" t="s">
        <v>1453</v>
      </c>
      <c r="I83" s="1029" t="s">
        <v>1454</v>
      </c>
      <c r="J83" s="1029" t="s">
        <v>1455</v>
      </c>
      <c r="K83" s="1084"/>
      <c r="L83" s="399" t="s">
        <v>6361</v>
      </c>
      <c r="M83" s="1032"/>
      <c r="N83" s="1033"/>
      <c r="O83" s="699"/>
      <c r="P83" s="699"/>
      <c r="Q83" s="699"/>
    </row>
    <row r="84">
      <c r="A84" s="699"/>
      <c r="B84" s="1022"/>
      <c r="C84" s="1023" t="s">
        <v>6362</v>
      </c>
      <c r="D84" s="1022">
        <v>6.0</v>
      </c>
      <c r="E84" s="1064" t="s">
        <v>1452</v>
      </c>
      <c r="F84" s="1026">
        <v>44957.0</v>
      </c>
      <c r="G84" s="1028" t="s">
        <v>1273</v>
      </c>
      <c r="H84" s="1029" t="s">
        <v>1453</v>
      </c>
      <c r="I84" s="1029" t="s">
        <v>1454</v>
      </c>
      <c r="J84" s="1029" t="s">
        <v>1455</v>
      </c>
      <c r="K84" s="1084"/>
      <c r="L84" s="399" t="s">
        <v>6363</v>
      </c>
      <c r="M84" s="1032"/>
      <c r="N84" s="1033"/>
      <c r="O84" s="699"/>
      <c r="P84" s="699"/>
      <c r="Q84" s="699"/>
    </row>
    <row r="85">
      <c r="A85" s="699"/>
      <c r="B85" s="1022"/>
      <c r="C85" s="1023" t="s">
        <v>6367</v>
      </c>
      <c r="D85" s="1022">
        <v>6.0</v>
      </c>
      <c r="E85" s="1064" t="s">
        <v>1452</v>
      </c>
      <c r="F85" s="1026">
        <v>44957.0</v>
      </c>
      <c r="G85" s="1028" t="s">
        <v>1273</v>
      </c>
      <c r="H85" s="1029" t="s">
        <v>1453</v>
      </c>
      <c r="I85" s="1029" t="s">
        <v>1454</v>
      </c>
      <c r="J85" s="1029" t="s">
        <v>1455</v>
      </c>
      <c r="K85" s="1084"/>
      <c r="L85" s="399" t="s">
        <v>6368</v>
      </c>
      <c r="M85" s="1032"/>
      <c r="N85" s="1033"/>
      <c r="O85" s="699"/>
      <c r="P85" s="699"/>
      <c r="Q85" s="699"/>
    </row>
    <row r="86">
      <c r="A86" s="699"/>
      <c r="B86" s="1022"/>
      <c r="C86" s="1023" t="s">
        <v>6083</v>
      </c>
      <c r="D86" s="1022">
        <v>6.0</v>
      </c>
      <c r="E86" s="1064" t="s">
        <v>1452</v>
      </c>
      <c r="F86" s="1026">
        <v>44957.0</v>
      </c>
      <c r="G86" s="1028" t="s">
        <v>1273</v>
      </c>
      <c r="H86" s="1029" t="s">
        <v>1453</v>
      </c>
      <c r="I86" s="1029" t="s">
        <v>1454</v>
      </c>
      <c r="J86" s="1029" t="s">
        <v>1455</v>
      </c>
      <c r="K86" s="1084"/>
      <c r="L86" s="399" t="s">
        <v>6372</v>
      </c>
      <c r="M86" s="1032"/>
      <c r="N86" s="1033"/>
      <c r="O86" s="699"/>
      <c r="P86" s="699"/>
      <c r="Q86" s="699"/>
    </row>
    <row r="87">
      <c r="A87" s="699"/>
      <c r="B87" s="1022"/>
      <c r="C87" s="1023" t="s">
        <v>6176</v>
      </c>
      <c r="D87" s="1022">
        <v>6.0</v>
      </c>
      <c r="E87" s="1064" t="s">
        <v>1452</v>
      </c>
      <c r="F87" s="1026">
        <v>44957.0</v>
      </c>
      <c r="G87" s="1028" t="s">
        <v>1273</v>
      </c>
      <c r="H87" s="1029" t="s">
        <v>1453</v>
      </c>
      <c r="I87" s="1029" t="s">
        <v>1454</v>
      </c>
      <c r="J87" s="1029" t="s">
        <v>1455</v>
      </c>
      <c r="K87" s="1084"/>
      <c r="L87" s="399" t="s">
        <v>6378</v>
      </c>
      <c r="M87" s="1032"/>
      <c r="N87" s="1033"/>
      <c r="O87" s="699"/>
      <c r="P87" s="699"/>
      <c r="Q87" s="699"/>
    </row>
    <row r="88">
      <c r="A88" s="699"/>
      <c r="B88" s="1022"/>
      <c r="C88" s="1023" t="s">
        <v>6278</v>
      </c>
      <c r="D88" s="1022">
        <v>10.0</v>
      </c>
      <c r="E88" s="1064" t="s">
        <v>1560</v>
      </c>
      <c r="F88" s="1026">
        <v>44985.0</v>
      </c>
      <c r="G88" s="1028" t="s">
        <v>1273</v>
      </c>
      <c r="H88" s="1029" t="s">
        <v>1561</v>
      </c>
      <c r="I88" s="1029" t="s">
        <v>1563</v>
      </c>
      <c r="J88" s="1029" t="s">
        <v>1566</v>
      </c>
      <c r="K88" s="1084"/>
      <c r="L88" s="399" t="s">
        <v>6387</v>
      </c>
      <c r="M88" s="1032"/>
      <c r="N88" s="1033"/>
      <c r="O88" s="699"/>
      <c r="P88" s="699"/>
      <c r="Q88" s="699"/>
    </row>
    <row r="89" ht="15.75" customHeight="1">
      <c r="A89" s="699"/>
      <c r="B89" s="1022"/>
      <c r="C89" s="1023" t="s">
        <v>6077</v>
      </c>
      <c r="D89" s="1022">
        <v>10.0</v>
      </c>
      <c r="E89" s="1064" t="s">
        <v>1560</v>
      </c>
      <c r="F89" s="1026">
        <v>44985.0</v>
      </c>
      <c r="G89" s="1028" t="s">
        <v>1273</v>
      </c>
      <c r="H89" s="1029" t="s">
        <v>1561</v>
      </c>
      <c r="I89" s="1029" t="s">
        <v>1563</v>
      </c>
      <c r="J89" s="1029" t="s">
        <v>1566</v>
      </c>
      <c r="K89" s="1084"/>
      <c r="L89" s="399" t="s">
        <v>6394</v>
      </c>
      <c r="M89" s="1032"/>
      <c r="N89" s="1033"/>
      <c r="O89" s="699"/>
      <c r="P89" s="699"/>
      <c r="Q89" s="699"/>
    </row>
    <row r="90">
      <c r="A90" s="699"/>
      <c r="B90" s="1022"/>
      <c r="C90" s="1023" t="s">
        <v>5813</v>
      </c>
      <c r="D90" s="1022">
        <v>10.0</v>
      </c>
      <c r="E90" s="1064" t="s">
        <v>1560</v>
      </c>
      <c r="F90" s="1026">
        <v>44985.0</v>
      </c>
      <c r="G90" s="1028" t="s">
        <v>1273</v>
      </c>
      <c r="H90" s="1029" t="s">
        <v>1561</v>
      </c>
      <c r="I90" s="1029" t="s">
        <v>1563</v>
      </c>
      <c r="J90" s="1029" t="s">
        <v>1566</v>
      </c>
      <c r="K90" s="1084"/>
      <c r="L90" s="399" t="s">
        <v>6398</v>
      </c>
      <c r="M90" s="1032"/>
      <c r="N90" s="1033"/>
      <c r="O90" s="699"/>
      <c r="P90" s="699"/>
      <c r="Q90" s="699"/>
    </row>
    <row r="91">
      <c r="A91" s="699"/>
      <c r="B91" s="1022"/>
      <c r="C91" s="1023" t="s">
        <v>6405</v>
      </c>
      <c r="D91" s="1022">
        <v>10.0</v>
      </c>
      <c r="E91" s="1064" t="s">
        <v>1560</v>
      </c>
      <c r="F91" s="1026">
        <v>44985.0</v>
      </c>
      <c r="G91" s="1028" t="s">
        <v>1273</v>
      </c>
      <c r="H91" s="1029" t="s">
        <v>1561</v>
      </c>
      <c r="I91" s="1029" t="s">
        <v>1563</v>
      </c>
      <c r="J91" s="1029" t="s">
        <v>1566</v>
      </c>
      <c r="K91" s="1084"/>
      <c r="L91" s="399" t="s">
        <v>6407</v>
      </c>
      <c r="M91" s="1032"/>
      <c r="N91" s="1033"/>
      <c r="O91" s="699"/>
      <c r="P91" s="699"/>
      <c r="Q91" s="699"/>
    </row>
    <row r="92">
      <c r="A92" s="699"/>
      <c r="B92" s="1022"/>
      <c r="C92" s="1023" t="s">
        <v>6411</v>
      </c>
      <c r="D92" s="1022">
        <v>10.0</v>
      </c>
      <c r="E92" s="1064" t="s">
        <v>1560</v>
      </c>
      <c r="F92" s="1026">
        <v>44985.0</v>
      </c>
      <c r="G92" s="1028" t="s">
        <v>1273</v>
      </c>
      <c r="H92" s="1029" t="s">
        <v>1561</v>
      </c>
      <c r="I92" s="1029" t="s">
        <v>1563</v>
      </c>
      <c r="J92" s="1029" t="s">
        <v>1566</v>
      </c>
      <c r="K92" s="1029"/>
      <c r="L92" s="399" t="s">
        <v>6413</v>
      </c>
      <c r="M92" s="1032"/>
      <c r="N92" s="1033"/>
      <c r="O92" s="699"/>
      <c r="P92" s="699"/>
      <c r="Q92" s="699"/>
    </row>
    <row r="93">
      <c r="A93" s="699"/>
      <c r="B93" s="1022"/>
      <c r="C93" s="1023" t="s">
        <v>6069</v>
      </c>
      <c r="D93" s="1022">
        <v>12.0</v>
      </c>
      <c r="E93" s="1064" t="s">
        <v>6416</v>
      </c>
      <c r="F93" s="1026">
        <v>44999.0</v>
      </c>
      <c r="G93" s="1028" t="s">
        <v>1273</v>
      </c>
      <c r="H93" s="1029" t="s">
        <v>1613</v>
      </c>
      <c r="I93" s="1029" t="s">
        <v>6417</v>
      </c>
      <c r="J93" s="1029" t="s">
        <v>1616</v>
      </c>
      <c r="K93" s="1029"/>
      <c r="L93" s="399" t="s">
        <v>6418</v>
      </c>
      <c r="M93" s="1032"/>
      <c r="N93" s="1033"/>
      <c r="O93" s="699"/>
      <c r="P93" s="699"/>
      <c r="Q93" s="699"/>
    </row>
    <row r="94">
      <c r="A94" s="699"/>
      <c r="B94" s="1022"/>
      <c r="C94" s="1023" t="s">
        <v>5956</v>
      </c>
      <c r="D94" s="1022">
        <v>12.0</v>
      </c>
      <c r="E94" s="1064" t="s">
        <v>6416</v>
      </c>
      <c r="F94" s="1026">
        <v>44999.0</v>
      </c>
      <c r="G94" s="1028" t="s">
        <v>1273</v>
      </c>
      <c r="H94" s="1029" t="s">
        <v>1613</v>
      </c>
      <c r="I94" s="1029" t="s">
        <v>6417</v>
      </c>
      <c r="J94" s="1029" t="s">
        <v>1616</v>
      </c>
      <c r="K94" s="1029"/>
      <c r="L94" s="399" t="s">
        <v>6422</v>
      </c>
      <c r="M94" s="1032"/>
      <c r="N94" s="1033"/>
      <c r="O94" s="699"/>
      <c r="P94" s="699"/>
      <c r="Q94" s="699"/>
    </row>
    <row r="95">
      <c r="A95" s="699"/>
      <c r="B95" s="1022"/>
      <c r="C95" s="1023" t="s">
        <v>6426</v>
      </c>
      <c r="D95" s="1022">
        <v>12.0</v>
      </c>
      <c r="E95" s="1064" t="s">
        <v>6416</v>
      </c>
      <c r="F95" s="1026">
        <v>44999.0</v>
      </c>
      <c r="G95" s="1028" t="s">
        <v>1273</v>
      </c>
      <c r="H95" s="1029" t="s">
        <v>1613</v>
      </c>
      <c r="I95" s="1029" t="s">
        <v>6417</v>
      </c>
      <c r="J95" s="1029" t="s">
        <v>1616</v>
      </c>
      <c r="K95" s="1029"/>
      <c r="L95" s="399" t="s">
        <v>6418</v>
      </c>
      <c r="M95" s="1032"/>
      <c r="N95" s="1033"/>
      <c r="O95" s="699"/>
      <c r="P95" s="699"/>
      <c r="Q95" s="699"/>
    </row>
    <row r="96">
      <c r="A96" s="699"/>
      <c r="B96" s="1022"/>
      <c r="C96" s="1023" t="s">
        <v>6429</v>
      </c>
      <c r="D96" s="1022">
        <v>12.0</v>
      </c>
      <c r="E96" s="1064" t="s">
        <v>6416</v>
      </c>
      <c r="F96" s="1026">
        <v>44999.0</v>
      </c>
      <c r="G96" s="1028" t="s">
        <v>1273</v>
      </c>
      <c r="H96" s="1029" t="s">
        <v>1613</v>
      </c>
      <c r="I96" s="1029" t="s">
        <v>6417</v>
      </c>
      <c r="J96" s="1029" t="s">
        <v>1616</v>
      </c>
      <c r="K96" s="1029"/>
      <c r="L96" s="399" t="s">
        <v>6422</v>
      </c>
      <c r="M96" s="1032"/>
      <c r="N96" s="1033"/>
      <c r="O96" s="699"/>
      <c r="P96" s="699"/>
      <c r="Q96" s="699"/>
    </row>
    <row r="97">
      <c r="A97" s="699"/>
      <c r="B97" s="1022"/>
      <c r="C97" s="1092" t="s">
        <v>6130</v>
      </c>
      <c r="D97" s="1022">
        <v>12.0</v>
      </c>
      <c r="E97" s="1064" t="s">
        <v>6416</v>
      </c>
      <c r="F97" s="1026">
        <v>44999.0</v>
      </c>
      <c r="G97" s="1028" t="s">
        <v>1273</v>
      </c>
      <c r="H97" s="1029" t="s">
        <v>1613</v>
      </c>
      <c r="I97" s="1029" t="s">
        <v>6417</v>
      </c>
      <c r="J97" s="1029" t="s">
        <v>1616</v>
      </c>
      <c r="K97" s="1029"/>
      <c r="L97" s="399" t="s">
        <v>6431</v>
      </c>
      <c r="M97" s="1032"/>
      <c r="N97" s="1033"/>
      <c r="O97" s="699"/>
      <c r="P97" s="699"/>
      <c r="Q97" s="699"/>
    </row>
    <row r="98">
      <c r="A98" s="699"/>
      <c r="B98" s="1022"/>
      <c r="C98" s="1023" t="s">
        <v>5774</v>
      </c>
      <c r="D98" s="1022">
        <v>15.0</v>
      </c>
      <c r="E98" s="1064" t="s">
        <v>6434</v>
      </c>
      <c r="F98" s="1026">
        <v>45007.0</v>
      </c>
      <c r="G98" s="1028" t="s">
        <v>1273</v>
      </c>
      <c r="H98" s="1029" t="s">
        <v>1690</v>
      </c>
      <c r="I98" s="1029" t="s">
        <v>1691</v>
      </c>
      <c r="J98" s="1029" t="s">
        <v>1692</v>
      </c>
      <c r="K98" s="1029"/>
      <c r="L98" s="399" t="s">
        <v>6436</v>
      </c>
      <c r="M98" s="1032"/>
      <c r="N98" s="1033"/>
      <c r="O98" s="699"/>
      <c r="P98" s="699"/>
      <c r="Q98" s="699"/>
    </row>
    <row r="99">
      <c r="A99" s="699"/>
      <c r="B99" s="1022"/>
      <c r="C99" s="1023" t="s">
        <v>5961</v>
      </c>
      <c r="D99" s="1022">
        <v>15.0</v>
      </c>
      <c r="E99" s="1064" t="s">
        <v>6434</v>
      </c>
      <c r="F99" s="1026">
        <v>45007.0</v>
      </c>
      <c r="G99" s="1028" t="s">
        <v>1273</v>
      </c>
      <c r="H99" s="1029" t="s">
        <v>1690</v>
      </c>
      <c r="I99" s="1029" t="s">
        <v>1691</v>
      </c>
      <c r="J99" s="1029" t="s">
        <v>1692</v>
      </c>
      <c r="K99" s="1029"/>
      <c r="L99" s="399" t="s">
        <v>6455</v>
      </c>
      <c r="M99" s="1032"/>
      <c r="N99" s="1033"/>
      <c r="O99" s="699"/>
      <c r="P99" s="699"/>
      <c r="Q99" s="699"/>
    </row>
    <row r="100">
      <c r="A100" s="699"/>
      <c r="B100" s="1022"/>
      <c r="C100" s="1023" t="s">
        <v>5761</v>
      </c>
      <c r="D100" s="1022">
        <v>15.0</v>
      </c>
      <c r="E100" s="1064" t="s">
        <v>6434</v>
      </c>
      <c r="F100" s="1026">
        <v>45007.0</v>
      </c>
      <c r="G100" s="1028" t="s">
        <v>1273</v>
      </c>
      <c r="H100" s="1029" t="s">
        <v>1690</v>
      </c>
      <c r="I100" s="1029" t="s">
        <v>1691</v>
      </c>
      <c r="J100" s="1029" t="s">
        <v>1692</v>
      </c>
      <c r="K100" s="1029"/>
      <c r="L100" s="399" t="s">
        <v>6462</v>
      </c>
      <c r="M100" s="1032"/>
      <c r="N100" s="1033"/>
      <c r="O100" s="699"/>
      <c r="P100" s="699"/>
      <c r="Q100" s="699"/>
    </row>
    <row r="101">
      <c r="A101" s="699"/>
      <c r="B101" s="1022"/>
      <c r="C101" s="1023" t="s">
        <v>6073</v>
      </c>
      <c r="D101" s="1022">
        <v>15.0</v>
      </c>
      <c r="E101" s="1064" t="s">
        <v>6434</v>
      </c>
      <c r="F101" s="1026">
        <v>45007.0</v>
      </c>
      <c r="G101" s="1028" t="s">
        <v>1273</v>
      </c>
      <c r="H101" s="1029" t="s">
        <v>1690</v>
      </c>
      <c r="I101" s="1029" t="s">
        <v>1691</v>
      </c>
      <c r="J101" s="1029" t="s">
        <v>1692</v>
      </c>
      <c r="K101" s="1029"/>
      <c r="L101" s="399" t="s">
        <v>6467</v>
      </c>
      <c r="M101" s="1032"/>
      <c r="N101" s="1033"/>
      <c r="O101" s="699"/>
      <c r="P101" s="699"/>
      <c r="Q101" s="699"/>
    </row>
    <row r="102">
      <c r="A102" s="699"/>
      <c r="B102" s="1022"/>
      <c r="C102" s="1023" t="s">
        <v>6471</v>
      </c>
      <c r="D102" s="1022">
        <v>15.0</v>
      </c>
      <c r="E102" s="1064" t="s">
        <v>6434</v>
      </c>
      <c r="F102" s="1026">
        <v>45007.0</v>
      </c>
      <c r="G102" s="1028" t="s">
        <v>1273</v>
      </c>
      <c r="H102" s="1029" t="s">
        <v>1690</v>
      </c>
      <c r="I102" s="1029" t="s">
        <v>1691</v>
      </c>
      <c r="J102" s="1029" t="s">
        <v>1692</v>
      </c>
      <c r="K102" s="1029"/>
      <c r="L102" s="399" t="s">
        <v>6473</v>
      </c>
      <c r="M102" s="1032"/>
      <c r="N102" s="1033"/>
      <c r="O102" s="699"/>
      <c r="P102" s="699"/>
      <c r="Q102" s="699"/>
    </row>
    <row r="103">
      <c r="A103" s="699"/>
      <c r="B103" s="1093"/>
      <c r="C103" s="1023" t="s">
        <v>5746</v>
      </c>
      <c r="D103" s="1022">
        <v>16.0</v>
      </c>
      <c r="E103" s="1064" t="s">
        <v>1711</v>
      </c>
      <c r="F103" s="1026">
        <v>45020.0</v>
      </c>
      <c r="G103" s="1028" t="s">
        <v>1273</v>
      </c>
      <c r="H103" s="1029" t="s">
        <v>6481</v>
      </c>
      <c r="I103" s="1028" t="s">
        <v>3094</v>
      </c>
      <c r="J103" s="1029" t="s">
        <v>490</v>
      </c>
      <c r="K103" s="1029"/>
      <c r="L103" s="1094" t="s">
        <v>6484</v>
      </c>
      <c r="M103" s="1032"/>
      <c r="N103" s="1033"/>
      <c r="O103" s="699"/>
      <c r="P103" s="699"/>
      <c r="Q103" s="699"/>
    </row>
    <row r="104">
      <c r="A104" s="699"/>
      <c r="B104" s="1093"/>
      <c r="C104" s="1023" t="s">
        <v>5743</v>
      </c>
      <c r="D104" s="1022">
        <v>16.0</v>
      </c>
      <c r="E104" s="1064" t="s">
        <v>1711</v>
      </c>
      <c r="F104" s="1026">
        <v>45020.0</v>
      </c>
      <c r="G104" s="1028" t="s">
        <v>1273</v>
      </c>
      <c r="H104" s="1029" t="s">
        <v>6481</v>
      </c>
      <c r="I104" s="1028" t="s">
        <v>3094</v>
      </c>
      <c r="J104" s="1029" t="s">
        <v>490</v>
      </c>
      <c r="K104" s="1029"/>
      <c r="L104" s="1094" t="s">
        <v>6491</v>
      </c>
      <c r="M104" s="1032"/>
      <c r="N104" s="1033"/>
      <c r="O104" s="699"/>
      <c r="P104" s="699"/>
      <c r="Q104" s="699"/>
    </row>
    <row r="105">
      <c r="A105" s="699"/>
      <c r="B105" s="1093"/>
      <c r="C105" s="1023" t="s">
        <v>5740</v>
      </c>
      <c r="D105" s="1022">
        <v>16.0</v>
      </c>
      <c r="E105" s="1064" t="s">
        <v>1711</v>
      </c>
      <c r="F105" s="1026">
        <v>45020.0</v>
      </c>
      <c r="G105" s="1028" t="s">
        <v>1273</v>
      </c>
      <c r="H105" s="1029" t="s">
        <v>6481</v>
      </c>
      <c r="I105" s="1028" t="s">
        <v>3094</v>
      </c>
      <c r="J105" s="1029" t="s">
        <v>490</v>
      </c>
      <c r="K105" s="1029"/>
      <c r="L105" s="1094" t="s">
        <v>6499</v>
      </c>
      <c r="M105" s="1032"/>
      <c r="N105" s="1033"/>
      <c r="O105" s="699"/>
      <c r="P105" s="699"/>
      <c r="Q105" s="699"/>
    </row>
    <row r="106">
      <c r="A106" s="699"/>
      <c r="B106" s="1093"/>
      <c r="C106" s="1023" t="s">
        <v>6507</v>
      </c>
      <c r="D106" s="1022">
        <v>16.0</v>
      </c>
      <c r="E106" s="1064" t="s">
        <v>1711</v>
      </c>
      <c r="F106" s="1026">
        <v>45020.0</v>
      </c>
      <c r="G106" s="1028" t="s">
        <v>1273</v>
      </c>
      <c r="H106" s="1029" t="s">
        <v>6481</v>
      </c>
      <c r="I106" s="1028" t="s">
        <v>3094</v>
      </c>
      <c r="J106" s="1029" t="s">
        <v>490</v>
      </c>
      <c r="K106" s="1029"/>
      <c r="L106" s="1094" t="s">
        <v>6509</v>
      </c>
      <c r="M106" s="1032"/>
      <c r="N106" s="1033"/>
      <c r="O106" s="699"/>
      <c r="P106" s="699"/>
      <c r="Q106" s="699"/>
    </row>
    <row r="107">
      <c r="A107" s="699"/>
      <c r="B107" s="1093"/>
      <c r="C107" s="1023" t="s">
        <v>5732</v>
      </c>
      <c r="D107" s="1022">
        <v>16.0</v>
      </c>
      <c r="E107" s="1064" t="s">
        <v>1711</v>
      </c>
      <c r="F107" s="1026">
        <v>45020.0</v>
      </c>
      <c r="G107" s="1028" t="s">
        <v>1273</v>
      </c>
      <c r="H107" s="1029" t="s">
        <v>6481</v>
      </c>
      <c r="I107" s="1028" t="s">
        <v>3094</v>
      </c>
      <c r="J107" s="1029" t="s">
        <v>490</v>
      </c>
      <c r="K107" s="1029"/>
      <c r="L107" s="1094" t="s">
        <v>6514</v>
      </c>
      <c r="M107" s="1032"/>
      <c r="N107" s="1033"/>
      <c r="O107" s="699"/>
      <c r="P107" s="699"/>
      <c r="Q107" s="699"/>
    </row>
    <row r="108">
      <c r="A108" s="699"/>
      <c r="B108" s="1022"/>
      <c r="C108" s="1023" t="s">
        <v>6518</v>
      </c>
      <c r="D108" s="1022">
        <v>8.0</v>
      </c>
      <c r="E108" s="1025"/>
      <c r="F108" s="1023"/>
      <c r="G108" s="1028" t="s">
        <v>904</v>
      </c>
      <c r="H108" s="1029" t="s">
        <v>960</v>
      </c>
      <c r="I108" s="1029" t="s">
        <v>376</v>
      </c>
      <c r="J108" s="1029" t="s">
        <v>500</v>
      </c>
      <c r="K108" s="1029"/>
      <c r="L108" s="1096"/>
      <c r="M108" s="1032"/>
      <c r="N108" s="1033"/>
      <c r="O108" s="699"/>
      <c r="P108" s="699"/>
      <c r="Q108" s="699"/>
    </row>
    <row r="109">
      <c r="A109" s="699"/>
      <c r="B109" s="1022"/>
      <c r="C109" s="1023" t="s">
        <v>6522</v>
      </c>
      <c r="D109" s="1022">
        <v>8.0</v>
      </c>
      <c r="E109" s="1025"/>
      <c r="F109" s="1023"/>
      <c r="G109" s="1028" t="s">
        <v>904</v>
      </c>
      <c r="H109" s="1029" t="s">
        <v>960</v>
      </c>
      <c r="I109" s="1029" t="s">
        <v>376</v>
      </c>
      <c r="J109" s="1029" t="s">
        <v>500</v>
      </c>
      <c r="K109" s="1029"/>
      <c r="L109" s="1096"/>
      <c r="M109" s="1032"/>
      <c r="N109" s="1033"/>
      <c r="O109" s="699"/>
      <c r="P109" s="699"/>
      <c r="Q109" s="699"/>
    </row>
    <row r="110">
      <c r="A110" s="699"/>
      <c r="B110" s="1022"/>
      <c r="C110" s="1023" t="s">
        <v>6524</v>
      </c>
      <c r="D110" s="1022">
        <v>8.0</v>
      </c>
      <c r="E110" s="1025"/>
      <c r="F110" s="1023"/>
      <c r="G110" s="1028" t="s">
        <v>904</v>
      </c>
      <c r="H110" s="1029" t="s">
        <v>960</v>
      </c>
      <c r="I110" s="1029" t="s">
        <v>376</v>
      </c>
      <c r="J110" s="1029" t="s">
        <v>500</v>
      </c>
      <c r="K110" s="1029"/>
      <c r="L110" s="1096"/>
      <c r="M110" s="1032"/>
      <c r="N110" s="1033"/>
      <c r="O110" s="699"/>
      <c r="P110" s="699"/>
      <c r="Q110" s="699"/>
    </row>
    <row r="111">
      <c r="A111" s="699"/>
      <c r="B111" s="1022"/>
      <c r="C111" s="1023" t="s">
        <v>184</v>
      </c>
      <c r="D111" s="1022">
        <v>8.0</v>
      </c>
      <c r="E111" s="1025"/>
      <c r="F111" s="1023"/>
      <c r="G111" s="1028" t="s">
        <v>904</v>
      </c>
      <c r="H111" s="1029" t="s">
        <v>960</v>
      </c>
      <c r="I111" s="1029" t="s">
        <v>376</v>
      </c>
      <c r="J111" s="1029" t="s">
        <v>500</v>
      </c>
      <c r="K111" s="1029"/>
      <c r="L111" s="1096"/>
      <c r="M111" s="1032"/>
      <c r="N111" s="1033"/>
      <c r="O111" s="699"/>
      <c r="P111" s="699"/>
      <c r="Q111" s="699"/>
    </row>
    <row r="112">
      <c r="A112" s="699"/>
      <c r="B112" s="1022"/>
      <c r="C112" s="1023" t="s">
        <v>6528</v>
      </c>
      <c r="D112" s="1022">
        <v>9.0</v>
      </c>
      <c r="E112" s="1025"/>
      <c r="F112" s="1023"/>
      <c r="G112" s="1028" t="s">
        <v>904</v>
      </c>
      <c r="H112" s="1029" t="s">
        <v>964</v>
      </c>
      <c r="I112" s="1029" t="s">
        <v>965</v>
      </c>
      <c r="J112" s="1029" t="s">
        <v>966</v>
      </c>
      <c r="K112" s="1029"/>
      <c r="L112" s="1096"/>
      <c r="M112" s="1032"/>
      <c r="N112" s="1033"/>
      <c r="O112" s="699"/>
      <c r="P112" s="699"/>
      <c r="Q112" s="699"/>
    </row>
    <row r="113">
      <c r="A113" s="699"/>
      <c r="B113" s="1022"/>
      <c r="C113" s="1023" t="s">
        <v>6315</v>
      </c>
      <c r="D113" s="1022">
        <v>9.0</v>
      </c>
      <c r="E113" s="1025"/>
      <c r="F113" s="1023"/>
      <c r="G113" s="1028" t="s">
        <v>904</v>
      </c>
      <c r="H113" s="1029" t="s">
        <v>964</v>
      </c>
      <c r="I113" s="1029" t="s">
        <v>965</v>
      </c>
      <c r="J113" s="1029" t="s">
        <v>966</v>
      </c>
      <c r="K113" s="1029"/>
      <c r="L113" s="1096"/>
      <c r="M113" s="1032"/>
      <c r="N113" s="1033"/>
      <c r="O113" s="699"/>
      <c r="P113" s="699"/>
      <c r="Q113" s="699"/>
    </row>
    <row r="114">
      <c r="A114" s="699"/>
      <c r="B114" s="1022"/>
      <c r="C114" s="1023" t="s">
        <v>6532</v>
      </c>
      <c r="D114" s="1022">
        <v>10.0</v>
      </c>
      <c r="E114" s="1025"/>
      <c r="F114" s="1023"/>
      <c r="G114" s="1028" t="s">
        <v>904</v>
      </c>
      <c r="H114" s="1029" t="s">
        <v>969</v>
      </c>
      <c r="I114" s="1029" t="s">
        <v>317</v>
      </c>
      <c r="J114" s="1029" t="s">
        <v>970</v>
      </c>
      <c r="K114" s="1029"/>
      <c r="L114" s="1096"/>
      <c r="M114" s="1032"/>
      <c r="N114" s="1033"/>
      <c r="O114" s="699"/>
      <c r="P114" s="699"/>
      <c r="Q114" s="699"/>
    </row>
    <row r="115">
      <c r="A115" s="699"/>
      <c r="B115" s="1022"/>
      <c r="C115" s="1023" t="s">
        <v>6535</v>
      </c>
      <c r="D115" s="1022">
        <v>10.0</v>
      </c>
      <c r="E115" s="1025"/>
      <c r="F115" s="1023"/>
      <c r="G115" s="1028" t="s">
        <v>904</v>
      </c>
      <c r="H115" s="1029" t="s">
        <v>969</v>
      </c>
      <c r="I115" s="1029" t="s">
        <v>317</v>
      </c>
      <c r="J115" s="1029" t="s">
        <v>970</v>
      </c>
      <c r="K115" s="1029"/>
      <c r="L115" s="1096"/>
      <c r="M115" s="1032"/>
      <c r="N115" s="1033"/>
      <c r="O115" s="699"/>
      <c r="P115" s="699"/>
      <c r="Q115" s="699"/>
    </row>
    <row r="116">
      <c r="A116" s="699"/>
      <c r="B116" s="1022"/>
      <c r="C116" s="1023" t="s">
        <v>6537</v>
      </c>
      <c r="D116" s="1022">
        <v>10.0</v>
      </c>
      <c r="E116" s="1025"/>
      <c r="F116" s="1023"/>
      <c r="G116" s="1028" t="s">
        <v>904</v>
      </c>
      <c r="H116" s="1029" t="s">
        <v>969</v>
      </c>
      <c r="I116" s="1029" t="s">
        <v>317</v>
      </c>
      <c r="J116" s="1029" t="s">
        <v>970</v>
      </c>
      <c r="K116" s="1029"/>
      <c r="L116" s="1096"/>
      <c r="M116" s="1032"/>
      <c r="N116" s="1033"/>
      <c r="O116" s="699"/>
      <c r="P116" s="699"/>
      <c r="Q116" s="699"/>
    </row>
    <row r="117">
      <c r="A117" s="699"/>
      <c r="B117" s="1022"/>
      <c r="C117" s="1023" t="s">
        <v>6513</v>
      </c>
      <c r="D117" s="1022">
        <v>10.0</v>
      </c>
      <c r="E117" s="1025"/>
      <c r="F117" s="1023"/>
      <c r="G117" s="1028" t="s">
        <v>904</v>
      </c>
      <c r="H117" s="1029" t="s">
        <v>969</v>
      </c>
      <c r="I117" s="1029" t="s">
        <v>317</v>
      </c>
      <c r="J117" s="1029" t="s">
        <v>970</v>
      </c>
      <c r="K117" s="1029"/>
      <c r="L117" s="1096"/>
      <c r="M117" s="1032"/>
      <c r="N117" s="1033"/>
      <c r="O117" s="699"/>
      <c r="P117" s="699"/>
      <c r="Q117" s="699"/>
    </row>
    <row r="118">
      <c r="A118" s="699"/>
      <c r="B118" s="1022"/>
      <c r="C118" s="1023" t="s">
        <v>189</v>
      </c>
      <c r="D118" s="1022">
        <v>11.0</v>
      </c>
      <c r="E118" s="1025"/>
      <c r="F118" s="1023"/>
      <c r="G118" s="1028" t="s">
        <v>904</v>
      </c>
      <c r="H118" s="1029" t="s">
        <v>976</v>
      </c>
      <c r="I118" s="1029" t="s">
        <v>977</v>
      </c>
      <c r="J118" s="1029" t="s">
        <v>979</v>
      </c>
      <c r="K118" s="1029"/>
      <c r="L118" s="1096"/>
      <c r="M118" s="1032"/>
      <c r="N118" s="1033"/>
      <c r="O118" s="699"/>
      <c r="P118" s="699"/>
      <c r="Q118" s="699"/>
    </row>
    <row r="119">
      <c r="A119" s="699"/>
      <c r="B119" s="1022"/>
      <c r="C119" s="1023" t="s">
        <v>191</v>
      </c>
      <c r="D119" s="1022">
        <v>13.0</v>
      </c>
      <c r="E119" s="1025"/>
      <c r="F119" s="1023"/>
      <c r="G119" s="1028" t="s">
        <v>904</v>
      </c>
      <c r="H119" s="1029" t="s">
        <v>988</v>
      </c>
      <c r="I119" s="1029" t="s">
        <v>213</v>
      </c>
      <c r="J119" s="1029" t="s">
        <v>989</v>
      </c>
      <c r="K119" s="1029"/>
      <c r="L119" s="1096"/>
      <c r="M119" s="1032"/>
      <c r="N119" s="1033"/>
      <c r="O119" s="699"/>
      <c r="P119" s="699"/>
      <c r="Q119" s="699"/>
    </row>
    <row r="120">
      <c r="A120" s="699"/>
      <c r="B120" s="1022"/>
      <c r="C120" s="1023" t="s">
        <v>6544</v>
      </c>
      <c r="D120" s="1022">
        <v>14.0</v>
      </c>
      <c r="E120" s="1025"/>
      <c r="F120" s="1023"/>
      <c r="G120" s="1028" t="s">
        <v>904</v>
      </c>
      <c r="H120" s="1029" t="s">
        <v>998</v>
      </c>
      <c r="I120" s="1029" t="s">
        <v>999</v>
      </c>
      <c r="J120" s="1029" t="s">
        <v>1000</v>
      </c>
      <c r="K120" s="1029"/>
      <c r="L120" s="1096"/>
      <c r="M120" s="1032"/>
      <c r="N120" s="1033"/>
      <c r="O120" s="699"/>
      <c r="P120" s="699"/>
      <c r="Q120" s="699"/>
    </row>
    <row r="121">
      <c r="A121" s="699"/>
      <c r="B121" s="1022"/>
      <c r="C121" s="1023" t="s">
        <v>6350</v>
      </c>
      <c r="D121" s="1022">
        <v>14.0</v>
      </c>
      <c r="E121" s="1025"/>
      <c r="F121" s="1023"/>
      <c r="G121" s="1028" t="s">
        <v>904</v>
      </c>
      <c r="H121" s="1029" t="s">
        <v>998</v>
      </c>
      <c r="I121" s="1029" t="s">
        <v>999</v>
      </c>
      <c r="J121" s="1029" t="s">
        <v>1000</v>
      </c>
      <c r="K121" s="1029"/>
      <c r="L121" s="1096"/>
      <c r="M121" s="1032"/>
      <c r="N121" s="1033"/>
      <c r="O121" s="699"/>
      <c r="P121" s="699"/>
      <c r="Q121" s="699"/>
    </row>
    <row r="122">
      <c r="A122" s="699"/>
      <c r="B122" s="1022"/>
      <c r="C122" s="1023" t="s">
        <v>193</v>
      </c>
      <c r="D122" s="1022">
        <v>14.0</v>
      </c>
      <c r="E122" s="1025"/>
      <c r="F122" s="1023"/>
      <c r="G122" s="1028" t="s">
        <v>904</v>
      </c>
      <c r="H122" s="1029" t="s">
        <v>998</v>
      </c>
      <c r="I122" s="1029" t="s">
        <v>999</v>
      </c>
      <c r="J122" s="1029" t="s">
        <v>1000</v>
      </c>
      <c r="K122" s="1029"/>
      <c r="L122" s="1096"/>
      <c r="M122" s="1032"/>
      <c r="N122" s="1033"/>
      <c r="O122" s="699"/>
      <c r="P122" s="699"/>
      <c r="Q122" s="699"/>
    </row>
    <row r="123">
      <c r="A123" s="699"/>
      <c r="B123" s="1022"/>
      <c r="C123" s="1023" t="s">
        <v>5877</v>
      </c>
      <c r="D123" s="1022">
        <v>14.0</v>
      </c>
      <c r="E123" s="1025"/>
      <c r="F123" s="1023"/>
      <c r="G123" s="1028" t="s">
        <v>904</v>
      </c>
      <c r="H123" s="1029" t="s">
        <v>998</v>
      </c>
      <c r="I123" s="1029" t="s">
        <v>999</v>
      </c>
      <c r="J123" s="1029" t="s">
        <v>1000</v>
      </c>
      <c r="K123" s="1029"/>
      <c r="L123" s="1096"/>
      <c r="M123" s="1032"/>
      <c r="N123" s="1033"/>
      <c r="O123" s="699"/>
      <c r="P123" s="699"/>
      <c r="Q123" s="699"/>
    </row>
    <row r="124">
      <c r="A124" s="699"/>
      <c r="B124" s="1022"/>
      <c r="C124" s="1023" t="s">
        <v>5871</v>
      </c>
      <c r="D124" s="1022">
        <v>14.0</v>
      </c>
      <c r="E124" s="1025"/>
      <c r="F124" s="1023"/>
      <c r="G124" s="1028" t="s">
        <v>904</v>
      </c>
      <c r="H124" s="1029" t="s">
        <v>998</v>
      </c>
      <c r="I124" s="1029" t="s">
        <v>999</v>
      </c>
      <c r="J124" s="1029" t="s">
        <v>1000</v>
      </c>
      <c r="K124" s="1029"/>
      <c r="L124" s="1096"/>
      <c r="M124" s="1032"/>
      <c r="N124" s="1033"/>
      <c r="O124" s="699"/>
      <c r="P124" s="699"/>
      <c r="Q124" s="699"/>
    </row>
    <row r="125">
      <c r="A125" s="699"/>
      <c r="B125" s="1022"/>
      <c r="C125" s="1023" t="s">
        <v>186</v>
      </c>
      <c r="D125" s="1022">
        <v>9.0</v>
      </c>
      <c r="E125" s="1025"/>
      <c r="F125" s="1023"/>
      <c r="G125" s="1028" t="s">
        <v>904</v>
      </c>
      <c r="H125" s="1029" t="s">
        <v>964</v>
      </c>
      <c r="I125" s="1029" t="s">
        <v>965</v>
      </c>
      <c r="J125" s="1029" t="s">
        <v>966</v>
      </c>
      <c r="K125" s="1029"/>
      <c r="L125" s="1096"/>
      <c r="M125" s="1032"/>
      <c r="N125" s="1033"/>
      <c r="O125" s="699"/>
      <c r="P125" s="699"/>
      <c r="Q125" s="699"/>
    </row>
    <row r="126">
      <c r="A126" s="699"/>
      <c r="B126" s="1022"/>
      <c r="C126" s="1023" t="s">
        <v>6091</v>
      </c>
      <c r="D126" s="1022">
        <v>15.0</v>
      </c>
      <c r="E126" s="1025"/>
      <c r="F126" s="1023"/>
      <c r="G126" s="1028" t="s">
        <v>904</v>
      </c>
      <c r="H126" s="1029" t="s">
        <v>6568</v>
      </c>
      <c r="I126" s="1029" t="s">
        <v>6569</v>
      </c>
      <c r="J126" s="1029" t="s">
        <v>6570</v>
      </c>
      <c r="K126" s="1029"/>
      <c r="L126" s="1096"/>
      <c r="M126" s="1032"/>
      <c r="N126" s="1033"/>
      <c r="O126" s="699"/>
      <c r="P126" s="699"/>
      <c r="Q126" s="699"/>
    </row>
    <row r="127">
      <c r="A127" s="699"/>
      <c r="B127" s="1022"/>
      <c r="C127" s="1023" t="s">
        <v>6571</v>
      </c>
      <c r="D127" s="1022">
        <v>15.0</v>
      </c>
      <c r="E127" s="1025"/>
      <c r="F127" s="1023"/>
      <c r="G127" s="1028" t="s">
        <v>904</v>
      </c>
      <c r="H127" s="1029" t="s">
        <v>6568</v>
      </c>
      <c r="I127" s="1029" t="s">
        <v>6569</v>
      </c>
      <c r="J127" s="1029" t="s">
        <v>6570</v>
      </c>
      <c r="K127" s="1029"/>
      <c r="L127" s="1096"/>
      <c r="M127" s="1032"/>
      <c r="N127" s="1033"/>
      <c r="O127" s="699"/>
      <c r="P127" s="699"/>
      <c r="Q127" s="699"/>
    </row>
    <row r="128">
      <c r="A128" s="699"/>
      <c r="B128" s="1022"/>
      <c r="C128" s="1023" t="s">
        <v>914</v>
      </c>
      <c r="D128" s="1022">
        <v>2.0</v>
      </c>
      <c r="E128" s="1025"/>
      <c r="F128" s="1023"/>
      <c r="G128" s="1028" t="s">
        <v>904</v>
      </c>
      <c r="H128" s="1029" t="s">
        <v>915</v>
      </c>
      <c r="I128" s="1029" t="s">
        <v>916</v>
      </c>
      <c r="J128" s="1029" t="s">
        <v>918</v>
      </c>
      <c r="K128" s="1029"/>
      <c r="L128" s="1096"/>
      <c r="M128" s="1032"/>
      <c r="N128" s="1033"/>
      <c r="O128" s="699"/>
      <c r="P128" s="699"/>
      <c r="Q128" s="699"/>
    </row>
    <row r="129">
      <c r="A129" s="699"/>
      <c r="B129" s="1022"/>
      <c r="C129" s="1023" t="s">
        <v>6578</v>
      </c>
      <c r="D129" s="1022">
        <v>15.0</v>
      </c>
      <c r="E129" s="1025"/>
      <c r="F129" s="1023"/>
      <c r="G129" s="1028" t="s">
        <v>904</v>
      </c>
      <c r="H129" s="1029" t="s">
        <v>6568</v>
      </c>
      <c r="I129" s="1029" t="s">
        <v>6569</v>
      </c>
      <c r="J129" s="1029" t="s">
        <v>6570</v>
      </c>
      <c r="K129" s="1029"/>
      <c r="L129" s="1096"/>
      <c r="M129" s="1032"/>
      <c r="N129" s="1033"/>
      <c r="O129" s="699"/>
      <c r="P129" s="699"/>
      <c r="Q129" s="699"/>
    </row>
    <row r="130">
      <c r="A130" s="699"/>
      <c r="B130" s="1022"/>
      <c r="C130" s="1023" t="s">
        <v>6580</v>
      </c>
      <c r="D130" s="1022">
        <v>15.0</v>
      </c>
      <c r="E130" s="1025"/>
      <c r="F130" s="1023"/>
      <c r="G130" s="1028" t="s">
        <v>904</v>
      </c>
      <c r="H130" s="1029" t="s">
        <v>6568</v>
      </c>
      <c r="I130" s="1029" t="s">
        <v>6569</v>
      </c>
      <c r="J130" s="1029" t="s">
        <v>6570</v>
      </c>
      <c r="K130" s="1029"/>
      <c r="L130" s="1096"/>
      <c r="M130" s="1032"/>
      <c r="N130" s="1033"/>
      <c r="O130" s="699"/>
      <c r="P130" s="699"/>
      <c r="Q130" s="699"/>
    </row>
    <row r="131">
      <c r="A131" s="699"/>
      <c r="B131" s="1022"/>
      <c r="C131" s="1023" t="s">
        <v>6582</v>
      </c>
      <c r="D131" s="1022">
        <v>15.0</v>
      </c>
      <c r="E131" s="1025"/>
      <c r="F131" s="1023"/>
      <c r="G131" s="1028" t="s">
        <v>904</v>
      </c>
      <c r="H131" s="1029" t="s">
        <v>6568</v>
      </c>
      <c r="I131" s="1029" t="s">
        <v>6569</v>
      </c>
      <c r="J131" s="1029" t="s">
        <v>6570</v>
      </c>
      <c r="K131" s="1029"/>
      <c r="L131" s="1096"/>
      <c r="M131" s="1032"/>
      <c r="N131" s="1033"/>
      <c r="O131" s="699"/>
      <c r="P131" s="699"/>
      <c r="Q131" s="699"/>
    </row>
    <row r="132">
      <c r="A132" s="699"/>
      <c r="B132" s="1022"/>
      <c r="C132" s="1023" t="s">
        <v>6584</v>
      </c>
      <c r="D132" s="1022">
        <v>15.0</v>
      </c>
      <c r="E132" s="1025"/>
      <c r="F132" s="1023"/>
      <c r="G132" s="1028" t="s">
        <v>904</v>
      </c>
      <c r="H132" s="1029" t="s">
        <v>6568</v>
      </c>
      <c r="I132" s="1029" t="s">
        <v>6569</v>
      </c>
      <c r="J132" s="1029" t="s">
        <v>6570</v>
      </c>
      <c r="K132" s="1029"/>
      <c r="L132" s="1096"/>
      <c r="M132" s="1032"/>
      <c r="N132" s="1033"/>
      <c r="O132" s="699"/>
      <c r="P132" s="699"/>
      <c r="Q132" s="699"/>
    </row>
    <row r="133">
      <c r="A133" s="699"/>
      <c r="B133" s="1022"/>
      <c r="C133" s="1023" t="s">
        <v>6096</v>
      </c>
      <c r="D133" s="1022">
        <v>15.0</v>
      </c>
      <c r="E133" s="1025"/>
      <c r="F133" s="1023"/>
      <c r="G133" s="1028" t="s">
        <v>904</v>
      </c>
      <c r="H133" s="1029" t="s">
        <v>6568</v>
      </c>
      <c r="I133" s="1029" t="s">
        <v>6569</v>
      </c>
      <c r="J133" s="1029" t="s">
        <v>6570</v>
      </c>
      <c r="K133" s="1029"/>
      <c r="L133" s="1096"/>
      <c r="M133" s="1032"/>
      <c r="N133" s="1033"/>
      <c r="O133" s="699"/>
      <c r="P133" s="699"/>
      <c r="Q133" s="699"/>
    </row>
    <row r="134">
      <c r="A134" s="699"/>
      <c r="B134" s="1022"/>
      <c r="C134" s="1023" t="s">
        <v>5892</v>
      </c>
      <c r="D134" s="1022">
        <v>15.0</v>
      </c>
      <c r="E134" s="1025"/>
      <c r="F134" s="1023"/>
      <c r="G134" s="1028" t="s">
        <v>904</v>
      </c>
      <c r="H134" s="1029" t="s">
        <v>6568</v>
      </c>
      <c r="I134" s="1029" t="s">
        <v>6569</v>
      </c>
      <c r="J134" s="1029" t="s">
        <v>6570</v>
      </c>
      <c r="K134" s="1029"/>
      <c r="L134" s="1096"/>
      <c r="M134" s="1032"/>
      <c r="N134" s="1033"/>
      <c r="O134" s="699"/>
      <c r="P134" s="699"/>
      <c r="Q134" s="699"/>
    </row>
    <row r="135">
      <c r="A135" s="699"/>
      <c r="B135" s="1022"/>
      <c r="C135" s="1023" t="s">
        <v>6586</v>
      </c>
      <c r="D135" s="1022">
        <v>8.0</v>
      </c>
      <c r="E135" s="1025"/>
      <c r="F135" s="1023"/>
      <c r="G135" s="1028" t="s">
        <v>904</v>
      </c>
      <c r="H135" s="1029" t="s">
        <v>960</v>
      </c>
      <c r="I135" s="1029" t="s">
        <v>376</v>
      </c>
      <c r="J135" s="1029" t="s">
        <v>500</v>
      </c>
      <c r="K135" s="1029"/>
      <c r="L135" s="1096"/>
      <c r="M135" s="1032"/>
      <c r="N135" s="1033"/>
      <c r="O135" s="699"/>
      <c r="P135" s="699"/>
      <c r="Q135" s="699"/>
    </row>
    <row r="136">
      <c r="A136" s="699"/>
      <c r="B136" s="1022"/>
      <c r="C136" s="1023" t="s">
        <v>6587</v>
      </c>
      <c r="D136" s="1022">
        <v>15.0</v>
      </c>
      <c r="E136" s="1025"/>
      <c r="F136" s="1023"/>
      <c r="G136" s="1028" t="s">
        <v>904</v>
      </c>
      <c r="H136" s="1029" t="s">
        <v>6568</v>
      </c>
      <c r="I136" s="1029" t="s">
        <v>6569</v>
      </c>
      <c r="J136" s="1029" t="s">
        <v>6570</v>
      </c>
      <c r="K136" s="1029"/>
      <c r="L136" s="1096"/>
      <c r="M136" s="1032"/>
      <c r="N136" s="1033"/>
      <c r="O136" s="699"/>
      <c r="P136" s="699"/>
      <c r="Q136" s="699"/>
    </row>
    <row r="137">
      <c r="A137" s="699"/>
      <c r="B137" s="1022"/>
      <c r="C137" s="1023" t="s">
        <v>194</v>
      </c>
      <c r="D137" s="1022">
        <v>15.0</v>
      </c>
      <c r="E137" s="1025"/>
      <c r="F137" s="1023"/>
      <c r="G137" s="1028" t="s">
        <v>904</v>
      </c>
      <c r="H137" s="1029" t="s">
        <v>1004</v>
      </c>
      <c r="I137" s="1029" t="s">
        <v>1005</v>
      </c>
      <c r="J137" s="1029" t="s">
        <v>1006</v>
      </c>
      <c r="K137" s="1029"/>
      <c r="L137" s="1096"/>
      <c r="M137" s="1032"/>
      <c r="N137" s="1033"/>
      <c r="O137" s="699"/>
      <c r="P137" s="699"/>
      <c r="Q137" s="699"/>
    </row>
    <row r="138">
      <c r="A138" s="699"/>
      <c r="B138" s="1022"/>
      <c r="C138" s="1023" t="s">
        <v>925</v>
      </c>
      <c r="D138" s="1022">
        <v>3.0</v>
      </c>
      <c r="E138" s="1025"/>
      <c r="F138" s="1023"/>
      <c r="G138" s="1028" t="s">
        <v>904</v>
      </c>
      <c r="H138" s="1029" t="s">
        <v>926</v>
      </c>
      <c r="I138" s="1029" t="s">
        <v>317</v>
      </c>
      <c r="J138" s="1029" t="s">
        <v>927</v>
      </c>
      <c r="K138" s="1029"/>
      <c r="L138" s="1096"/>
      <c r="M138" s="1032"/>
      <c r="N138" s="1033"/>
      <c r="O138" s="699"/>
      <c r="P138" s="699"/>
      <c r="Q138" s="699"/>
    </row>
    <row r="139">
      <c r="A139" s="699"/>
      <c r="B139" s="1022"/>
      <c r="C139" s="1023" t="s">
        <v>906</v>
      </c>
      <c r="D139" s="1022">
        <v>15.0</v>
      </c>
      <c r="E139" s="1025"/>
      <c r="F139" s="1023"/>
      <c r="G139" s="1028" t="s">
        <v>904</v>
      </c>
      <c r="H139" s="1029" t="s">
        <v>907</v>
      </c>
      <c r="I139" s="1029" t="s">
        <v>909</v>
      </c>
      <c r="J139" s="1029" t="s">
        <v>500</v>
      </c>
      <c r="K139" s="1029"/>
      <c r="L139" s="1096"/>
      <c r="M139" s="1032"/>
      <c r="N139" s="1033"/>
      <c r="O139" s="699"/>
      <c r="P139" s="699"/>
      <c r="Q139" s="699"/>
    </row>
    <row r="140">
      <c r="A140" s="699"/>
      <c r="B140" s="1022"/>
      <c r="C140" s="1023" t="s">
        <v>197</v>
      </c>
      <c r="D140" s="1022">
        <v>16.0</v>
      </c>
      <c r="E140" s="1025"/>
      <c r="F140" s="1023"/>
      <c r="G140" s="1028" t="s">
        <v>904</v>
      </c>
      <c r="H140" s="1029" t="s">
        <v>1010</v>
      </c>
      <c r="I140" s="1029" t="s">
        <v>1011</v>
      </c>
      <c r="J140" s="1029" t="s">
        <v>957</v>
      </c>
      <c r="K140" s="1029"/>
      <c r="L140" s="1096"/>
      <c r="M140" s="1032"/>
      <c r="N140" s="1033"/>
      <c r="O140" s="699"/>
      <c r="P140" s="699"/>
      <c r="Q140" s="699"/>
    </row>
    <row r="141">
      <c r="A141" s="699"/>
      <c r="B141" s="1022"/>
      <c r="C141" s="1023" t="s">
        <v>6099</v>
      </c>
      <c r="D141" s="1022">
        <v>17.0</v>
      </c>
      <c r="E141" s="1025"/>
      <c r="F141" s="1023"/>
      <c r="G141" s="1028" t="s">
        <v>904</v>
      </c>
      <c r="H141" s="1029" t="s">
        <v>1019</v>
      </c>
      <c r="I141" s="1029" t="s">
        <v>6595</v>
      </c>
      <c r="J141" s="1029" t="s">
        <v>1021</v>
      </c>
      <c r="K141" s="1029"/>
      <c r="L141" s="1096"/>
      <c r="M141" s="1032"/>
      <c r="N141" s="1033"/>
      <c r="O141" s="699"/>
      <c r="P141" s="699"/>
      <c r="Q141" s="699"/>
    </row>
    <row r="142">
      <c r="A142" s="699"/>
      <c r="B142" s="1022"/>
      <c r="C142" s="1023" t="s">
        <v>198</v>
      </c>
      <c r="D142" s="1022">
        <v>17.0</v>
      </c>
      <c r="E142" s="1025"/>
      <c r="F142" s="1023"/>
      <c r="G142" s="1028" t="s">
        <v>904</v>
      </c>
      <c r="H142" s="1029" t="s">
        <v>1019</v>
      </c>
      <c r="I142" s="1029" t="s">
        <v>6595</v>
      </c>
      <c r="J142" s="1029" t="s">
        <v>1021</v>
      </c>
      <c r="K142" s="1029"/>
      <c r="L142" s="1096"/>
      <c r="M142" s="1032"/>
      <c r="N142" s="1033"/>
      <c r="O142" s="699"/>
      <c r="P142" s="699"/>
      <c r="Q142" s="699"/>
    </row>
    <row r="143">
      <c r="A143" s="699"/>
      <c r="B143" s="1022"/>
      <c r="C143" s="1023" t="s">
        <v>6601</v>
      </c>
      <c r="D143" s="1022">
        <v>17.0</v>
      </c>
      <c r="E143" s="1025"/>
      <c r="F143" s="1023"/>
      <c r="G143" s="1028" t="s">
        <v>904</v>
      </c>
      <c r="H143" s="1029" t="s">
        <v>1019</v>
      </c>
      <c r="I143" s="1029" t="s">
        <v>6595</v>
      </c>
      <c r="J143" s="1029" t="s">
        <v>1021</v>
      </c>
      <c r="K143" s="1029"/>
      <c r="L143" s="1096"/>
      <c r="M143" s="1032"/>
      <c r="N143" s="1033"/>
      <c r="O143" s="699"/>
      <c r="P143" s="699"/>
      <c r="Q143" s="699"/>
    </row>
    <row r="144">
      <c r="A144" s="699"/>
      <c r="B144" s="1022"/>
      <c r="C144" s="1023" t="s">
        <v>6603</v>
      </c>
      <c r="D144" s="1022">
        <v>17.0</v>
      </c>
      <c r="E144" s="1025"/>
      <c r="F144" s="1023"/>
      <c r="G144" s="1028" t="s">
        <v>904</v>
      </c>
      <c r="H144" s="1029" t="s">
        <v>1019</v>
      </c>
      <c r="I144" s="1029" t="s">
        <v>6595</v>
      </c>
      <c r="J144" s="1029" t="s">
        <v>1021</v>
      </c>
      <c r="K144" s="1029"/>
      <c r="L144" s="1096"/>
      <c r="M144" s="1032"/>
      <c r="N144" s="1033"/>
      <c r="O144" s="699"/>
      <c r="P144" s="699"/>
      <c r="Q144" s="699"/>
    </row>
    <row r="145">
      <c r="A145" s="699"/>
      <c r="B145" s="1022"/>
      <c r="C145" s="1023" t="s">
        <v>6474</v>
      </c>
      <c r="D145" s="1022">
        <v>17.0</v>
      </c>
      <c r="E145" s="1025"/>
      <c r="F145" s="1023"/>
      <c r="G145" s="1028" t="s">
        <v>904</v>
      </c>
      <c r="H145" s="1029" t="s">
        <v>1019</v>
      </c>
      <c r="I145" s="1029" t="s">
        <v>6595</v>
      </c>
      <c r="J145" s="1029" t="s">
        <v>1021</v>
      </c>
      <c r="K145" s="1029"/>
      <c r="L145" s="1096"/>
      <c r="M145" s="1032"/>
      <c r="N145" s="1033"/>
      <c r="O145" s="699"/>
      <c r="P145" s="699"/>
      <c r="Q145" s="699"/>
    </row>
    <row r="146">
      <c r="A146" s="699"/>
      <c r="B146" s="1022"/>
      <c r="C146" s="1023" t="s">
        <v>6606</v>
      </c>
      <c r="D146" s="1022">
        <v>8.0</v>
      </c>
      <c r="E146" s="1025"/>
      <c r="F146" s="1023"/>
      <c r="G146" s="1028" t="s">
        <v>904</v>
      </c>
      <c r="H146" s="1029" t="s">
        <v>960</v>
      </c>
      <c r="I146" s="1029" t="s">
        <v>376</v>
      </c>
      <c r="J146" s="1029" t="s">
        <v>500</v>
      </c>
      <c r="K146" s="1029"/>
      <c r="L146" s="1096"/>
      <c r="M146" s="1032"/>
      <c r="N146" s="1033"/>
      <c r="O146" s="699"/>
      <c r="P146" s="699"/>
      <c r="Q146" s="699"/>
    </row>
    <row r="147">
      <c r="A147" s="699"/>
      <c r="B147" s="1022"/>
      <c r="C147" s="1023" t="s">
        <v>6608</v>
      </c>
      <c r="D147" s="1022">
        <v>17.0</v>
      </c>
      <c r="E147" s="1025"/>
      <c r="F147" s="1023"/>
      <c r="G147" s="1028" t="s">
        <v>904</v>
      </c>
      <c r="H147" s="1029" t="s">
        <v>1019</v>
      </c>
      <c r="I147" s="1029" t="s">
        <v>6595</v>
      </c>
      <c r="J147" s="1029" t="s">
        <v>1021</v>
      </c>
      <c r="K147" s="1029"/>
      <c r="L147" s="1096"/>
      <c r="M147" s="1032"/>
      <c r="N147" s="1033"/>
      <c r="O147" s="699"/>
      <c r="P147" s="699"/>
      <c r="Q147" s="699"/>
    </row>
    <row r="148">
      <c r="A148" s="699"/>
      <c r="B148" s="1022"/>
      <c r="C148" s="1023" t="s">
        <v>175</v>
      </c>
      <c r="D148" s="1022">
        <v>4.0</v>
      </c>
      <c r="E148" s="1025"/>
      <c r="F148" s="1023"/>
      <c r="G148" s="1028" t="s">
        <v>904</v>
      </c>
      <c r="H148" s="1029" t="s">
        <v>931</v>
      </c>
      <c r="I148" s="1029" t="s">
        <v>213</v>
      </c>
      <c r="J148" s="1029" t="s">
        <v>578</v>
      </c>
      <c r="K148" s="1029"/>
      <c r="L148" s="1096"/>
      <c r="M148" s="1032"/>
      <c r="N148" s="1033"/>
      <c r="O148" s="699"/>
      <c r="P148" s="699"/>
      <c r="Q148" s="699"/>
    </row>
    <row r="149">
      <c r="A149" s="187"/>
      <c r="B149" s="1101"/>
      <c r="C149" s="1102" t="s">
        <v>178</v>
      </c>
      <c r="D149" s="1101">
        <v>5.0</v>
      </c>
      <c r="E149" s="1103"/>
      <c r="F149" s="1102"/>
      <c r="G149" s="1104" t="s">
        <v>904</v>
      </c>
      <c r="H149" s="1105" t="s">
        <v>212</v>
      </c>
      <c r="I149" s="1105" t="s">
        <v>213</v>
      </c>
      <c r="J149" s="1105" t="s">
        <v>215</v>
      </c>
      <c r="K149" s="1105"/>
      <c r="L149" s="1106"/>
      <c r="M149" s="1107"/>
      <c r="N149" s="1108"/>
      <c r="O149" s="187"/>
      <c r="P149" s="187"/>
      <c r="Q149" s="187"/>
    </row>
    <row r="150">
      <c r="A150" s="699"/>
      <c r="B150" s="1022"/>
      <c r="C150" s="1023" t="s">
        <v>6057</v>
      </c>
      <c r="D150" s="1022">
        <v>17.0</v>
      </c>
      <c r="E150" s="1025"/>
      <c r="F150" s="1023"/>
      <c r="G150" s="1028" t="s">
        <v>904</v>
      </c>
      <c r="H150" s="1029" t="s">
        <v>1019</v>
      </c>
      <c r="I150" s="1029" t="s">
        <v>6595</v>
      </c>
      <c r="J150" s="1029" t="s">
        <v>1021</v>
      </c>
      <c r="K150" s="1029"/>
      <c r="L150" s="1096"/>
      <c r="M150" s="1032"/>
      <c r="N150" s="1033"/>
      <c r="O150" s="699"/>
      <c r="P150" s="699"/>
      <c r="Q150" s="699"/>
    </row>
    <row r="151">
      <c r="A151" s="699"/>
      <c r="B151" s="1022"/>
      <c r="C151" s="1023" t="s">
        <v>6619</v>
      </c>
      <c r="D151" s="1022">
        <v>17.0</v>
      </c>
      <c r="E151" s="1025"/>
      <c r="F151" s="1023"/>
      <c r="G151" s="1028" t="s">
        <v>904</v>
      </c>
      <c r="H151" s="1029" t="s">
        <v>1019</v>
      </c>
      <c r="I151" s="1029" t="s">
        <v>6595</v>
      </c>
      <c r="J151" s="1029" t="s">
        <v>1021</v>
      </c>
      <c r="K151" s="1029"/>
      <c r="L151" s="1096"/>
      <c r="M151" s="1032"/>
      <c r="N151" s="1033"/>
      <c r="O151" s="699"/>
      <c r="P151" s="699"/>
      <c r="Q151" s="699"/>
    </row>
    <row r="152">
      <c r="A152" s="699"/>
      <c r="B152" s="1022"/>
      <c r="C152" s="1023" t="s">
        <v>6622</v>
      </c>
      <c r="D152" s="1022">
        <v>17.0</v>
      </c>
      <c r="E152" s="1025"/>
      <c r="F152" s="1023"/>
      <c r="G152" s="1028" t="s">
        <v>904</v>
      </c>
      <c r="H152" s="1029" t="s">
        <v>1019</v>
      </c>
      <c r="I152" s="1029" t="s">
        <v>6595</v>
      </c>
      <c r="J152" s="1029" t="s">
        <v>1021</v>
      </c>
      <c r="K152" s="1029"/>
      <c r="L152" s="1096"/>
      <c r="M152" s="1032"/>
      <c r="N152" s="1033"/>
      <c r="O152" s="699"/>
      <c r="P152" s="699"/>
      <c r="Q152" s="699"/>
    </row>
    <row r="153">
      <c r="A153" s="699"/>
      <c r="B153" s="1022"/>
      <c r="C153" s="1023" t="s">
        <v>6626</v>
      </c>
      <c r="D153" s="1022">
        <v>17.0</v>
      </c>
      <c r="E153" s="1025"/>
      <c r="F153" s="1023"/>
      <c r="G153" s="1028" t="s">
        <v>904</v>
      </c>
      <c r="H153" s="1029" t="s">
        <v>1019</v>
      </c>
      <c r="I153" s="1029" t="s">
        <v>6595</v>
      </c>
      <c r="J153" s="1029" t="s">
        <v>1021</v>
      </c>
      <c r="K153" s="1029"/>
      <c r="L153" s="1096"/>
      <c r="M153" s="1032"/>
      <c r="N153" s="1033"/>
      <c r="O153" s="699"/>
      <c r="P153" s="699"/>
      <c r="Q153" s="699"/>
    </row>
    <row r="154">
      <c r="A154" s="699"/>
      <c r="B154" s="1022"/>
      <c r="C154" s="1023" t="s">
        <v>6108</v>
      </c>
      <c r="D154" s="1022">
        <v>17.0</v>
      </c>
      <c r="E154" s="1025"/>
      <c r="F154" s="1023"/>
      <c r="G154" s="1028" t="s">
        <v>904</v>
      </c>
      <c r="H154" s="1029" t="s">
        <v>1019</v>
      </c>
      <c r="I154" s="1029" t="s">
        <v>6595</v>
      </c>
      <c r="J154" s="1029" t="s">
        <v>1021</v>
      </c>
      <c r="K154" s="1029"/>
      <c r="L154" s="1096"/>
      <c r="M154" s="1032"/>
      <c r="N154" s="1033"/>
      <c r="O154" s="699"/>
      <c r="P154" s="699"/>
      <c r="Q154" s="699"/>
    </row>
    <row r="155">
      <c r="A155" s="699"/>
      <c r="B155" s="1022"/>
      <c r="C155" s="1023" t="s">
        <v>6533</v>
      </c>
      <c r="D155" s="1022">
        <v>18.0</v>
      </c>
      <c r="E155" s="400" t="s">
        <v>199</v>
      </c>
      <c r="F155" s="1023"/>
      <c r="G155" s="1028" t="s">
        <v>904</v>
      </c>
      <c r="H155" s="1029" t="s">
        <v>1029</v>
      </c>
      <c r="I155" s="1029" t="s">
        <v>1030</v>
      </c>
      <c r="J155" s="1029" t="s">
        <v>1031</v>
      </c>
      <c r="K155" s="1029"/>
      <c r="L155" s="399" t="s">
        <v>6635</v>
      </c>
      <c r="M155" s="1032"/>
      <c r="N155" s="1033"/>
      <c r="O155" s="699"/>
      <c r="P155" s="699"/>
      <c r="Q155" s="699"/>
    </row>
    <row r="156">
      <c r="A156" s="699"/>
      <c r="B156" s="1022"/>
      <c r="C156" s="1023" t="s">
        <v>6053</v>
      </c>
      <c r="D156" s="1022">
        <v>8.0</v>
      </c>
      <c r="E156" s="1025"/>
      <c r="F156" s="1023"/>
      <c r="G156" s="1028" t="s">
        <v>904</v>
      </c>
      <c r="H156" s="1029" t="s">
        <v>960</v>
      </c>
      <c r="I156" s="1029" t="s">
        <v>376</v>
      </c>
      <c r="J156" s="1029" t="s">
        <v>500</v>
      </c>
      <c r="K156" s="1029"/>
      <c r="L156" s="1096"/>
      <c r="M156" s="1032"/>
      <c r="N156" s="1033"/>
      <c r="O156" s="699"/>
      <c r="P156" s="699"/>
      <c r="Q156" s="699"/>
    </row>
    <row r="157">
      <c r="A157" s="699"/>
      <c r="B157" s="1022"/>
      <c r="C157" s="1023" t="s">
        <v>6324</v>
      </c>
      <c r="D157" s="1022">
        <v>18.0</v>
      </c>
      <c r="E157" s="1025" t="s">
        <v>199</v>
      </c>
      <c r="F157" s="1023"/>
      <c r="G157" s="1028" t="s">
        <v>904</v>
      </c>
      <c r="H157" s="1029" t="s">
        <v>1029</v>
      </c>
      <c r="I157" s="1029" t="s">
        <v>1030</v>
      </c>
      <c r="J157" s="1029" t="s">
        <v>1031</v>
      </c>
      <c r="K157" s="1029"/>
      <c r="L157" s="399" t="s">
        <v>6645</v>
      </c>
      <c r="M157" s="1032"/>
      <c r="N157" s="1033"/>
      <c r="O157" s="699"/>
      <c r="P157" s="699"/>
      <c r="Q157" s="699"/>
    </row>
    <row r="158">
      <c r="A158" s="699"/>
      <c r="B158" s="1022"/>
      <c r="C158" s="1023" t="s">
        <v>5898</v>
      </c>
      <c r="D158" s="1022">
        <v>18.0</v>
      </c>
      <c r="E158" s="1025" t="s">
        <v>199</v>
      </c>
      <c r="F158" s="1023"/>
      <c r="G158" s="1028" t="s">
        <v>904</v>
      </c>
      <c r="H158" s="1029" t="s">
        <v>1029</v>
      </c>
      <c r="I158" s="1029" t="s">
        <v>1030</v>
      </c>
      <c r="J158" s="1029" t="s">
        <v>1031</v>
      </c>
      <c r="K158" s="1029"/>
      <c r="L158" s="399" t="s">
        <v>6654</v>
      </c>
      <c r="M158" s="1032"/>
      <c r="N158" s="1033"/>
      <c r="O158" s="699"/>
      <c r="P158" s="699"/>
      <c r="Q158" s="699"/>
    </row>
    <row r="159">
      <c r="A159" s="699"/>
      <c r="B159" s="1022"/>
      <c r="C159" s="1023" t="s">
        <v>5948</v>
      </c>
      <c r="D159" s="1022">
        <v>18.0</v>
      </c>
      <c r="E159" s="1025" t="s">
        <v>199</v>
      </c>
      <c r="F159" s="1023"/>
      <c r="G159" s="1028" t="s">
        <v>904</v>
      </c>
      <c r="H159" s="1029" t="s">
        <v>1029</v>
      </c>
      <c r="I159" s="1029" t="s">
        <v>1030</v>
      </c>
      <c r="J159" s="1029" t="s">
        <v>1031</v>
      </c>
      <c r="K159" s="1029"/>
      <c r="L159" s="399" t="s">
        <v>6661</v>
      </c>
      <c r="M159" s="1032"/>
      <c r="N159" s="1033"/>
      <c r="O159" s="699"/>
      <c r="P159" s="699"/>
      <c r="Q159" s="699"/>
    </row>
    <row r="160">
      <c r="A160" s="699"/>
      <c r="B160" s="1022"/>
      <c r="C160" s="1023" t="s">
        <v>6486</v>
      </c>
      <c r="D160" s="1022">
        <v>10.0</v>
      </c>
      <c r="E160" s="1025"/>
      <c r="F160" s="1023"/>
      <c r="G160" s="1028" t="s">
        <v>904</v>
      </c>
      <c r="H160" s="1029" t="s">
        <v>969</v>
      </c>
      <c r="I160" s="1029" t="s">
        <v>317</v>
      </c>
      <c r="J160" s="1029" t="s">
        <v>970</v>
      </c>
      <c r="K160" s="1029"/>
      <c r="L160" s="1096"/>
      <c r="M160" s="1032"/>
      <c r="N160" s="1033"/>
      <c r="O160" s="699"/>
      <c r="P160" s="699"/>
      <c r="Q160" s="699"/>
    </row>
    <row r="161">
      <c r="A161" s="699"/>
      <c r="B161" s="1022"/>
      <c r="C161" s="1023" t="s">
        <v>6670</v>
      </c>
      <c r="D161" s="1109">
        <v>18.0</v>
      </c>
      <c r="E161" s="1025" t="s">
        <v>199</v>
      </c>
      <c r="F161" s="1025"/>
      <c r="G161" s="1028" t="s">
        <v>904</v>
      </c>
      <c r="H161" s="1029" t="s">
        <v>1029</v>
      </c>
      <c r="I161" s="1029" t="s">
        <v>1030</v>
      </c>
      <c r="J161" s="1029" t="s">
        <v>1031</v>
      </c>
      <c r="K161" s="1029"/>
      <c r="L161" s="399" t="s">
        <v>6672</v>
      </c>
      <c r="M161" s="1032"/>
      <c r="N161" s="1033"/>
      <c r="O161" s="699"/>
      <c r="P161" s="699"/>
      <c r="Q161" s="699"/>
    </row>
    <row r="162">
      <c r="A162" s="699"/>
      <c r="B162" s="1022"/>
      <c r="C162" s="1023" t="s">
        <v>6213</v>
      </c>
      <c r="D162" s="1022">
        <v>18.0</v>
      </c>
      <c r="E162" s="1025" t="s">
        <v>199</v>
      </c>
      <c r="F162" s="1023"/>
      <c r="G162" s="1028" t="s">
        <v>904</v>
      </c>
      <c r="H162" s="1029" t="s">
        <v>1029</v>
      </c>
      <c r="I162" s="1029" t="s">
        <v>1030</v>
      </c>
      <c r="J162" s="1029" t="s">
        <v>1031</v>
      </c>
      <c r="K162" s="1029"/>
      <c r="L162" s="399" t="s">
        <v>6679</v>
      </c>
      <c r="M162" s="1032"/>
      <c r="N162" s="1033"/>
      <c r="O162" s="699"/>
      <c r="P162" s="699"/>
      <c r="Q162" s="699"/>
    </row>
    <row r="163">
      <c r="A163" s="699"/>
      <c r="B163" s="1022"/>
      <c r="C163" s="1023" t="s">
        <v>6684</v>
      </c>
      <c r="D163" s="1022">
        <v>18.0</v>
      </c>
      <c r="E163" s="1025" t="s">
        <v>199</v>
      </c>
      <c r="F163" s="1023"/>
      <c r="G163" s="1028" t="s">
        <v>904</v>
      </c>
      <c r="H163" s="1029" t="s">
        <v>1029</v>
      </c>
      <c r="I163" s="1029" t="s">
        <v>1030</v>
      </c>
      <c r="J163" s="1029" t="s">
        <v>1031</v>
      </c>
      <c r="K163" s="1029"/>
      <c r="L163" s="399" t="s">
        <v>6686</v>
      </c>
      <c r="M163" s="1032"/>
      <c r="N163" s="1033"/>
      <c r="O163" s="699"/>
      <c r="P163" s="699"/>
      <c r="Q163" s="699"/>
    </row>
    <row r="164">
      <c r="A164" s="699"/>
      <c r="B164" s="1022"/>
      <c r="C164" s="1023" t="s">
        <v>6022</v>
      </c>
      <c r="D164" s="1055">
        <v>3.0</v>
      </c>
      <c r="E164" s="1025"/>
      <c r="F164" s="1023"/>
      <c r="G164" s="1028" t="s">
        <v>257</v>
      </c>
      <c r="H164" s="1029" t="s">
        <v>313</v>
      </c>
      <c r="I164" s="1029" t="s">
        <v>315</v>
      </c>
      <c r="J164" s="1029" t="s">
        <v>6309</v>
      </c>
      <c r="K164" s="1029"/>
      <c r="L164" s="1096"/>
      <c r="M164" s="1032"/>
      <c r="N164" s="1033"/>
      <c r="O164" s="699"/>
      <c r="P164" s="699"/>
      <c r="Q164" s="699"/>
    </row>
    <row r="165">
      <c r="A165" s="699"/>
      <c r="B165" s="1022"/>
      <c r="C165" s="1023" t="s">
        <v>200</v>
      </c>
      <c r="D165" s="1022">
        <v>19.0</v>
      </c>
      <c r="E165" s="1025"/>
      <c r="F165" s="1023"/>
      <c r="G165" s="1028" t="s">
        <v>904</v>
      </c>
      <c r="H165" s="1029" t="s">
        <v>1034</v>
      </c>
      <c r="I165" s="1029" t="s">
        <v>559</v>
      </c>
      <c r="J165" s="1029" t="s">
        <v>1035</v>
      </c>
      <c r="K165" s="1029"/>
      <c r="L165" s="1096"/>
      <c r="M165" s="1032"/>
      <c r="N165" s="1033"/>
      <c r="O165" s="699"/>
      <c r="P165" s="699"/>
      <c r="Q165" s="699"/>
    </row>
    <row r="166">
      <c r="A166" s="699"/>
      <c r="B166" s="1022"/>
      <c r="C166" s="1023" t="s">
        <v>6480</v>
      </c>
      <c r="D166" s="1022">
        <v>10.0</v>
      </c>
      <c r="E166" s="1025"/>
      <c r="F166" s="1023"/>
      <c r="G166" s="1028" t="s">
        <v>904</v>
      </c>
      <c r="H166" s="1029" t="s">
        <v>969</v>
      </c>
      <c r="I166" s="1029" t="s">
        <v>317</v>
      </c>
      <c r="J166" s="1029" t="s">
        <v>970</v>
      </c>
      <c r="K166" s="1029"/>
      <c r="L166" s="1096"/>
      <c r="M166" s="1032"/>
      <c r="N166" s="1033"/>
      <c r="O166" s="699"/>
      <c r="P166" s="699"/>
      <c r="Q166" s="699"/>
    </row>
    <row r="167">
      <c r="A167" s="699"/>
      <c r="B167" s="1022"/>
      <c r="C167" s="1023" t="s">
        <v>6674</v>
      </c>
      <c r="D167" s="1022">
        <v>9.0</v>
      </c>
      <c r="E167" s="1025"/>
      <c r="F167" s="1023"/>
      <c r="G167" s="1028" t="s">
        <v>904</v>
      </c>
      <c r="H167" s="1029" t="s">
        <v>964</v>
      </c>
      <c r="I167" s="1029" t="s">
        <v>6699</v>
      </c>
      <c r="J167" s="1029" t="s">
        <v>6700</v>
      </c>
      <c r="K167" s="1029"/>
      <c r="L167" s="1096"/>
      <c r="M167" s="1032"/>
      <c r="N167" s="1033"/>
      <c r="O167" s="699"/>
      <c r="P167" s="699"/>
      <c r="Q167" s="699"/>
    </row>
    <row r="168">
      <c r="A168" s="699"/>
      <c r="B168" s="1022"/>
      <c r="C168" s="1023" t="s">
        <v>6647</v>
      </c>
      <c r="D168" s="1022">
        <v>12.0</v>
      </c>
      <c r="E168" s="1025"/>
      <c r="F168" s="1023"/>
      <c r="G168" s="1028" t="s">
        <v>904</v>
      </c>
      <c r="H168" s="1029" t="s">
        <v>984</v>
      </c>
      <c r="I168" s="1029" t="s">
        <v>985</v>
      </c>
      <c r="J168" s="1029" t="s">
        <v>986</v>
      </c>
      <c r="K168" s="1029"/>
      <c r="L168" s="1096"/>
      <c r="M168" s="1032"/>
      <c r="N168" s="1033"/>
      <c r="O168" s="699"/>
      <c r="P168" s="699"/>
      <c r="Q168" s="699"/>
    </row>
    <row r="169">
      <c r="A169" s="699"/>
      <c r="B169" s="1022"/>
      <c r="C169" s="1023" t="s">
        <v>6643</v>
      </c>
      <c r="D169" s="1022">
        <v>12.0</v>
      </c>
      <c r="E169" s="1025"/>
      <c r="F169" s="1023"/>
      <c r="G169" s="1028" t="s">
        <v>904</v>
      </c>
      <c r="H169" s="1029" t="s">
        <v>984</v>
      </c>
      <c r="I169" s="1029" t="s">
        <v>985</v>
      </c>
      <c r="J169" s="1029" t="s">
        <v>986</v>
      </c>
      <c r="K169" s="1029"/>
      <c r="L169" s="1096"/>
      <c r="M169" s="1032"/>
      <c r="N169" s="1033"/>
      <c r="O169" s="699"/>
      <c r="P169" s="699"/>
      <c r="Q169" s="699"/>
    </row>
    <row r="170">
      <c r="A170" s="699"/>
      <c r="B170" s="1022"/>
      <c r="C170" s="1023" t="s">
        <v>6640</v>
      </c>
      <c r="D170" s="1022">
        <v>12.0</v>
      </c>
      <c r="E170" s="1025"/>
      <c r="F170" s="1023"/>
      <c r="G170" s="1028" t="s">
        <v>904</v>
      </c>
      <c r="H170" s="1029" t="s">
        <v>984</v>
      </c>
      <c r="I170" s="1029" t="s">
        <v>985</v>
      </c>
      <c r="J170" s="1029" t="s">
        <v>986</v>
      </c>
      <c r="K170" s="1029"/>
      <c r="L170" s="1096"/>
      <c r="M170" s="1032"/>
      <c r="N170" s="1033"/>
      <c r="O170" s="699"/>
      <c r="P170" s="699"/>
      <c r="Q170" s="699"/>
    </row>
    <row r="171">
      <c r="A171" s="699"/>
      <c r="B171" s="1022"/>
      <c r="C171" s="1023" t="s">
        <v>190</v>
      </c>
      <c r="D171" s="1022">
        <v>12.0</v>
      </c>
      <c r="E171" s="1025"/>
      <c r="F171" s="1023"/>
      <c r="G171" s="1028" t="s">
        <v>904</v>
      </c>
      <c r="H171" s="1029" t="s">
        <v>984</v>
      </c>
      <c r="I171" s="1029" t="s">
        <v>985</v>
      </c>
      <c r="J171" s="1029" t="s">
        <v>986</v>
      </c>
      <c r="K171" s="1029"/>
      <c r="L171" s="1096"/>
      <c r="M171" s="1032"/>
      <c r="N171" s="1033"/>
      <c r="O171" s="699"/>
      <c r="P171" s="699"/>
      <c r="Q171" s="699"/>
    </row>
    <row r="172">
      <c r="A172" s="699"/>
      <c r="B172" s="1022"/>
      <c r="C172" s="1023" t="s">
        <v>5867</v>
      </c>
      <c r="D172" s="1022">
        <v>12.0</v>
      </c>
      <c r="E172" s="1025"/>
      <c r="F172" s="1023"/>
      <c r="G172" s="1028" t="s">
        <v>904</v>
      </c>
      <c r="H172" s="1029" t="s">
        <v>984</v>
      </c>
      <c r="I172" s="1029" t="s">
        <v>985</v>
      </c>
      <c r="J172" s="1029" t="s">
        <v>986</v>
      </c>
      <c r="K172" s="1029"/>
      <c r="L172" s="1096"/>
      <c r="M172" s="1032"/>
      <c r="N172" s="1033"/>
      <c r="O172" s="699"/>
      <c r="P172" s="699"/>
      <c r="Q172" s="699"/>
    </row>
    <row r="173">
      <c r="A173" s="699"/>
      <c r="B173" s="1022"/>
      <c r="C173" s="1023" t="s">
        <v>6708</v>
      </c>
      <c r="D173" s="1022">
        <v>10.0</v>
      </c>
      <c r="E173" s="1025"/>
      <c r="F173" s="1023"/>
      <c r="G173" s="1028" t="s">
        <v>904</v>
      </c>
      <c r="H173" s="1029" t="s">
        <v>969</v>
      </c>
      <c r="I173" s="1029" t="s">
        <v>317</v>
      </c>
      <c r="J173" s="1029" t="s">
        <v>970</v>
      </c>
      <c r="K173" s="1029"/>
      <c r="L173" s="1096"/>
      <c r="M173" s="1032"/>
      <c r="N173" s="1033"/>
      <c r="O173" s="699"/>
      <c r="P173" s="699"/>
      <c r="Q173" s="699"/>
    </row>
    <row r="174">
      <c r="A174" s="699"/>
      <c r="B174" s="1022"/>
      <c r="C174" s="1023" t="s">
        <v>6222</v>
      </c>
      <c r="D174" s="1022">
        <v>19.0</v>
      </c>
      <c r="E174" s="1025"/>
      <c r="F174" s="1023"/>
      <c r="G174" s="1028" t="s">
        <v>904</v>
      </c>
      <c r="H174" s="1029" t="s">
        <v>1034</v>
      </c>
      <c r="I174" s="1029" t="s">
        <v>559</v>
      </c>
      <c r="J174" s="1029" t="s">
        <v>1035</v>
      </c>
      <c r="K174" s="1029"/>
      <c r="L174" s="1096"/>
      <c r="M174" s="1032"/>
      <c r="N174" s="1033"/>
      <c r="O174" s="699"/>
      <c r="P174" s="699"/>
      <c r="Q174" s="699"/>
    </row>
    <row r="175">
      <c r="A175" s="699"/>
      <c r="B175" s="1022"/>
      <c r="C175" s="1023" t="s">
        <v>6664</v>
      </c>
      <c r="D175" s="1022">
        <v>19.0</v>
      </c>
      <c r="E175" s="1025"/>
      <c r="F175" s="1023"/>
      <c r="G175" s="1028" t="s">
        <v>904</v>
      </c>
      <c r="H175" s="1029" t="s">
        <v>1034</v>
      </c>
      <c r="I175" s="1029" t="s">
        <v>559</v>
      </c>
      <c r="J175" s="1029" t="s">
        <v>1035</v>
      </c>
      <c r="K175" s="1029"/>
      <c r="L175" s="1096"/>
      <c r="M175" s="1032"/>
      <c r="N175" s="1033"/>
      <c r="O175" s="699"/>
      <c r="P175" s="699"/>
      <c r="Q175" s="699"/>
    </row>
    <row r="176">
      <c r="A176" s="699"/>
      <c r="B176" s="1022"/>
      <c r="C176" s="1023" t="s">
        <v>6717</v>
      </c>
      <c r="D176" s="1022">
        <v>10.0</v>
      </c>
      <c r="E176" s="1025"/>
      <c r="F176" s="1023"/>
      <c r="G176" s="1028" t="s">
        <v>904</v>
      </c>
      <c r="H176" s="1029" t="s">
        <v>969</v>
      </c>
      <c r="I176" s="1029" t="s">
        <v>317</v>
      </c>
      <c r="J176" s="1029" t="s">
        <v>970</v>
      </c>
      <c r="K176" s="1029"/>
      <c r="L176" s="1096"/>
      <c r="M176" s="1032"/>
      <c r="N176" s="1033"/>
      <c r="O176" s="699"/>
      <c r="P176" s="699"/>
      <c r="Q176" s="699"/>
    </row>
    <row r="177">
      <c r="A177" s="699"/>
      <c r="B177" s="1022"/>
      <c r="C177" s="1023" t="s">
        <v>6720</v>
      </c>
      <c r="D177" s="1022">
        <v>8.0</v>
      </c>
      <c r="E177" s="1025"/>
      <c r="F177" s="1023"/>
      <c r="G177" s="1028" t="s">
        <v>904</v>
      </c>
      <c r="H177" s="1029" t="s">
        <v>960</v>
      </c>
      <c r="I177" s="1029" t="s">
        <v>376</v>
      </c>
      <c r="J177" s="1029" t="s">
        <v>500</v>
      </c>
      <c r="K177" s="1029"/>
      <c r="L177" s="1096"/>
      <c r="M177" s="1032"/>
      <c r="N177" s="1033"/>
      <c r="O177" s="699"/>
      <c r="P177" s="699"/>
      <c r="Q177" s="699"/>
    </row>
    <row r="178">
      <c r="A178" s="699"/>
      <c r="B178" s="1022"/>
      <c r="C178" s="1023" t="s">
        <v>6723</v>
      </c>
      <c r="D178" s="1022">
        <v>9.0</v>
      </c>
      <c r="E178" s="1025"/>
      <c r="F178" s="1023"/>
      <c r="G178" s="1028" t="s">
        <v>904</v>
      </c>
      <c r="H178" s="1029" t="s">
        <v>964</v>
      </c>
      <c r="I178" s="1029" t="s">
        <v>965</v>
      </c>
      <c r="J178" s="1029" t="s">
        <v>966</v>
      </c>
      <c r="K178" s="1029"/>
      <c r="L178" s="1096"/>
      <c r="M178" s="1032"/>
      <c r="N178" s="1033"/>
      <c r="O178" s="699"/>
      <c r="P178" s="699"/>
      <c r="Q178" s="699"/>
    </row>
    <row r="179">
      <c r="A179" s="699"/>
      <c r="B179" s="1022"/>
      <c r="C179" s="1023" t="s">
        <v>180</v>
      </c>
      <c r="D179" s="1022">
        <v>6.0</v>
      </c>
      <c r="E179" s="1025"/>
      <c r="F179" s="1023"/>
      <c r="G179" s="1028" t="s">
        <v>904</v>
      </c>
      <c r="H179" s="1029" t="s">
        <v>947</v>
      </c>
      <c r="I179" s="1029" t="s">
        <v>213</v>
      </c>
      <c r="J179" s="1029" t="s">
        <v>948</v>
      </c>
      <c r="K179" s="1029"/>
      <c r="L179" s="1096"/>
      <c r="M179" s="1032"/>
      <c r="N179" s="1033"/>
      <c r="O179" s="699"/>
      <c r="P179" s="699"/>
      <c r="Q179" s="699"/>
    </row>
    <row r="180">
      <c r="A180" s="699"/>
      <c r="B180" s="1022"/>
      <c r="C180" s="1023" t="s">
        <v>6628</v>
      </c>
      <c r="D180" s="1022">
        <v>19.0</v>
      </c>
      <c r="E180" s="1025"/>
      <c r="F180" s="1023"/>
      <c r="G180" s="1028" t="s">
        <v>904</v>
      </c>
      <c r="H180" s="1029" t="s">
        <v>1034</v>
      </c>
      <c r="I180" s="1029" t="s">
        <v>559</v>
      </c>
      <c r="J180" s="1029" t="s">
        <v>1035</v>
      </c>
      <c r="K180" s="1029"/>
      <c r="L180" s="1096"/>
      <c r="M180" s="1032"/>
      <c r="N180" s="1033"/>
      <c r="O180" s="699"/>
      <c r="P180" s="699"/>
      <c r="Q180" s="699"/>
    </row>
    <row r="181">
      <c r="A181" s="699"/>
      <c r="B181" s="1022"/>
      <c r="C181" s="1023" t="s">
        <v>6610</v>
      </c>
      <c r="D181" s="1022">
        <v>19.0</v>
      </c>
      <c r="E181" s="1025"/>
      <c r="F181" s="1023"/>
      <c r="G181" s="1028" t="s">
        <v>904</v>
      </c>
      <c r="H181" s="1029" t="s">
        <v>1034</v>
      </c>
      <c r="I181" s="1029" t="s">
        <v>559</v>
      </c>
      <c r="J181" s="1029" t="s">
        <v>1035</v>
      </c>
      <c r="K181" s="1029"/>
      <c r="L181" s="1096"/>
      <c r="M181" s="1032"/>
      <c r="N181" s="1033"/>
      <c r="O181" s="699"/>
      <c r="P181" s="699"/>
      <c r="Q181" s="699"/>
    </row>
    <row r="182">
      <c r="A182" s="699"/>
      <c r="B182" s="1022"/>
      <c r="C182" s="1023" t="s">
        <v>6706</v>
      </c>
      <c r="D182" s="1022">
        <v>9.0</v>
      </c>
      <c r="E182" s="1025"/>
      <c r="F182" s="1023"/>
      <c r="G182" s="1028" t="s">
        <v>904</v>
      </c>
      <c r="H182" s="1029" t="s">
        <v>964</v>
      </c>
      <c r="I182" s="1029" t="s">
        <v>965</v>
      </c>
      <c r="J182" s="1029" t="s">
        <v>966</v>
      </c>
      <c r="K182" s="1029"/>
      <c r="L182" s="1096"/>
      <c r="M182" s="1032"/>
      <c r="N182" s="1033"/>
      <c r="O182" s="699"/>
      <c r="P182" s="699"/>
      <c r="Q182" s="699"/>
    </row>
    <row r="183">
      <c r="A183" s="699"/>
      <c r="B183" s="1022"/>
      <c r="C183" s="1023" t="s">
        <v>6600</v>
      </c>
      <c r="D183" s="1022">
        <v>9.0</v>
      </c>
      <c r="E183" s="1025"/>
      <c r="F183" s="1023"/>
      <c r="G183" s="1028" t="s">
        <v>904</v>
      </c>
      <c r="H183" s="1029" t="s">
        <v>964</v>
      </c>
      <c r="I183" s="1029" t="s">
        <v>965</v>
      </c>
      <c r="J183" s="1029" t="s">
        <v>966</v>
      </c>
      <c r="K183" s="1029"/>
      <c r="L183" s="1096"/>
      <c r="M183" s="1032"/>
      <c r="N183" s="1033"/>
      <c r="O183" s="699"/>
      <c r="P183" s="699"/>
      <c r="Q183" s="699"/>
    </row>
    <row r="184">
      <c r="A184" s="699"/>
      <c r="B184" s="1022"/>
      <c r="C184" s="1023" t="s">
        <v>6579</v>
      </c>
      <c r="D184" s="1022">
        <v>19.0</v>
      </c>
      <c r="E184" s="1025"/>
      <c r="F184" s="1023"/>
      <c r="G184" s="1028" t="s">
        <v>904</v>
      </c>
      <c r="H184" s="1029" t="s">
        <v>1034</v>
      </c>
      <c r="I184" s="1029" t="s">
        <v>559</v>
      </c>
      <c r="J184" s="1029" t="s">
        <v>1035</v>
      </c>
      <c r="K184" s="1029"/>
      <c r="L184" s="1096"/>
      <c r="M184" s="1032"/>
      <c r="N184" s="1033"/>
      <c r="O184" s="699"/>
      <c r="P184" s="699"/>
      <c r="Q184" s="699"/>
    </row>
    <row r="185">
      <c r="A185" s="699"/>
      <c r="B185" s="1022"/>
      <c r="C185" s="1023" t="s">
        <v>182</v>
      </c>
      <c r="D185" s="1022">
        <v>7.0</v>
      </c>
      <c r="E185" s="1025"/>
      <c r="F185" s="1023"/>
      <c r="G185" s="1028" t="s">
        <v>904</v>
      </c>
      <c r="H185" s="1029" t="s">
        <v>953</v>
      </c>
      <c r="I185" s="1029" t="s">
        <v>213</v>
      </c>
      <c r="J185" s="1029" t="s">
        <v>954</v>
      </c>
      <c r="K185" s="1029"/>
      <c r="L185" s="1096"/>
      <c r="M185" s="1032"/>
      <c r="N185" s="1033"/>
      <c r="O185" s="699"/>
      <c r="P185" s="699"/>
      <c r="Q185" s="699"/>
    </row>
    <row r="186">
      <c r="A186" s="699"/>
      <c r="B186" s="1022"/>
      <c r="C186" s="1023" t="s">
        <v>6529</v>
      </c>
      <c r="D186" s="1022">
        <v>19.0</v>
      </c>
      <c r="E186" s="1025"/>
      <c r="F186" s="1023"/>
      <c r="G186" s="1028" t="s">
        <v>904</v>
      </c>
      <c r="H186" s="1029" t="s">
        <v>1034</v>
      </c>
      <c r="I186" s="1029" t="s">
        <v>559</v>
      </c>
      <c r="J186" s="1029" t="s">
        <v>1035</v>
      </c>
      <c r="K186" s="1029"/>
      <c r="L186" s="1096"/>
      <c r="M186" s="1032"/>
      <c r="N186" s="1033"/>
      <c r="O186" s="699"/>
      <c r="P186" s="699"/>
      <c r="Q186" s="699"/>
    </row>
    <row r="187">
      <c r="A187" s="699"/>
      <c r="B187" s="1022"/>
      <c r="C187" s="1023" t="s">
        <v>6768</v>
      </c>
      <c r="D187" s="1022">
        <v>19.0</v>
      </c>
      <c r="E187" s="1025"/>
      <c r="F187" s="1023"/>
      <c r="G187" s="1028" t="s">
        <v>904</v>
      </c>
      <c r="H187" s="1029" t="s">
        <v>1034</v>
      </c>
      <c r="I187" s="1029" t="s">
        <v>559</v>
      </c>
      <c r="J187" s="1029" t="s">
        <v>1035</v>
      </c>
      <c r="K187" s="1029"/>
      <c r="L187" s="1096"/>
      <c r="M187" s="1032"/>
      <c r="N187" s="1033"/>
      <c r="O187" s="699"/>
      <c r="P187" s="699"/>
      <c r="Q187" s="699"/>
    </row>
    <row r="188">
      <c r="A188" s="699"/>
      <c r="B188" s="1022"/>
      <c r="C188" s="1023" t="s">
        <v>6489</v>
      </c>
      <c r="D188" s="1022">
        <v>19.0</v>
      </c>
      <c r="E188" s="1025"/>
      <c r="F188" s="1023"/>
      <c r="G188" s="1028" t="s">
        <v>904</v>
      </c>
      <c r="H188" s="1029" t="s">
        <v>1034</v>
      </c>
      <c r="I188" s="1029" t="s">
        <v>559</v>
      </c>
      <c r="J188" s="1029" t="s">
        <v>1035</v>
      </c>
      <c r="K188" s="1029"/>
      <c r="L188" s="1096"/>
      <c r="M188" s="1032"/>
      <c r="N188" s="1033"/>
      <c r="O188" s="699"/>
      <c r="P188" s="699"/>
      <c r="Q188" s="699"/>
    </row>
    <row r="189">
      <c r="A189" s="699"/>
      <c r="B189" s="1022"/>
      <c r="C189" s="1023" t="s">
        <v>6386</v>
      </c>
      <c r="D189" s="1022">
        <v>19.0</v>
      </c>
      <c r="E189" s="1025"/>
      <c r="F189" s="1023"/>
      <c r="G189" s="1028" t="s">
        <v>904</v>
      </c>
      <c r="H189" s="1029" t="s">
        <v>1034</v>
      </c>
      <c r="I189" s="1029" t="s">
        <v>559</v>
      </c>
      <c r="J189" s="1029" t="s">
        <v>1035</v>
      </c>
      <c r="K189" s="1029"/>
      <c r="L189" s="1096"/>
      <c r="M189" s="1032"/>
      <c r="N189" s="1033"/>
      <c r="O189" s="699"/>
      <c r="P189" s="699"/>
      <c r="Q189" s="699"/>
    </row>
    <row r="190">
      <c r="A190" s="699"/>
      <c r="B190" s="1022"/>
      <c r="C190" s="1023" t="s">
        <v>6376</v>
      </c>
      <c r="D190" s="1022">
        <v>19.0</v>
      </c>
      <c r="E190" s="1025"/>
      <c r="F190" s="1023"/>
      <c r="G190" s="1028" t="s">
        <v>904</v>
      </c>
      <c r="H190" s="1029" t="s">
        <v>1034</v>
      </c>
      <c r="I190" s="1029" t="s">
        <v>559</v>
      </c>
      <c r="J190" s="1029" t="s">
        <v>1035</v>
      </c>
      <c r="K190" s="1029"/>
      <c r="L190" s="1096"/>
      <c r="M190" s="1032"/>
      <c r="N190" s="1033"/>
      <c r="O190" s="699"/>
      <c r="P190" s="699"/>
      <c r="Q190" s="699"/>
    </row>
    <row r="191">
      <c r="A191" s="699"/>
      <c r="B191" s="1022"/>
      <c r="C191" s="1023" t="s">
        <v>201</v>
      </c>
      <c r="D191" s="1022">
        <v>20.0</v>
      </c>
      <c r="E191" s="1025"/>
      <c r="F191" s="1023"/>
      <c r="G191" s="1028" t="s">
        <v>904</v>
      </c>
      <c r="H191" s="1029" t="s">
        <v>1046</v>
      </c>
      <c r="I191" s="1029" t="s">
        <v>1047</v>
      </c>
      <c r="J191" s="1029" t="s">
        <v>1048</v>
      </c>
      <c r="K191" s="1029"/>
      <c r="L191" s="1096"/>
      <c r="M191" s="1032"/>
      <c r="N191" s="1033"/>
      <c r="O191" s="699"/>
      <c r="P191" s="699"/>
      <c r="Q191" s="699"/>
    </row>
    <row r="192">
      <c r="A192" s="699"/>
      <c r="B192" s="1022"/>
      <c r="C192" s="1023" t="s">
        <v>6793</v>
      </c>
      <c r="D192" s="1022">
        <v>20.0</v>
      </c>
      <c r="E192" s="1025"/>
      <c r="F192" s="1023"/>
      <c r="G192" s="1028" t="s">
        <v>904</v>
      </c>
      <c r="H192" s="1029" t="s">
        <v>6795</v>
      </c>
      <c r="I192" s="1029" t="s">
        <v>6796</v>
      </c>
      <c r="J192" s="1029" t="s">
        <v>2065</v>
      </c>
      <c r="K192" s="1029"/>
      <c r="L192" s="1096"/>
      <c r="M192" s="1032"/>
      <c r="N192" s="1033"/>
      <c r="O192" s="699"/>
      <c r="P192" s="699"/>
      <c r="Q192" s="699"/>
    </row>
    <row r="193">
      <c r="A193" s="699"/>
      <c r="B193" s="1022"/>
      <c r="C193" s="1023" t="s">
        <v>6469</v>
      </c>
      <c r="D193" s="1022">
        <v>20.0</v>
      </c>
      <c r="E193" s="1025"/>
      <c r="F193" s="1023"/>
      <c r="G193" s="1028" t="s">
        <v>904</v>
      </c>
      <c r="H193" s="1029" t="s">
        <v>6795</v>
      </c>
      <c r="I193" s="1029" t="s">
        <v>6796</v>
      </c>
      <c r="J193" s="1029" t="s">
        <v>2065</v>
      </c>
      <c r="K193" s="1029"/>
      <c r="L193" s="1096"/>
      <c r="M193" s="1032"/>
      <c r="N193" s="1033"/>
      <c r="O193" s="699"/>
      <c r="P193" s="699"/>
      <c r="Q193" s="699"/>
    </row>
    <row r="194">
      <c r="A194" s="699"/>
      <c r="B194" s="1022"/>
      <c r="C194" s="1023" t="s">
        <v>6353</v>
      </c>
      <c r="D194" s="1022">
        <v>20.0</v>
      </c>
      <c r="E194" s="1025"/>
      <c r="F194" s="1023"/>
      <c r="G194" s="1028" t="s">
        <v>904</v>
      </c>
      <c r="H194" s="1029" t="s">
        <v>6795</v>
      </c>
      <c r="I194" s="1029" t="s">
        <v>6796</v>
      </c>
      <c r="J194" s="1029" t="s">
        <v>2065</v>
      </c>
      <c r="K194" s="1029"/>
      <c r="L194" s="1096"/>
      <c r="M194" s="1032"/>
      <c r="N194" s="1033"/>
      <c r="O194" s="699"/>
      <c r="P194" s="699"/>
      <c r="Q194" s="699"/>
    </row>
    <row r="195">
      <c r="A195" s="699"/>
      <c r="B195" s="1022"/>
      <c r="C195" s="1023" t="s">
        <v>5889</v>
      </c>
      <c r="D195" s="1022">
        <v>20.0</v>
      </c>
      <c r="E195" s="1025"/>
      <c r="F195" s="1023"/>
      <c r="G195" s="1028" t="s">
        <v>904</v>
      </c>
      <c r="H195" s="1029" t="s">
        <v>6795</v>
      </c>
      <c r="I195" s="1029" t="s">
        <v>6796</v>
      </c>
      <c r="J195" s="1029" t="s">
        <v>2065</v>
      </c>
      <c r="K195" s="1029"/>
      <c r="L195" s="1096"/>
      <c r="M195" s="1032"/>
      <c r="N195" s="1033"/>
      <c r="O195" s="699"/>
      <c r="P195" s="699"/>
      <c r="Q195" s="699"/>
    </row>
    <row r="196">
      <c r="A196" s="699"/>
      <c r="B196" s="1022"/>
      <c r="C196" s="1023" t="s">
        <v>5885</v>
      </c>
      <c r="D196" s="1022">
        <v>20.0</v>
      </c>
      <c r="E196" s="1025"/>
      <c r="F196" s="1023"/>
      <c r="G196" s="1028" t="s">
        <v>904</v>
      </c>
      <c r="H196" s="1029" t="s">
        <v>6795</v>
      </c>
      <c r="I196" s="1029" t="s">
        <v>6796</v>
      </c>
      <c r="J196" s="1029" t="s">
        <v>2065</v>
      </c>
      <c r="K196" s="1029"/>
      <c r="L196" s="1096"/>
      <c r="M196" s="1032"/>
      <c r="N196" s="1033"/>
      <c r="O196" s="699"/>
      <c r="P196" s="699"/>
      <c r="Q196" s="699"/>
    </row>
    <row r="197">
      <c r="A197" s="699"/>
      <c r="B197" s="1022"/>
      <c r="C197" s="1023" t="s">
        <v>6185</v>
      </c>
      <c r="D197" s="1022">
        <v>20.0</v>
      </c>
      <c r="E197" s="1025"/>
      <c r="F197" s="1023"/>
      <c r="G197" s="1028" t="s">
        <v>904</v>
      </c>
      <c r="H197" s="1029" t="s">
        <v>6795</v>
      </c>
      <c r="I197" s="1029" t="s">
        <v>6796</v>
      </c>
      <c r="J197" s="1029" t="s">
        <v>2065</v>
      </c>
      <c r="K197" s="1029"/>
      <c r="L197" s="1096"/>
      <c r="M197" s="1032"/>
      <c r="N197" s="1033"/>
      <c r="O197" s="699"/>
      <c r="P197" s="699"/>
      <c r="Q197" s="699"/>
    </row>
    <row r="198">
      <c r="A198" s="699"/>
      <c r="B198" s="1022"/>
      <c r="C198" s="1023" t="s">
        <v>6817</v>
      </c>
      <c r="D198" s="1022">
        <v>20.0</v>
      </c>
      <c r="E198" s="1025"/>
      <c r="F198" s="1023"/>
      <c r="G198" s="1028" t="s">
        <v>904</v>
      </c>
      <c r="H198" s="1029" t="s">
        <v>6795</v>
      </c>
      <c r="I198" s="1029" t="s">
        <v>6796</v>
      </c>
      <c r="J198" s="1029" t="s">
        <v>2065</v>
      </c>
      <c r="K198" s="1029"/>
      <c r="L198" s="1096"/>
      <c r="M198" s="1032"/>
      <c r="N198" s="1033"/>
      <c r="O198" s="699"/>
      <c r="P198" s="699"/>
      <c r="Q198" s="699"/>
    </row>
    <row r="199">
      <c r="A199" s="699"/>
      <c r="B199" s="1022"/>
      <c r="C199" s="1023" t="s">
        <v>202</v>
      </c>
      <c r="D199" s="1022">
        <v>21.0</v>
      </c>
      <c r="E199" s="1025"/>
      <c r="F199" s="1023"/>
      <c r="G199" s="1028" t="s">
        <v>904</v>
      </c>
      <c r="H199" s="1029" t="s">
        <v>1060</v>
      </c>
      <c r="I199" s="1029" t="s">
        <v>1061</v>
      </c>
      <c r="J199" s="1029" t="s">
        <v>6820</v>
      </c>
      <c r="K199" s="1029"/>
      <c r="L199" s="1096"/>
      <c r="M199" s="1032"/>
      <c r="N199" s="1033"/>
      <c r="O199" s="699"/>
      <c r="P199" s="699"/>
      <c r="Q199" s="699"/>
    </row>
    <row r="200">
      <c r="A200" s="699"/>
      <c r="B200" s="1022"/>
      <c r="C200" s="1023" t="s">
        <v>6190</v>
      </c>
      <c r="D200" s="1022">
        <v>21.0</v>
      </c>
      <c r="E200" s="1025"/>
      <c r="F200" s="1023"/>
      <c r="G200" s="1028" t="s">
        <v>904</v>
      </c>
      <c r="H200" s="1029" t="s">
        <v>6823</v>
      </c>
      <c r="I200" s="1029" t="s">
        <v>6824</v>
      </c>
      <c r="J200" s="1029" t="s">
        <v>6820</v>
      </c>
      <c r="K200" s="1029"/>
      <c r="L200" s="1096"/>
      <c r="M200" s="1032"/>
      <c r="N200" s="1033"/>
      <c r="O200" s="699"/>
      <c r="P200" s="699"/>
      <c r="Q200" s="699"/>
    </row>
    <row r="201">
      <c r="A201" s="699"/>
      <c r="B201" s="1022"/>
      <c r="C201" s="1023" t="s">
        <v>6566</v>
      </c>
      <c r="D201" s="1022">
        <v>21.0</v>
      </c>
      <c r="E201" s="1025"/>
      <c r="F201" s="1023"/>
      <c r="G201" s="1028" t="s">
        <v>904</v>
      </c>
      <c r="H201" s="1029" t="s">
        <v>6823</v>
      </c>
      <c r="I201" s="1029" t="s">
        <v>6824</v>
      </c>
      <c r="J201" s="1029" t="s">
        <v>6820</v>
      </c>
      <c r="K201" s="1029"/>
      <c r="L201" s="1096"/>
      <c r="M201" s="1032"/>
      <c r="N201" s="1033"/>
      <c r="O201" s="699"/>
      <c r="P201" s="699"/>
      <c r="Q201" s="699"/>
    </row>
    <row r="202">
      <c r="A202" s="699"/>
      <c r="B202" s="1022"/>
      <c r="C202" s="1023" t="s">
        <v>6564</v>
      </c>
      <c r="D202" s="1022">
        <v>21.0</v>
      </c>
      <c r="E202" s="1025"/>
      <c r="F202" s="1023"/>
      <c r="G202" s="1028" t="s">
        <v>904</v>
      </c>
      <c r="H202" s="1029" t="s">
        <v>6823</v>
      </c>
      <c r="I202" s="1029" t="s">
        <v>6824</v>
      </c>
      <c r="J202" s="1029" t="s">
        <v>6820</v>
      </c>
      <c r="K202" s="1029"/>
      <c r="L202" s="1096"/>
      <c r="M202" s="1032"/>
      <c r="N202" s="1033"/>
      <c r="O202" s="699"/>
      <c r="P202" s="699"/>
      <c r="Q202" s="699"/>
    </row>
    <row r="203">
      <c r="A203" s="699"/>
      <c r="B203" s="1022"/>
      <c r="C203" s="1023" t="s">
        <v>6496</v>
      </c>
      <c r="D203" s="1022">
        <v>21.0</v>
      </c>
      <c r="E203" s="1025"/>
      <c r="F203" s="1023"/>
      <c r="G203" s="1028" t="s">
        <v>904</v>
      </c>
      <c r="H203" s="1029" t="s">
        <v>6823</v>
      </c>
      <c r="I203" s="1029" t="s">
        <v>6824</v>
      </c>
      <c r="J203" s="1029" t="s">
        <v>6820</v>
      </c>
      <c r="K203" s="1029"/>
      <c r="L203" s="1096"/>
      <c r="M203" s="1032"/>
      <c r="N203" s="1033"/>
      <c r="O203" s="699"/>
      <c r="P203" s="699"/>
      <c r="Q203" s="699"/>
    </row>
    <row r="204">
      <c r="A204" s="699"/>
      <c r="B204" s="1022"/>
      <c r="C204" s="1023" t="s">
        <v>6493</v>
      </c>
      <c r="D204" s="1022">
        <v>21.0</v>
      </c>
      <c r="E204" s="1025"/>
      <c r="F204" s="1023"/>
      <c r="G204" s="1028" t="s">
        <v>904</v>
      </c>
      <c r="H204" s="1029" t="s">
        <v>6823</v>
      </c>
      <c r="I204" s="1029" t="s">
        <v>6824</v>
      </c>
      <c r="J204" s="1029" t="s">
        <v>6820</v>
      </c>
      <c r="K204" s="1029"/>
      <c r="L204" s="1096"/>
      <c r="M204" s="1032"/>
      <c r="N204" s="1033"/>
      <c r="O204" s="699"/>
      <c r="P204" s="699"/>
      <c r="Q204" s="699"/>
    </row>
    <row r="205">
      <c r="A205" s="699"/>
      <c r="B205" s="1022"/>
      <c r="C205" s="1023" t="s">
        <v>6262</v>
      </c>
      <c r="D205" s="1022">
        <v>21.0</v>
      </c>
      <c r="E205" s="1025"/>
      <c r="F205" s="1023"/>
      <c r="G205" s="1028" t="s">
        <v>904</v>
      </c>
      <c r="H205" s="1029" t="s">
        <v>6823</v>
      </c>
      <c r="I205" s="1029" t="s">
        <v>6824</v>
      </c>
      <c r="J205" s="1029" t="s">
        <v>6820</v>
      </c>
      <c r="K205" s="1029"/>
      <c r="L205" s="1096"/>
      <c r="M205" s="1032"/>
      <c r="N205" s="1033"/>
      <c r="O205" s="699"/>
      <c r="P205" s="699"/>
      <c r="Q205" s="699"/>
    </row>
    <row r="206">
      <c r="A206" s="699"/>
      <c r="B206" s="1022"/>
      <c r="C206" s="1023" t="s">
        <v>203</v>
      </c>
      <c r="D206" s="1022">
        <v>22.0</v>
      </c>
      <c r="E206" s="1025"/>
      <c r="F206" s="1023"/>
      <c r="G206" s="1028" t="s">
        <v>904</v>
      </c>
      <c r="H206" s="1029" t="s">
        <v>1069</v>
      </c>
      <c r="I206" s="1029" t="s">
        <v>1070</v>
      </c>
      <c r="J206" s="1029" t="s">
        <v>292</v>
      </c>
      <c r="K206" s="1029"/>
      <c r="L206" s="1096"/>
      <c r="M206" s="1032"/>
      <c r="N206" s="1033"/>
      <c r="O206" s="699"/>
      <c r="P206" s="699"/>
      <c r="Q206" s="699"/>
    </row>
    <row r="207">
      <c r="A207" s="699"/>
      <c r="B207" s="1022"/>
      <c r="C207" s="1023" t="s">
        <v>204</v>
      </c>
      <c r="D207" s="1022">
        <v>23.0</v>
      </c>
      <c r="E207" s="1025"/>
      <c r="F207" s="1023"/>
      <c r="G207" s="1028" t="s">
        <v>904</v>
      </c>
      <c r="H207" s="1029" t="s">
        <v>388</v>
      </c>
      <c r="I207" s="1029" t="s">
        <v>181</v>
      </c>
      <c r="J207" s="1029" t="s">
        <v>390</v>
      </c>
      <c r="K207" s="1029"/>
      <c r="L207" s="1096"/>
      <c r="M207" s="1032"/>
      <c r="N207" s="1033"/>
      <c r="O207" s="699"/>
      <c r="P207" s="699"/>
      <c r="Q207" s="699"/>
    </row>
    <row r="208">
      <c r="A208" s="699"/>
      <c r="B208" s="1022"/>
      <c r="C208" s="1023" t="s">
        <v>205</v>
      </c>
      <c r="D208" s="1022">
        <v>24.0</v>
      </c>
      <c r="E208" s="1025"/>
      <c r="F208" s="1023"/>
      <c r="G208" s="1028" t="s">
        <v>904</v>
      </c>
      <c r="H208" s="1029" t="s">
        <v>1082</v>
      </c>
      <c r="I208" s="1029" t="s">
        <v>181</v>
      </c>
      <c r="J208" s="1029" t="s">
        <v>270</v>
      </c>
      <c r="K208" s="1029"/>
      <c r="L208" s="1096"/>
      <c r="M208" s="1032"/>
      <c r="N208" s="1033"/>
      <c r="O208" s="699"/>
      <c r="P208" s="699"/>
      <c r="Q208" s="699"/>
    </row>
    <row r="209">
      <c r="A209" s="699"/>
      <c r="B209" s="1022"/>
      <c r="C209" s="1023" t="s">
        <v>6510</v>
      </c>
      <c r="D209" s="1022">
        <v>24.0</v>
      </c>
      <c r="E209" s="1025"/>
      <c r="F209" s="1023"/>
      <c r="G209" s="1028" t="s">
        <v>904</v>
      </c>
      <c r="H209" s="1029" t="s">
        <v>1082</v>
      </c>
      <c r="I209" s="1029" t="s">
        <v>181</v>
      </c>
      <c r="J209" s="1029" t="s">
        <v>270</v>
      </c>
      <c r="K209" s="1029"/>
      <c r="L209" s="1096"/>
      <c r="M209" s="1032"/>
      <c r="N209" s="1033"/>
      <c r="O209" s="699"/>
      <c r="P209" s="699"/>
      <c r="Q209" s="699"/>
    </row>
    <row r="210">
      <c r="A210" s="699"/>
      <c r="B210" s="1022"/>
      <c r="C210" s="1023" t="s">
        <v>6477</v>
      </c>
      <c r="D210" s="1022">
        <v>24.0</v>
      </c>
      <c r="E210" s="1025"/>
      <c r="F210" s="1023"/>
      <c r="G210" s="1028" t="s">
        <v>904</v>
      </c>
      <c r="H210" s="1029" t="s">
        <v>1082</v>
      </c>
      <c r="I210" s="1029" t="s">
        <v>181</v>
      </c>
      <c r="J210" s="1029" t="s">
        <v>270</v>
      </c>
      <c r="K210" s="1029"/>
      <c r="L210" s="1096"/>
      <c r="M210" s="1032"/>
      <c r="N210" s="1033"/>
      <c r="O210" s="699"/>
      <c r="P210" s="699"/>
      <c r="Q210" s="699"/>
    </row>
    <row r="211">
      <c r="A211" s="699"/>
      <c r="B211" s="1022"/>
      <c r="C211" s="1023" t="s">
        <v>6390</v>
      </c>
      <c r="D211" s="1022">
        <v>24.0</v>
      </c>
      <c r="E211" s="1025"/>
      <c r="F211" s="1023"/>
      <c r="G211" s="1028" t="s">
        <v>904</v>
      </c>
      <c r="H211" s="1029" t="s">
        <v>1082</v>
      </c>
      <c r="I211" s="1029" t="s">
        <v>181</v>
      </c>
      <c r="J211" s="1029" t="s">
        <v>270</v>
      </c>
      <c r="K211" s="1029"/>
      <c r="L211" s="1096"/>
      <c r="M211" s="1032"/>
      <c r="N211" s="1033"/>
      <c r="O211" s="699"/>
      <c r="P211" s="699"/>
      <c r="Q211" s="699"/>
    </row>
    <row r="212">
      <c r="A212" s="699"/>
      <c r="B212" s="1022"/>
      <c r="C212" s="1023" t="s">
        <v>206</v>
      </c>
      <c r="D212" s="1022">
        <v>25.0</v>
      </c>
      <c r="E212" s="1025"/>
      <c r="F212" s="1023"/>
      <c r="G212" s="1028" t="s">
        <v>904</v>
      </c>
      <c r="H212" s="1029" t="s">
        <v>1091</v>
      </c>
      <c r="I212" s="1029" t="s">
        <v>6841</v>
      </c>
      <c r="J212" s="1029" t="s">
        <v>1093</v>
      </c>
      <c r="K212" s="1029"/>
      <c r="L212" s="1096"/>
      <c r="M212" s="1032"/>
      <c r="N212" s="1033"/>
      <c r="O212" s="699"/>
      <c r="P212" s="699"/>
      <c r="Q212" s="699"/>
    </row>
    <row r="213">
      <c r="A213" s="699"/>
      <c r="B213" s="1022"/>
      <c r="C213" s="1023" t="s">
        <v>6454</v>
      </c>
      <c r="D213" s="1022">
        <v>25.0</v>
      </c>
      <c r="E213" s="1025"/>
      <c r="F213" s="1023"/>
      <c r="G213" s="1028" t="s">
        <v>904</v>
      </c>
      <c r="H213" s="1029" t="s">
        <v>1091</v>
      </c>
      <c r="I213" s="1029" t="s">
        <v>6841</v>
      </c>
      <c r="J213" s="1029" t="s">
        <v>1093</v>
      </c>
      <c r="K213" s="1029"/>
      <c r="L213" s="1096"/>
      <c r="M213" s="1032"/>
      <c r="N213" s="1033"/>
      <c r="O213" s="699"/>
      <c r="P213" s="699"/>
      <c r="Q213" s="699"/>
    </row>
    <row r="214">
      <c r="A214" s="699"/>
      <c r="B214" s="1022"/>
      <c r="C214" s="1023" t="s">
        <v>6412</v>
      </c>
      <c r="D214" s="1022">
        <v>25.0</v>
      </c>
      <c r="E214" s="1025"/>
      <c r="F214" s="1023"/>
      <c r="G214" s="1028" t="s">
        <v>904</v>
      </c>
      <c r="H214" s="1029" t="s">
        <v>1091</v>
      </c>
      <c r="I214" s="1029" t="s">
        <v>6841</v>
      </c>
      <c r="J214" s="1029" t="s">
        <v>1093</v>
      </c>
      <c r="K214" s="1029"/>
      <c r="L214" s="1096"/>
      <c r="M214" s="1032"/>
      <c r="N214" s="1033"/>
      <c r="O214" s="699"/>
      <c r="P214" s="699"/>
      <c r="Q214" s="699"/>
    </row>
    <row r="215">
      <c r="A215" s="699"/>
      <c r="B215" s="1022"/>
      <c r="C215" s="1023" t="s">
        <v>6408</v>
      </c>
      <c r="D215" s="1022">
        <v>25.0</v>
      </c>
      <c r="E215" s="1025"/>
      <c r="F215" s="1023"/>
      <c r="G215" s="1028" t="s">
        <v>904</v>
      </c>
      <c r="H215" s="1029" t="s">
        <v>1091</v>
      </c>
      <c r="I215" s="1029" t="s">
        <v>6841</v>
      </c>
      <c r="J215" s="1029" t="s">
        <v>1093</v>
      </c>
      <c r="K215" s="1029"/>
      <c r="L215" s="1096"/>
      <c r="M215" s="1032"/>
      <c r="N215" s="1033"/>
      <c r="O215" s="699"/>
      <c r="P215" s="699"/>
      <c r="Q215" s="699"/>
    </row>
    <row r="216">
      <c r="A216" s="699"/>
      <c r="B216" s="1022"/>
      <c r="C216" s="1023" t="s">
        <v>6403</v>
      </c>
      <c r="D216" s="1022">
        <v>25.0</v>
      </c>
      <c r="E216" s="1025"/>
      <c r="F216" s="1023"/>
      <c r="G216" s="1028" t="s">
        <v>904</v>
      </c>
      <c r="H216" s="1029" t="s">
        <v>1091</v>
      </c>
      <c r="I216" s="1029" t="s">
        <v>6841</v>
      </c>
      <c r="J216" s="1029" t="s">
        <v>1093</v>
      </c>
      <c r="K216" s="1029"/>
      <c r="L216" s="1096"/>
      <c r="M216" s="1032"/>
      <c r="N216" s="1033"/>
      <c r="O216" s="699"/>
      <c r="P216" s="699"/>
      <c r="Q216" s="699"/>
    </row>
    <row r="217">
      <c r="A217" s="699"/>
      <c r="B217" s="1022"/>
      <c r="C217" s="1023" t="s">
        <v>6399</v>
      </c>
      <c r="D217" s="1022">
        <v>25.0</v>
      </c>
      <c r="E217" s="1025"/>
      <c r="F217" s="1023"/>
      <c r="G217" s="1028" t="s">
        <v>904</v>
      </c>
      <c r="H217" s="1029" t="s">
        <v>1091</v>
      </c>
      <c r="I217" s="1029" t="s">
        <v>6841</v>
      </c>
      <c r="J217" s="1029" t="s">
        <v>1093</v>
      </c>
      <c r="K217" s="1029"/>
      <c r="L217" s="1096"/>
      <c r="M217" s="1032"/>
      <c r="N217" s="1033"/>
      <c r="O217" s="699"/>
      <c r="P217" s="699"/>
      <c r="Q217" s="699"/>
    </row>
    <row r="218">
      <c r="A218" s="699"/>
      <c r="B218" s="1022"/>
      <c r="C218" s="1023" t="s">
        <v>207</v>
      </c>
      <c r="D218" s="1022">
        <v>26.0</v>
      </c>
      <c r="E218" s="1025"/>
      <c r="F218" s="1023"/>
      <c r="G218" s="1028" t="s">
        <v>904</v>
      </c>
      <c r="H218" s="1029" t="s">
        <v>1102</v>
      </c>
      <c r="I218" s="1029" t="s">
        <v>6850</v>
      </c>
      <c r="J218" s="1029" t="s">
        <v>1104</v>
      </c>
      <c r="K218" s="1029"/>
      <c r="L218" s="1096"/>
      <c r="M218" s="1032"/>
      <c r="N218" s="1033"/>
      <c r="O218" s="699"/>
      <c r="P218" s="699"/>
      <c r="Q218" s="699"/>
    </row>
    <row r="219">
      <c r="A219" s="699"/>
      <c r="B219" s="1022"/>
      <c r="C219" s="1023" t="s">
        <v>210</v>
      </c>
      <c r="D219" s="1022">
        <v>27.0</v>
      </c>
      <c r="E219" s="1025"/>
      <c r="F219" s="1023"/>
      <c r="G219" s="1028" t="s">
        <v>904</v>
      </c>
      <c r="H219" s="1029" t="s">
        <v>1113</v>
      </c>
      <c r="I219" s="1029" t="s">
        <v>6854</v>
      </c>
      <c r="J219" s="1029" t="s">
        <v>6855</v>
      </c>
      <c r="K219" s="1029"/>
      <c r="L219" s="1096"/>
      <c r="M219" s="1032"/>
      <c r="N219" s="1033"/>
      <c r="O219" s="699"/>
      <c r="P219" s="699"/>
      <c r="Q219" s="699"/>
    </row>
    <row r="220">
      <c r="A220" s="699"/>
      <c r="B220" s="1022"/>
      <c r="C220" s="1023" t="s">
        <v>211</v>
      </c>
      <c r="D220" s="1022">
        <v>28.0</v>
      </c>
      <c r="E220" s="1025"/>
      <c r="F220" s="1023"/>
      <c r="G220" s="1028" t="s">
        <v>904</v>
      </c>
      <c r="H220" s="1029" t="s">
        <v>1118</v>
      </c>
      <c r="I220" s="1029" t="s">
        <v>6857</v>
      </c>
      <c r="J220" s="1029" t="s">
        <v>994</v>
      </c>
      <c r="K220" s="1029"/>
      <c r="L220" s="1096"/>
      <c r="M220" s="1032"/>
      <c r="N220" s="1033"/>
      <c r="O220" s="699"/>
      <c r="P220" s="699"/>
      <c r="Q220" s="699"/>
    </row>
    <row r="221">
      <c r="A221" s="699"/>
      <c r="B221" s="1022"/>
      <c r="C221" s="1023" t="s">
        <v>214</v>
      </c>
      <c r="D221" s="1022">
        <v>29.0</v>
      </c>
      <c r="E221" s="1025"/>
      <c r="F221" s="1023"/>
      <c r="G221" s="1028" t="s">
        <v>904</v>
      </c>
      <c r="H221" s="1029" t="s">
        <v>1127</v>
      </c>
      <c r="I221" s="1029" t="s">
        <v>6861</v>
      </c>
      <c r="J221" s="1029" t="s">
        <v>1129</v>
      </c>
      <c r="K221" s="1029"/>
      <c r="L221" s="1096"/>
      <c r="M221" s="1032"/>
      <c r="N221" s="1033"/>
      <c r="O221" s="699"/>
      <c r="P221" s="699"/>
      <c r="Q221" s="699"/>
    </row>
    <row r="222">
      <c r="A222" s="699"/>
      <c r="B222" s="1022"/>
      <c r="C222" s="1023" t="s">
        <v>6865</v>
      </c>
      <c r="D222" s="1022">
        <v>29.0</v>
      </c>
      <c r="E222" s="1025"/>
      <c r="F222" s="1023"/>
      <c r="G222" s="1028" t="s">
        <v>904</v>
      </c>
      <c r="H222" s="1029" t="s">
        <v>1127</v>
      </c>
      <c r="I222" s="1029" t="s">
        <v>6861</v>
      </c>
      <c r="J222" s="1029" t="s">
        <v>1129</v>
      </c>
      <c r="K222" s="1029"/>
      <c r="L222" s="1096"/>
      <c r="M222" s="1032"/>
      <c r="N222" s="1033"/>
      <c r="O222" s="699"/>
      <c r="P222" s="699"/>
      <c r="Q222" s="699"/>
    </row>
    <row r="223">
      <c r="A223" s="699"/>
      <c r="B223" s="1022"/>
      <c r="C223" s="1023" t="s">
        <v>5668</v>
      </c>
      <c r="D223" s="1022">
        <v>29.0</v>
      </c>
      <c r="E223" s="1025"/>
      <c r="F223" s="1023"/>
      <c r="G223" s="1028" t="s">
        <v>904</v>
      </c>
      <c r="H223" s="1029" t="s">
        <v>1127</v>
      </c>
      <c r="I223" s="1029" t="s">
        <v>6861</v>
      </c>
      <c r="J223" s="1029" t="s">
        <v>1129</v>
      </c>
      <c r="K223" s="1029"/>
      <c r="L223" s="1096"/>
      <c r="M223" s="1032"/>
      <c r="N223" s="1033"/>
      <c r="O223" s="699"/>
      <c r="P223" s="699"/>
      <c r="Q223" s="699"/>
    </row>
    <row r="224">
      <c r="A224" s="699"/>
      <c r="B224" s="1022"/>
      <c r="C224" s="1023" t="s">
        <v>217</v>
      </c>
      <c r="D224" s="1022">
        <v>30.0</v>
      </c>
      <c r="E224" s="1025"/>
      <c r="F224" s="1023"/>
      <c r="G224" s="1028" t="s">
        <v>904</v>
      </c>
      <c r="H224" s="1029" t="s">
        <v>1138</v>
      </c>
      <c r="I224" s="1029" t="s">
        <v>559</v>
      </c>
      <c r="J224" s="1029" t="s">
        <v>1139</v>
      </c>
      <c r="K224" s="1029"/>
      <c r="L224" s="1096"/>
      <c r="M224" s="1032"/>
      <c r="N224" s="1033"/>
      <c r="O224" s="699"/>
      <c r="P224" s="699"/>
      <c r="Q224" s="699"/>
    </row>
    <row r="225">
      <c r="A225" s="699"/>
      <c r="B225" s="1022"/>
      <c r="C225" s="1023" t="s">
        <v>6242</v>
      </c>
      <c r="D225" s="1022">
        <v>9.0</v>
      </c>
      <c r="E225" s="1025"/>
      <c r="F225" s="1023"/>
      <c r="G225" s="1028" t="s">
        <v>904</v>
      </c>
      <c r="H225" s="1029" t="s">
        <v>6871</v>
      </c>
      <c r="I225" s="1029" t="s">
        <v>6699</v>
      </c>
      <c r="J225" s="1029" t="s">
        <v>6872</v>
      </c>
      <c r="K225" s="1029"/>
      <c r="L225" s="1096"/>
      <c r="M225" s="1032"/>
      <c r="N225" s="1033"/>
      <c r="O225" s="699"/>
      <c r="P225" s="699"/>
      <c r="Q225" s="699"/>
    </row>
    <row r="226">
      <c r="A226" s="699"/>
      <c r="B226" s="1022"/>
      <c r="C226" s="1023" t="s">
        <v>5862</v>
      </c>
      <c r="D226" s="1022">
        <v>9.0</v>
      </c>
      <c r="E226" s="1025"/>
      <c r="F226" s="1023"/>
      <c r="G226" s="1028" t="s">
        <v>904</v>
      </c>
      <c r="H226" s="1029" t="s">
        <v>6871</v>
      </c>
      <c r="I226" s="1029" t="s">
        <v>6699</v>
      </c>
      <c r="J226" s="1029" t="s">
        <v>6872</v>
      </c>
      <c r="K226" s="1029"/>
      <c r="L226" s="1096"/>
      <c r="M226" s="1032"/>
      <c r="N226" s="1033"/>
      <c r="O226" s="699"/>
      <c r="P226" s="699"/>
      <c r="Q226" s="699"/>
    </row>
    <row r="227">
      <c r="A227" s="699"/>
      <c r="B227" s="1022"/>
      <c r="C227" s="1023" t="s">
        <v>6080</v>
      </c>
      <c r="D227" s="1022">
        <v>9.0</v>
      </c>
      <c r="E227" s="1025"/>
      <c r="F227" s="1023"/>
      <c r="G227" s="1028" t="s">
        <v>904</v>
      </c>
      <c r="H227" s="1029" t="s">
        <v>6871</v>
      </c>
      <c r="I227" s="1029" t="s">
        <v>6699</v>
      </c>
      <c r="J227" s="1029" t="s">
        <v>6872</v>
      </c>
      <c r="K227" s="1029"/>
      <c r="L227" s="1096"/>
      <c r="M227" s="1032"/>
      <c r="N227" s="1033"/>
      <c r="O227" s="699"/>
      <c r="P227" s="699"/>
      <c r="Q227" s="699"/>
    </row>
    <row r="228" ht="15.75" customHeight="1">
      <c r="A228" s="699"/>
      <c r="B228" s="1022"/>
      <c r="C228" s="1023" t="s">
        <v>177</v>
      </c>
      <c r="D228" s="1022" t="s">
        <v>447</v>
      </c>
      <c r="E228" s="1025"/>
      <c r="F228" s="1023"/>
      <c r="G228" s="1028" t="s">
        <v>904</v>
      </c>
      <c r="H228" s="1029" t="s">
        <v>940</v>
      </c>
      <c r="I228" s="1029" t="s">
        <v>941</v>
      </c>
      <c r="J228" s="1029" t="s">
        <v>942</v>
      </c>
      <c r="K228" s="1029"/>
      <c r="L228" s="1096"/>
      <c r="M228" s="1032"/>
      <c r="N228" s="1033"/>
      <c r="O228" s="699"/>
      <c r="P228" s="699"/>
      <c r="Q228" s="699"/>
    </row>
    <row r="229" ht="15.75" customHeight="1">
      <c r="A229" s="699"/>
      <c r="B229" s="1022"/>
      <c r="C229" s="1023" t="s">
        <v>6873</v>
      </c>
      <c r="D229" s="1022" t="s">
        <v>447</v>
      </c>
      <c r="E229" s="1025"/>
      <c r="F229" s="1023"/>
      <c r="G229" s="1028" t="s">
        <v>904</v>
      </c>
      <c r="H229" s="1029" t="s">
        <v>6874</v>
      </c>
      <c r="I229" s="1029" t="s">
        <v>6875</v>
      </c>
      <c r="J229" s="1029" t="s">
        <v>6876</v>
      </c>
      <c r="K229" s="1029"/>
      <c r="L229" s="1096"/>
      <c r="M229" s="1032"/>
      <c r="N229" s="1033"/>
      <c r="O229" s="699"/>
      <c r="P229" s="699"/>
      <c r="Q229" s="699"/>
    </row>
    <row r="230">
      <c r="A230" s="699"/>
      <c r="B230" s="1022"/>
      <c r="C230" s="1023" t="s">
        <v>6877</v>
      </c>
      <c r="D230" s="1022">
        <v>5.0</v>
      </c>
      <c r="E230" s="1025"/>
      <c r="F230" s="1023"/>
      <c r="G230" s="1028" t="s">
        <v>257</v>
      </c>
      <c r="H230" s="1029" t="s">
        <v>6878</v>
      </c>
      <c r="I230" s="1029" t="s">
        <v>6879</v>
      </c>
      <c r="J230" s="1029" t="s">
        <v>359</v>
      </c>
      <c r="K230" s="1029"/>
      <c r="L230" s="1096"/>
      <c r="M230" s="1032"/>
      <c r="N230" s="1033"/>
      <c r="O230" s="699"/>
      <c r="P230" s="699"/>
      <c r="Q230" s="699"/>
    </row>
    <row r="231">
      <c r="A231" s="699"/>
      <c r="B231" s="1022"/>
      <c r="C231" s="1023" t="s">
        <v>343</v>
      </c>
      <c r="D231" s="1022">
        <v>7.0</v>
      </c>
      <c r="E231" s="1025"/>
      <c r="F231" s="1023"/>
      <c r="G231" s="1028" t="s">
        <v>257</v>
      </c>
      <c r="H231" s="1029" t="s">
        <v>6880</v>
      </c>
      <c r="I231" s="1029" t="s">
        <v>6881</v>
      </c>
      <c r="J231" s="1029" t="s">
        <v>394</v>
      </c>
      <c r="K231" s="1029"/>
      <c r="L231" s="1096"/>
      <c r="M231" s="1032"/>
      <c r="N231" s="1033"/>
      <c r="O231" s="699"/>
      <c r="P231" s="699"/>
      <c r="Q231" s="699"/>
    </row>
    <row r="232">
      <c r="A232" s="699"/>
      <c r="B232" s="1022"/>
      <c r="C232" s="1023" t="s">
        <v>6194</v>
      </c>
      <c r="D232" s="1022">
        <v>7.0</v>
      </c>
      <c r="E232" s="1025"/>
      <c r="F232" s="1023"/>
      <c r="G232" s="1028" t="s">
        <v>257</v>
      </c>
      <c r="H232" s="1029" t="s">
        <v>6880</v>
      </c>
      <c r="I232" s="1029" t="s">
        <v>6881</v>
      </c>
      <c r="J232" s="1029" t="s">
        <v>394</v>
      </c>
      <c r="K232" s="1029"/>
      <c r="L232" s="1096"/>
      <c r="M232" s="1032"/>
      <c r="N232" s="1033"/>
      <c r="O232" s="699"/>
      <c r="P232" s="699"/>
      <c r="Q232" s="699"/>
    </row>
    <row r="233">
      <c r="A233" s="699"/>
      <c r="B233" s="1022"/>
      <c r="C233" s="1023" t="s">
        <v>6282</v>
      </c>
      <c r="D233" s="1022">
        <v>7.0</v>
      </c>
      <c r="E233" s="1025"/>
      <c r="F233" s="1023"/>
      <c r="G233" s="1028" t="s">
        <v>257</v>
      </c>
      <c r="H233" s="1029" t="s">
        <v>6880</v>
      </c>
      <c r="I233" s="1029" t="s">
        <v>6881</v>
      </c>
      <c r="J233" s="1029" t="s">
        <v>394</v>
      </c>
      <c r="K233" s="1029"/>
      <c r="L233" s="1096"/>
      <c r="M233" s="1032"/>
      <c r="N233" s="1033"/>
      <c r="O233" s="699"/>
      <c r="P233" s="699"/>
      <c r="Q233" s="699"/>
    </row>
    <row r="234">
      <c r="A234" s="699"/>
      <c r="B234" s="1022"/>
      <c r="C234" s="1023" t="s">
        <v>5800</v>
      </c>
      <c r="D234" s="1022">
        <v>7.0</v>
      </c>
      <c r="E234" s="1025"/>
      <c r="F234" s="1023"/>
      <c r="G234" s="1028" t="s">
        <v>257</v>
      </c>
      <c r="H234" s="1029" t="s">
        <v>6880</v>
      </c>
      <c r="I234" s="1029" t="s">
        <v>6881</v>
      </c>
      <c r="J234" s="1029" t="s">
        <v>394</v>
      </c>
      <c r="K234" s="1029"/>
      <c r="L234" s="1096"/>
      <c r="M234" s="1032"/>
      <c r="N234" s="1033"/>
      <c r="O234" s="699"/>
      <c r="P234" s="699"/>
      <c r="Q234" s="699"/>
    </row>
    <row r="235">
      <c r="A235" s="699"/>
      <c r="B235" s="1022"/>
      <c r="C235" s="1023" t="s">
        <v>5796</v>
      </c>
      <c r="D235" s="1022">
        <v>7.0</v>
      </c>
      <c r="E235" s="1025"/>
      <c r="F235" s="1023"/>
      <c r="G235" s="1028" t="s">
        <v>257</v>
      </c>
      <c r="H235" s="1029" t="s">
        <v>6880</v>
      </c>
      <c r="I235" s="1029" t="s">
        <v>6881</v>
      </c>
      <c r="J235" s="1029" t="s">
        <v>394</v>
      </c>
      <c r="K235" s="1029"/>
      <c r="L235" s="1096"/>
      <c r="M235" s="1032"/>
      <c r="N235" s="1033"/>
      <c r="O235" s="699"/>
      <c r="P235" s="699"/>
      <c r="Q235" s="699"/>
    </row>
    <row r="236">
      <c r="A236" s="699"/>
      <c r="B236" s="1022"/>
      <c r="C236" s="1023" t="s">
        <v>5792</v>
      </c>
      <c r="D236" s="1022">
        <v>7.0</v>
      </c>
      <c r="E236" s="1025"/>
      <c r="F236" s="1023"/>
      <c r="G236" s="1028" t="s">
        <v>257</v>
      </c>
      <c r="H236" s="1029" t="s">
        <v>6880</v>
      </c>
      <c r="I236" s="1029" t="s">
        <v>6881</v>
      </c>
      <c r="J236" s="1029" t="s">
        <v>394</v>
      </c>
      <c r="K236" s="1029"/>
      <c r="L236" s="1096"/>
      <c r="M236" s="1032"/>
      <c r="N236" s="1033"/>
      <c r="O236" s="699"/>
      <c r="P236" s="699"/>
      <c r="Q236" s="699"/>
    </row>
    <row r="237">
      <c r="A237" s="699"/>
      <c r="B237" s="1022"/>
      <c r="C237" s="1023" t="s">
        <v>6027</v>
      </c>
      <c r="D237" s="1022">
        <v>7.0</v>
      </c>
      <c r="E237" s="1025"/>
      <c r="F237" s="1023"/>
      <c r="G237" s="1028" t="s">
        <v>257</v>
      </c>
      <c r="H237" s="1029" t="s">
        <v>6880</v>
      </c>
      <c r="I237" s="1029" t="s">
        <v>6881</v>
      </c>
      <c r="J237" s="1029" t="s">
        <v>394</v>
      </c>
      <c r="K237" s="1029"/>
      <c r="L237" s="1096"/>
      <c r="M237" s="1032"/>
      <c r="N237" s="1033"/>
      <c r="O237" s="699"/>
      <c r="P237" s="699"/>
      <c r="Q237" s="699"/>
    </row>
    <row r="238">
      <c r="A238" s="699"/>
      <c r="B238" s="1022"/>
      <c r="C238" s="1023" t="s">
        <v>6298</v>
      </c>
      <c r="D238" s="1022">
        <v>3.0</v>
      </c>
      <c r="E238" s="1025"/>
      <c r="F238" s="1023"/>
      <c r="G238" s="1028" t="s">
        <v>257</v>
      </c>
      <c r="H238" s="1029" t="s">
        <v>313</v>
      </c>
      <c r="I238" s="1029" t="s">
        <v>315</v>
      </c>
      <c r="J238" s="1029" t="s">
        <v>6309</v>
      </c>
      <c r="K238" s="1029"/>
      <c r="L238" s="1096"/>
      <c r="M238" s="1032"/>
      <c r="N238" s="1033"/>
      <c r="O238" s="699"/>
      <c r="P238" s="699"/>
      <c r="Q238" s="699"/>
    </row>
    <row r="239">
      <c r="A239" s="699"/>
      <c r="B239" s="1022"/>
      <c r="C239" s="1023" t="s">
        <v>6882</v>
      </c>
      <c r="D239" s="1022">
        <v>3.0</v>
      </c>
      <c r="E239" s="1025"/>
      <c r="F239" s="1023"/>
      <c r="G239" s="1028" t="s">
        <v>257</v>
      </c>
      <c r="H239" s="1029" t="s">
        <v>313</v>
      </c>
      <c r="I239" s="1029" t="s">
        <v>315</v>
      </c>
      <c r="J239" s="1029" t="s">
        <v>6309</v>
      </c>
      <c r="K239" s="1029"/>
      <c r="L239" s="1096"/>
      <c r="M239" s="1032"/>
      <c r="N239" s="1033"/>
      <c r="O239" s="699"/>
      <c r="P239" s="699"/>
      <c r="Q239" s="699"/>
    </row>
    <row r="240">
      <c r="A240" s="699"/>
      <c r="B240" s="1022"/>
      <c r="C240" s="1023" t="s">
        <v>6883</v>
      </c>
      <c r="D240" s="1022">
        <v>3.0</v>
      </c>
      <c r="E240" s="1025"/>
      <c r="F240" s="1023"/>
      <c r="G240" s="1028" t="s">
        <v>257</v>
      </c>
      <c r="H240" s="1029" t="s">
        <v>313</v>
      </c>
      <c r="I240" s="1029" t="s">
        <v>315</v>
      </c>
      <c r="J240" s="1029" t="s">
        <v>6309</v>
      </c>
      <c r="K240" s="1029"/>
      <c r="L240" s="1096"/>
      <c r="M240" s="1032"/>
      <c r="N240" s="1033"/>
      <c r="O240" s="699"/>
      <c r="P240" s="699"/>
      <c r="Q240" s="699"/>
    </row>
    <row r="241">
      <c r="A241" s="699"/>
      <c r="B241" s="1022"/>
      <c r="C241" s="1023" t="s">
        <v>5943</v>
      </c>
      <c r="D241" s="1022">
        <v>3.0</v>
      </c>
      <c r="E241" s="1025"/>
      <c r="F241" s="1023"/>
      <c r="G241" s="1028" t="s">
        <v>257</v>
      </c>
      <c r="H241" s="1029" t="s">
        <v>313</v>
      </c>
      <c r="I241" s="1029" t="s">
        <v>315</v>
      </c>
      <c r="J241" s="1029" t="s">
        <v>6309</v>
      </c>
      <c r="K241" s="1029"/>
      <c r="L241" s="1096"/>
      <c r="M241" s="1032"/>
      <c r="N241" s="1033"/>
      <c r="O241" s="699"/>
      <c r="P241" s="699"/>
      <c r="Q241" s="699"/>
    </row>
    <row r="242">
      <c r="A242" s="699"/>
      <c r="B242" s="1022"/>
      <c r="C242" s="1023" t="s">
        <v>6205</v>
      </c>
      <c r="D242" s="1022">
        <v>4.0</v>
      </c>
      <c r="E242" s="1025"/>
      <c r="F242" s="1023"/>
      <c r="G242" s="1028" t="s">
        <v>257</v>
      </c>
      <c r="H242" s="1029" t="s">
        <v>335</v>
      </c>
      <c r="I242" s="1029" t="s">
        <v>336</v>
      </c>
      <c r="J242" s="1029" t="s">
        <v>337</v>
      </c>
      <c r="K242" s="1029"/>
      <c r="L242" s="1096"/>
      <c r="M242" s="1032"/>
      <c r="N242" s="1033"/>
      <c r="O242" s="699"/>
      <c r="P242" s="699"/>
      <c r="Q242" s="699"/>
    </row>
    <row r="243">
      <c r="A243" s="699"/>
      <c r="B243" s="1022"/>
      <c r="C243" s="1023" t="s">
        <v>6198</v>
      </c>
      <c r="D243" s="1022">
        <v>4.0</v>
      </c>
      <c r="E243" s="1025"/>
      <c r="F243" s="1023"/>
      <c r="G243" s="1028" t="s">
        <v>257</v>
      </c>
      <c r="H243" s="1029" t="s">
        <v>335</v>
      </c>
      <c r="I243" s="1029" t="s">
        <v>336</v>
      </c>
      <c r="J243" s="1029" t="s">
        <v>337</v>
      </c>
      <c r="K243" s="1029"/>
      <c r="L243" s="1096"/>
      <c r="M243" s="1032"/>
      <c r="N243" s="1033"/>
      <c r="O243" s="699"/>
      <c r="P243" s="699"/>
      <c r="Q243" s="699"/>
    </row>
    <row r="244">
      <c r="A244" s="699"/>
      <c r="B244" s="1022"/>
      <c r="C244" s="1023" t="s">
        <v>6428</v>
      </c>
      <c r="D244" s="1022">
        <v>4.0</v>
      </c>
      <c r="E244" s="1025"/>
      <c r="F244" s="1023"/>
      <c r="G244" s="1028" t="s">
        <v>257</v>
      </c>
      <c r="H244" s="1029" t="s">
        <v>335</v>
      </c>
      <c r="I244" s="1029" t="s">
        <v>336</v>
      </c>
      <c r="J244" s="1029" t="s">
        <v>337</v>
      </c>
      <c r="K244" s="1088"/>
      <c r="L244" s="1096"/>
      <c r="M244" s="1032"/>
      <c r="N244" s="1033"/>
      <c r="O244" s="699"/>
      <c r="P244" s="699"/>
      <c r="Q244" s="699"/>
    </row>
    <row r="245">
      <c r="A245" s="699"/>
      <c r="B245" s="1022"/>
      <c r="C245" s="1023" t="s">
        <v>6884</v>
      </c>
      <c r="D245" s="1022">
        <v>4.0</v>
      </c>
      <c r="E245" s="1025"/>
      <c r="F245" s="1023"/>
      <c r="G245" s="1028" t="s">
        <v>257</v>
      </c>
      <c r="H245" s="1029" t="s">
        <v>335</v>
      </c>
      <c r="I245" s="1029" t="s">
        <v>336</v>
      </c>
      <c r="J245" s="1029" t="s">
        <v>337</v>
      </c>
      <c r="K245" s="1029"/>
      <c r="L245" s="1096"/>
      <c r="M245" s="1032"/>
      <c r="N245" s="1033"/>
      <c r="O245" s="699"/>
      <c r="P245" s="699"/>
      <c r="Q245" s="699"/>
    </row>
    <row r="246">
      <c r="A246" s="699"/>
      <c r="B246" s="1022"/>
      <c r="C246" s="1023" t="s">
        <v>6156</v>
      </c>
      <c r="D246" s="1022">
        <v>4.0</v>
      </c>
      <c r="E246" s="1025"/>
      <c r="F246" s="1023"/>
      <c r="G246" s="1028" t="s">
        <v>257</v>
      </c>
      <c r="H246" s="1029" t="s">
        <v>335</v>
      </c>
      <c r="I246" s="1029" t="s">
        <v>336</v>
      </c>
      <c r="J246" s="1029" t="s">
        <v>337</v>
      </c>
      <c r="K246" s="1029"/>
      <c r="L246" s="1096"/>
      <c r="M246" s="1032"/>
      <c r="N246" s="1033"/>
      <c r="O246" s="699"/>
      <c r="P246" s="699"/>
      <c r="Q246" s="699"/>
    </row>
    <row r="247">
      <c r="A247" s="699"/>
      <c r="B247" s="1022"/>
      <c r="C247" s="1023" t="s">
        <v>6167</v>
      </c>
      <c r="D247" s="1022">
        <v>5.0</v>
      </c>
      <c r="E247" s="1025"/>
      <c r="F247" s="1023"/>
      <c r="G247" s="1028" t="s">
        <v>257</v>
      </c>
      <c r="H247" s="1029" t="s">
        <v>357</v>
      </c>
      <c r="I247" s="1029" t="s">
        <v>6879</v>
      </c>
      <c r="J247" s="1029" t="s">
        <v>359</v>
      </c>
      <c r="K247" s="1029"/>
      <c r="L247" s="1096"/>
      <c r="M247" s="1032"/>
      <c r="N247" s="1033"/>
      <c r="O247" s="699"/>
      <c r="P247" s="699"/>
      <c r="Q247" s="699"/>
    </row>
    <row r="248">
      <c r="A248" s="699"/>
      <c r="B248" s="1022"/>
      <c r="C248" s="1023" t="s">
        <v>6885</v>
      </c>
      <c r="D248" s="1022">
        <v>5.0</v>
      </c>
      <c r="E248" s="1025"/>
      <c r="F248" s="1023"/>
      <c r="G248" s="1028" t="s">
        <v>257</v>
      </c>
      <c r="H248" s="1029" t="s">
        <v>357</v>
      </c>
      <c r="I248" s="1029" t="s">
        <v>6879</v>
      </c>
      <c r="J248" s="1029" t="s">
        <v>359</v>
      </c>
      <c r="K248" s="1029"/>
      <c r="L248" s="1096"/>
      <c r="M248" s="1032"/>
      <c r="N248" s="1033"/>
      <c r="O248" s="699"/>
      <c r="P248" s="699"/>
      <c r="Q248" s="699"/>
    </row>
    <row r="249">
      <c r="A249" s="699"/>
      <c r="B249" s="1022"/>
      <c r="C249" s="1023" t="s">
        <v>6134</v>
      </c>
      <c r="D249" s="1022">
        <v>5.0</v>
      </c>
      <c r="E249" s="1025"/>
      <c r="F249" s="1023"/>
      <c r="G249" s="1028" t="s">
        <v>257</v>
      </c>
      <c r="H249" s="1029" t="s">
        <v>357</v>
      </c>
      <c r="I249" s="1029" t="s">
        <v>6879</v>
      </c>
      <c r="J249" s="1029" t="s">
        <v>359</v>
      </c>
      <c r="K249" s="1029"/>
      <c r="L249" s="1096"/>
      <c r="M249" s="1032"/>
      <c r="N249" s="1033"/>
      <c r="O249" s="699"/>
      <c r="P249" s="699"/>
      <c r="Q249" s="699"/>
    </row>
    <row r="250">
      <c r="A250" s="699"/>
      <c r="B250" s="1022"/>
      <c r="C250" s="1023" t="s">
        <v>12</v>
      </c>
      <c r="D250" s="1022">
        <v>11.0</v>
      </c>
      <c r="E250" s="1025"/>
      <c r="F250" s="1023"/>
      <c r="G250" s="1028" t="s">
        <v>176</v>
      </c>
      <c r="H250" s="1029" t="s">
        <v>3740</v>
      </c>
      <c r="I250" s="1029" t="s">
        <v>436</v>
      </c>
      <c r="J250" s="1029" t="s">
        <v>437</v>
      </c>
      <c r="K250" s="1029"/>
      <c r="L250" s="1096"/>
      <c r="M250" s="1032"/>
      <c r="N250" s="1033"/>
      <c r="O250" s="699"/>
      <c r="P250" s="699"/>
      <c r="Q250" s="699"/>
    </row>
    <row r="251">
      <c r="A251" s="699"/>
      <c r="B251" s="1022"/>
      <c r="C251" s="1023" t="s">
        <v>5989</v>
      </c>
      <c r="D251" s="1022">
        <v>34.0</v>
      </c>
      <c r="E251" s="1025"/>
      <c r="F251" s="1023"/>
      <c r="G251" s="1028" t="s">
        <v>176</v>
      </c>
      <c r="H251" s="1029" t="s">
        <v>834</v>
      </c>
      <c r="I251" s="1029" t="s">
        <v>1039</v>
      </c>
      <c r="J251" s="1029" t="s">
        <v>6886</v>
      </c>
      <c r="K251" s="1029"/>
      <c r="L251" s="1096"/>
      <c r="M251" s="1032"/>
      <c r="N251" s="1033"/>
      <c r="O251" s="699"/>
      <c r="P251" s="699"/>
      <c r="Q251" s="699"/>
    </row>
    <row r="252">
      <c r="A252" s="699"/>
      <c r="B252" s="1022"/>
      <c r="C252" s="1023" t="s">
        <v>5992</v>
      </c>
      <c r="D252" s="1022">
        <v>34.0</v>
      </c>
      <c r="E252" s="1025"/>
      <c r="F252" s="1023"/>
      <c r="G252" s="1028" t="s">
        <v>176</v>
      </c>
      <c r="H252" s="1029" t="s">
        <v>834</v>
      </c>
      <c r="I252" s="1029" t="s">
        <v>1039</v>
      </c>
      <c r="J252" s="1029" t="s">
        <v>6886</v>
      </c>
      <c r="K252" s="1029"/>
      <c r="L252" s="1096"/>
      <c r="M252" s="1032"/>
      <c r="N252" s="1033"/>
      <c r="O252" s="699"/>
      <c r="P252" s="699"/>
      <c r="Q252" s="699"/>
    </row>
    <row r="253">
      <c r="A253" s="699"/>
      <c r="B253" s="1022"/>
      <c r="C253" s="1023" t="s">
        <v>5789</v>
      </c>
      <c r="D253" s="1022">
        <v>34.0</v>
      </c>
      <c r="E253" s="1025"/>
      <c r="F253" s="1023"/>
      <c r="G253" s="1028" t="s">
        <v>176</v>
      </c>
      <c r="H253" s="1029" t="s">
        <v>834</v>
      </c>
      <c r="I253" s="1029" t="s">
        <v>1039</v>
      </c>
      <c r="J253" s="1029" t="s">
        <v>6886</v>
      </c>
      <c r="K253" s="1029"/>
      <c r="L253" s="1096"/>
      <c r="M253" s="1032"/>
      <c r="N253" s="1033"/>
      <c r="O253" s="699"/>
      <c r="P253" s="699"/>
      <c r="Q253" s="699"/>
    </row>
    <row r="254">
      <c r="A254" s="699"/>
      <c r="B254" s="1022"/>
      <c r="C254" s="1023" t="s">
        <v>5784</v>
      </c>
      <c r="D254" s="1022">
        <v>34.0</v>
      </c>
      <c r="E254" s="1025"/>
      <c r="F254" s="1023"/>
      <c r="G254" s="1028" t="s">
        <v>176</v>
      </c>
      <c r="H254" s="1029" t="s">
        <v>834</v>
      </c>
      <c r="I254" s="1029" t="s">
        <v>1039</v>
      </c>
      <c r="J254" s="1029" t="s">
        <v>6886</v>
      </c>
      <c r="K254" s="1029"/>
      <c r="L254" s="1096"/>
      <c r="M254" s="1032"/>
      <c r="N254" s="1033"/>
      <c r="O254" s="699"/>
      <c r="P254" s="699"/>
      <c r="Q254" s="699"/>
    </row>
    <row r="255">
      <c r="A255" s="699"/>
      <c r="B255" s="1022"/>
      <c r="C255" s="1023" t="s">
        <v>5984</v>
      </c>
      <c r="D255" s="1022">
        <v>34.0</v>
      </c>
      <c r="E255" s="1025"/>
      <c r="F255" s="1023"/>
      <c r="G255" s="1028" t="s">
        <v>176</v>
      </c>
      <c r="H255" s="1029" t="s">
        <v>834</v>
      </c>
      <c r="I255" s="1029" t="s">
        <v>1039</v>
      </c>
      <c r="J255" s="1029" t="s">
        <v>6886</v>
      </c>
      <c r="K255" s="1029"/>
      <c r="L255" s="1096"/>
      <c r="M255" s="1032"/>
      <c r="N255" s="1033"/>
      <c r="O255" s="699"/>
      <c r="P255" s="699"/>
      <c r="Q255" s="699"/>
    </row>
    <row r="256">
      <c r="A256" s="699"/>
      <c r="B256" s="1022"/>
      <c r="C256" s="1023" t="s">
        <v>19</v>
      </c>
      <c r="D256" s="1022">
        <v>17.0</v>
      </c>
      <c r="E256" s="1025"/>
      <c r="F256" s="1023"/>
      <c r="G256" s="1028" t="s">
        <v>176</v>
      </c>
      <c r="H256" s="1029" t="s">
        <v>509</v>
      </c>
      <c r="I256" s="1029" t="s">
        <v>510</v>
      </c>
      <c r="J256" s="1029" t="s">
        <v>511</v>
      </c>
      <c r="K256" s="1029"/>
      <c r="L256" s="1096"/>
      <c r="M256" s="1032"/>
      <c r="N256" s="1033"/>
      <c r="O256" s="699"/>
      <c r="P256" s="699"/>
      <c r="Q256" s="699"/>
    </row>
    <row r="257">
      <c r="A257" s="699"/>
      <c r="B257" s="1022"/>
      <c r="C257" s="1023" t="s">
        <v>6869</v>
      </c>
      <c r="D257" s="1022">
        <v>17.0</v>
      </c>
      <c r="E257" s="1025"/>
      <c r="F257" s="1023"/>
      <c r="G257" s="1028" t="s">
        <v>176</v>
      </c>
      <c r="H257" s="1029" t="s">
        <v>6887</v>
      </c>
      <c r="I257" s="1029" t="s">
        <v>6888</v>
      </c>
      <c r="J257" s="1029" t="s">
        <v>6889</v>
      </c>
      <c r="K257" s="1029"/>
      <c r="L257" s="1096"/>
      <c r="M257" s="1032"/>
      <c r="N257" s="1033"/>
      <c r="O257" s="699"/>
      <c r="P257" s="699"/>
      <c r="Q257" s="699"/>
    </row>
    <row r="258">
      <c r="A258" s="699"/>
      <c r="B258" s="1022"/>
      <c r="C258" s="1023" t="s">
        <v>6689</v>
      </c>
      <c r="D258" s="1022">
        <v>17.0</v>
      </c>
      <c r="E258" s="1025"/>
      <c r="F258" s="1023"/>
      <c r="G258" s="1028" t="s">
        <v>176</v>
      </c>
      <c r="H258" s="1029" t="s">
        <v>6887</v>
      </c>
      <c r="I258" s="1029" t="s">
        <v>6888</v>
      </c>
      <c r="J258" s="1029" t="s">
        <v>6889</v>
      </c>
      <c r="K258" s="1029"/>
      <c r="L258" s="1096"/>
      <c r="M258" s="1032"/>
      <c r="N258" s="1033"/>
      <c r="O258" s="699"/>
      <c r="P258" s="699"/>
      <c r="Q258" s="699"/>
    </row>
    <row r="259">
      <c r="A259" s="699"/>
      <c r="B259" s="1022"/>
      <c r="C259" s="1023" t="s">
        <v>20</v>
      </c>
      <c r="D259" s="1022">
        <v>18.0</v>
      </c>
      <c r="E259" s="1025"/>
      <c r="F259" s="1023"/>
      <c r="G259" s="1028" t="s">
        <v>176</v>
      </c>
      <c r="H259" s="1029" t="s">
        <v>520</v>
      </c>
      <c r="I259" s="1029" t="s">
        <v>410</v>
      </c>
      <c r="J259" s="1029" t="s">
        <v>521</v>
      </c>
      <c r="K259" s="1029"/>
      <c r="L259" s="1096"/>
      <c r="M259" s="1032"/>
      <c r="N259" s="1033"/>
      <c r="O259" s="699"/>
      <c r="P259" s="699"/>
      <c r="Q259" s="699"/>
    </row>
    <row r="260">
      <c r="A260" s="699"/>
      <c r="B260" s="1022"/>
      <c r="C260" s="1023" t="s">
        <v>6839</v>
      </c>
      <c r="D260" s="1022">
        <v>18.0</v>
      </c>
      <c r="E260" s="1025"/>
      <c r="F260" s="1023"/>
      <c r="G260" s="1028" t="s">
        <v>176</v>
      </c>
      <c r="H260" s="1029" t="s">
        <v>6890</v>
      </c>
      <c r="I260" s="1029" t="s">
        <v>592</v>
      </c>
      <c r="J260" s="1029" t="s">
        <v>521</v>
      </c>
      <c r="K260" s="1029"/>
      <c r="L260" s="1096"/>
      <c r="M260" s="1032"/>
      <c r="N260" s="1033"/>
      <c r="O260" s="699"/>
      <c r="P260" s="699"/>
      <c r="Q260" s="699"/>
    </row>
    <row r="261">
      <c r="A261" s="699"/>
      <c r="B261" s="1022"/>
      <c r="C261" s="1023" t="s">
        <v>6726</v>
      </c>
      <c r="D261" s="1022">
        <v>18.0</v>
      </c>
      <c r="E261" s="1025"/>
      <c r="F261" s="1023"/>
      <c r="G261" s="1028" t="s">
        <v>176</v>
      </c>
      <c r="H261" s="1029" t="s">
        <v>6890</v>
      </c>
      <c r="I261" s="1029" t="s">
        <v>592</v>
      </c>
      <c r="J261" s="1029" t="s">
        <v>521</v>
      </c>
      <c r="K261" s="1029"/>
      <c r="L261" s="1096"/>
      <c r="M261" s="1032"/>
      <c r="N261" s="1033"/>
      <c r="O261" s="699"/>
      <c r="P261" s="699"/>
      <c r="Q261" s="699"/>
    </row>
    <row r="262">
      <c r="A262" s="699"/>
      <c r="B262" s="1022"/>
      <c r="C262" s="1023" t="s">
        <v>6545</v>
      </c>
      <c r="D262" s="1022">
        <v>18.0</v>
      </c>
      <c r="E262" s="1025"/>
      <c r="F262" s="1023"/>
      <c r="G262" s="1028" t="s">
        <v>176</v>
      </c>
      <c r="H262" s="1029" t="s">
        <v>6890</v>
      </c>
      <c r="I262" s="1029" t="s">
        <v>592</v>
      </c>
      <c r="J262" s="1029" t="s">
        <v>521</v>
      </c>
      <c r="K262" s="1029"/>
      <c r="L262" s="1096"/>
      <c r="M262" s="1032"/>
      <c r="N262" s="1033"/>
      <c r="O262" s="699"/>
      <c r="P262" s="699"/>
      <c r="Q262" s="699"/>
    </row>
    <row r="263">
      <c r="A263" s="699"/>
      <c r="B263" s="1022"/>
      <c r="C263" s="1023" t="s">
        <v>6366</v>
      </c>
      <c r="D263" s="1022">
        <v>18.0</v>
      </c>
      <c r="E263" s="1025"/>
      <c r="F263" s="1023"/>
      <c r="G263" s="1028" t="s">
        <v>176</v>
      </c>
      <c r="H263" s="1029" t="s">
        <v>6890</v>
      </c>
      <c r="I263" s="1029" t="s">
        <v>592</v>
      </c>
      <c r="J263" s="1029" t="s">
        <v>521</v>
      </c>
      <c r="K263" s="1029"/>
      <c r="L263" s="1096"/>
      <c r="M263" s="1032"/>
      <c r="N263" s="1033"/>
      <c r="O263" s="699"/>
      <c r="P263" s="699"/>
      <c r="Q263" s="699"/>
    </row>
    <row r="264" ht="16.5" customHeight="1">
      <c r="A264" s="699"/>
      <c r="B264" s="1022"/>
      <c r="C264" s="1092" t="s">
        <v>6088</v>
      </c>
      <c r="D264" s="1022">
        <v>35.0</v>
      </c>
      <c r="E264" s="400" t="s">
        <v>38</v>
      </c>
      <c r="F264" s="1023"/>
      <c r="G264" s="1028" t="s">
        <v>176</v>
      </c>
      <c r="H264" s="1029" t="s">
        <v>855</v>
      </c>
      <c r="I264" s="1029" t="s">
        <v>856</v>
      </c>
      <c r="J264" s="1029" t="s">
        <v>6891</v>
      </c>
      <c r="K264" s="1118"/>
      <c r="L264" s="399" t="s">
        <v>6892</v>
      </c>
      <c r="M264" s="1032"/>
      <c r="N264" s="1033"/>
      <c r="O264" s="699"/>
      <c r="P264" s="699"/>
      <c r="Q264" s="699"/>
    </row>
    <row r="265">
      <c r="A265" s="699"/>
      <c r="B265" s="1022"/>
      <c r="C265" s="1023" t="s">
        <v>34</v>
      </c>
      <c r="D265" s="1022">
        <v>31.0</v>
      </c>
      <c r="E265" s="1025"/>
      <c r="F265" s="1023"/>
      <c r="G265" s="1028" t="s">
        <v>176</v>
      </c>
      <c r="H265" s="1029" t="s">
        <v>6893</v>
      </c>
      <c r="I265" s="1029" t="s">
        <v>447</v>
      </c>
      <c r="J265" s="1029" t="s">
        <v>727</v>
      </c>
      <c r="K265" s="1084"/>
      <c r="L265" s="1096"/>
      <c r="M265" s="1032"/>
      <c r="N265" s="1033"/>
      <c r="O265" s="699"/>
      <c r="P265" s="699"/>
      <c r="Q265" s="699"/>
    </row>
    <row r="266">
      <c r="A266" s="699"/>
      <c r="B266" s="1022"/>
      <c r="C266" s="1023" t="s">
        <v>11</v>
      </c>
      <c r="D266" s="1022">
        <v>10.0</v>
      </c>
      <c r="E266" s="1025"/>
      <c r="F266" s="1023"/>
      <c r="G266" s="1028" t="s">
        <v>176</v>
      </c>
      <c r="H266" s="1029" t="s">
        <v>409</v>
      </c>
      <c r="I266" s="1029" t="s">
        <v>410</v>
      </c>
      <c r="J266" s="1029" t="s">
        <v>411</v>
      </c>
      <c r="K266" s="1084"/>
      <c r="L266" s="1096"/>
      <c r="M266" s="1032"/>
      <c r="N266" s="1033"/>
      <c r="O266" s="699"/>
      <c r="P266" s="699"/>
      <c r="Q266" s="699"/>
    </row>
    <row r="267">
      <c r="A267" s="699"/>
      <c r="B267" s="1022"/>
      <c r="C267" s="1023" t="s">
        <v>6846</v>
      </c>
      <c r="D267" s="1022">
        <v>21.0</v>
      </c>
      <c r="E267" s="1025"/>
      <c r="F267" s="1023"/>
      <c r="G267" s="1028" t="s">
        <v>176</v>
      </c>
      <c r="H267" s="1029" t="s">
        <v>558</v>
      </c>
      <c r="I267" s="1029" t="s">
        <v>436</v>
      </c>
      <c r="J267" s="1029" t="s">
        <v>6894</v>
      </c>
      <c r="K267" s="1084"/>
      <c r="L267" s="1096"/>
      <c r="M267" s="1032"/>
      <c r="N267" s="1033"/>
      <c r="O267" s="699"/>
      <c r="P267" s="699"/>
      <c r="Q267" s="699"/>
    </row>
    <row r="268">
      <c r="A268" s="699"/>
      <c r="B268" s="1022"/>
      <c r="C268" s="1023" t="s">
        <v>6826</v>
      </c>
      <c r="D268" s="1022">
        <v>21.0</v>
      </c>
      <c r="E268" s="1025"/>
      <c r="F268" s="1023"/>
      <c r="G268" s="1028" t="s">
        <v>176</v>
      </c>
      <c r="H268" s="1029" t="s">
        <v>558</v>
      </c>
      <c r="I268" s="1029" t="s">
        <v>436</v>
      </c>
      <c r="J268" s="1029" t="s">
        <v>6894</v>
      </c>
      <c r="K268" s="1084"/>
      <c r="L268" s="1096"/>
      <c r="M268" s="1032"/>
      <c r="N268" s="1033"/>
      <c r="O268" s="699"/>
      <c r="P268" s="699"/>
      <c r="Q268" s="699"/>
    </row>
    <row r="269">
      <c r="A269" s="699"/>
      <c r="B269" s="1022"/>
      <c r="C269" s="1023" t="s">
        <v>6821</v>
      </c>
      <c r="D269" s="1022">
        <v>21.0</v>
      </c>
      <c r="E269" s="1025"/>
      <c r="F269" s="1023"/>
      <c r="G269" s="1028" t="s">
        <v>176</v>
      </c>
      <c r="H269" s="1029" t="s">
        <v>558</v>
      </c>
      <c r="I269" s="1029" t="s">
        <v>436</v>
      </c>
      <c r="J269" s="1029" t="s">
        <v>6894</v>
      </c>
      <c r="K269" s="1084"/>
      <c r="L269" s="1096"/>
      <c r="M269" s="1032"/>
      <c r="N269" s="1033"/>
      <c r="O269" s="699"/>
      <c r="P269" s="699"/>
      <c r="Q269" s="699"/>
    </row>
    <row r="270">
      <c r="A270" s="699"/>
      <c r="B270" s="1022"/>
      <c r="C270" s="1023" t="s">
        <v>6787</v>
      </c>
      <c r="D270" s="1022">
        <v>21.0</v>
      </c>
      <c r="E270" s="1025"/>
      <c r="F270" s="1023"/>
      <c r="G270" s="1028" t="s">
        <v>176</v>
      </c>
      <c r="H270" s="1029" t="s">
        <v>558</v>
      </c>
      <c r="I270" s="1029" t="s">
        <v>436</v>
      </c>
      <c r="J270" s="1029" t="s">
        <v>6894</v>
      </c>
      <c r="K270" s="1084"/>
      <c r="L270" s="1096"/>
      <c r="M270" s="1032"/>
      <c r="N270" s="1033"/>
      <c r="O270" s="699"/>
      <c r="P270" s="699"/>
      <c r="Q270" s="699"/>
    </row>
    <row r="271">
      <c r="A271" s="699"/>
      <c r="B271" s="1022"/>
      <c r="C271" s="1023" t="s">
        <v>6732</v>
      </c>
      <c r="D271" s="1022">
        <v>21.0</v>
      </c>
      <c r="E271" s="1025"/>
      <c r="F271" s="1023"/>
      <c r="G271" s="1028" t="s">
        <v>176</v>
      </c>
      <c r="H271" s="1029" t="s">
        <v>558</v>
      </c>
      <c r="I271" s="1029" t="s">
        <v>436</v>
      </c>
      <c r="J271" s="1029" t="s">
        <v>6894</v>
      </c>
      <c r="K271" s="1084"/>
      <c r="L271" s="1096"/>
      <c r="M271" s="1032"/>
      <c r="N271" s="1033"/>
      <c r="O271" s="699"/>
      <c r="P271" s="699"/>
      <c r="Q271" s="699"/>
    </row>
    <row r="272">
      <c r="A272" s="699"/>
      <c r="B272" s="1022"/>
      <c r="C272" s="1023" t="s">
        <v>6710</v>
      </c>
      <c r="D272" s="1022">
        <v>21.0</v>
      </c>
      <c r="E272" s="1025"/>
      <c r="F272" s="1023"/>
      <c r="G272" s="1028" t="s">
        <v>176</v>
      </c>
      <c r="H272" s="1029" t="s">
        <v>558</v>
      </c>
      <c r="I272" s="1029" t="s">
        <v>436</v>
      </c>
      <c r="J272" s="1029" t="s">
        <v>6894</v>
      </c>
      <c r="K272" s="1084"/>
      <c r="L272" s="1096"/>
      <c r="M272" s="1032"/>
      <c r="N272" s="1033"/>
      <c r="O272" s="699"/>
      <c r="P272" s="699"/>
      <c r="Q272" s="699"/>
    </row>
    <row r="273">
      <c r="A273" s="699"/>
      <c r="B273" s="1022"/>
      <c r="C273" s="1023" t="s">
        <v>6696</v>
      </c>
      <c r="D273" s="1022">
        <v>21.0</v>
      </c>
      <c r="E273" s="1025"/>
      <c r="F273" s="1023"/>
      <c r="G273" s="1028" t="s">
        <v>176</v>
      </c>
      <c r="H273" s="1029" t="s">
        <v>558</v>
      </c>
      <c r="I273" s="1029" t="s">
        <v>436</v>
      </c>
      <c r="J273" s="1029" t="s">
        <v>6894</v>
      </c>
      <c r="K273" s="1084"/>
      <c r="L273" s="1096"/>
      <c r="M273" s="1032"/>
      <c r="N273" s="1033"/>
      <c r="O273" s="699"/>
      <c r="P273" s="699"/>
      <c r="Q273" s="699"/>
    </row>
    <row r="274">
      <c r="A274" s="699"/>
      <c r="B274" s="1022"/>
      <c r="C274" s="1023" t="s">
        <v>6442</v>
      </c>
      <c r="D274" s="1022">
        <v>21.0</v>
      </c>
      <c r="E274" s="1025"/>
      <c r="F274" s="1023"/>
      <c r="G274" s="1028" t="s">
        <v>176</v>
      </c>
      <c r="H274" s="1029" t="s">
        <v>558</v>
      </c>
      <c r="I274" s="1029" t="s">
        <v>436</v>
      </c>
      <c r="J274" s="1029" t="s">
        <v>6894</v>
      </c>
      <c r="K274" s="1084"/>
      <c r="L274" s="1096"/>
      <c r="M274" s="1032"/>
      <c r="N274" s="1033"/>
      <c r="O274" s="699"/>
      <c r="P274" s="699"/>
      <c r="Q274" s="699"/>
    </row>
    <row r="275">
      <c r="A275" s="699"/>
      <c r="B275" s="1022"/>
      <c r="C275" s="1023" t="s">
        <v>6433</v>
      </c>
      <c r="D275" s="1022">
        <v>21.0</v>
      </c>
      <c r="E275" s="1025"/>
      <c r="F275" s="1023"/>
      <c r="G275" s="1028" t="s">
        <v>176</v>
      </c>
      <c r="H275" s="1029" t="s">
        <v>558</v>
      </c>
      <c r="I275" s="1029" t="s">
        <v>436</v>
      </c>
      <c r="J275" s="1029" t="s">
        <v>6894</v>
      </c>
      <c r="K275" s="1084"/>
      <c r="L275" s="1096"/>
      <c r="M275" s="1032"/>
      <c r="N275" s="1033"/>
      <c r="O275" s="699"/>
      <c r="P275" s="699"/>
      <c r="Q275" s="699"/>
    </row>
    <row r="276">
      <c r="A276" s="699"/>
      <c r="B276" s="1022"/>
      <c r="C276" s="1023" t="s">
        <v>6382</v>
      </c>
      <c r="D276" s="1022">
        <v>21.0</v>
      </c>
      <c r="E276" s="1025"/>
      <c r="F276" s="1023"/>
      <c r="G276" s="1028" t="s">
        <v>176</v>
      </c>
      <c r="H276" s="1029" t="s">
        <v>558</v>
      </c>
      <c r="I276" s="1029" t="s">
        <v>436</v>
      </c>
      <c r="J276" s="1029" t="s">
        <v>6894</v>
      </c>
      <c r="K276" s="1084"/>
      <c r="L276" s="1096"/>
      <c r="M276" s="1032"/>
      <c r="N276" s="1033"/>
      <c r="O276" s="699"/>
      <c r="P276" s="699"/>
      <c r="Q276" s="699"/>
    </row>
    <row r="277">
      <c r="A277" s="699"/>
      <c r="B277" s="1022"/>
      <c r="C277" s="1023" t="s">
        <v>24</v>
      </c>
      <c r="D277" s="1022">
        <v>21.0</v>
      </c>
      <c r="E277" s="1025"/>
      <c r="F277" s="1023"/>
      <c r="G277" s="1028" t="s">
        <v>176</v>
      </c>
      <c r="H277" s="1029" t="s">
        <v>558</v>
      </c>
      <c r="I277" s="1029" t="s">
        <v>559</v>
      </c>
      <c r="J277" s="1029" t="s">
        <v>560</v>
      </c>
      <c r="K277" s="1084"/>
      <c r="L277" s="1096"/>
      <c r="M277" s="1032"/>
      <c r="N277" s="1033"/>
      <c r="O277" s="699"/>
      <c r="P277" s="699"/>
      <c r="Q277" s="699"/>
    </row>
    <row r="278">
      <c r="A278" s="699"/>
      <c r="B278" s="1022"/>
      <c r="C278" s="1023" t="s">
        <v>30</v>
      </c>
      <c r="D278" s="1022">
        <v>27.0</v>
      </c>
      <c r="E278" s="1025"/>
      <c r="F278" s="1023"/>
      <c r="G278" s="1028" t="s">
        <v>176</v>
      </c>
      <c r="H278" s="1029" t="s">
        <v>642</v>
      </c>
      <c r="I278" s="1029" t="s">
        <v>644</v>
      </c>
      <c r="J278" s="1029" t="s">
        <v>490</v>
      </c>
      <c r="K278" s="1084"/>
      <c r="L278" s="1096"/>
      <c r="M278" s="1032"/>
      <c r="N278" s="1033"/>
      <c r="O278" s="699"/>
      <c r="P278" s="699"/>
      <c r="Q278" s="699"/>
    </row>
    <row r="279">
      <c r="A279" s="699"/>
      <c r="B279" s="1022"/>
      <c r="C279" s="1023" t="s">
        <v>33</v>
      </c>
      <c r="D279" s="1022">
        <v>30.0</v>
      </c>
      <c r="E279" s="1025"/>
      <c r="F279" s="1023"/>
      <c r="G279" s="1028" t="s">
        <v>176</v>
      </c>
      <c r="H279" s="1029" t="s">
        <v>701</v>
      </c>
      <c r="I279" s="1029" t="s">
        <v>702</v>
      </c>
      <c r="J279" s="1029" t="s">
        <v>704</v>
      </c>
      <c r="K279" s="1084"/>
      <c r="L279" s="1096"/>
      <c r="M279" s="1032"/>
      <c r="N279" s="1033"/>
      <c r="O279" s="699"/>
      <c r="P279" s="699"/>
      <c r="Q279" s="699"/>
    </row>
    <row r="280">
      <c r="A280" s="187"/>
      <c r="B280" s="1101"/>
      <c r="C280" s="1102" t="s">
        <v>3</v>
      </c>
      <c r="D280" s="1101">
        <v>2.0</v>
      </c>
      <c r="E280" s="1103"/>
      <c r="F280" s="1102"/>
      <c r="G280" s="1104" t="s">
        <v>176</v>
      </c>
      <c r="H280" s="1105" t="s">
        <v>212</v>
      </c>
      <c r="I280" s="1105" t="s">
        <v>213</v>
      </c>
      <c r="J280" s="1105" t="s">
        <v>215</v>
      </c>
      <c r="K280" s="1119"/>
      <c r="L280" s="1106"/>
      <c r="M280" s="1107"/>
      <c r="N280" s="1108"/>
      <c r="O280" s="187"/>
      <c r="P280" s="187"/>
      <c r="Q280" s="187"/>
    </row>
    <row r="281">
      <c r="A281" s="699"/>
      <c r="B281" s="1022"/>
      <c r="C281" s="1023" t="s">
        <v>6755</v>
      </c>
      <c r="D281" s="1022">
        <v>24.0</v>
      </c>
      <c r="E281" s="1025"/>
      <c r="F281" s="1023"/>
      <c r="G281" s="1028" t="s">
        <v>176</v>
      </c>
      <c r="H281" s="1029" t="s">
        <v>587</v>
      </c>
      <c r="I281" s="1029" t="s">
        <v>588</v>
      </c>
      <c r="J281" s="1029" t="s">
        <v>318</v>
      </c>
      <c r="K281" s="1084"/>
      <c r="L281" s="1096"/>
      <c r="M281" s="1032"/>
      <c r="N281" s="1033"/>
      <c r="O281" s="699"/>
      <c r="P281" s="699"/>
      <c r="Q281" s="699"/>
    </row>
    <row r="282">
      <c r="A282" s="699"/>
      <c r="B282" s="1022"/>
      <c r="C282" s="1023" t="s">
        <v>6716</v>
      </c>
      <c r="D282" s="1022">
        <v>24.0</v>
      </c>
      <c r="E282" s="1025"/>
      <c r="F282" s="1023"/>
      <c r="G282" s="1028" t="s">
        <v>176</v>
      </c>
      <c r="H282" s="1029" t="s">
        <v>587</v>
      </c>
      <c r="I282" s="1029" t="s">
        <v>588</v>
      </c>
      <c r="J282" s="1029" t="s">
        <v>318</v>
      </c>
      <c r="K282" s="1084"/>
      <c r="L282" s="1096"/>
      <c r="M282" s="1032"/>
      <c r="N282" s="1033"/>
      <c r="O282" s="699"/>
      <c r="P282" s="699"/>
      <c r="Q282" s="699"/>
    </row>
    <row r="283">
      <c r="A283" s="699"/>
      <c r="B283" s="1022"/>
      <c r="C283" s="1023" t="s">
        <v>6693</v>
      </c>
      <c r="D283" s="1022">
        <v>24.0</v>
      </c>
      <c r="E283" s="1025"/>
      <c r="F283" s="1023"/>
      <c r="G283" s="1028" t="s">
        <v>176</v>
      </c>
      <c r="H283" s="1029" t="s">
        <v>587</v>
      </c>
      <c r="I283" s="1029" t="s">
        <v>588</v>
      </c>
      <c r="J283" s="1029" t="s">
        <v>318</v>
      </c>
      <c r="K283" s="1084"/>
      <c r="L283" s="1096"/>
      <c r="M283" s="1032"/>
      <c r="N283" s="1033"/>
      <c r="O283" s="699"/>
      <c r="P283" s="699"/>
      <c r="Q283" s="699"/>
    </row>
    <row r="284">
      <c r="A284" s="699"/>
      <c r="B284" s="1022"/>
      <c r="C284" s="1023" t="s">
        <v>6655</v>
      </c>
      <c r="D284" s="1022">
        <v>24.0</v>
      </c>
      <c r="E284" s="1025"/>
      <c r="F284" s="1023"/>
      <c r="G284" s="1028" t="s">
        <v>176</v>
      </c>
      <c r="H284" s="1029" t="s">
        <v>587</v>
      </c>
      <c r="I284" s="1029" t="s">
        <v>588</v>
      </c>
      <c r="J284" s="1029" t="s">
        <v>318</v>
      </c>
      <c r="K284" s="1084"/>
      <c r="L284" s="1096"/>
      <c r="M284" s="1032"/>
      <c r="N284" s="1033"/>
      <c r="O284" s="699"/>
      <c r="P284" s="699"/>
      <c r="Q284" s="699"/>
    </row>
    <row r="285">
      <c r="A285" s="699"/>
      <c r="B285" s="1022"/>
      <c r="C285" s="1023" t="s">
        <v>6555</v>
      </c>
      <c r="D285" s="1022">
        <v>24.0</v>
      </c>
      <c r="E285" s="1025"/>
      <c r="F285" s="1023"/>
      <c r="G285" s="1028" t="s">
        <v>176</v>
      </c>
      <c r="H285" s="1029" t="s">
        <v>587</v>
      </c>
      <c r="I285" s="1029" t="s">
        <v>588</v>
      </c>
      <c r="J285" s="1029" t="s">
        <v>318</v>
      </c>
      <c r="K285" s="1084"/>
      <c r="L285" s="1096"/>
      <c r="M285" s="1032"/>
      <c r="N285" s="1033"/>
      <c r="O285" s="699"/>
      <c r="P285" s="699"/>
      <c r="Q285" s="699"/>
    </row>
    <row r="286">
      <c r="A286" s="699"/>
      <c r="B286" s="1022"/>
      <c r="C286" s="1023" t="s">
        <v>6525</v>
      </c>
      <c r="D286" s="1022">
        <v>24.0</v>
      </c>
      <c r="E286" s="1025"/>
      <c r="F286" s="1023"/>
      <c r="G286" s="1028" t="s">
        <v>176</v>
      </c>
      <c r="H286" s="1029" t="s">
        <v>587</v>
      </c>
      <c r="I286" s="1029" t="s">
        <v>588</v>
      </c>
      <c r="J286" s="1029" t="s">
        <v>318</v>
      </c>
      <c r="K286" s="1120"/>
      <c r="L286" s="1096"/>
      <c r="M286" s="1032"/>
      <c r="N286" s="1033"/>
      <c r="O286" s="699"/>
      <c r="P286" s="699"/>
      <c r="Q286" s="699"/>
    </row>
    <row r="287">
      <c r="A287" s="699"/>
      <c r="B287" s="1022"/>
      <c r="C287" s="1023" t="s">
        <v>27</v>
      </c>
      <c r="D287" s="1022">
        <v>24.0</v>
      </c>
      <c r="E287" s="1025"/>
      <c r="F287" s="1023"/>
      <c r="G287" s="1028" t="s">
        <v>176</v>
      </c>
      <c r="H287" s="1029" t="s">
        <v>587</v>
      </c>
      <c r="I287" s="1029" t="s">
        <v>588</v>
      </c>
      <c r="J287" s="1029" t="s">
        <v>318</v>
      </c>
      <c r="K287" s="1120"/>
      <c r="L287" s="1096"/>
      <c r="M287" s="1032"/>
      <c r="N287" s="1033"/>
      <c r="O287" s="699"/>
      <c r="P287" s="699"/>
      <c r="Q287" s="699"/>
    </row>
    <row r="288">
      <c r="A288" s="699"/>
      <c r="B288" s="1022"/>
      <c r="C288" s="1023" t="s">
        <v>6895</v>
      </c>
      <c r="D288" s="1022">
        <v>24.0</v>
      </c>
      <c r="E288" s="1025"/>
      <c r="F288" s="1023"/>
      <c r="G288" s="1028" t="s">
        <v>176</v>
      </c>
      <c r="H288" s="1029" t="s">
        <v>587</v>
      </c>
      <c r="I288" s="1029" t="s">
        <v>588</v>
      </c>
      <c r="J288" s="1029" t="s">
        <v>318</v>
      </c>
      <c r="K288" s="1084"/>
      <c r="L288" s="1096"/>
      <c r="M288" s="1032"/>
      <c r="N288" s="1033"/>
      <c r="O288" s="699"/>
      <c r="P288" s="699"/>
      <c r="Q288" s="699"/>
    </row>
    <row r="289">
      <c r="A289" s="699"/>
      <c r="B289" s="1022"/>
      <c r="C289" s="1023" t="s">
        <v>6049</v>
      </c>
      <c r="D289" s="1022">
        <v>24.0</v>
      </c>
      <c r="E289" s="1025"/>
      <c r="F289" s="1023"/>
      <c r="G289" s="1028" t="s">
        <v>176</v>
      </c>
      <c r="H289" s="1029" t="s">
        <v>587</v>
      </c>
      <c r="I289" s="1029" t="s">
        <v>588</v>
      </c>
      <c r="J289" s="1029" t="s">
        <v>318</v>
      </c>
      <c r="K289" s="1084"/>
      <c r="L289" s="1096"/>
      <c r="M289" s="1032"/>
      <c r="N289" s="1033"/>
      <c r="O289" s="699"/>
      <c r="P289" s="699"/>
      <c r="Q289" s="699"/>
    </row>
    <row r="290" ht="15.75" customHeight="1">
      <c r="A290" s="699"/>
      <c r="B290" s="1022"/>
      <c r="C290" s="1023" t="s">
        <v>13</v>
      </c>
      <c r="D290" s="1022">
        <v>12.0</v>
      </c>
      <c r="E290" s="1025"/>
      <c r="F290" s="1023"/>
      <c r="G290" s="1028" t="s">
        <v>176</v>
      </c>
      <c r="H290" s="1029" t="s">
        <v>444</v>
      </c>
      <c r="I290" s="1029" t="s">
        <v>445</v>
      </c>
      <c r="J290" s="1029" t="s">
        <v>446</v>
      </c>
      <c r="K290" s="1084"/>
      <c r="L290" s="1096"/>
      <c r="M290" s="1032"/>
      <c r="N290" s="1033"/>
      <c r="O290" s="699"/>
      <c r="P290" s="699"/>
      <c r="Q290" s="699"/>
    </row>
    <row r="291">
      <c r="A291" s="699"/>
      <c r="B291" s="1022"/>
      <c r="C291" s="1023" t="s">
        <v>5</v>
      </c>
      <c r="D291" s="1022">
        <v>4.0</v>
      </c>
      <c r="E291" s="1025"/>
      <c r="F291" s="1023"/>
      <c r="G291" s="1028" t="s">
        <v>176</v>
      </c>
      <c r="H291" s="1029" t="s">
        <v>267</v>
      </c>
      <c r="I291" s="1029" t="s">
        <v>268</v>
      </c>
      <c r="J291" s="1029" t="s">
        <v>270</v>
      </c>
      <c r="K291" s="1084"/>
      <c r="L291" s="1096"/>
      <c r="M291" s="1032"/>
      <c r="N291" s="1033"/>
      <c r="O291" s="699"/>
      <c r="P291" s="699"/>
      <c r="Q291" s="699"/>
    </row>
    <row r="292">
      <c r="A292" s="699"/>
      <c r="B292" s="1022"/>
      <c r="C292" s="1023" t="s">
        <v>6843</v>
      </c>
      <c r="D292" s="1022">
        <v>5.0</v>
      </c>
      <c r="E292" s="1025"/>
      <c r="F292" s="1023"/>
      <c r="G292" s="1028" t="s">
        <v>176</v>
      </c>
      <c r="H292" s="1029" t="s">
        <v>6896</v>
      </c>
      <c r="I292" s="1029" t="s">
        <v>6897</v>
      </c>
      <c r="J292" s="1029" t="s">
        <v>6898</v>
      </c>
      <c r="K292" s="1029"/>
      <c r="L292" s="1096"/>
      <c r="M292" s="1032"/>
      <c r="N292" s="1033"/>
      <c r="O292" s="699"/>
      <c r="P292" s="699"/>
      <c r="Q292" s="699"/>
    </row>
    <row r="293">
      <c r="A293" s="699"/>
      <c r="B293" s="1022"/>
      <c r="C293" s="1023" t="s">
        <v>6667</v>
      </c>
      <c r="D293" s="1022">
        <v>5.0</v>
      </c>
      <c r="E293" s="1025"/>
      <c r="F293" s="1023"/>
      <c r="G293" s="1028" t="s">
        <v>176</v>
      </c>
      <c r="H293" s="1029" t="s">
        <v>6896</v>
      </c>
      <c r="I293" s="1029" t="s">
        <v>6897</v>
      </c>
      <c r="J293" s="1029" t="s">
        <v>6898</v>
      </c>
      <c r="K293" s="1029"/>
      <c r="L293" s="1096"/>
      <c r="M293" s="1032"/>
      <c r="N293" s="1033"/>
      <c r="O293" s="699"/>
      <c r="P293" s="699"/>
      <c r="Q293" s="699"/>
    </row>
    <row r="294">
      <c r="A294" s="699"/>
      <c r="B294" s="1022"/>
      <c r="C294" s="1023" t="s">
        <v>6</v>
      </c>
      <c r="D294" s="1022">
        <v>5.0</v>
      </c>
      <c r="E294" s="1025"/>
      <c r="F294" s="1023"/>
      <c r="G294" s="1028" t="s">
        <v>176</v>
      </c>
      <c r="H294" s="1029" t="s">
        <v>290</v>
      </c>
      <c r="I294" s="1029" t="s">
        <v>293</v>
      </c>
      <c r="J294" s="1029" t="s">
        <v>295</v>
      </c>
      <c r="K294" s="1029"/>
      <c r="L294" s="1096"/>
      <c r="M294" s="1032"/>
      <c r="N294" s="1033"/>
      <c r="O294" s="699"/>
      <c r="P294" s="699"/>
      <c r="Q294" s="699"/>
    </row>
    <row r="295">
      <c r="A295" s="699"/>
      <c r="B295" s="1022"/>
      <c r="C295" s="1023" t="s">
        <v>28</v>
      </c>
      <c r="D295" s="1022">
        <v>25.0</v>
      </c>
      <c r="E295" s="1025"/>
      <c r="F295" s="1023"/>
      <c r="G295" s="1028" t="s">
        <v>176</v>
      </c>
      <c r="H295" s="1029" t="s">
        <v>598</v>
      </c>
      <c r="I295" s="1029" t="s">
        <v>599</v>
      </c>
      <c r="J295" s="1029" t="s">
        <v>490</v>
      </c>
      <c r="K295" s="1029"/>
      <c r="L295" s="1096"/>
      <c r="M295" s="1032"/>
      <c r="N295" s="1033"/>
      <c r="O295" s="699"/>
      <c r="P295" s="699"/>
      <c r="Q295" s="699"/>
    </row>
    <row r="296">
      <c r="A296" s="699"/>
      <c r="B296" s="1022"/>
      <c r="C296" s="1023" t="s">
        <v>17</v>
      </c>
      <c r="D296" s="1022">
        <v>15.0</v>
      </c>
      <c r="E296" s="1025"/>
      <c r="F296" s="1023"/>
      <c r="G296" s="1028" t="s">
        <v>176</v>
      </c>
      <c r="H296" s="1029" t="s">
        <v>478</v>
      </c>
      <c r="I296" s="1029" t="s">
        <v>479</v>
      </c>
      <c r="J296" s="1029" t="s">
        <v>480</v>
      </c>
      <c r="K296" s="1029"/>
      <c r="L296" s="1096"/>
      <c r="M296" s="1032"/>
      <c r="N296" s="1033"/>
      <c r="O296" s="699"/>
      <c r="P296" s="699"/>
      <c r="Q296" s="699"/>
    </row>
    <row r="297">
      <c r="A297" s="699"/>
      <c r="B297" s="1022"/>
      <c r="C297" s="1023" t="s">
        <v>22</v>
      </c>
      <c r="D297" s="1022">
        <v>19.0</v>
      </c>
      <c r="E297" s="1025"/>
      <c r="F297" s="1023"/>
      <c r="G297" s="1028" t="s">
        <v>176</v>
      </c>
      <c r="H297" s="1029" t="s">
        <v>6899</v>
      </c>
      <c r="I297" s="1029" t="s">
        <v>540</v>
      </c>
      <c r="J297" s="1029" t="s">
        <v>467</v>
      </c>
      <c r="K297" s="1029"/>
      <c r="L297" s="1096"/>
      <c r="M297" s="1032"/>
      <c r="N297" s="1033"/>
      <c r="O297" s="699"/>
      <c r="P297" s="699"/>
      <c r="Q297" s="699"/>
    </row>
    <row r="298">
      <c r="A298" s="699"/>
      <c r="B298" s="1022"/>
      <c r="C298" s="1023" t="s">
        <v>32</v>
      </c>
      <c r="D298" s="1022">
        <v>29.0</v>
      </c>
      <c r="E298" s="1025"/>
      <c r="F298" s="1023"/>
      <c r="G298" s="1028" t="s">
        <v>176</v>
      </c>
      <c r="H298" s="1029" t="s">
        <v>689</v>
      </c>
      <c r="I298" s="1029" t="s">
        <v>690</v>
      </c>
      <c r="J298" s="1029" t="s">
        <v>692</v>
      </c>
      <c r="K298" s="1029"/>
      <c r="L298" s="1096"/>
      <c r="M298" s="1032"/>
      <c r="N298" s="1033"/>
      <c r="O298" s="699"/>
      <c r="P298" s="699"/>
      <c r="Q298" s="699"/>
    </row>
    <row r="299">
      <c r="A299" s="699"/>
      <c r="B299" s="1022"/>
      <c r="C299" s="1023" t="s">
        <v>6202</v>
      </c>
      <c r="D299" s="1022">
        <v>29.0</v>
      </c>
      <c r="E299" s="1025"/>
      <c r="F299" s="1023"/>
      <c r="G299" s="1028" t="s">
        <v>176</v>
      </c>
      <c r="H299" s="1029" t="s">
        <v>689</v>
      </c>
      <c r="I299" s="1029" t="s">
        <v>690</v>
      </c>
      <c r="J299" s="1029" t="s">
        <v>692</v>
      </c>
      <c r="K299" s="1029"/>
      <c r="L299" s="1096"/>
      <c r="M299" s="1032"/>
      <c r="N299" s="1033"/>
      <c r="O299" s="699"/>
      <c r="P299" s="699"/>
      <c r="Q299" s="699"/>
    </row>
    <row r="300">
      <c r="A300" s="699"/>
      <c r="B300" s="1022"/>
      <c r="C300" s="1023" t="s">
        <v>6900</v>
      </c>
      <c r="D300" s="1022">
        <v>29.0</v>
      </c>
      <c r="E300" s="1025"/>
      <c r="F300" s="1023"/>
      <c r="G300" s="1028" t="s">
        <v>176</v>
      </c>
      <c r="H300" s="1029" t="s">
        <v>689</v>
      </c>
      <c r="I300" s="1029" t="s">
        <v>690</v>
      </c>
      <c r="J300" s="1029" t="s">
        <v>692</v>
      </c>
      <c r="K300" s="1029"/>
      <c r="L300" s="1096"/>
      <c r="M300" s="1032"/>
      <c r="N300" s="1033"/>
      <c r="O300" s="699"/>
      <c r="P300" s="699"/>
      <c r="Q300" s="699"/>
    </row>
    <row r="301" ht="15.75" customHeight="1">
      <c r="A301" s="699"/>
      <c r="B301" s="1022"/>
      <c r="C301" s="1023" t="s">
        <v>6901</v>
      </c>
      <c r="D301" s="1022">
        <v>13.0</v>
      </c>
      <c r="E301" s="1025"/>
      <c r="F301" s="1023"/>
      <c r="G301" s="1028" t="s">
        <v>176</v>
      </c>
      <c r="H301" s="1029" t="s">
        <v>457</v>
      </c>
      <c r="I301" s="1029" t="s">
        <v>458</v>
      </c>
      <c r="J301" s="1121" t="s">
        <v>6902</v>
      </c>
      <c r="K301" s="1029"/>
      <c r="L301" s="1096"/>
      <c r="M301" s="1032"/>
      <c r="N301" s="1033"/>
      <c r="O301" s="699"/>
      <c r="P301" s="699"/>
      <c r="Q301" s="699"/>
    </row>
    <row r="302">
      <c r="A302" s="699"/>
      <c r="B302" s="1022"/>
      <c r="C302" s="1023" t="s">
        <v>6849</v>
      </c>
      <c r="D302" s="1022">
        <v>20.0</v>
      </c>
      <c r="E302" s="1025"/>
      <c r="F302" s="1023"/>
      <c r="G302" s="1028" t="s">
        <v>176</v>
      </c>
      <c r="H302" s="1029" t="s">
        <v>551</v>
      </c>
      <c r="I302" s="1029" t="s">
        <v>552</v>
      </c>
      <c r="J302" s="1029" t="s">
        <v>6903</v>
      </c>
      <c r="K302" s="1029"/>
      <c r="L302" s="1096"/>
      <c r="M302" s="1032"/>
      <c r="N302" s="1033"/>
      <c r="O302" s="699"/>
      <c r="P302" s="699"/>
      <c r="Q302" s="699"/>
    </row>
    <row r="303">
      <c r="A303" s="699"/>
      <c r="B303" s="1022"/>
      <c r="C303" s="1023" t="s">
        <v>23</v>
      </c>
      <c r="D303" s="1022">
        <v>20.0</v>
      </c>
      <c r="E303" s="1025"/>
      <c r="F303" s="1023"/>
      <c r="G303" s="1028" t="s">
        <v>176</v>
      </c>
      <c r="H303" s="1029" t="s">
        <v>551</v>
      </c>
      <c r="I303" s="1029" t="s">
        <v>552</v>
      </c>
      <c r="J303" s="1029" t="s">
        <v>6903</v>
      </c>
      <c r="K303" s="1029"/>
      <c r="L303" s="1096"/>
      <c r="M303" s="1032"/>
      <c r="N303" s="1033"/>
      <c r="O303" s="699"/>
      <c r="P303" s="699"/>
      <c r="Q303" s="699"/>
    </row>
    <row r="304">
      <c r="A304" s="699"/>
      <c r="B304" s="1022"/>
      <c r="C304" s="1023" t="s">
        <v>6836</v>
      </c>
      <c r="D304" s="1022">
        <v>23.0</v>
      </c>
      <c r="E304" s="1025"/>
      <c r="F304" s="1023"/>
      <c r="G304" s="1028" t="s">
        <v>176</v>
      </c>
      <c r="H304" s="1029" t="s">
        <v>6904</v>
      </c>
      <c r="I304" s="1029" t="s">
        <v>1675</v>
      </c>
      <c r="J304" s="1029" t="s">
        <v>6905</v>
      </c>
      <c r="K304" s="1029"/>
      <c r="L304" s="1096"/>
      <c r="M304" s="1032"/>
      <c r="N304" s="1033"/>
      <c r="O304" s="699"/>
      <c r="P304" s="699"/>
      <c r="Q304" s="699"/>
    </row>
    <row r="305">
      <c r="A305" s="699"/>
      <c r="B305" s="1022"/>
      <c r="C305" s="1023" t="s">
        <v>6438</v>
      </c>
      <c r="D305" s="1022">
        <v>23.0</v>
      </c>
      <c r="E305" s="1025"/>
      <c r="F305" s="1023"/>
      <c r="G305" s="1028" t="s">
        <v>176</v>
      </c>
      <c r="H305" s="1029" t="s">
        <v>6904</v>
      </c>
      <c r="I305" s="1029" t="s">
        <v>1675</v>
      </c>
      <c r="J305" s="1029" t="s">
        <v>6905</v>
      </c>
      <c r="K305" s="1029"/>
      <c r="L305" s="1096"/>
      <c r="M305" s="1032"/>
      <c r="N305" s="1033"/>
      <c r="O305" s="699"/>
      <c r="P305" s="699"/>
      <c r="Q305" s="699"/>
    </row>
    <row r="306">
      <c r="A306" s="699"/>
      <c r="B306" s="1022"/>
      <c r="C306" s="1023" t="s">
        <v>6293</v>
      </c>
      <c r="D306" s="1022">
        <v>23.0</v>
      </c>
      <c r="E306" s="1025"/>
      <c r="F306" s="1023"/>
      <c r="G306" s="1028" t="s">
        <v>176</v>
      </c>
      <c r="H306" s="1029" t="s">
        <v>6904</v>
      </c>
      <c r="I306" s="1029" t="s">
        <v>1675</v>
      </c>
      <c r="J306" s="1029" t="s">
        <v>6905</v>
      </c>
      <c r="K306" s="1029"/>
      <c r="L306" s="1096"/>
      <c r="M306" s="1032"/>
      <c r="N306" s="1033"/>
      <c r="O306" s="699"/>
      <c r="P306" s="699"/>
      <c r="Q306" s="699"/>
    </row>
    <row r="307">
      <c r="A307" s="699"/>
      <c r="B307" s="1022"/>
      <c r="C307" s="1023" t="s">
        <v>6293</v>
      </c>
      <c r="D307" s="1022">
        <v>23.0</v>
      </c>
      <c r="E307" s="1025"/>
      <c r="F307" s="1023"/>
      <c r="G307" s="1028" t="s">
        <v>176</v>
      </c>
      <c r="H307" s="1029" t="s">
        <v>576</v>
      </c>
      <c r="I307" s="1029" t="s">
        <v>577</v>
      </c>
      <c r="J307" s="1029" t="s">
        <v>578</v>
      </c>
      <c r="K307" s="1029"/>
      <c r="L307" s="1096"/>
      <c r="M307" s="1032"/>
      <c r="N307" s="1033"/>
      <c r="O307" s="699"/>
      <c r="P307" s="699"/>
      <c r="Q307" s="699"/>
    </row>
    <row r="308">
      <c r="A308" s="699"/>
      <c r="B308" s="1022"/>
      <c r="C308" s="1023" t="s">
        <v>6227</v>
      </c>
      <c r="D308" s="1022">
        <v>23.0</v>
      </c>
      <c r="E308" s="1025"/>
      <c r="F308" s="1023"/>
      <c r="G308" s="1028" t="s">
        <v>176</v>
      </c>
      <c r="H308" s="1029" t="s">
        <v>576</v>
      </c>
      <c r="I308" s="1029" t="s">
        <v>577</v>
      </c>
      <c r="J308" s="1029" t="s">
        <v>578</v>
      </c>
      <c r="K308" s="1029"/>
      <c r="L308" s="1096"/>
      <c r="M308" s="1032"/>
      <c r="N308" s="1033"/>
      <c r="O308" s="699"/>
      <c r="P308" s="699"/>
      <c r="Q308" s="699"/>
    </row>
    <row r="309">
      <c r="A309" s="699"/>
      <c r="B309" s="1022"/>
      <c r="C309" s="1023" t="s">
        <v>26</v>
      </c>
      <c r="D309" s="1022">
        <v>23.0</v>
      </c>
      <c r="E309" s="1025"/>
      <c r="F309" s="1023"/>
      <c r="G309" s="1028" t="s">
        <v>176</v>
      </c>
      <c r="H309" s="1029" t="s">
        <v>576</v>
      </c>
      <c r="I309" s="1029" t="s">
        <v>577</v>
      </c>
      <c r="J309" s="1029" t="s">
        <v>578</v>
      </c>
      <c r="K309" s="1029"/>
      <c r="L309" s="1096"/>
      <c r="M309" s="1032"/>
      <c r="N309" s="1033"/>
      <c r="O309" s="699"/>
      <c r="P309" s="699"/>
      <c r="Q309" s="699"/>
    </row>
    <row r="310">
      <c r="A310" s="699"/>
      <c r="B310" s="1022"/>
      <c r="C310" s="1023" t="s">
        <v>6906</v>
      </c>
      <c r="D310" s="1022">
        <v>23.0</v>
      </c>
      <c r="E310" s="1025"/>
      <c r="F310" s="1023"/>
      <c r="G310" s="1028" t="s">
        <v>176</v>
      </c>
      <c r="H310" s="1029" t="s">
        <v>576</v>
      </c>
      <c r="I310" s="1029" t="s">
        <v>577</v>
      </c>
      <c r="J310" s="1029" t="s">
        <v>578</v>
      </c>
      <c r="K310" s="1029"/>
      <c r="L310" s="1096"/>
      <c r="M310" s="1032"/>
      <c r="N310" s="1033"/>
      <c r="O310" s="699"/>
      <c r="P310" s="699"/>
      <c r="Q310" s="699"/>
    </row>
    <row r="311">
      <c r="A311" s="699"/>
      <c r="B311" s="1022"/>
      <c r="C311" s="1023" t="s">
        <v>29</v>
      </c>
      <c r="D311" s="1022">
        <v>26.0</v>
      </c>
      <c r="E311" s="1025"/>
      <c r="F311" s="1023"/>
      <c r="G311" s="1028" t="s">
        <v>176</v>
      </c>
      <c r="H311" s="1029" t="s">
        <v>620</v>
      </c>
      <c r="I311" s="1029" t="s">
        <v>621</v>
      </c>
      <c r="J311" s="1029" t="s">
        <v>622</v>
      </c>
      <c r="K311" s="1029"/>
      <c r="L311" s="1096"/>
      <c r="M311" s="1032"/>
      <c r="N311" s="1033"/>
      <c r="O311" s="699"/>
      <c r="P311" s="699"/>
      <c r="Q311" s="699"/>
    </row>
    <row r="312">
      <c r="A312" s="699"/>
      <c r="B312" s="1022"/>
      <c r="C312" s="1023" t="s">
        <v>6650</v>
      </c>
      <c r="D312" s="1022">
        <v>3.0</v>
      </c>
      <c r="E312" s="1025"/>
      <c r="F312" s="1023"/>
      <c r="G312" s="1028" t="s">
        <v>176</v>
      </c>
      <c r="H312" s="1029" t="s">
        <v>241</v>
      </c>
      <c r="I312" s="1029" t="s">
        <v>2186</v>
      </c>
      <c r="J312" s="1029" t="s">
        <v>6907</v>
      </c>
      <c r="K312" s="1029"/>
      <c r="L312" s="1096"/>
      <c r="M312" s="1032"/>
      <c r="N312" s="1033"/>
      <c r="O312" s="699"/>
      <c r="P312" s="699"/>
      <c r="Q312" s="699"/>
    </row>
    <row r="313">
      <c r="A313" s="699"/>
      <c r="B313" s="1022"/>
      <c r="C313" s="1023" t="s">
        <v>6650</v>
      </c>
      <c r="D313" s="1022">
        <v>3.0</v>
      </c>
      <c r="E313" s="1025"/>
      <c r="F313" s="1023"/>
      <c r="G313" s="1028" t="s">
        <v>176</v>
      </c>
      <c r="H313" s="1029" t="s">
        <v>241</v>
      </c>
      <c r="I313" s="1029" t="s">
        <v>2186</v>
      </c>
      <c r="J313" s="1029" t="s">
        <v>244</v>
      </c>
      <c r="K313" s="1029"/>
      <c r="L313" s="1096"/>
      <c r="M313" s="1032"/>
      <c r="N313" s="1033"/>
      <c r="O313" s="699"/>
      <c r="P313" s="699"/>
      <c r="Q313" s="699"/>
    </row>
    <row r="314">
      <c r="A314" s="699"/>
      <c r="B314" s="1022"/>
      <c r="C314" s="1023" t="s">
        <v>10</v>
      </c>
      <c r="D314" s="1022">
        <v>9.0</v>
      </c>
      <c r="E314" s="1025"/>
      <c r="F314" s="1023"/>
      <c r="G314" s="1028" t="s">
        <v>176</v>
      </c>
      <c r="H314" s="1029" t="s">
        <v>388</v>
      </c>
      <c r="I314" s="1029" t="s">
        <v>181</v>
      </c>
      <c r="J314" s="1029" t="s">
        <v>390</v>
      </c>
      <c r="K314" s="1029"/>
      <c r="L314" s="1096"/>
      <c r="M314" s="1032"/>
      <c r="N314" s="1033"/>
      <c r="O314" s="699"/>
      <c r="P314" s="699"/>
      <c r="Q314" s="699"/>
    </row>
    <row r="315">
      <c r="A315" s="699"/>
      <c r="B315" s="1022"/>
      <c r="C315" s="1023" t="s">
        <v>35</v>
      </c>
      <c r="D315" s="1022">
        <v>32.0</v>
      </c>
      <c r="E315" s="1025"/>
      <c r="F315" s="1023"/>
      <c r="G315" s="1028" t="s">
        <v>176</v>
      </c>
      <c r="H315" s="1029" t="s">
        <v>744</v>
      </c>
      <c r="I315" s="1029" t="s">
        <v>745</v>
      </c>
      <c r="J315" s="1029" t="s">
        <v>746</v>
      </c>
      <c r="K315" s="1029"/>
      <c r="L315" s="1096"/>
      <c r="M315" s="1032"/>
      <c r="N315" s="1033"/>
      <c r="O315" s="699"/>
      <c r="P315" s="699"/>
      <c r="Q315" s="699"/>
    </row>
    <row r="316">
      <c r="A316" s="699"/>
      <c r="B316" s="1022"/>
      <c r="C316" s="1023" t="s">
        <v>6339</v>
      </c>
      <c r="D316" s="1022">
        <v>32.0</v>
      </c>
      <c r="E316" s="1025"/>
      <c r="F316" s="1023"/>
      <c r="G316" s="1028" t="s">
        <v>176</v>
      </c>
      <c r="H316" s="1029" t="s">
        <v>744</v>
      </c>
      <c r="I316" s="1029" t="s">
        <v>745</v>
      </c>
      <c r="J316" s="1029" t="s">
        <v>746</v>
      </c>
      <c r="K316" s="1029"/>
      <c r="L316" s="1096"/>
      <c r="M316" s="1032"/>
      <c r="N316" s="1033"/>
      <c r="O316" s="699"/>
      <c r="P316" s="699"/>
      <c r="Q316" s="699"/>
    </row>
    <row r="317">
      <c r="A317" s="699"/>
      <c r="B317" s="1022"/>
      <c r="C317" s="1023" t="s">
        <v>6331</v>
      </c>
      <c r="D317" s="1022">
        <v>32.0</v>
      </c>
      <c r="E317" s="1025"/>
      <c r="F317" s="1023"/>
      <c r="G317" s="1028" t="s">
        <v>176</v>
      </c>
      <c r="H317" s="1029" t="s">
        <v>744</v>
      </c>
      <c r="I317" s="1029" t="s">
        <v>745</v>
      </c>
      <c r="J317" s="1029" t="s">
        <v>746</v>
      </c>
      <c r="K317" s="1029"/>
      <c r="L317" s="1096"/>
      <c r="M317" s="1032"/>
      <c r="N317" s="1033"/>
      <c r="O317" s="699"/>
      <c r="P317" s="699"/>
      <c r="Q317" s="699"/>
    </row>
    <row r="318">
      <c r="A318" s="699"/>
      <c r="B318" s="1022"/>
      <c r="C318" s="1023" t="s">
        <v>6061</v>
      </c>
      <c r="D318" s="1022">
        <v>32.0</v>
      </c>
      <c r="E318" s="1025"/>
      <c r="F318" s="1023"/>
      <c r="G318" s="1028" t="s">
        <v>176</v>
      </c>
      <c r="H318" s="1029" t="s">
        <v>744</v>
      </c>
      <c r="I318" s="1029" t="s">
        <v>6908</v>
      </c>
      <c r="J318" s="1029" t="s">
        <v>746</v>
      </c>
      <c r="K318" s="1029"/>
      <c r="L318" s="1096"/>
      <c r="M318" s="1032"/>
      <c r="N318" s="1033"/>
      <c r="O318" s="699"/>
      <c r="P318" s="699"/>
      <c r="Q318" s="699"/>
    </row>
    <row r="319">
      <c r="A319" s="699"/>
      <c r="B319" s="1022"/>
      <c r="C319" s="1023" t="s">
        <v>6334</v>
      </c>
      <c r="D319" s="1022">
        <v>32.0</v>
      </c>
      <c r="E319" s="1025"/>
      <c r="F319" s="1023"/>
      <c r="G319" s="1028" t="s">
        <v>176</v>
      </c>
      <c r="H319" s="1029" t="s">
        <v>744</v>
      </c>
      <c r="I319" s="1029" t="s">
        <v>745</v>
      </c>
      <c r="J319" s="1029" t="s">
        <v>746</v>
      </c>
      <c r="K319" s="1029"/>
      <c r="L319" s="1096"/>
      <c r="M319" s="1032"/>
      <c r="N319" s="1033"/>
      <c r="O319" s="699"/>
      <c r="P319" s="699"/>
      <c r="Q319" s="699"/>
    </row>
    <row r="320">
      <c r="A320" s="699"/>
      <c r="B320" s="1022"/>
      <c r="C320" s="1023" t="s">
        <v>18</v>
      </c>
      <c r="D320" s="1022">
        <v>16.0</v>
      </c>
      <c r="E320" s="1025"/>
      <c r="F320" s="1023"/>
      <c r="G320" s="1028" t="s">
        <v>176</v>
      </c>
      <c r="H320" s="1029" t="s">
        <v>499</v>
      </c>
      <c r="I320" s="1029" t="s">
        <v>376</v>
      </c>
      <c r="J320" s="1029" t="s">
        <v>500</v>
      </c>
      <c r="K320" s="1029"/>
      <c r="L320" s="1096"/>
      <c r="M320" s="1032"/>
      <c r="N320" s="1033"/>
      <c r="O320" s="699"/>
      <c r="P320" s="699"/>
      <c r="Q320" s="699"/>
    </row>
    <row r="321">
      <c r="A321" s="699"/>
      <c r="B321" s="1022"/>
      <c r="C321" s="1023" t="s">
        <v>6909</v>
      </c>
      <c r="D321" s="1022">
        <v>8.0</v>
      </c>
      <c r="E321" s="1025"/>
      <c r="F321" s="1023"/>
      <c r="G321" s="1028" t="s">
        <v>176</v>
      </c>
      <c r="H321" s="1029" t="s">
        <v>6910</v>
      </c>
      <c r="I321" s="1029" t="s">
        <v>340</v>
      </c>
      <c r="J321" s="1029" t="s">
        <v>270</v>
      </c>
      <c r="K321" s="1029"/>
      <c r="L321" s="1096"/>
      <c r="M321" s="1032"/>
      <c r="N321" s="1033"/>
      <c r="O321" s="699"/>
      <c r="P321" s="699"/>
      <c r="Q321" s="699"/>
    </row>
    <row r="322">
      <c r="A322" s="699"/>
      <c r="B322" s="1022"/>
      <c r="C322" s="1023" t="s">
        <v>31</v>
      </c>
      <c r="D322" s="1022">
        <v>28.0</v>
      </c>
      <c r="E322" s="1025"/>
      <c r="F322" s="1023"/>
      <c r="G322" s="1028" t="s">
        <v>176</v>
      </c>
      <c r="H322" s="1029" t="s">
        <v>664</v>
      </c>
      <c r="I322" s="1029" t="s">
        <v>588</v>
      </c>
      <c r="J322" s="1029"/>
      <c r="K322" s="1029"/>
      <c r="L322" s="1096"/>
      <c r="M322" s="1032"/>
      <c r="N322" s="1033"/>
      <c r="O322" s="699"/>
      <c r="P322" s="699"/>
      <c r="Q322" s="699"/>
    </row>
    <row r="323">
      <c r="A323" s="699"/>
      <c r="B323" s="1022"/>
      <c r="C323" s="1023" t="s">
        <v>6911</v>
      </c>
      <c r="D323" s="1022">
        <v>22.0</v>
      </c>
      <c r="E323" s="1025"/>
      <c r="F323" s="1023"/>
      <c r="G323" s="1028" t="s">
        <v>176</v>
      </c>
      <c r="H323" s="1029" t="s">
        <v>566</v>
      </c>
      <c r="I323" s="1029" t="s">
        <v>567</v>
      </c>
      <c r="J323" s="1029" t="s">
        <v>568</v>
      </c>
      <c r="K323" s="1029"/>
      <c r="L323" s="1096"/>
      <c r="M323" s="1032"/>
      <c r="N323" s="1033"/>
      <c r="O323" s="699"/>
      <c r="P323" s="699"/>
      <c r="Q323" s="699"/>
    </row>
    <row r="324">
      <c r="A324" s="699"/>
      <c r="B324" s="1022"/>
      <c r="C324" s="1023" t="s">
        <v>6912</v>
      </c>
      <c r="D324" s="1022">
        <v>22.0</v>
      </c>
      <c r="E324" s="1025"/>
      <c r="F324" s="1023"/>
      <c r="G324" s="1028" t="s">
        <v>176</v>
      </c>
      <c r="H324" s="1029" t="s">
        <v>566</v>
      </c>
      <c r="I324" s="1029" t="s">
        <v>567</v>
      </c>
      <c r="J324" s="1029" t="s">
        <v>568</v>
      </c>
      <c r="K324" s="1029"/>
      <c r="L324" s="1096"/>
      <c r="M324" s="1032"/>
      <c r="N324" s="1033"/>
      <c r="O324" s="699"/>
      <c r="P324" s="699"/>
      <c r="Q324" s="699"/>
    </row>
    <row r="325">
      <c r="A325" s="699"/>
      <c r="B325" s="1022"/>
      <c r="C325" s="1023" t="s">
        <v>6913</v>
      </c>
      <c r="D325" s="1022">
        <v>22.0</v>
      </c>
      <c r="E325" s="1025"/>
      <c r="F325" s="1023"/>
      <c r="G325" s="1028" t="s">
        <v>176</v>
      </c>
      <c r="H325" s="1029" t="s">
        <v>566</v>
      </c>
      <c r="I325" s="1029" t="s">
        <v>567</v>
      </c>
      <c r="J325" s="1029" t="s">
        <v>568</v>
      </c>
      <c r="K325" s="1029"/>
      <c r="L325" s="1096"/>
      <c r="M325" s="1032"/>
      <c r="N325" s="1033"/>
      <c r="O325" s="699"/>
      <c r="P325" s="699"/>
      <c r="Q325" s="699"/>
    </row>
    <row r="326">
      <c r="A326" s="699"/>
      <c r="B326" s="1022"/>
      <c r="C326" s="1023" t="s">
        <v>6451</v>
      </c>
      <c r="D326" s="1022">
        <v>22.0</v>
      </c>
      <c r="E326" s="1025"/>
      <c r="F326" s="1023"/>
      <c r="G326" s="1028" t="s">
        <v>176</v>
      </c>
      <c r="H326" s="1029" t="s">
        <v>566</v>
      </c>
      <c r="I326" s="1029" t="s">
        <v>567</v>
      </c>
      <c r="J326" s="1029" t="s">
        <v>568</v>
      </c>
      <c r="K326" s="1029"/>
      <c r="L326" s="1096"/>
      <c r="M326" s="1032"/>
      <c r="N326" s="1033"/>
      <c r="O326" s="699"/>
      <c r="P326" s="699"/>
      <c r="Q326" s="699"/>
    </row>
    <row r="327">
      <c r="A327" s="699"/>
      <c r="B327" s="1022"/>
      <c r="C327" s="1023" t="s">
        <v>6267</v>
      </c>
      <c r="D327" s="1022">
        <v>22.0</v>
      </c>
      <c r="E327" s="1025"/>
      <c r="F327" s="1023"/>
      <c r="G327" s="1028" t="s">
        <v>176</v>
      </c>
      <c r="H327" s="1029" t="s">
        <v>566</v>
      </c>
      <c r="I327" s="1029" t="s">
        <v>567</v>
      </c>
      <c r="J327" s="1029" t="s">
        <v>568</v>
      </c>
      <c r="K327" s="1029"/>
      <c r="L327" s="1096"/>
      <c r="M327" s="1032"/>
      <c r="N327" s="1033"/>
      <c r="O327" s="699"/>
      <c r="P327" s="699"/>
      <c r="Q327" s="699"/>
    </row>
    <row r="328">
      <c r="A328" s="699"/>
      <c r="B328" s="1022"/>
      <c r="C328" s="1023" t="s">
        <v>6914</v>
      </c>
      <c r="D328" s="1022">
        <v>22.0</v>
      </c>
      <c r="E328" s="1025"/>
      <c r="F328" s="1023"/>
      <c r="G328" s="1028" t="s">
        <v>176</v>
      </c>
      <c r="H328" s="1029" t="s">
        <v>566</v>
      </c>
      <c r="I328" s="1029" t="s">
        <v>567</v>
      </c>
      <c r="J328" s="1029" t="s">
        <v>568</v>
      </c>
      <c r="K328" s="1023"/>
      <c r="L328" s="1096"/>
      <c r="M328" s="1032"/>
      <c r="N328" s="1033"/>
      <c r="O328" s="699"/>
      <c r="P328" s="699"/>
      <c r="Q328" s="699"/>
    </row>
    <row r="329">
      <c r="A329" s="699"/>
      <c r="B329" s="1022"/>
      <c r="C329" s="1023" t="s">
        <v>6915</v>
      </c>
      <c r="D329" s="1022">
        <v>22.0</v>
      </c>
      <c r="E329" s="1025"/>
      <c r="F329" s="1023"/>
      <c r="G329" s="1028" t="s">
        <v>176</v>
      </c>
      <c r="H329" s="1029" t="s">
        <v>566</v>
      </c>
      <c r="I329" s="1029" t="s">
        <v>567</v>
      </c>
      <c r="J329" s="1029" t="s">
        <v>568</v>
      </c>
      <c r="K329" s="1029"/>
      <c r="L329" s="1096"/>
      <c r="M329" s="1032"/>
      <c r="N329" s="1033"/>
      <c r="O329" s="699"/>
      <c r="P329" s="699"/>
      <c r="Q329" s="699"/>
    </row>
    <row r="330">
      <c r="A330" s="699"/>
      <c r="B330" s="1022"/>
      <c r="C330" s="1023" t="s">
        <v>6916</v>
      </c>
      <c r="D330" s="1022">
        <v>22.0</v>
      </c>
      <c r="E330" s="1025"/>
      <c r="F330" s="1023"/>
      <c r="G330" s="1028" t="s">
        <v>176</v>
      </c>
      <c r="H330" s="1029" t="s">
        <v>566</v>
      </c>
      <c r="I330" s="1029" t="s">
        <v>567</v>
      </c>
      <c r="J330" s="1029" t="s">
        <v>568</v>
      </c>
      <c r="K330" s="1029"/>
      <c r="L330" s="1096"/>
      <c r="M330" s="1032"/>
      <c r="N330" s="1033"/>
      <c r="O330" s="699"/>
      <c r="P330" s="699"/>
      <c r="Q330" s="699"/>
    </row>
    <row r="331">
      <c r="A331" s="699"/>
      <c r="B331" s="1022"/>
      <c r="C331" s="1023" t="s">
        <v>16</v>
      </c>
      <c r="D331" s="1022">
        <v>14.0</v>
      </c>
      <c r="E331" s="1025"/>
      <c r="F331" s="1023"/>
      <c r="G331" s="1028" t="s">
        <v>176</v>
      </c>
      <c r="H331" s="1029" t="s">
        <v>471</v>
      </c>
      <c r="I331" s="1029" t="s">
        <v>317</v>
      </c>
      <c r="J331" s="1029" t="s">
        <v>472</v>
      </c>
      <c r="K331" s="1029"/>
      <c r="L331" s="1096"/>
      <c r="M331" s="1032"/>
      <c r="N331" s="1033"/>
      <c r="O331" s="699"/>
      <c r="P331" s="699"/>
      <c r="Q331" s="699"/>
    </row>
    <row r="332">
      <c r="A332" s="699"/>
      <c r="B332" s="1022"/>
      <c r="C332" s="1023" t="s">
        <v>6859</v>
      </c>
      <c r="D332" s="1022">
        <v>14.0</v>
      </c>
      <c r="E332" s="1025"/>
      <c r="F332" s="1023"/>
      <c r="G332" s="1028" t="s">
        <v>176</v>
      </c>
      <c r="H332" s="1029" t="s">
        <v>6917</v>
      </c>
      <c r="I332" s="1029" t="s">
        <v>6918</v>
      </c>
      <c r="J332" s="1029" t="s">
        <v>6919</v>
      </c>
      <c r="K332" s="1029"/>
      <c r="L332" s="1096"/>
      <c r="M332" s="1032"/>
      <c r="N332" s="1033"/>
      <c r="O332" s="699"/>
      <c r="P332" s="699"/>
      <c r="Q332" s="699"/>
    </row>
    <row r="333">
      <c r="A333" s="699"/>
      <c r="B333" s="1022"/>
      <c r="C333" s="1023" t="s">
        <v>6920</v>
      </c>
      <c r="D333" s="1022">
        <v>14.0</v>
      </c>
      <c r="E333" s="1025"/>
      <c r="F333" s="1023"/>
      <c r="G333" s="1028" t="s">
        <v>176</v>
      </c>
      <c r="H333" s="1029" t="s">
        <v>6917</v>
      </c>
      <c r="I333" s="1029" t="s">
        <v>6918</v>
      </c>
      <c r="J333" s="1029" t="s">
        <v>6919</v>
      </c>
      <c r="K333" s="1029"/>
      <c r="L333" s="1096"/>
      <c r="M333" s="1032"/>
      <c r="N333" s="1033"/>
      <c r="O333" s="699"/>
      <c r="P333" s="699"/>
      <c r="Q333" s="699"/>
    </row>
    <row r="334">
      <c r="A334" s="699"/>
      <c r="B334" s="1022"/>
      <c r="C334" s="1023" t="s">
        <v>36</v>
      </c>
      <c r="D334" s="1022">
        <v>33.0</v>
      </c>
      <c r="E334" s="1025"/>
      <c r="F334" s="1023"/>
      <c r="G334" s="1028" t="s">
        <v>176</v>
      </c>
      <c r="H334" s="1029" t="s">
        <v>798</v>
      </c>
      <c r="I334" s="1029" t="s">
        <v>6921</v>
      </c>
      <c r="J334" s="1029" t="s">
        <v>6922</v>
      </c>
      <c r="K334" s="1029"/>
      <c r="L334" s="1096"/>
      <c r="M334" s="1032"/>
      <c r="N334" s="1033"/>
      <c r="O334" s="699"/>
      <c r="P334" s="699"/>
      <c r="Q334" s="699"/>
    </row>
    <row r="335">
      <c r="A335" s="699"/>
      <c r="B335" s="1022"/>
      <c r="C335" s="1023" t="s">
        <v>6713</v>
      </c>
      <c r="D335" s="1022">
        <v>6.0</v>
      </c>
      <c r="E335" s="1025"/>
      <c r="F335" s="1023"/>
      <c r="G335" s="1028" t="s">
        <v>176</v>
      </c>
      <c r="H335" s="1029" t="s">
        <v>6923</v>
      </c>
      <c r="I335" s="1029" t="s">
        <v>317</v>
      </c>
      <c r="J335" s="1029" t="s">
        <v>319</v>
      </c>
      <c r="K335" s="1029"/>
      <c r="L335" s="1096"/>
      <c r="M335" s="1032"/>
      <c r="N335" s="1033"/>
      <c r="O335" s="699"/>
      <c r="P335" s="699"/>
      <c r="Q335" s="699"/>
    </row>
    <row r="336">
      <c r="A336" s="699"/>
      <c r="B336" s="1022"/>
      <c r="C336" s="1023" t="s">
        <v>6703</v>
      </c>
      <c r="D336" s="1022">
        <v>6.0</v>
      </c>
      <c r="E336" s="1025"/>
      <c r="F336" s="1023"/>
      <c r="G336" s="1028" t="s">
        <v>176</v>
      </c>
      <c r="H336" s="1029" t="s">
        <v>6923</v>
      </c>
      <c r="I336" s="1029" t="s">
        <v>317</v>
      </c>
      <c r="J336" s="1029" t="s">
        <v>319</v>
      </c>
      <c r="K336" s="1029"/>
      <c r="L336" s="1096"/>
      <c r="M336" s="1032"/>
      <c r="N336" s="1033"/>
      <c r="O336" s="699"/>
      <c r="P336" s="699"/>
      <c r="Q336" s="699"/>
    </row>
    <row r="337">
      <c r="A337" s="699"/>
      <c r="B337" s="1022"/>
      <c r="C337" s="1023" t="s">
        <v>6682</v>
      </c>
      <c r="D337" s="1022">
        <v>6.0</v>
      </c>
      <c r="E337" s="1025"/>
      <c r="F337" s="1023"/>
      <c r="G337" s="1028" t="s">
        <v>176</v>
      </c>
      <c r="H337" s="1029" t="s">
        <v>6923</v>
      </c>
      <c r="I337" s="1029" t="s">
        <v>317</v>
      </c>
      <c r="J337" s="1029" t="s">
        <v>319</v>
      </c>
      <c r="K337" s="1029"/>
      <c r="L337" s="1096"/>
      <c r="M337" s="1032"/>
      <c r="N337" s="1033"/>
      <c r="O337" s="699"/>
      <c r="P337" s="699"/>
      <c r="Q337" s="699"/>
    </row>
    <row r="338">
      <c r="A338" s="699"/>
      <c r="B338" s="1022"/>
      <c r="C338" s="1023" t="s">
        <v>6660</v>
      </c>
      <c r="D338" s="1022">
        <v>6.0</v>
      </c>
      <c r="E338" s="1025"/>
      <c r="F338" s="1023"/>
      <c r="G338" s="1028" t="s">
        <v>176</v>
      </c>
      <c r="H338" s="1029" t="s">
        <v>6923</v>
      </c>
      <c r="I338" s="1029" t="s">
        <v>317</v>
      </c>
      <c r="J338" s="1029" t="s">
        <v>319</v>
      </c>
      <c r="K338" s="1029"/>
      <c r="L338" s="1096"/>
      <c r="M338" s="1032"/>
      <c r="N338" s="1033"/>
      <c r="O338" s="699"/>
      <c r="P338" s="699"/>
      <c r="Q338" s="699"/>
    </row>
    <row r="339">
      <c r="A339" s="699"/>
      <c r="B339" s="1022"/>
      <c r="C339" s="1023" t="s">
        <v>6624</v>
      </c>
      <c r="D339" s="1022">
        <v>6.0</v>
      </c>
      <c r="E339" s="1025"/>
      <c r="F339" s="1023"/>
      <c r="G339" s="1028" t="s">
        <v>176</v>
      </c>
      <c r="H339" s="1029" t="s">
        <v>6923</v>
      </c>
      <c r="I339" s="1029" t="s">
        <v>317</v>
      </c>
      <c r="J339" s="1029" t="s">
        <v>319</v>
      </c>
      <c r="K339" s="1029"/>
      <c r="L339" s="1096"/>
      <c r="M339" s="1032"/>
      <c r="N339" s="1033"/>
      <c r="O339" s="699"/>
      <c r="P339" s="699"/>
      <c r="Q339" s="699"/>
    </row>
    <row r="340">
      <c r="A340" s="699"/>
      <c r="B340" s="1022"/>
      <c r="C340" s="1023" t="s">
        <v>6620</v>
      </c>
      <c r="D340" s="1022">
        <v>6.0</v>
      </c>
      <c r="E340" s="1025"/>
      <c r="F340" s="1023"/>
      <c r="G340" s="1028" t="s">
        <v>176</v>
      </c>
      <c r="H340" s="1029" t="s">
        <v>6923</v>
      </c>
      <c r="I340" s="1029" t="s">
        <v>317</v>
      </c>
      <c r="J340" s="1029" t="s">
        <v>319</v>
      </c>
      <c r="K340" s="1029"/>
      <c r="L340" s="1096"/>
      <c r="M340" s="1032"/>
      <c r="N340" s="1033"/>
      <c r="O340" s="699"/>
      <c r="P340" s="699"/>
      <c r="Q340" s="699"/>
    </row>
    <row r="341">
      <c r="A341" s="699"/>
      <c r="B341" s="1022"/>
      <c r="C341" s="1023" t="s">
        <v>6589</v>
      </c>
      <c r="D341" s="1022">
        <v>6.0</v>
      </c>
      <c r="E341" s="1025"/>
      <c r="F341" s="1023"/>
      <c r="G341" s="1028" t="s">
        <v>176</v>
      </c>
      <c r="H341" s="1029" t="s">
        <v>6923</v>
      </c>
      <c r="I341" s="1029" t="s">
        <v>317</v>
      </c>
      <c r="J341" s="1029" t="s">
        <v>319</v>
      </c>
      <c r="K341" s="1029"/>
      <c r="L341" s="1096"/>
      <c r="M341" s="1032"/>
      <c r="N341" s="1033"/>
      <c r="O341" s="699"/>
      <c r="P341" s="699"/>
      <c r="Q341" s="699"/>
    </row>
    <row r="342">
      <c r="A342" s="699"/>
      <c r="B342" s="1022"/>
      <c r="C342" s="1023" t="s">
        <v>6558</v>
      </c>
      <c r="D342" s="1022">
        <v>6.0</v>
      </c>
      <c r="E342" s="1025"/>
      <c r="F342" s="1023"/>
      <c r="G342" s="1028" t="s">
        <v>176</v>
      </c>
      <c r="H342" s="1029" t="s">
        <v>6923</v>
      </c>
      <c r="I342" s="1029" t="s">
        <v>317</v>
      </c>
      <c r="J342" s="1029" t="s">
        <v>319</v>
      </c>
      <c r="K342" s="1029"/>
      <c r="L342" s="1096"/>
      <c r="M342" s="1032"/>
      <c r="N342" s="1033"/>
      <c r="O342" s="699"/>
      <c r="P342" s="699"/>
      <c r="Q342" s="699"/>
    </row>
    <row r="343">
      <c r="A343" s="699"/>
      <c r="B343" s="1022"/>
      <c r="C343" s="1023" t="s">
        <v>6448</v>
      </c>
      <c r="D343" s="1022">
        <v>6.0</v>
      </c>
      <c r="E343" s="1025"/>
      <c r="F343" s="1023"/>
      <c r="G343" s="1028" t="s">
        <v>176</v>
      </c>
      <c r="H343" s="1029" t="s">
        <v>6923</v>
      </c>
      <c r="I343" s="1029" t="s">
        <v>317</v>
      </c>
      <c r="J343" s="1029" t="s">
        <v>319</v>
      </c>
      <c r="K343" s="1029"/>
      <c r="L343" s="1096"/>
      <c r="M343" s="1032"/>
      <c r="N343" s="1033"/>
      <c r="O343" s="699"/>
      <c r="P343" s="699"/>
      <c r="Q343" s="699"/>
    </row>
    <row r="344">
      <c r="A344" s="699"/>
      <c r="B344" s="1022"/>
      <c r="C344" s="1023" t="s">
        <v>7</v>
      </c>
      <c r="D344" s="1022">
        <v>6.0</v>
      </c>
      <c r="E344" s="1025"/>
      <c r="F344" s="1023"/>
      <c r="G344" s="1028" t="s">
        <v>176</v>
      </c>
      <c r="H344" s="1029" t="s">
        <v>6923</v>
      </c>
      <c r="I344" s="1029" t="s">
        <v>317</v>
      </c>
      <c r="J344" s="1029" t="s">
        <v>319</v>
      </c>
      <c r="K344" s="1029"/>
      <c r="L344" s="1096"/>
      <c r="M344" s="1032"/>
      <c r="N344" s="1033"/>
      <c r="O344" s="699"/>
      <c r="P344" s="699"/>
      <c r="Q344" s="699"/>
    </row>
    <row r="345">
      <c r="A345" s="699"/>
      <c r="B345" s="1022"/>
      <c r="C345" s="1023" t="s">
        <v>1</v>
      </c>
      <c r="D345" s="1022">
        <v>1.0</v>
      </c>
      <c r="E345" s="1025"/>
      <c r="F345" s="1023"/>
      <c r="G345" s="1028" t="s">
        <v>176</v>
      </c>
      <c r="H345" s="1029" t="s">
        <v>179</v>
      </c>
      <c r="I345" s="1029" t="s">
        <v>181</v>
      </c>
      <c r="J345" s="1029" t="s">
        <v>183</v>
      </c>
      <c r="K345" s="1029"/>
      <c r="L345" s="1096"/>
      <c r="M345" s="1032"/>
      <c r="N345" s="1033"/>
      <c r="O345" s="699"/>
      <c r="P345" s="699"/>
      <c r="Q345" s="699"/>
    </row>
    <row r="346" ht="15.75" customHeight="1">
      <c r="A346" s="699"/>
      <c r="B346" s="1022"/>
      <c r="C346" s="1023" t="s">
        <v>9</v>
      </c>
      <c r="D346" s="1022">
        <v>7.0</v>
      </c>
      <c r="E346" s="1025"/>
      <c r="F346" s="1023"/>
      <c r="G346" s="1028" t="s">
        <v>176</v>
      </c>
      <c r="H346" s="1029" t="s">
        <v>365</v>
      </c>
      <c r="I346" s="1029" t="s">
        <v>317</v>
      </c>
      <c r="J346" s="1029" t="s">
        <v>367</v>
      </c>
      <c r="K346" s="1029"/>
      <c r="L346" s="1096"/>
      <c r="M346" s="1032"/>
      <c r="N346" s="1033"/>
      <c r="O346" s="699"/>
      <c r="P346" s="699"/>
      <c r="Q346" s="699"/>
    </row>
    <row r="347" ht="15.75" customHeight="1">
      <c r="A347" s="699"/>
      <c r="B347" s="1022"/>
      <c r="C347" s="1023" t="s">
        <v>5902</v>
      </c>
      <c r="D347" s="1022">
        <v>7.0</v>
      </c>
      <c r="E347" s="1025"/>
      <c r="F347" s="1023"/>
      <c r="G347" s="1028" t="s">
        <v>176</v>
      </c>
      <c r="H347" s="1029" t="s">
        <v>6924</v>
      </c>
      <c r="I347" s="1029" t="s">
        <v>1077</v>
      </c>
      <c r="J347" s="1029" t="s">
        <v>367</v>
      </c>
      <c r="K347" s="1029"/>
      <c r="L347" s="1096"/>
      <c r="M347" s="1032"/>
      <c r="N347" s="1033"/>
      <c r="O347" s="699"/>
      <c r="P347" s="699"/>
      <c r="Q347" s="699"/>
    </row>
    <row r="348" ht="15.75" customHeight="1">
      <c r="A348" s="699"/>
      <c r="B348" s="1079"/>
      <c r="C348" s="1023" t="s">
        <v>5757</v>
      </c>
      <c r="D348" s="1022">
        <v>30.0</v>
      </c>
      <c r="E348" s="400" t="s">
        <v>217</v>
      </c>
      <c r="F348" s="1029"/>
      <c r="G348" s="1028" t="s">
        <v>904</v>
      </c>
      <c r="H348" s="1029" t="s">
        <v>1138</v>
      </c>
      <c r="I348" s="1029" t="s">
        <v>559</v>
      </c>
      <c r="J348" s="1029" t="s">
        <v>1139</v>
      </c>
      <c r="K348" s="1029"/>
      <c r="L348" s="1122" t="s">
        <v>6925</v>
      </c>
      <c r="M348" s="1032"/>
      <c r="N348" s="1033"/>
      <c r="O348" s="699"/>
      <c r="P348" s="699"/>
      <c r="Q348" s="699"/>
    </row>
    <row r="349">
      <c r="A349" s="699"/>
      <c r="B349" s="1079"/>
      <c r="C349" s="1023" t="s">
        <v>5966</v>
      </c>
      <c r="D349" s="1022">
        <v>30.0</v>
      </c>
      <c r="E349" s="400" t="s">
        <v>217</v>
      </c>
      <c r="F349" s="1029"/>
      <c r="G349" s="1028" t="s">
        <v>904</v>
      </c>
      <c r="H349" s="1029" t="s">
        <v>1138</v>
      </c>
      <c r="I349" s="1029" t="s">
        <v>559</v>
      </c>
      <c r="J349" s="1029" t="s">
        <v>1139</v>
      </c>
      <c r="K349" s="1029"/>
      <c r="L349" s="399" t="s">
        <v>6926</v>
      </c>
      <c r="M349" s="1032"/>
      <c r="N349" s="1033"/>
      <c r="O349" s="699"/>
      <c r="P349" s="699"/>
      <c r="Q349" s="699"/>
    </row>
    <row r="350">
      <c r="A350" s="699"/>
      <c r="B350" s="1079"/>
      <c r="C350" s="1023" t="s">
        <v>5754</v>
      </c>
      <c r="D350" s="1030">
        <v>19.0</v>
      </c>
      <c r="E350" s="1023" t="s">
        <v>3933</v>
      </c>
      <c r="F350" s="1026">
        <v>45022.0</v>
      </c>
      <c r="G350" s="1028" t="s">
        <v>595</v>
      </c>
      <c r="H350" s="1029" t="s">
        <v>3934</v>
      </c>
      <c r="I350" s="1029" t="s">
        <v>1146</v>
      </c>
      <c r="J350" s="1029" t="s">
        <v>6927</v>
      </c>
      <c r="K350" s="1029"/>
      <c r="L350" s="399" t="s">
        <v>6928</v>
      </c>
      <c r="M350" s="1032"/>
      <c r="N350" s="1033"/>
      <c r="O350" s="699"/>
      <c r="P350" s="699"/>
      <c r="Q350" s="699"/>
    </row>
    <row r="351">
      <c r="A351" s="699"/>
      <c r="B351" s="1079"/>
      <c r="C351" s="1023" t="s">
        <v>5749</v>
      </c>
      <c r="D351" s="1030">
        <v>19.0</v>
      </c>
      <c r="E351" s="1023" t="s">
        <v>3933</v>
      </c>
      <c r="F351" s="1026">
        <v>45022.0</v>
      </c>
      <c r="G351" s="1028" t="s">
        <v>595</v>
      </c>
      <c r="H351" s="1029" t="s">
        <v>3934</v>
      </c>
      <c r="I351" s="1029" t="s">
        <v>1146</v>
      </c>
      <c r="J351" s="1029" t="s">
        <v>6927</v>
      </c>
      <c r="K351" s="1029"/>
      <c r="L351" s="399" t="s">
        <v>6929</v>
      </c>
      <c r="M351" s="1032"/>
      <c r="N351" s="1033"/>
      <c r="O351" s="699"/>
      <c r="P351" s="699"/>
      <c r="Q351" s="699"/>
    </row>
    <row r="352">
      <c r="A352" s="699"/>
      <c r="B352" s="1079"/>
      <c r="C352" s="1023" t="s">
        <v>5921</v>
      </c>
      <c r="D352" s="1030">
        <v>19.0</v>
      </c>
      <c r="E352" s="1023" t="s">
        <v>3933</v>
      </c>
      <c r="F352" s="1026">
        <v>45022.0</v>
      </c>
      <c r="G352" s="1028" t="s">
        <v>595</v>
      </c>
      <c r="H352" s="1029" t="s">
        <v>3934</v>
      </c>
      <c r="I352" s="1029" t="s">
        <v>1146</v>
      </c>
      <c r="J352" s="1029" t="s">
        <v>6927</v>
      </c>
      <c r="K352" s="1029"/>
      <c r="L352" s="399" t="s">
        <v>6930</v>
      </c>
      <c r="M352" s="1032"/>
      <c r="N352" s="1033"/>
      <c r="O352" s="699"/>
      <c r="P352" s="699"/>
      <c r="Q352" s="699"/>
    </row>
    <row r="353">
      <c r="A353" s="699"/>
      <c r="B353" s="1079"/>
      <c r="C353" s="1023" t="s">
        <v>5930</v>
      </c>
      <c r="D353" s="1022">
        <v>19.0</v>
      </c>
      <c r="E353" s="1023" t="s">
        <v>3933</v>
      </c>
      <c r="F353" s="1026">
        <v>45022.0</v>
      </c>
      <c r="G353" s="1028" t="s">
        <v>595</v>
      </c>
      <c r="H353" s="1029" t="s">
        <v>3934</v>
      </c>
      <c r="I353" s="1029" t="s">
        <v>1146</v>
      </c>
      <c r="J353" s="1029" t="s">
        <v>6927</v>
      </c>
      <c r="K353" s="1029"/>
      <c r="L353" s="399" t="s">
        <v>6931</v>
      </c>
      <c r="M353" s="1032"/>
      <c r="N353" s="1033"/>
      <c r="O353" s="699"/>
      <c r="P353" s="699"/>
      <c r="Q353" s="699"/>
    </row>
    <row r="354">
      <c r="A354" s="699"/>
      <c r="B354" s="1079"/>
      <c r="C354" s="1092" t="s">
        <v>6932</v>
      </c>
      <c r="D354" s="1022">
        <v>19.0</v>
      </c>
      <c r="E354" s="1023" t="s">
        <v>3933</v>
      </c>
      <c r="F354" s="1026">
        <v>45022.0</v>
      </c>
      <c r="G354" s="1028" t="s">
        <v>595</v>
      </c>
      <c r="H354" s="1029" t="s">
        <v>3934</v>
      </c>
      <c r="I354" s="1029" t="s">
        <v>1146</v>
      </c>
      <c r="J354" s="1029" t="s">
        <v>6927</v>
      </c>
      <c r="K354" s="1029"/>
      <c r="L354" s="399" t="s">
        <v>6933</v>
      </c>
      <c r="M354" s="1032"/>
      <c r="N354" s="1033"/>
      <c r="O354" s="699"/>
      <c r="P354" s="699"/>
      <c r="Q354" s="699"/>
    </row>
    <row r="355">
      <c r="A355" s="699"/>
      <c r="B355" s="1079"/>
      <c r="C355" s="1023" t="s">
        <v>5935</v>
      </c>
      <c r="D355" s="1030">
        <v>35.0</v>
      </c>
      <c r="E355" s="1023" t="s">
        <v>38</v>
      </c>
      <c r="F355" s="1029"/>
      <c r="G355" s="1028" t="s">
        <v>176</v>
      </c>
      <c r="H355" s="1029" t="s">
        <v>855</v>
      </c>
      <c r="I355" s="1029" t="s">
        <v>856</v>
      </c>
      <c r="J355" s="1029" t="s">
        <v>6891</v>
      </c>
      <c r="K355" s="1029"/>
      <c r="L355" s="399" t="s">
        <v>6934</v>
      </c>
      <c r="M355" s="1032"/>
      <c r="N355" s="1033"/>
      <c r="O355" s="699"/>
      <c r="P355" s="699"/>
      <c r="Q355" s="699"/>
    </row>
    <row r="356">
      <c r="A356" s="699"/>
      <c r="B356" s="1079"/>
      <c r="C356" s="1023" t="s">
        <v>5726</v>
      </c>
      <c r="D356" s="1030">
        <v>35.0</v>
      </c>
      <c r="E356" s="1023" t="s">
        <v>38</v>
      </c>
      <c r="F356" s="1029"/>
      <c r="G356" s="1028" t="s">
        <v>176</v>
      </c>
      <c r="H356" s="1029" t="s">
        <v>855</v>
      </c>
      <c r="I356" s="1029" t="s">
        <v>856</v>
      </c>
      <c r="J356" s="1029" t="s">
        <v>6891</v>
      </c>
      <c r="K356" s="1029"/>
      <c r="L356" s="399" t="s">
        <v>6935</v>
      </c>
      <c r="M356" s="1032"/>
      <c r="N356" s="1033"/>
      <c r="O356" s="699"/>
      <c r="P356" s="699"/>
      <c r="Q356" s="699"/>
    </row>
    <row r="357">
      <c r="A357" s="699"/>
      <c r="B357" s="1079"/>
      <c r="C357" s="1023" t="s">
        <v>6018</v>
      </c>
      <c r="D357" s="1030">
        <v>35.0</v>
      </c>
      <c r="E357" s="1023" t="s">
        <v>38</v>
      </c>
      <c r="F357" s="1029"/>
      <c r="G357" s="1028" t="s">
        <v>176</v>
      </c>
      <c r="H357" s="1029" t="s">
        <v>855</v>
      </c>
      <c r="I357" s="1029" t="s">
        <v>856</v>
      </c>
      <c r="J357" s="1029" t="s">
        <v>6891</v>
      </c>
      <c r="K357" s="1029"/>
      <c r="L357" s="399" t="s">
        <v>6936</v>
      </c>
      <c r="M357" s="1032"/>
      <c r="N357" s="1033"/>
      <c r="O357" s="699"/>
      <c r="P357" s="699"/>
      <c r="Q357" s="699"/>
    </row>
    <row r="358">
      <c r="A358" s="699"/>
      <c r="B358" s="1079"/>
      <c r="C358" s="1023" t="s">
        <v>5939</v>
      </c>
      <c r="D358" s="1030">
        <v>35.0</v>
      </c>
      <c r="E358" s="1023" t="s">
        <v>38</v>
      </c>
      <c r="F358" s="1029"/>
      <c r="G358" s="1028" t="s">
        <v>176</v>
      </c>
      <c r="H358" s="1029" t="s">
        <v>855</v>
      </c>
      <c r="I358" s="1029" t="s">
        <v>856</v>
      </c>
      <c r="J358" s="1029" t="s">
        <v>6891</v>
      </c>
      <c r="K358" s="1029"/>
      <c r="L358" s="399" t="s">
        <v>6937</v>
      </c>
      <c r="M358" s="1032"/>
      <c r="N358" s="1033"/>
      <c r="O358" s="699"/>
      <c r="P358" s="699"/>
      <c r="Q358" s="699"/>
    </row>
    <row r="359">
      <c r="A359" s="699"/>
      <c r="B359" s="1079"/>
      <c r="C359" s="1023" t="s">
        <v>5963</v>
      </c>
      <c r="D359" s="1030">
        <v>10.0</v>
      </c>
      <c r="E359" s="1023" t="s">
        <v>6938</v>
      </c>
      <c r="F359" s="1029"/>
      <c r="G359" s="1028" t="s">
        <v>257</v>
      </c>
      <c r="H359" s="1028" t="s">
        <v>6939</v>
      </c>
      <c r="I359" s="1028" t="s">
        <v>6940</v>
      </c>
      <c r="J359" s="1028" t="s">
        <v>6941</v>
      </c>
      <c r="K359" s="1029"/>
      <c r="L359" s="399" t="s">
        <v>6942</v>
      </c>
      <c r="M359" s="1032"/>
      <c r="N359" s="1033"/>
      <c r="O359" s="699"/>
      <c r="P359" s="699"/>
      <c r="Q359" s="699"/>
    </row>
    <row r="360">
      <c r="A360" s="699"/>
      <c r="B360" s="1079"/>
      <c r="C360" s="1023" t="s">
        <v>5724</v>
      </c>
      <c r="D360" s="1030">
        <v>10.0</v>
      </c>
      <c r="E360" s="1023" t="s">
        <v>6938</v>
      </c>
      <c r="F360" s="1029"/>
      <c r="G360" s="1028" t="s">
        <v>257</v>
      </c>
      <c r="H360" s="1028" t="s">
        <v>6939</v>
      </c>
      <c r="I360" s="1028" t="s">
        <v>6940</v>
      </c>
      <c r="J360" s="1028" t="s">
        <v>6941</v>
      </c>
      <c r="K360" s="1029"/>
      <c r="L360" s="1096"/>
      <c r="M360" s="1032"/>
      <c r="N360" s="1033"/>
      <c r="O360" s="699"/>
      <c r="P360" s="699"/>
      <c r="Q360" s="699"/>
    </row>
    <row r="361">
      <c r="A361" s="699"/>
      <c r="B361" s="1079"/>
      <c r="C361" s="1023" t="s">
        <v>5719</v>
      </c>
      <c r="D361" s="1030">
        <v>10.0</v>
      </c>
      <c r="E361" s="1023" t="s">
        <v>6938</v>
      </c>
      <c r="F361" s="1029"/>
      <c r="G361" s="1028" t="s">
        <v>257</v>
      </c>
      <c r="H361" s="1028" t="s">
        <v>6939</v>
      </c>
      <c r="I361" s="1028" t="s">
        <v>6940</v>
      </c>
      <c r="J361" s="1028" t="s">
        <v>6941</v>
      </c>
      <c r="K361" s="1029"/>
      <c r="L361" s="1096"/>
      <c r="M361" s="1032"/>
      <c r="N361" s="1033"/>
      <c r="O361" s="699"/>
      <c r="P361" s="699"/>
      <c r="Q361" s="699"/>
    </row>
    <row r="362">
      <c r="A362" s="699"/>
      <c r="B362" s="1079"/>
      <c r="C362" s="1023" t="s">
        <v>6943</v>
      </c>
      <c r="D362" s="1030">
        <v>10.0</v>
      </c>
      <c r="E362" s="1023" t="s">
        <v>6938</v>
      </c>
      <c r="F362" s="1029"/>
      <c r="G362" s="1028" t="s">
        <v>257</v>
      </c>
      <c r="H362" s="1028" t="s">
        <v>6939</v>
      </c>
      <c r="I362" s="1028" t="s">
        <v>6940</v>
      </c>
      <c r="J362" s="1028" t="s">
        <v>6941</v>
      </c>
      <c r="K362" s="1029"/>
      <c r="L362" s="1096"/>
      <c r="M362" s="1032"/>
      <c r="N362" s="1033"/>
      <c r="O362" s="699"/>
      <c r="P362" s="699"/>
      <c r="Q362" s="699"/>
    </row>
    <row r="363">
      <c r="A363" s="699"/>
      <c r="B363" s="1079"/>
      <c r="C363" s="1023" t="s">
        <v>5969</v>
      </c>
      <c r="D363" s="1030">
        <v>10.0</v>
      </c>
      <c r="E363" s="400" t="s">
        <v>6938</v>
      </c>
      <c r="F363" s="1029"/>
      <c r="G363" s="1028" t="s">
        <v>257</v>
      </c>
      <c r="H363" s="1028" t="s">
        <v>6939</v>
      </c>
      <c r="I363" s="1028" t="s">
        <v>6940</v>
      </c>
      <c r="J363" s="1028" t="s">
        <v>6941</v>
      </c>
      <c r="K363" s="1029"/>
      <c r="L363" s="399" t="s">
        <v>6944</v>
      </c>
      <c r="M363" s="1032"/>
      <c r="N363" s="1033"/>
      <c r="O363" s="699"/>
      <c r="P363" s="699"/>
      <c r="Q363" s="699"/>
    </row>
    <row r="364">
      <c r="A364" s="699"/>
      <c r="B364" s="1079"/>
      <c r="C364" s="1029"/>
      <c r="D364" s="1079"/>
      <c r="E364" s="1029"/>
      <c r="F364" s="1029"/>
      <c r="G364" s="1028"/>
      <c r="H364" s="1029"/>
      <c r="I364" s="1078"/>
      <c r="J364" s="1029"/>
      <c r="K364" s="1029"/>
      <c r="L364" s="1096"/>
      <c r="M364" s="1032"/>
      <c r="N364" s="1033"/>
      <c r="O364" s="699"/>
      <c r="P364" s="699"/>
      <c r="Q364" s="699"/>
    </row>
    <row r="365">
      <c r="A365" s="699"/>
      <c r="B365" s="1079"/>
      <c r="C365" s="1029"/>
      <c r="D365" s="1079"/>
      <c r="E365" s="1029"/>
      <c r="F365" s="1029"/>
      <c r="G365" s="1028"/>
      <c r="H365" s="1029"/>
      <c r="I365" s="1078"/>
      <c r="J365" s="1029"/>
      <c r="K365" s="1029"/>
      <c r="L365" s="1096"/>
      <c r="M365" s="1032"/>
      <c r="N365" s="1033"/>
      <c r="O365" s="699"/>
      <c r="P365" s="699"/>
      <c r="Q365" s="699"/>
    </row>
    <row r="366">
      <c r="A366" s="699"/>
      <c r="B366" s="1079"/>
      <c r="C366" s="1029"/>
      <c r="D366" s="1079"/>
      <c r="E366" s="1029"/>
      <c r="F366" s="1029"/>
      <c r="G366" s="1028"/>
      <c r="H366" s="1029"/>
      <c r="I366" s="1078"/>
      <c r="J366" s="1029"/>
      <c r="K366" s="1029"/>
      <c r="L366" s="1096"/>
      <c r="M366" s="1032"/>
      <c r="N366" s="1033"/>
      <c r="O366" s="699"/>
      <c r="P366" s="699"/>
      <c r="Q366" s="699"/>
    </row>
    <row r="367">
      <c r="A367" s="699"/>
      <c r="B367" s="1079"/>
      <c r="C367" s="1029"/>
      <c r="D367" s="1079"/>
      <c r="E367" s="1029"/>
      <c r="F367" s="1029"/>
      <c r="G367" s="1028"/>
      <c r="H367" s="1029"/>
      <c r="I367" s="1078"/>
      <c r="J367" s="1029"/>
      <c r="K367" s="1029"/>
      <c r="L367" s="1096"/>
      <c r="M367" s="1032"/>
      <c r="N367" s="1033"/>
      <c r="O367" s="699"/>
      <c r="P367" s="699"/>
      <c r="Q367" s="699"/>
    </row>
    <row r="368">
      <c r="A368" s="699"/>
      <c r="B368" s="1079"/>
      <c r="C368" s="1029"/>
      <c r="D368" s="1079"/>
      <c r="E368" s="1029"/>
      <c r="F368" s="1029"/>
      <c r="G368" s="1028"/>
      <c r="H368" s="1029"/>
      <c r="I368" s="1078"/>
      <c r="J368" s="1029"/>
      <c r="K368" s="1029"/>
      <c r="L368" s="1096"/>
      <c r="M368" s="1032"/>
      <c r="N368" s="1033"/>
      <c r="O368" s="699"/>
      <c r="P368" s="699"/>
      <c r="Q368" s="699"/>
    </row>
    <row r="369">
      <c r="A369" s="699"/>
      <c r="B369" s="1079"/>
      <c r="C369" s="1029"/>
      <c r="D369" s="1079"/>
      <c r="E369" s="1029"/>
      <c r="F369" s="1029"/>
      <c r="G369" s="1028"/>
      <c r="H369" s="1029"/>
      <c r="I369" s="1078"/>
      <c r="J369" s="1029"/>
      <c r="K369" s="1029"/>
      <c r="L369" s="1096"/>
      <c r="M369" s="1032"/>
      <c r="N369" s="1033"/>
      <c r="O369" s="699"/>
      <c r="P369" s="699"/>
      <c r="Q369" s="699"/>
    </row>
    <row r="370">
      <c r="A370" s="699"/>
      <c r="B370" s="1079"/>
      <c r="C370" s="1029"/>
      <c r="D370" s="1079"/>
      <c r="E370" s="1029"/>
      <c r="F370" s="1029"/>
      <c r="G370" s="1028"/>
      <c r="H370" s="1029"/>
      <c r="I370" s="1078"/>
      <c r="J370" s="1029"/>
      <c r="K370" s="1029"/>
      <c r="L370" s="1096"/>
      <c r="M370" s="1032"/>
      <c r="N370" s="1033"/>
      <c r="O370" s="699"/>
      <c r="P370" s="699"/>
      <c r="Q370" s="699"/>
    </row>
    <row r="371">
      <c r="A371" s="699"/>
      <c r="B371" s="1079"/>
      <c r="C371" s="1029"/>
      <c r="D371" s="1079"/>
      <c r="E371" s="1029"/>
      <c r="F371" s="1029"/>
      <c r="G371" s="1028"/>
      <c r="H371" s="1029"/>
      <c r="I371" s="1078"/>
      <c r="J371" s="1029"/>
      <c r="K371" s="1029"/>
      <c r="L371" s="1096"/>
      <c r="M371" s="1032"/>
      <c r="N371" s="1033"/>
      <c r="O371" s="699"/>
      <c r="P371" s="699"/>
      <c r="Q371" s="699"/>
    </row>
    <row r="372">
      <c r="A372" s="699"/>
      <c r="B372" s="1079"/>
      <c r="C372" s="1029"/>
      <c r="D372" s="1079"/>
      <c r="E372" s="1029"/>
      <c r="F372" s="1029"/>
      <c r="G372" s="1028"/>
      <c r="H372" s="1029"/>
      <c r="I372" s="1078"/>
      <c r="J372" s="1029"/>
      <c r="K372" s="1029"/>
      <c r="L372" s="1096"/>
      <c r="M372" s="1032"/>
      <c r="N372" s="1033"/>
      <c r="O372" s="699"/>
      <c r="P372" s="699"/>
      <c r="Q372" s="699"/>
    </row>
    <row r="373">
      <c r="A373" s="699"/>
      <c r="B373" s="1079"/>
      <c r="C373" s="1029"/>
      <c r="D373" s="1079"/>
      <c r="E373" s="1029"/>
      <c r="F373" s="1029"/>
      <c r="G373" s="1028"/>
      <c r="H373" s="1029"/>
      <c r="I373" s="1078"/>
      <c r="J373" s="1029"/>
      <c r="K373" s="1029"/>
      <c r="L373" s="1096"/>
      <c r="M373" s="1032"/>
      <c r="N373" s="1033"/>
      <c r="O373" s="699"/>
      <c r="P373" s="699"/>
      <c r="Q373" s="699"/>
    </row>
    <row r="374">
      <c r="A374" s="699"/>
      <c r="B374" s="1079"/>
      <c r="C374" s="1029"/>
      <c r="D374" s="1079"/>
      <c r="E374" s="1029"/>
      <c r="F374" s="1029"/>
      <c r="G374" s="1028"/>
      <c r="H374" s="1029"/>
      <c r="I374" s="1078"/>
      <c r="J374" s="1029"/>
      <c r="K374" s="1029"/>
      <c r="L374" s="1096"/>
      <c r="M374" s="1032"/>
      <c r="N374" s="1033"/>
      <c r="O374" s="699"/>
      <c r="P374" s="699"/>
      <c r="Q374" s="699"/>
    </row>
    <row r="375">
      <c r="A375" s="699"/>
      <c r="B375" s="1079"/>
      <c r="C375" s="1029"/>
      <c r="D375" s="1079"/>
      <c r="E375" s="1029"/>
      <c r="F375" s="1029"/>
      <c r="G375" s="1028"/>
      <c r="H375" s="1029"/>
      <c r="I375" s="1078"/>
      <c r="J375" s="1029"/>
      <c r="K375" s="1029"/>
      <c r="L375" s="1096"/>
      <c r="M375" s="1032"/>
      <c r="N375" s="1033"/>
      <c r="O375" s="699"/>
      <c r="P375" s="699"/>
      <c r="Q375" s="699"/>
    </row>
    <row r="376">
      <c r="A376" s="699"/>
      <c r="B376" s="1079"/>
      <c r="C376" s="1029"/>
      <c r="D376" s="1079"/>
      <c r="E376" s="1029"/>
      <c r="F376" s="1029"/>
      <c r="G376" s="1028"/>
      <c r="H376" s="1029"/>
      <c r="I376" s="1078"/>
      <c r="J376" s="1029"/>
      <c r="K376" s="1029"/>
      <c r="L376" s="1096"/>
      <c r="M376" s="1032"/>
      <c r="N376" s="1033"/>
      <c r="O376" s="699"/>
      <c r="P376" s="699"/>
      <c r="Q376" s="699"/>
    </row>
    <row r="377">
      <c r="A377" s="699"/>
      <c r="B377" s="1079"/>
      <c r="C377" s="1029"/>
      <c r="D377" s="1079"/>
      <c r="E377" s="1029"/>
      <c r="F377" s="1029"/>
      <c r="G377" s="1028"/>
      <c r="H377" s="1029"/>
      <c r="I377" s="1078"/>
      <c r="J377" s="1029"/>
      <c r="K377" s="1029"/>
      <c r="L377" s="1096"/>
      <c r="M377" s="1032"/>
      <c r="N377" s="1033"/>
      <c r="O377" s="699"/>
      <c r="P377" s="699"/>
      <c r="Q377" s="699"/>
    </row>
    <row r="378">
      <c r="A378" s="699"/>
      <c r="B378" s="1079"/>
      <c r="C378" s="1029"/>
      <c r="D378" s="1079"/>
      <c r="E378" s="1029"/>
      <c r="F378" s="1029"/>
      <c r="G378" s="1028"/>
      <c r="H378" s="1029"/>
      <c r="I378" s="1078"/>
      <c r="J378" s="1029"/>
      <c r="K378" s="1029"/>
      <c r="L378" s="1096"/>
      <c r="M378" s="1032"/>
      <c r="N378" s="1033"/>
      <c r="O378" s="699"/>
      <c r="P378" s="699"/>
      <c r="Q378" s="699"/>
    </row>
    <row r="379">
      <c r="A379" s="699"/>
      <c r="B379" s="1079"/>
      <c r="C379" s="1029"/>
      <c r="D379" s="1079"/>
      <c r="E379" s="1029"/>
      <c r="F379" s="1029"/>
      <c r="G379" s="1028"/>
      <c r="H379" s="1029"/>
      <c r="I379" s="1078"/>
      <c r="J379" s="1029"/>
      <c r="K379" s="1029"/>
      <c r="L379" s="1096"/>
      <c r="M379" s="1032"/>
      <c r="N379" s="1033"/>
      <c r="O379" s="699"/>
      <c r="P379" s="699"/>
      <c r="Q379" s="699"/>
    </row>
    <row r="380">
      <c r="A380" s="699"/>
      <c r="B380" s="1079"/>
      <c r="C380" s="1029"/>
      <c r="D380" s="1079"/>
      <c r="E380" s="1029"/>
      <c r="F380" s="1029"/>
      <c r="G380" s="1028"/>
      <c r="H380" s="1029"/>
      <c r="I380" s="1078"/>
      <c r="J380" s="1029"/>
      <c r="K380" s="1029"/>
      <c r="L380" s="1096"/>
      <c r="M380" s="1032"/>
      <c r="N380" s="1033"/>
      <c r="O380" s="699"/>
      <c r="P380" s="699"/>
      <c r="Q380" s="699"/>
    </row>
    <row r="381">
      <c r="A381" s="699"/>
      <c r="B381" s="1079"/>
      <c r="C381" s="1029"/>
      <c r="D381" s="1079"/>
      <c r="E381" s="1029"/>
      <c r="F381" s="1029"/>
      <c r="G381" s="1028"/>
      <c r="H381" s="1029"/>
      <c r="I381" s="1078"/>
      <c r="J381" s="1029"/>
      <c r="K381" s="1029"/>
      <c r="L381" s="1096"/>
      <c r="M381" s="1032"/>
      <c r="N381" s="1033"/>
      <c r="O381" s="699"/>
      <c r="P381" s="699"/>
      <c r="Q381" s="699"/>
    </row>
    <row r="382">
      <c r="A382" s="699"/>
      <c r="B382" s="1079"/>
      <c r="C382" s="1029"/>
      <c r="D382" s="1079"/>
      <c r="E382" s="1029"/>
      <c r="F382" s="1029"/>
      <c r="G382" s="1028"/>
      <c r="H382" s="1029"/>
      <c r="I382" s="1078"/>
      <c r="J382" s="1029"/>
      <c r="K382" s="1029"/>
      <c r="L382" s="1096"/>
      <c r="M382" s="1032"/>
      <c r="N382" s="1033"/>
      <c r="O382" s="699"/>
      <c r="P382" s="699"/>
      <c r="Q382" s="699"/>
    </row>
    <row r="383">
      <c r="A383" s="699"/>
      <c r="B383" s="1079"/>
      <c r="C383" s="1029"/>
      <c r="D383" s="1079"/>
      <c r="E383" s="1029"/>
      <c r="F383" s="1029"/>
      <c r="G383" s="1028"/>
      <c r="H383" s="1029"/>
      <c r="I383" s="1078"/>
      <c r="J383" s="1029"/>
      <c r="K383" s="1029"/>
      <c r="L383" s="1096"/>
      <c r="M383" s="1032"/>
      <c r="N383" s="1033"/>
      <c r="O383" s="699"/>
      <c r="P383" s="699"/>
      <c r="Q383" s="699"/>
    </row>
    <row r="384">
      <c r="A384" s="699"/>
      <c r="B384" s="1079"/>
      <c r="C384" s="1029"/>
      <c r="D384" s="1079"/>
      <c r="E384" s="1029"/>
      <c r="F384" s="1029"/>
      <c r="G384" s="1028"/>
      <c r="H384" s="1029"/>
      <c r="I384" s="1078"/>
      <c r="J384" s="1029"/>
      <c r="K384" s="1029"/>
      <c r="L384" s="1096"/>
      <c r="M384" s="1032"/>
      <c r="N384" s="1033"/>
      <c r="O384" s="699"/>
      <c r="P384" s="699"/>
      <c r="Q384" s="699"/>
    </row>
    <row r="385">
      <c r="A385" s="699"/>
      <c r="B385" s="1079"/>
      <c r="C385" s="1029"/>
      <c r="D385" s="1079"/>
      <c r="E385" s="1029"/>
      <c r="F385" s="1029"/>
      <c r="G385" s="1028"/>
      <c r="H385" s="1029"/>
      <c r="I385" s="1078"/>
      <c r="J385" s="1029"/>
      <c r="K385" s="1029"/>
      <c r="L385" s="1096"/>
      <c r="M385" s="1032"/>
      <c r="N385" s="1033"/>
      <c r="O385" s="699"/>
      <c r="P385" s="699"/>
      <c r="Q385" s="699"/>
    </row>
    <row r="386">
      <c r="A386" s="699"/>
      <c r="B386" s="1079"/>
      <c r="C386" s="1029"/>
      <c r="D386" s="1079"/>
      <c r="E386" s="1029"/>
      <c r="F386" s="1029"/>
      <c r="G386" s="1028"/>
      <c r="H386" s="1029"/>
      <c r="I386" s="1078"/>
      <c r="J386" s="1029"/>
      <c r="K386" s="1029"/>
      <c r="L386" s="1096"/>
      <c r="M386" s="1032"/>
      <c r="N386" s="1033"/>
      <c r="O386" s="699"/>
      <c r="P386" s="699"/>
      <c r="Q386" s="699"/>
    </row>
    <row r="387">
      <c r="A387" s="699"/>
      <c r="B387" s="1079"/>
      <c r="C387" s="1029"/>
      <c r="D387" s="1079"/>
      <c r="E387" s="1029"/>
      <c r="F387" s="1029"/>
      <c r="G387" s="1028"/>
      <c r="H387" s="1029"/>
      <c r="I387" s="1078"/>
      <c r="J387" s="1029"/>
      <c r="K387" s="1029"/>
      <c r="L387" s="1096"/>
      <c r="M387" s="1032"/>
      <c r="N387" s="1033"/>
      <c r="O387" s="699"/>
      <c r="P387" s="699"/>
      <c r="Q387" s="699"/>
    </row>
    <row r="388">
      <c r="A388" s="699"/>
      <c r="B388" s="1079"/>
      <c r="C388" s="1029"/>
      <c r="D388" s="1079"/>
      <c r="E388" s="1029"/>
      <c r="F388" s="1029"/>
      <c r="G388" s="1028"/>
      <c r="H388" s="1029"/>
      <c r="I388" s="1078"/>
      <c r="J388" s="1029"/>
      <c r="K388" s="1029"/>
      <c r="L388" s="1096"/>
      <c r="M388" s="1032"/>
      <c r="N388" s="1033"/>
      <c r="O388" s="699"/>
      <c r="P388" s="699"/>
      <c r="Q388" s="699"/>
    </row>
    <row r="389">
      <c r="A389" s="699"/>
      <c r="B389" s="1079"/>
      <c r="C389" s="1029"/>
      <c r="D389" s="1079"/>
      <c r="E389" s="1029"/>
      <c r="F389" s="1029"/>
      <c r="G389" s="1028"/>
      <c r="H389" s="1029"/>
      <c r="I389" s="1078"/>
      <c r="J389" s="1029"/>
      <c r="K389" s="1029"/>
      <c r="L389" s="1096"/>
      <c r="M389" s="1032"/>
      <c r="N389" s="1033"/>
      <c r="O389" s="699"/>
      <c r="P389" s="699"/>
      <c r="Q389" s="699"/>
    </row>
    <row r="390">
      <c r="A390" s="699"/>
      <c r="B390" s="1079"/>
      <c r="C390" s="1029"/>
      <c r="D390" s="1079"/>
      <c r="E390" s="1029"/>
      <c r="F390" s="1029"/>
      <c r="G390" s="1028"/>
      <c r="H390" s="1029"/>
      <c r="I390" s="1078"/>
      <c r="J390" s="1029"/>
      <c r="K390" s="1029"/>
      <c r="L390" s="1096"/>
      <c r="M390" s="1032"/>
      <c r="N390" s="1033"/>
      <c r="O390" s="699"/>
      <c r="P390" s="699"/>
      <c r="Q390" s="699"/>
    </row>
    <row r="391">
      <c r="A391" s="699"/>
      <c r="B391" s="1079"/>
      <c r="C391" s="1029"/>
      <c r="D391" s="1079"/>
      <c r="E391" s="1029"/>
      <c r="F391" s="1029"/>
      <c r="G391" s="1028"/>
      <c r="H391" s="1029"/>
      <c r="I391" s="1078"/>
      <c r="J391" s="1029"/>
      <c r="K391" s="1029"/>
      <c r="L391" s="1096"/>
      <c r="M391" s="1032"/>
      <c r="N391" s="1033"/>
      <c r="O391" s="699"/>
      <c r="P391" s="699"/>
      <c r="Q391" s="699"/>
    </row>
    <row r="392">
      <c r="A392" s="699"/>
      <c r="B392" s="1079"/>
      <c r="C392" s="1029"/>
      <c r="D392" s="1079"/>
      <c r="E392" s="1029"/>
      <c r="F392" s="1029"/>
      <c r="G392" s="1028"/>
      <c r="H392" s="1029"/>
      <c r="I392" s="1078"/>
      <c r="J392" s="1029"/>
      <c r="K392" s="1029"/>
      <c r="L392" s="1096"/>
      <c r="M392" s="1032"/>
      <c r="N392" s="1033"/>
      <c r="O392" s="699"/>
      <c r="P392" s="699"/>
      <c r="Q392" s="699"/>
    </row>
    <row r="393">
      <c r="A393" s="699"/>
      <c r="B393" s="1079"/>
      <c r="C393" s="1029"/>
      <c r="D393" s="1079"/>
      <c r="E393" s="1029"/>
      <c r="F393" s="1029"/>
      <c r="G393" s="1028"/>
      <c r="H393" s="1029"/>
      <c r="I393" s="1078"/>
      <c r="J393" s="1029"/>
      <c r="K393" s="1029"/>
      <c r="L393" s="1096"/>
      <c r="M393" s="1032"/>
      <c r="N393" s="1033"/>
      <c r="O393" s="699"/>
      <c r="P393" s="699"/>
      <c r="Q393" s="699"/>
    </row>
    <row r="394">
      <c r="B394" s="1123"/>
      <c r="D394" s="1123"/>
      <c r="H394" s="1124"/>
    </row>
    <row r="395">
      <c r="B395" s="1123"/>
      <c r="D395" s="1123"/>
      <c r="H395" s="1124"/>
    </row>
    <row r="396">
      <c r="B396" s="1123"/>
      <c r="D396" s="1123"/>
      <c r="H396" s="1124"/>
    </row>
    <row r="397">
      <c r="B397" s="1123"/>
      <c r="D397" s="1123"/>
      <c r="H397" s="1124"/>
    </row>
    <row r="398">
      <c r="B398" s="1123"/>
      <c r="D398" s="1123"/>
      <c r="H398" s="1124"/>
    </row>
    <row r="399">
      <c r="B399" s="1123"/>
      <c r="D399" s="1123"/>
      <c r="H399" s="1124"/>
    </row>
    <row r="400">
      <c r="B400" s="1123"/>
      <c r="D400" s="1123"/>
      <c r="H400" s="1124"/>
    </row>
    <row r="401">
      <c r="B401" s="1123"/>
      <c r="D401" s="1123"/>
      <c r="H401" s="1124"/>
    </row>
    <row r="402">
      <c r="B402" s="1123"/>
      <c r="D402" s="1123"/>
      <c r="H402" s="1124"/>
    </row>
    <row r="403">
      <c r="B403" s="1123"/>
      <c r="D403" s="1123"/>
      <c r="H403" s="1124"/>
    </row>
    <row r="404">
      <c r="B404" s="1123"/>
      <c r="D404" s="1123"/>
      <c r="H404" s="1124"/>
    </row>
    <row r="405">
      <c r="B405" s="1123"/>
      <c r="D405" s="1123"/>
      <c r="H405" s="1124"/>
    </row>
    <row r="406">
      <c r="B406" s="1123"/>
      <c r="D406" s="1123"/>
      <c r="H406" s="1124"/>
    </row>
    <row r="407">
      <c r="B407" s="1123"/>
      <c r="D407" s="1123"/>
      <c r="H407" s="1124"/>
    </row>
    <row r="408">
      <c r="B408" s="1123"/>
      <c r="D408" s="1123"/>
      <c r="H408" s="1124"/>
    </row>
    <row r="409">
      <c r="B409" s="1123"/>
      <c r="D409" s="1123"/>
      <c r="H409" s="1124"/>
    </row>
    <row r="410">
      <c r="B410" s="1123"/>
      <c r="D410" s="1123"/>
      <c r="H410" s="1124"/>
    </row>
    <row r="411">
      <c r="B411" s="1123"/>
      <c r="D411" s="1123"/>
      <c r="H411" s="1124"/>
    </row>
    <row r="412">
      <c r="B412" s="1123"/>
      <c r="D412" s="1123"/>
      <c r="H412" s="1124"/>
    </row>
    <row r="413">
      <c r="B413" s="1123"/>
      <c r="D413" s="1123"/>
      <c r="H413" s="1124"/>
    </row>
    <row r="414">
      <c r="B414" s="1123"/>
      <c r="D414" s="1123"/>
      <c r="H414" s="1124"/>
    </row>
    <row r="415">
      <c r="B415" s="1123"/>
      <c r="D415" s="1123"/>
      <c r="H415" s="1124"/>
    </row>
    <row r="416">
      <c r="B416" s="1123"/>
      <c r="D416" s="1123"/>
      <c r="H416" s="1124"/>
    </row>
    <row r="417">
      <c r="B417" s="1123"/>
      <c r="D417" s="1123"/>
      <c r="H417" s="1124"/>
    </row>
    <row r="418">
      <c r="B418" s="1123"/>
      <c r="D418" s="1123"/>
      <c r="H418" s="1124"/>
    </row>
    <row r="419">
      <c r="B419" s="1123"/>
      <c r="D419" s="1123"/>
      <c r="H419" s="1124"/>
    </row>
    <row r="420">
      <c r="B420" s="1123"/>
      <c r="D420" s="1123"/>
      <c r="H420" s="1124"/>
    </row>
    <row r="421">
      <c r="B421" s="1123"/>
      <c r="D421" s="1123"/>
      <c r="H421" s="1124"/>
    </row>
    <row r="422">
      <c r="B422" s="1123"/>
      <c r="D422" s="1123"/>
      <c r="H422" s="1124"/>
    </row>
    <row r="423">
      <c r="B423" s="1123"/>
      <c r="D423" s="1123"/>
      <c r="H423" s="1124"/>
    </row>
    <row r="424">
      <c r="B424" s="1123"/>
      <c r="D424" s="1123"/>
      <c r="H424" s="1124"/>
    </row>
    <row r="425">
      <c r="B425" s="1123"/>
      <c r="D425" s="1123"/>
      <c r="H425" s="1124"/>
    </row>
    <row r="426">
      <c r="B426" s="1123"/>
      <c r="D426" s="1123"/>
      <c r="H426" s="1124"/>
    </row>
    <row r="427">
      <c r="B427" s="1123"/>
      <c r="D427" s="1123"/>
      <c r="H427" s="1124"/>
    </row>
    <row r="428">
      <c r="B428" s="1123"/>
      <c r="D428" s="1123"/>
      <c r="H428" s="1124"/>
    </row>
    <row r="429">
      <c r="B429" s="1123"/>
      <c r="D429" s="1123"/>
      <c r="H429" s="1124"/>
    </row>
    <row r="430">
      <c r="B430" s="1123"/>
      <c r="D430" s="1123"/>
      <c r="H430" s="1124"/>
    </row>
    <row r="431">
      <c r="B431" s="1123"/>
      <c r="D431" s="1123"/>
      <c r="H431" s="1124"/>
    </row>
    <row r="432">
      <c r="B432" s="1123"/>
      <c r="D432" s="1123"/>
      <c r="H432" s="1124"/>
    </row>
    <row r="433">
      <c r="B433" s="1123"/>
      <c r="D433" s="1123"/>
      <c r="H433" s="1124"/>
    </row>
    <row r="434">
      <c r="B434" s="1123"/>
      <c r="D434" s="1123"/>
      <c r="H434" s="1124"/>
    </row>
    <row r="435">
      <c r="B435" s="1123"/>
      <c r="D435" s="1123"/>
      <c r="H435" s="1124"/>
    </row>
    <row r="436">
      <c r="B436" s="1123"/>
      <c r="D436" s="1123"/>
      <c r="H436" s="1124"/>
    </row>
    <row r="437">
      <c r="B437" s="1123"/>
      <c r="D437" s="1123"/>
      <c r="H437" s="1124"/>
    </row>
    <row r="438">
      <c r="B438" s="1123"/>
      <c r="D438" s="1123"/>
      <c r="H438" s="1124"/>
    </row>
    <row r="439">
      <c r="B439" s="1123"/>
      <c r="D439" s="1123"/>
      <c r="H439" s="1124"/>
    </row>
    <row r="440">
      <c r="B440" s="1123"/>
      <c r="D440" s="1123"/>
      <c r="H440" s="1124"/>
    </row>
    <row r="441">
      <c r="B441" s="1123"/>
      <c r="D441" s="1123"/>
      <c r="H441" s="1124"/>
    </row>
    <row r="442">
      <c r="B442" s="1123"/>
      <c r="D442" s="1123"/>
      <c r="H442" s="1124"/>
    </row>
    <row r="443">
      <c r="B443" s="1123"/>
      <c r="D443" s="1123"/>
      <c r="H443" s="1124"/>
    </row>
    <row r="444">
      <c r="B444" s="1123"/>
      <c r="D444" s="1123"/>
      <c r="H444" s="1124"/>
    </row>
    <row r="445">
      <c r="B445" s="1123"/>
      <c r="D445" s="1123"/>
      <c r="H445" s="1124"/>
    </row>
    <row r="446">
      <c r="B446" s="1123"/>
      <c r="D446" s="1123"/>
      <c r="H446" s="1124"/>
    </row>
    <row r="447">
      <c r="B447" s="1123"/>
      <c r="D447" s="1123"/>
      <c r="H447" s="1124"/>
    </row>
    <row r="448">
      <c r="B448" s="1123"/>
      <c r="D448" s="1123"/>
      <c r="H448" s="1124"/>
    </row>
    <row r="449">
      <c r="B449" s="1123"/>
      <c r="D449" s="1123"/>
      <c r="H449" s="1124"/>
    </row>
    <row r="450">
      <c r="B450" s="1123"/>
      <c r="D450" s="1123"/>
      <c r="H450" s="1124"/>
    </row>
    <row r="451">
      <c r="B451" s="1123"/>
      <c r="D451" s="1123"/>
      <c r="H451" s="1124"/>
    </row>
    <row r="452">
      <c r="B452" s="1123"/>
      <c r="D452" s="1123"/>
      <c r="H452" s="1124"/>
    </row>
    <row r="453">
      <c r="B453" s="1123"/>
      <c r="D453" s="1123"/>
      <c r="H453" s="1124"/>
    </row>
    <row r="454">
      <c r="B454" s="1123"/>
      <c r="D454" s="1123"/>
      <c r="H454" s="1124"/>
    </row>
    <row r="455">
      <c r="B455" s="1123"/>
      <c r="D455" s="1123"/>
      <c r="H455" s="1124"/>
    </row>
    <row r="456">
      <c r="B456" s="1123"/>
      <c r="D456" s="1123"/>
      <c r="H456" s="1124"/>
    </row>
    <row r="457">
      <c r="B457" s="1123"/>
      <c r="D457" s="1123"/>
      <c r="H457" s="1124"/>
    </row>
    <row r="458">
      <c r="B458" s="1123"/>
      <c r="D458" s="1123"/>
      <c r="H458" s="1124"/>
    </row>
    <row r="459">
      <c r="B459" s="1123"/>
      <c r="D459" s="1123"/>
      <c r="H459" s="1124"/>
    </row>
    <row r="460">
      <c r="B460" s="1123"/>
      <c r="D460" s="1123"/>
      <c r="H460" s="1124"/>
    </row>
    <row r="461">
      <c r="B461" s="1123"/>
      <c r="D461" s="1123"/>
      <c r="H461" s="1124"/>
    </row>
    <row r="462">
      <c r="B462" s="1123"/>
      <c r="D462" s="1123"/>
      <c r="H462" s="1124"/>
    </row>
    <row r="463">
      <c r="B463" s="1123"/>
      <c r="D463" s="1123"/>
      <c r="H463" s="1124"/>
    </row>
    <row r="464">
      <c r="B464" s="1123"/>
      <c r="D464" s="1123"/>
      <c r="H464" s="1124"/>
    </row>
    <row r="465">
      <c r="B465" s="1123"/>
      <c r="D465" s="1123"/>
      <c r="H465" s="1124"/>
    </row>
    <row r="466">
      <c r="B466" s="1123"/>
      <c r="D466" s="1123"/>
      <c r="H466" s="1124"/>
    </row>
    <row r="467">
      <c r="B467" s="1123"/>
      <c r="D467" s="1123"/>
      <c r="H467" s="1124"/>
    </row>
    <row r="468">
      <c r="B468" s="1123"/>
      <c r="D468" s="1123"/>
      <c r="H468" s="1124"/>
    </row>
    <row r="469">
      <c r="B469" s="1123"/>
      <c r="D469" s="1123"/>
      <c r="H469" s="1124"/>
    </row>
    <row r="470">
      <c r="B470" s="1123"/>
      <c r="D470" s="1123"/>
      <c r="H470" s="1124"/>
    </row>
    <row r="471">
      <c r="B471" s="1123"/>
      <c r="D471" s="1123"/>
      <c r="H471" s="1124"/>
    </row>
    <row r="472">
      <c r="B472" s="1123"/>
      <c r="D472" s="1123"/>
      <c r="H472" s="1124"/>
    </row>
    <row r="473">
      <c r="B473" s="1123"/>
      <c r="D473" s="1123"/>
      <c r="H473" s="1124"/>
    </row>
    <row r="474">
      <c r="B474" s="1123"/>
      <c r="D474" s="1123"/>
      <c r="H474" s="1124"/>
    </row>
    <row r="475">
      <c r="B475" s="1123"/>
      <c r="D475" s="1123"/>
      <c r="H475" s="1124"/>
    </row>
    <row r="476">
      <c r="B476" s="1123"/>
      <c r="D476" s="1123"/>
      <c r="H476" s="1124"/>
    </row>
    <row r="477">
      <c r="B477" s="1123"/>
      <c r="D477" s="1123"/>
      <c r="H477" s="1124"/>
    </row>
    <row r="478">
      <c r="B478" s="1123"/>
      <c r="D478" s="1123"/>
      <c r="H478" s="1124"/>
    </row>
    <row r="479">
      <c r="B479" s="1123"/>
      <c r="D479" s="1123"/>
      <c r="H479" s="1124"/>
    </row>
    <row r="480">
      <c r="B480" s="1123"/>
      <c r="D480" s="1123"/>
      <c r="H480" s="1124"/>
    </row>
    <row r="481">
      <c r="B481" s="1123"/>
      <c r="D481" s="1123"/>
      <c r="H481" s="1124"/>
    </row>
    <row r="482">
      <c r="B482" s="1123"/>
      <c r="D482" s="1123"/>
      <c r="H482" s="1124"/>
    </row>
    <row r="483">
      <c r="B483" s="1123"/>
      <c r="D483" s="1123"/>
      <c r="H483" s="1124"/>
    </row>
    <row r="484">
      <c r="B484" s="1123"/>
      <c r="D484" s="1123"/>
      <c r="H484" s="1124"/>
    </row>
    <row r="485">
      <c r="B485" s="1123"/>
      <c r="D485" s="1123"/>
      <c r="H485" s="1124"/>
    </row>
    <row r="486">
      <c r="B486" s="1123"/>
      <c r="D486" s="1123"/>
      <c r="H486" s="1124"/>
    </row>
    <row r="487">
      <c r="B487" s="1123"/>
      <c r="D487" s="1123"/>
      <c r="H487" s="1124"/>
    </row>
    <row r="488">
      <c r="B488" s="1123"/>
      <c r="D488" s="1123"/>
      <c r="H488" s="1124"/>
    </row>
    <row r="489">
      <c r="B489" s="1123"/>
      <c r="D489" s="1123"/>
      <c r="H489" s="1124"/>
    </row>
    <row r="490">
      <c r="B490" s="1123"/>
      <c r="D490" s="1123"/>
      <c r="H490" s="1124"/>
    </row>
    <row r="491">
      <c r="B491" s="1123"/>
      <c r="D491" s="1123"/>
      <c r="H491" s="1124"/>
    </row>
    <row r="492">
      <c r="B492" s="1123"/>
      <c r="D492" s="1123"/>
      <c r="H492" s="1124"/>
    </row>
    <row r="493">
      <c r="B493" s="1123"/>
      <c r="D493" s="1123"/>
      <c r="H493" s="1124"/>
    </row>
    <row r="494">
      <c r="B494" s="1123"/>
      <c r="D494" s="1123"/>
      <c r="H494" s="1124"/>
    </row>
    <row r="495">
      <c r="B495" s="1123"/>
      <c r="D495" s="1123"/>
      <c r="H495" s="1124"/>
    </row>
    <row r="496">
      <c r="B496" s="1123"/>
      <c r="D496" s="1123"/>
      <c r="H496" s="1124"/>
    </row>
    <row r="497">
      <c r="B497" s="1123"/>
      <c r="D497" s="1123"/>
      <c r="H497" s="1124"/>
    </row>
    <row r="498">
      <c r="B498" s="1123"/>
      <c r="D498" s="1123"/>
      <c r="H498" s="1124"/>
    </row>
    <row r="499">
      <c r="B499" s="1123"/>
      <c r="D499" s="1123"/>
      <c r="H499" s="1124"/>
    </row>
    <row r="500">
      <c r="B500" s="1123"/>
      <c r="D500" s="1123"/>
      <c r="H500" s="1124"/>
    </row>
    <row r="501">
      <c r="B501" s="1123"/>
      <c r="D501" s="1123"/>
      <c r="H501" s="1124"/>
    </row>
    <row r="502">
      <c r="B502" s="1123"/>
      <c r="D502" s="1123"/>
      <c r="H502" s="1124"/>
    </row>
    <row r="503">
      <c r="B503" s="1123"/>
      <c r="D503" s="1123"/>
      <c r="H503" s="1124"/>
    </row>
    <row r="504">
      <c r="B504" s="1123"/>
      <c r="D504" s="1123"/>
      <c r="H504" s="1124"/>
    </row>
    <row r="505">
      <c r="B505" s="1123"/>
      <c r="D505" s="1123"/>
      <c r="H505" s="1124"/>
    </row>
    <row r="506">
      <c r="B506" s="1123"/>
      <c r="D506" s="1123"/>
      <c r="H506" s="1124"/>
    </row>
    <row r="507">
      <c r="B507" s="1123"/>
      <c r="D507" s="1123"/>
      <c r="H507" s="1124"/>
    </row>
    <row r="508">
      <c r="B508" s="1123"/>
      <c r="D508" s="1123"/>
      <c r="H508" s="1124"/>
    </row>
    <row r="509">
      <c r="B509" s="1123"/>
      <c r="D509" s="1123"/>
      <c r="H509" s="1124"/>
    </row>
    <row r="510">
      <c r="B510" s="1123"/>
      <c r="D510" s="1123"/>
      <c r="H510" s="1124"/>
    </row>
    <row r="511">
      <c r="B511" s="1123"/>
      <c r="D511" s="1123"/>
      <c r="H511" s="1124"/>
    </row>
    <row r="512">
      <c r="B512" s="1123"/>
      <c r="D512" s="1123"/>
      <c r="H512" s="1124"/>
    </row>
    <row r="513">
      <c r="B513" s="1123"/>
      <c r="D513" s="1123"/>
      <c r="H513" s="1124"/>
    </row>
    <row r="514">
      <c r="B514" s="1123"/>
      <c r="D514" s="1123"/>
      <c r="H514" s="1124"/>
    </row>
    <row r="515">
      <c r="B515" s="1123"/>
      <c r="D515" s="1123"/>
      <c r="H515" s="1124"/>
    </row>
    <row r="516">
      <c r="B516" s="1123"/>
      <c r="D516" s="1123"/>
      <c r="H516" s="1124"/>
    </row>
    <row r="517">
      <c r="B517" s="1123"/>
      <c r="D517" s="1123"/>
      <c r="H517" s="1124"/>
    </row>
    <row r="518">
      <c r="B518" s="1123"/>
      <c r="D518" s="1123"/>
      <c r="H518" s="1124"/>
    </row>
    <row r="519">
      <c r="B519" s="1123"/>
      <c r="D519" s="1123"/>
      <c r="H519" s="1124"/>
    </row>
    <row r="520">
      <c r="B520" s="1123"/>
      <c r="D520" s="1123"/>
      <c r="H520" s="1124"/>
    </row>
    <row r="521">
      <c r="B521" s="1123"/>
      <c r="D521" s="1123"/>
      <c r="H521" s="1124"/>
    </row>
    <row r="522">
      <c r="B522" s="1123"/>
      <c r="D522" s="1123"/>
      <c r="H522" s="1124"/>
    </row>
    <row r="523">
      <c r="B523" s="1123"/>
      <c r="D523" s="1123"/>
      <c r="H523" s="1124"/>
    </row>
    <row r="524">
      <c r="B524" s="1123"/>
      <c r="D524" s="1123"/>
      <c r="H524" s="1124"/>
    </row>
    <row r="525">
      <c r="B525" s="1123"/>
      <c r="D525" s="1123"/>
      <c r="H525" s="1124"/>
    </row>
    <row r="526">
      <c r="B526" s="1123"/>
      <c r="D526" s="1123"/>
      <c r="H526" s="1124"/>
    </row>
    <row r="527">
      <c r="B527" s="1123"/>
      <c r="D527" s="1123"/>
      <c r="H527" s="1124"/>
    </row>
    <row r="528">
      <c r="B528" s="1123"/>
      <c r="D528" s="1123"/>
      <c r="H528" s="1124"/>
    </row>
    <row r="529">
      <c r="B529" s="1123"/>
      <c r="D529" s="1123"/>
      <c r="H529" s="1124"/>
    </row>
    <row r="530">
      <c r="B530" s="1123"/>
      <c r="D530" s="1123"/>
      <c r="H530" s="1124"/>
    </row>
    <row r="531">
      <c r="B531" s="1123"/>
      <c r="D531" s="1123"/>
      <c r="H531" s="1124"/>
    </row>
    <row r="532">
      <c r="B532" s="1123"/>
      <c r="D532" s="1123"/>
      <c r="H532" s="1124"/>
    </row>
    <row r="533">
      <c r="B533" s="1123"/>
      <c r="D533" s="1123"/>
      <c r="H533" s="1124"/>
    </row>
    <row r="534">
      <c r="B534" s="1123"/>
      <c r="D534" s="1123"/>
      <c r="H534" s="1124"/>
    </row>
    <row r="535">
      <c r="B535" s="1123"/>
      <c r="D535" s="1123"/>
      <c r="H535" s="1124"/>
    </row>
    <row r="536">
      <c r="B536" s="1123"/>
      <c r="D536" s="1123"/>
      <c r="H536" s="1124"/>
    </row>
    <row r="537">
      <c r="B537" s="1123"/>
      <c r="D537" s="1123"/>
      <c r="H537" s="1124"/>
    </row>
    <row r="538">
      <c r="B538" s="1123"/>
      <c r="D538" s="1123"/>
      <c r="H538" s="1124"/>
    </row>
    <row r="539">
      <c r="B539" s="1123"/>
      <c r="D539" s="1123"/>
      <c r="H539" s="1124"/>
    </row>
    <row r="540">
      <c r="B540" s="1123"/>
      <c r="D540" s="1123"/>
      <c r="H540" s="1124"/>
    </row>
    <row r="541">
      <c r="B541" s="1123"/>
      <c r="D541" s="1123"/>
      <c r="H541" s="1124"/>
    </row>
    <row r="542">
      <c r="B542" s="1123"/>
      <c r="D542" s="1123"/>
      <c r="H542" s="1124"/>
    </row>
    <row r="543">
      <c r="B543" s="1123"/>
      <c r="D543" s="1123"/>
      <c r="H543" s="1124"/>
    </row>
    <row r="544">
      <c r="B544" s="1123"/>
      <c r="D544" s="1123"/>
      <c r="H544" s="1124"/>
    </row>
    <row r="545">
      <c r="B545" s="1123"/>
      <c r="D545" s="1123"/>
      <c r="H545" s="1124"/>
    </row>
    <row r="546">
      <c r="B546" s="1123"/>
      <c r="D546" s="1123"/>
      <c r="H546" s="1124"/>
    </row>
    <row r="547">
      <c r="B547" s="1123"/>
      <c r="D547" s="1123"/>
      <c r="H547" s="1124"/>
    </row>
    <row r="548">
      <c r="B548" s="1123"/>
      <c r="D548" s="1123"/>
      <c r="H548" s="1124"/>
    </row>
    <row r="549">
      <c r="B549" s="1123"/>
      <c r="D549" s="1123"/>
      <c r="H549" s="1124"/>
    </row>
    <row r="550">
      <c r="B550" s="1123"/>
      <c r="D550" s="1123"/>
      <c r="H550" s="1124"/>
    </row>
    <row r="551">
      <c r="B551" s="1123"/>
      <c r="D551" s="1123"/>
      <c r="H551" s="1124"/>
    </row>
    <row r="552">
      <c r="B552" s="1123"/>
      <c r="D552" s="1123"/>
      <c r="H552" s="1124"/>
    </row>
    <row r="553">
      <c r="B553" s="1123"/>
      <c r="D553" s="1123"/>
      <c r="H553" s="1124"/>
    </row>
    <row r="554">
      <c r="B554" s="1123"/>
      <c r="D554" s="1123"/>
      <c r="H554" s="1124"/>
    </row>
    <row r="555">
      <c r="B555" s="1123"/>
      <c r="D555" s="1123"/>
      <c r="H555" s="1124"/>
    </row>
    <row r="556">
      <c r="B556" s="1123"/>
      <c r="D556" s="1123"/>
      <c r="H556" s="1124"/>
    </row>
    <row r="557">
      <c r="B557" s="1123"/>
      <c r="D557" s="1123"/>
      <c r="H557" s="1124"/>
    </row>
    <row r="558">
      <c r="B558" s="1123"/>
      <c r="D558" s="1123"/>
      <c r="H558" s="1124"/>
    </row>
    <row r="559">
      <c r="B559" s="1123"/>
      <c r="D559" s="1123"/>
      <c r="H559" s="1124"/>
    </row>
    <row r="560">
      <c r="B560" s="1123"/>
      <c r="D560" s="1123"/>
      <c r="H560" s="1124"/>
    </row>
    <row r="561">
      <c r="B561" s="1123"/>
      <c r="D561" s="1123"/>
      <c r="H561" s="1124"/>
    </row>
    <row r="562">
      <c r="B562" s="1123"/>
      <c r="D562" s="1123"/>
      <c r="H562" s="1124"/>
    </row>
    <row r="563">
      <c r="B563" s="1123"/>
      <c r="D563" s="1123"/>
      <c r="H563" s="1124"/>
    </row>
    <row r="564">
      <c r="B564" s="1123"/>
      <c r="D564" s="1123"/>
      <c r="H564" s="1124"/>
    </row>
    <row r="565">
      <c r="B565" s="1123"/>
      <c r="D565" s="1123"/>
      <c r="H565" s="1124"/>
    </row>
    <row r="566">
      <c r="B566" s="1123"/>
      <c r="D566" s="1123"/>
      <c r="H566" s="1124"/>
    </row>
    <row r="567">
      <c r="B567" s="1123"/>
      <c r="D567" s="1123"/>
      <c r="H567" s="1124"/>
    </row>
    <row r="568">
      <c r="B568" s="1123"/>
      <c r="D568" s="1123"/>
      <c r="H568" s="1124"/>
    </row>
    <row r="569">
      <c r="B569" s="1123"/>
      <c r="D569" s="1123"/>
      <c r="H569" s="1124"/>
    </row>
    <row r="570">
      <c r="B570" s="1123"/>
      <c r="D570" s="1123"/>
      <c r="H570" s="1124"/>
    </row>
    <row r="571">
      <c r="B571" s="1123"/>
      <c r="D571" s="1123"/>
      <c r="H571" s="1124"/>
    </row>
    <row r="572">
      <c r="B572" s="1123"/>
      <c r="D572" s="1123"/>
      <c r="H572" s="1124"/>
    </row>
    <row r="573">
      <c r="B573" s="1123"/>
      <c r="D573" s="1123"/>
      <c r="H573" s="1124"/>
    </row>
    <row r="574">
      <c r="B574" s="1123"/>
      <c r="D574" s="1123"/>
      <c r="H574" s="1124"/>
    </row>
    <row r="575">
      <c r="B575" s="1123"/>
      <c r="D575" s="1123"/>
      <c r="H575" s="1124"/>
    </row>
    <row r="576">
      <c r="B576" s="1123"/>
      <c r="D576" s="1123"/>
      <c r="H576" s="1124"/>
    </row>
    <row r="577">
      <c r="B577" s="1123"/>
      <c r="D577" s="1123"/>
      <c r="H577" s="1124"/>
    </row>
    <row r="578">
      <c r="B578" s="1123"/>
      <c r="D578" s="1123"/>
      <c r="H578" s="1124"/>
    </row>
    <row r="579">
      <c r="B579" s="1123"/>
      <c r="D579" s="1123"/>
      <c r="H579" s="1124"/>
    </row>
    <row r="580">
      <c r="B580" s="1123"/>
      <c r="D580" s="1123"/>
      <c r="H580" s="1124"/>
    </row>
    <row r="581">
      <c r="B581" s="1123"/>
      <c r="D581" s="1123"/>
      <c r="H581" s="1124"/>
    </row>
    <row r="582">
      <c r="B582" s="1123"/>
      <c r="D582" s="1123"/>
      <c r="H582" s="1124"/>
    </row>
    <row r="583">
      <c r="B583" s="1123"/>
      <c r="D583" s="1123"/>
      <c r="H583" s="1124"/>
    </row>
    <row r="584">
      <c r="B584" s="1123"/>
      <c r="D584" s="1123"/>
      <c r="H584" s="1124"/>
    </row>
    <row r="585">
      <c r="B585" s="1123"/>
      <c r="D585" s="1123"/>
      <c r="H585" s="1124"/>
    </row>
    <row r="586">
      <c r="B586" s="1123"/>
      <c r="D586" s="1123"/>
      <c r="H586" s="1124"/>
    </row>
    <row r="587">
      <c r="B587" s="1123"/>
      <c r="D587" s="1123"/>
      <c r="H587" s="1124"/>
    </row>
    <row r="588">
      <c r="B588" s="1123"/>
      <c r="D588" s="1123"/>
      <c r="H588" s="1124"/>
    </row>
    <row r="589">
      <c r="B589" s="1123"/>
      <c r="D589" s="1123"/>
      <c r="H589" s="1124"/>
    </row>
    <row r="590">
      <c r="B590" s="1123"/>
      <c r="D590" s="1123"/>
      <c r="H590" s="1124"/>
    </row>
    <row r="591">
      <c r="B591" s="1123"/>
      <c r="D591" s="1123"/>
      <c r="H591" s="1124"/>
    </row>
    <row r="592">
      <c r="B592" s="1123"/>
      <c r="D592" s="1123"/>
      <c r="H592" s="1124"/>
    </row>
    <row r="593">
      <c r="B593" s="1123"/>
      <c r="D593" s="1123"/>
      <c r="H593" s="1124"/>
    </row>
    <row r="594">
      <c r="B594" s="1123"/>
      <c r="D594" s="1123"/>
      <c r="H594" s="1124"/>
    </row>
    <row r="595">
      <c r="B595" s="1123"/>
      <c r="D595" s="1123"/>
      <c r="H595" s="1124"/>
    </row>
    <row r="596">
      <c r="B596" s="1123"/>
      <c r="D596" s="1123"/>
      <c r="H596" s="1124"/>
    </row>
    <row r="597">
      <c r="B597" s="1123"/>
      <c r="D597" s="1123"/>
      <c r="H597" s="1124"/>
    </row>
    <row r="598">
      <c r="B598" s="1123"/>
      <c r="D598" s="1123"/>
      <c r="H598" s="1124"/>
    </row>
    <row r="599">
      <c r="B599" s="1123"/>
      <c r="D599" s="1123"/>
      <c r="H599" s="1124"/>
    </row>
    <row r="600">
      <c r="B600" s="1123"/>
      <c r="D600" s="1123"/>
      <c r="H600" s="1124"/>
    </row>
    <row r="601">
      <c r="B601" s="1123"/>
      <c r="D601" s="1123"/>
      <c r="H601" s="1124"/>
    </row>
    <row r="602">
      <c r="B602" s="1123"/>
      <c r="D602" s="1123"/>
      <c r="H602" s="1124"/>
    </row>
    <row r="603">
      <c r="B603" s="1123"/>
      <c r="D603" s="1123"/>
      <c r="H603" s="1124"/>
    </row>
    <row r="604">
      <c r="B604" s="1123"/>
      <c r="D604" s="1123"/>
      <c r="H604" s="1124"/>
    </row>
    <row r="605">
      <c r="B605" s="1123"/>
      <c r="D605" s="1123"/>
      <c r="H605" s="1124"/>
    </row>
    <row r="606">
      <c r="B606" s="1123"/>
      <c r="D606" s="1123"/>
      <c r="H606" s="1124"/>
    </row>
    <row r="607">
      <c r="B607" s="1123"/>
      <c r="D607" s="1123"/>
      <c r="H607" s="1124"/>
    </row>
    <row r="608">
      <c r="B608" s="1123"/>
      <c r="D608" s="1123"/>
      <c r="H608" s="1124"/>
    </row>
    <row r="609">
      <c r="B609" s="1123"/>
      <c r="D609" s="1123"/>
      <c r="H609" s="1124"/>
    </row>
    <row r="610">
      <c r="B610" s="1123"/>
      <c r="D610" s="1123"/>
      <c r="H610" s="1124"/>
    </row>
    <row r="611">
      <c r="B611" s="1123"/>
      <c r="D611" s="1123"/>
      <c r="H611" s="1124"/>
    </row>
    <row r="612">
      <c r="B612" s="1123"/>
      <c r="D612" s="1123"/>
      <c r="H612" s="1124"/>
    </row>
    <row r="613">
      <c r="B613" s="1123"/>
      <c r="D613" s="1123"/>
      <c r="H613" s="1124"/>
    </row>
    <row r="614">
      <c r="B614" s="1123"/>
      <c r="D614" s="1123"/>
      <c r="H614" s="1124"/>
    </row>
    <row r="615">
      <c r="B615" s="1123"/>
      <c r="D615" s="1123"/>
      <c r="H615" s="1124"/>
    </row>
    <row r="616">
      <c r="B616" s="1123"/>
      <c r="D616" s="1123"/>
      <c r="H616" s="1124"/>
    </row>
    <row r="617">
      <c r="B617" s="1123"/>
      <c r="D617" s="1123"/>
      <c r="H617" s="1124"/>
    </row>
    <row r="618">
      <c r="B618" s="1123"/>
      <c r="D618" s="1123"/>
      <c r="H618" s="1124"/>
    </row>
    <row r="619">
      <c r="B619" s="1123"/>
      <c r="D619" s="1123"/>
      <c r="H619" s="1124"/>
    </row>
    <row r="620">
      <c r="B620" s="1123"/>
      <c r="D620" s="1123"/>
      <c r="H620" s="1124"/>
    </row>
    <row r="621">
      <c r="B621" s="1123"/>
      <c r="D621" s="1123"/>
      <c r="H621" s="1124"/>
    </row>
    <row r="622">
      <c r="B622" s="1123"/>
      <c r="D622" s="1123"/>
      <c r="H622" s="1124"/>
    </row>
    <row r="623">
      <c r="B623" s="1123"/>
      <c r="D623" s="1123"/>
      <c r="H623" s="1124"/>
    </row>
    <row r="624">
      <c r="B624" s="1123"/>
      <c r="D624" s="1123"/>
      <c r="H624" s="1124"/>
    </row>
    <row r="625">
      <c r="B625" s="1123"/>
      <c r="D625" s="1123"/>
      <c r="H625" s="1124"/>
    </row>
    <row r="626">
      <c r="B626" s="1123"/>
      <c r="D626" s="1123"/>
      <c r="H626" s="1124"/>
    </row>
    <row r="627">
      <c r="B627" s="1123"/>
      <c r="D627" s="1123"/>
      <c r="H627" s="1124"/>
    </row>
    <row r="628">
      <c r="B628" s="1123"/>
      <c r="D628" s="1123"/>
      <c r="H628" s="1124"/>
    </row>
    <row r="629">
      <c r="B629" s="1123"/>
      <c r="D629" s="1123"/>
      <c r="H629" s="1124"/>
    </row>
    <row r="630">
      <c r="B630" s="1123"/>
      <c r="D630" s="1123"/>
      <c r="H630" s="1124"/>
    </row>
    <row r="631">
      <c r="B631" s="1123"/>
      <c r="D631" s="1123"/>
      <c r="H631" s="1124"/>
    </row>
    <row r="632">
      <c r="B632" s="1123"/>
      <c r="D632" s="1123"/>
      <c r="H632" s="1124"/>
    </row>
    <row r="633">
      <c r="B633" s="1123"/>
      <c r="D633" s="1123"/>
      <c r="H633" s="1124"/>
    </row>
    <row r="634">
      <c r="B634" s="1123"/>
      <c r="D634" s="1123"/>
      <c r="H634" s="1124"/>
    </row>
    <row r="635">
      <c r="B635" s="1123"/>
      <c r="D635" s="1123"/>
      <c r="H635" s="1124"/>
    </row>
    <row r="636">
      <c r="B636" s="1123"/>
      <c r="D636" s="1123"/>
      <c r="H636" s="1124"/>
    </row>
    <row r="637">
      <c r="B637" s="1123"/>
      <c r="D637" s="1123"/>
      <c r="H637" s="1124"/>
    </row>
    <row r="638">
      <c r="B638" s="1123"/>
      <c r="D638" s="1123"/>
      <c r="H638" s="1124"/>
    </row>
    <row r="639">
      <c r="B639" s="1123"/>
      <c r="D639" s="1123"/>
      <c r="H639" s="1124"/>
    </row>
    <row r="640">
      <c r="B640" s="1123"/>
      <c r="D640" s="1123"/>
      <c r="H640" s="1124"/>
    </row>
    <row r="641">
      <c r="B641" s="1123"/>
      <c r="D641" s="1123"/>
      <c r="H641" s="1124"/>
    </row>
    <row r="642">
      <c r="B642" s="1123"/>
      <c r="D642" s="1123"/>
      <c r="H642" s="1124"/>
    </row>
    <row r="643">
      <c r="B643" s="1123"/>
      <c r="D643" s="1123"/>
      <c r="H643" s="1124"/>
    </row>
    <row r="644">
      <c r="B644" s="1123"/>
      <c r="D644" s="1123"/>
      <c r="H644" s="1124"/>
    </row>
    <row r="645">
      <c r="B645" s="1123"/>
      <c r="D645" s="1123"/>
      <c r="H645" s="1124"/>
    </row>
    <row r="646">
      <c r="B646" s="1123"/>
      <c r="D646" s="1123"/>
      <c r="H646" s="1124"/>
    </row>
    <row r="647">
      <c r="B647" s="1123"/>
      <c r="D647" s="1123"/>
      <c r="H647" s="1124"/>
    </row>
    <row r="648">
      <c r="B648" s="1123"/>
      <c r="D648" s="1123"/>
      <c r="H648" s="1124"/>
    </row>
    <row r="649">
      <c r="B649" s="1123"/>
      <c r="D649" s="1123"/>
      <c r="H649" s="1124"/>
    </row>
    <row r="650">
      <c r="B650" s="1123"/>
      <c r="D650" s="1123"/>
      <c r="H650" s="1124"/>
    </row>
    <row r="651">
      <c r="B651" s="1123"/>
      <c r="D651" s="1123"/>
      <c r="H651" s="1124"/>
    </row>
    <row r="652">
      <c r="B652" s="1123"/>
      <c r="D652" s="1123"/>
      <c r="H652" s="1124"/>
    </row>
    <row r="653">
      <c r="B653" s="1123"/>
      <c r="D653" s="1123"/>
      <c r="H653" s="1124"/>
    </row>
    <row r="654">
      <c r="B654" s="1123"/>
      <c r="D654" s="1123"/>
      <c r="H654" s="1124"/>
    </row>
    <row r="655">
      <c r="B655" s="1123"/>
      <c r="D655" s="1123"/>
      <c r="H655" s="1124"/>
    </row>
    <row r="656">
      <c r="B656" s="1123"/>
      <c r="D656" s="1123"/>
      <c r="H656" s="1124"/>
    </row>
    <row r="657">
      <c r="B657" s="1123"/>
      <c r="D657" s="1123"/>
      <c r="H657" s="1124"/>
    </row>
    <row r="658">
      <c r="B658" s="1123"/>
      <c r="D658" s="1123"/>
      <c r="H658" s="1124"/>
    </row>
    <row r="659">
      <c r="B659" s="1123"/>
      <c r="D659" s="1123"/>
      <c r="H659" s="1124"/>
    </row>
    <row r="660">
      <c r="B660" s="1123"/>
      <c r="D660" s="1123"/>
      <c r="H660" s="1124"/>
    </row>
    <row r="661">
      <c r="B661" s="1123"/>
      <c r="D661" s="1123"/>
      <c r="H661" s="1124"/>
    </row>
    <row r="662">
      <c r="B662" s="1123"/>
      <c r="D662" s="1123"/>
      <c r="H662" s="1124"/>
    </row>
    <row r="663">
      <c r="B663" s="1123"/>
      <c r="D663" s="1123"/>
      <c r="H663" s="1124"/>
    </row>
    <row r="664">
      <c r="B664" s="1123"/>
      <c r="D664" s="1123"/>
      <c r="H664" s="1124"/>
    </row>
    <row r="665">
      <c r="B665" s="1123"/>
      <c r="D665" s="1123"/>
      <c r="H665" s="1124"/>
    </row>
    <row r="666">
      <c r="B666" s="1123"/>
      <c r="D666" s="1123"/>
      <c r="H666" s="1124"/>
    </row>
    <row r="667">
      <c r="B667" s="1123"/>
      <c r="D667" s="1123"/>
      <c r="H667" s="1124"/>
    </row>
    <row r="668">
      <c r="B668" s="1123"/>
      <c r="D668" s="1123"/>
      <c r="H668" s="1124"/>
    </row>
    <row r="669">
      <c r="B669" s="1123"/>
      <c r="D669" s="1123"/>
      <c r="H669" s="1124"/>
    </row>
    <row r="670">
      <c r="B670" s="1123"/>
      <c r="D670" s="1123"/>
      <c r="H670" s="1124"/>
    </row>
    <row r="671">
      <c r="B671" s="1123"/>
      <c r="D671" s="1123"/>
      <c r="H671" s="1124"/>
    </row>
    <row r="672">
      <c r="B672" s="1123"/>
      <c r="D672" s="1123"/>
      <c r="H672" s="1124"/>
    </row>
    <row r="673">
      <c r="B673" s="1123"/>
      <c r="D673" s="1123"/>
      <c r="H673" s="1124"/>
    </row>
    <row r="674">
      <c r="B674" s="1123"/>
      <c r="D674" s="1123"/>
      <c r="H674" s="1124"/>
    </row>
    <row r="675">
      <c r="B675" s="1110"/>
      <c r="D675" s="1110"/>
    </row>
    <row r="676">
      <c r="B676" s="1110"/>
      <c r="D676" s="1110"/>
    </row>
    <row r="677">
      <c r="B677" s="1110"/>
      <c r="D677" s="1110"/>
    </row>
    <row r="678">
      <c r="B678" s="1110"/>
      <c r="D678" s="1110"/>
    </row>
    <row r="679">
      <c r="B679" s="1110"/>
      <c r="D679" s="1110"/>
    </row>
    <row r="680">
      <c r="B680" s="1110"/>
      <c r="D680" s="1110"/>
    </row>
    <row r="681">
      <c r="B681" s="1110"/>
      <c r="D681" s="1110"/>
    </row>
    <row r="682">
      <c r="B682" s="1110"/>
      <c r="D682" s="1110"/>
    </row>
    <row r="683">
      <c r="B683" s="1110"/>
      <c r="D683" s="1110"/>
    </row>
    <row r="684">
      <c r="B684" s="1110"/>
      <c r="D684" s="1110"/>
    </row>
    <row r="685">
      <c r="B685" s="1110"/>
      <c r="D685" s="1110"/>
    </row>
    <row r="686">
      <c r="B686" s="1110"/>
      <c r="D686" s="1110"/>
    </row>
    <row r="687">
      <c r="B687" s="1110"/>
      <c r="D687" s="1110"/>
    </row>
    <row r="688">
      <c r="B688" s="1110"/>
      <c r="D688" s="1110"/>
    </row>
    <row r="689">
      <c r="B689" s="1110"/>
      <c r="D689" s="1110"/>
    </row>
    <row r="690">
      <c r="B690" s="1110"/>
      <c r="D690" s="1110"/>
    </row>
    <row r="691">
      <c r="B691" s="1110"/>
      <c r="D691" s="1110"/>
    </row>
    <row r="692">
      <c r="B692" s="1110"/>
      <c r="D692" s="1110"/>
    </row>
    <row r="693">
      <c r="B693" s="1110"/>
      <c r="D693" s="1110"/>
    </row>
    <row r="694">
      <c r="B694" s="1110"/>
      <c r="D694" s="1110"/>
    </row>
    <row r="695">
      <c r="B695" s="1110"/>
      <c r="D695" s="1110"/>
    </row>
    <row r="696">
      <c r="B696" s="1110"/>
      <c r="D696" s="1110"/>
    </row>
    <row r="697">
      <c r="B697" s="1110"/>
      <c r="D697" s="1110"/>
    </row>
    <row r="698">
      <c r="B698" s="1110"/>
      <c r="D698" s="1110"/>
    </row>
    <row r="699">
      <c r="B699" s="1110"/>
      <c r="D699" s="1110"/>
    </row>
    <row r="700">
      <c r="B700" s="1110"/>
      <c r="D700" s="1110"/>
    </row>
    <row r="701">
      <c r="B701" s="1110"/>
      <c r="D701" s="1110"/>
    </row>
    <row r="702">
      <c r="B702" s="1110"/>
      <c r="D702" s="1110"/>
    </row>
    <row r="703">
      <c r="B703" s="1110"/>
      <c r="D703" s="1110"/>
    </row>
    <row r="704">
      <c r="B704" s="1110"/>
      <c r="D704" s="1110"/>
    </row>
    <row r="705">
      <c r="B705" s="1110"/>
      <c r="D705" s="1110"/>
    </row>
    <row r="706">
      <c r="B706" s="1110"/>
      <c r="D706" s="1110"/>
    </row>
    <row r="707">
      <c r="B707" s="1110"/>
      <c r="D707" s="1110"/>
    </row>
    <row r="708">
      <c r="B708" s="1110"/>
      <c r="D708" s="1110"/>
    </row>
    <row r="709">
      <c r="B709" s="1110"/>
      <c r="D709" s="1110"/>
    </row>
    <row r="710">
      <c r="B710" s="1110"/>
      <c r="D710" s="1110"/>
    </row>
    <row r="711">
      <c r="B711" s="1110"/>
      <c r="D711" s="1110"/>
    </row>
    <row r="712">
      <c r="B712" s="1110"/>
      <c r="D712" s="1110"/>
    </row>
    <row r="713">
      <c r="B713" s="1110"/>
      <c r="D713" s="1110"/>
    </row>
    <row r="714">
      <c r="B714" s="1110"/>
      <c r="D714" s="1110"/>
    </row>
    <row r="715">
      <c r="B715" s="1110"/>
      <c r="D715" s="1110"/>
    </row>
    <row r="716">
      <c r="B716" s="1110"/>
      <c r="D716" s="1110"/>
    </row>
    <row r="717">
      <c r="B717" s="1110"/>
      <c r="D717" s="1110"/>
    </row>
    <row r="718">
      <c r="B718" s="1110"/>
      <c r="D718" s="1110"/>
    </row>
    <row r="719">
      <c r="B719" s="1110"/>
      <c r="D719" s="1110"/>
    </row>
    <row r="720">
      <c r="B720" s="1110"/>
      <c r="D720" s="1110"/>
    </row>
    <row r="721">
      <c r="B721" s="1110"/>
      <c r="D721" s="1110"/>
    </row>
    <row r="722">
      <c r="B722" s="1110"/>
      <c r="D722" s="1110"/>
    </row>
    <row r="723">
      <c r="B723" s="1110"/>
      <c r="D723" s="1110"/>
    </row>
    <row r="724">
      <c r="B724" s="1110"/>
      <c r="D724" s="1110"/>
    </row>
    <row r="725">
      <c r="B725" s="1110"/>
      <c r="D725" s="1110"/>
    </row>
    <row r="726">
      <c r="B726" s="1110"/>
      <c r="D726" s="1110"/>
    </row>
    <row r="727">
      <c r="B727" s="1110"/>
      <c r="D727" s="1110"/>
    </row>
    <row r="728">
      <c r="B728" s="1110"/>
      <c r="D728" s="1110"/>
    </row>
    <row r="729">
      <c r="B729" s="1110"/>
      <c r="D729" s="1110"/>
    </row>
    <row r="730">
      <c r="B730" s="1110"/>
      <c r="D730" s="1110"/>
    </row>
    <row r="731">
      <c r="B731" s="1110"/>
      <c r="D731" s="1110"/>
    </row>
    <row r="732">
      <c r="B732" s="1110"/>
      <c r="D732" s="1110"/>
    </row>
    <row r="733">
      <c r="B733" s="1110"/>
      <c r="D733" s="1110"/>
    </row>
    <row r="734">
      <c r="B734" s="1110"/>
      <c r="D734" s="1110"/>
    </row>
    <row r="735">
      <c r="B735" s="1110"/>
      <c r="D735" s="1110"/>
    </row>
    <row r="736">
      <c r="B736" s="1110"/>
      <c r="D736" s="1110"/>
    </row>
    <row r="737">
      <c r="B737" s="1110"/>
      <c r="D737" s="1110"/>
    </row>
    <row r="738">
      <c r="B738" s="1110"/>
      <c r="D738" s="1110"/>
    </row>
    <row r="739">
      <c r="B739" s="1110"/>
      <c r="D739" s="1110"/>
    </row>
    <row r="740">
      <c r="B740" s="1110"/>
      <c r="D740" s="1110"/>
    </row>
    <row r="741">
      <c r="B741" s="1110"/>
      <c r="D741" s="1110"/>
    </row>
    <row r="742">
      <c r="B742" s="1110"/>
      <c r="D742" s="1110"/>
    </row>
    <row r="743">
      <c r="B743" s="1110"/>
      <c r="D743" s="1110"/>
    </row>
    <row r="744">
      <c r="B744" s="1110"/>
      <c r="D744" s="1110"/>
    </row>
    <row r="745">
      <c r="B745" s="1110"/>
      <c r="D745" s="1110"/>
    </row>
    <row r="746">
      <c r="B746" s="1110"/>
      <c r="D746" s="1110"/>
    </row>
    <row r="747">
      <c r="B747" s="1110"/>
      <c r="D747" s="1110"/>
    </row>
    <row r="748">
      <c r="B748" s="1110"/>
      <c r="D748" s="1110"/>
    </row>
    <row r="749">
      <c r="B749" s="1110"/>
      <c r="D749" s="1110"/>
    </row>
    <row r="750">
      <c r="B750" s="1110"/>
      <c r="D750" s="1110"/>
    </row>
    <row r="751">
      <c r="B751" s="1110"/>
      <c r="D751" s="1110"/>
    </row>
    <row r="752">
      <c r="B752" s="1110"/>
      <c r="D752" s="1110"/>
    </row>
    <row r="753">
      <c r="B753" s="1110"/>
      <c r="D753" s="1110"/>
    </row>
    <row r="754">
      <c r="B754" s="1110"/>
      <c r="D754" s="1110"/>
    </row>
    <row r="755">
      <c r="B755" s="1110"/>
      <c r="D755" s="1110"/>
    </row>
    <row r="756">
      <c r="B756" s="1110"/>
      <c r="D756" s="1110"/>
    </row>
    <row r="757">
      <c r="B757" s="1110"/>
      <c r="D757" s="1110"/>
    </row>
    <row r="758">
      <c r="B758" s="1110"/>
      <c r="D758" s="1110"/>
    </row>
    <row r="759">
      <c r="B759" s="1110"/>
      <c r="D759" s="1110"/>
    </row>
    <row r="760">
      <c r="B760" s="1110"/>
      <c r="D760" s="1110"/>
    </row>
    <row r="761">
      <c r="B761" s="1110"/>
      <c r="D761" s="1110"/>
    </row>
    <row r="762">
      <c r="B762" s="1110"/>
      <c r="D762" s="1110"/>
    </row>
    <row r="763">
      <c r="B763" s="1110"/>
      <c r="D763" s="1110"/>
    </row>
    <row r="764">
      <c r="B764" s="1110"/>
      <c r="D764" s="1110"/>
    </row>
    <row r="765">
      <c r="B765" s="1110"/>
      <c r="D765" s="1110"/>
    </row>
    <row r="766">
      <c r="B766" s="1110"/>
      <c r="D766" s="1110"/>
    </row>
    <row r="767">
      <c r="B767" s="1110"/>
      <c r="D767" s="1110"/>
    </row>
    <row r="768">
      <c r="B768" s="1110"/>
      <c r="D768" s="1110"/>
    </row>
    <row r="769">
      <c r="B769" s="1110"/>
      <c r="D769" s="1110"/>
    </row>
    <row r="770">
      <c r="B770" s="1110"/>
      <c r="D770" s="1110"/>
    </row>
    <row r="771">
      <c r="B771" s="1110"/>
      <c r="D771" s="1110"/>
    </row>
    <row r="772">
      <c r="B772" s="1110"/>
      <c r="D772" s="1110"/>
    </row>
    <row r="773">
      <c r="B773" s="1110"/>
      <c r="D773" s="1110"/>
    </row>
    <row r="774">
      <c r="B774" s="1110"/>
      <c r="D774" s="1110"/>
    </row>
    <row r="775">
      <c r="B775" s="1110"/>
      <c r="D775" s="1110"/>
    </row>
    <row r="776">
      <c r="B776" s="1110"/>
      <c r="D776" s="1110"/>
    </row>
    <row r="777">
      <c r="B777" s="1110"/>
      <c r="D777" s="1110"/>
    </row>
    <row r="778">
      <c r="B778" s="1110"/>
      <c r="D778" s="1110"/>
    </row>
    <row r="779">
      <c r="B779" s="1110"/>
      <c r="D779" s="1110"/>
    </row>
    <row r="780">
      <c r="B780" s="1110"/>
      <c r="D780" s="1110"/>
    </row>
    <row r="781">
      <c r="B781" s="1110"/>
      <c r="D781" s="1110"/>
    </row>
    <row r="782">
      <c r="B782" s="1110"/>
      <c r="D782" s="1110"/>
    </row>
    <row r="783">
      <c r="B783" s="1110"/>
      <c r="D783" s="1110"/>
    </row>
    <row r="784">
      <c r="B784" s="1110"/>
      <c r="D784" s="1110"/>
    </row>
    <row r="785">
      <c r="B785" s="1110"/>
      <c r="D785" s="1110"/>
    </row>
    <row r="786">
      <c r="B786" s="1110"/>
      <c r="D786" s="1110"/>
    </row>
    <row r="787">
      <c r="B787" s="1110"/>
      <c r="D787" s="1110"/>
    </row>
    <row r="788">
      <c r="B788" s="1110"/>
      <c r="D788" s="1110"/>
    </row>
    <row r="789">
      <c r="B789" s="1110"/>
      <c r="D789" s="1110"/>
    </row>
    <row r="790">
      <c r="B790" s="1110"/>
      <c r="D790" s="1110"/>
    </row>
    <row r="791">
      <c r="B791" s="1110"/>
      <c r="D791" s="1110"/>
    </row>
    <row r="792">
      <c r="B792" s="1110"/>
      <c r="D792" s="1110"/>
    </row>
    <row r="793">
      <c r="B793" s="1110"/>
      <c r="D793" s="1110"/>
    </row>
    <row r="794">
      <c r="B794" s="1110"/>
      <c r="D794" s="1110"/>
    </row>
    <row r="795">
      <c r="B795" s="1110"/>
      <c r="D795" s="1110"/>
    </row>
    <row r="796">
      <c r="B796" s="1110"/>
      <c r="D796" s="1110"/>
    </row>
    <row r="797">
      <c r="B797" s="1110"/>
      <c r="D797" s="1110"/>
    </row>
    <row r="798">
      <c r="B798" s="1110"/>
      <c r="D798" s="1110"/>
    </row>
    <row r="799">
      <c r="B799" s="1110"/>
      <c r="D799" s="1110"/>
    </row>
    <row r="800">
      <c r="B800" s="1110"/>
      <c r="D800" s="1110"/>
    </row>
    <row r="801">
      <c r="B801" s="1110"/>
      <c r="D801" s="1110"/>
    </row>
    <row r="802">
      <c r="B802" s="1110"/>
      <c r="D802" s="1110"/>
    </row>
    <row r="803">
      <c r="B803" s="1110"/>
      <c r="D803" s="1110"/>
    </row>
    <row r="804">
      <c r="B804" s="1110"/>
      <c r="D804" s="1110"/>
    </row>
    <row r="805">
      <c r="B805" s="1110"/>
      <c r="D805" s="1110"/>
    </row>
    <row r="806">
      <c r="B806" s="1110"/>
      <c r="D806" s="1110"/>
    </row>
    <row r="807">
      <c r="B807" s="1110"/>
      <c r="D807" s="1110"/>
    </row>
    <row r="808">
      <c r="B808" s="1110"/>
      <c r="D808" s="1110"/>
    </row>
    <row r="809">
      <c r="B809" s="1110"/>
      <c r="D809" s="1110"/>
    </row>
    <row r="810">
      <c r="B810" s="1110"/>
      <c r="D810" s="1110"/>
    </row>
    <row r="811">
      <c r="B811" s="1110"/>
      <c r="D811" s="1110"/>
    </row>
    <row r="812">
      <c r="B812" s="1110"/>
      <c r="D812" s="1110"/>
    </row>
    <row r="813">
      <c r="B813" s="1110"/>
      <c r="D813" s="1110"/>
    </row>
    <row r="814">
      <c r="B814" s="1110"/>
      <c r="D814" s="1110"/>
    </row>
    <row r="815">
      <c r="B815" s="1110"/>
      <c r="D815" s="1110"/>
    </row>
    <row r="816">
      <c r="B816" s="1110"/>
      <c r="D816" s="1110"/>
    </row>
    <row r="817">
      <c r="B817" s="1110"/>
      <c r="D817" s="1110"/>
    </row>
    <row r="818">
      <c r="B818" s="1110"/>
      <c r="D818" s="1110"/>
    </row>
    <row r="819">
      <c r="B819" s="1110"/>
      <c r="D819" s="1110"/>
    </row>
    <row r="820">
      <c r="B820" s="1110"/>
      <c r="D820" s="1110"/>
    </row>
    <row r="821">
      <c r="B821" s="1110"/>
      <c r="D821" s="1110"/>
    </row>
    <row r="822">
      <c r="B822" s="1110"/>
      <c r="D822" s="1110"/>
    </row>
    <row r="823">
      <c r="B823" s="1110"/>
      <c r="D823" s="1110"/>
    </row>
    <row r="824">
      <c r="B824" s="1110"/>
      <c r="D824" s="1110"/>
    </row>
    <row r="825">
      <c r="B825" s="1110"/>
      <c r="D825" s="1110"/>
    </row>
    <row r="826">
      <c r="B826" s="1110"/>
      <c r="D826" s="1110"/>
    </row>
    <row r="827">
      <c r="B827" s="1110"/>
      <c r="D827" s="1110"/>
    </row>
    <row r="828">
      <c r="B828" s="1110"/>
      <c r="D828" s="1110"/>
    </row>
    <row r="829">
      <c r="B829" s="1110"/>
      <c r="D829" s="1110"/>
    </row>
    <row r="830">
      <c r="B830" s="1110"/>
      <c r="D830" s="1110"/>
    </row>
    <row r="831">
      <c r="B831" s="1110"/>
      <c r="D831" s="1110"/>
    </row>
    <row r="832">
      <c r="B832" s="1110"/>
      <c r="D832" s="1110"/>
    </row>
    <row r="833">
      <c r="B833" s="1110"/>
      <c r="D833" s="1110"/>
    </row>
    <row r="834">
      <c r="B834" s="1110"/>
      <c r="D834" s="1110"/>
    </row>
    <row r="835">
      <c r="B835" s="1110"/>
      <c r="D835" s="1110"/>
    </row>
    <row r="836">
      <c r="B836" s="1110"/>
      <c r="D836" s="1110"/>
    </row>
    <row r="837">
      <c r="B837" s="1110"/>
      <c r="D837" s="1110"/>
    </row>
    <row r="838">
      <c r="B838" s="1110"/>
      <c r="D838" s="1110"/>
    </row>
    <row r="839">
      <c r="B839" s="1110"/>
      <c r="D839" s="1110"/>
    </row>
    <row r="840">
      <c r="B840" s="1110"/>
      <c r="D840" s="1110"/>
    </row>
    <row r="841">
      <c r="B841" s="1110"/>
      <c r="D841" s="1110"/>
    </row>
    <row r="842">
      <c r="B842" s="1110"/>
      <c r="D842" s="1110"/>
    </row>
    <row r="843">
      <c r="B843" s="1110"/>
      <c r="D843" s="1110"/>
    </row>
    <row r="844">
      <c r="B844" s="1110"/>
      <c r="D844" s="1110"/>
    </row>
    <row r="845">
      <c r="B845" s="1110"/>
      <c r="D845" s="1110"/>
    </row>
    <row r="846">
      <c r="B846" s="1110"/>
      <c r="D846" s="1110"/>
    </row>
    <row r="847">
      <c r="B847" s="1110"/>
      <c r="D847" s="1110"/>
    </row>
    <row r="848">
      <c r="B848" s="1110"/>
      <c r="D848" s="1110"/>
    </row>
    <row r="849">
      <c r="B849" s="1110"/>
      <c r="D849" s="1110"/>
    </row>
    <row r="850">
      <c r="B850" s="1110"/>
      <c r="D850" s="1110"/>
    </row>
    <row r="851">
      <c r="B851" s="1110"/>
      <c r="D851" s="1110"/>
    </row>
    <row r="852">
      <c r="B852" s="1110"/>
      <c r="D852" s="1110"/>
    </row>
    <row r="853">
      <c r="B853" s="1110"/>
      <c r="D853" s="1110"/>
    </row>
    <row r="854">
      <c r="B854" s="1110"/>
      <c r="D854" s="1110"/>
    </row>
    <row r="855">
      <c r="B855" s="1110"/>
      <c r="D855" s="1110"/>
    </row>
    <row r="856">
      <c r="B856" s="1110"/>
      <c r="D856" s="1110"/>
    </row>
    <row r="857">
      <c r="B857" s="1110"/>
      <c r="D857" s="1110"/>
    </row>
    <row r="858">
      <c r="B858" s="1110"/>
      <c r="D858" s="1110"/>
    </row>
    <row r="859">
      <c r="B859" s="1110"/>
      <c r="D859" s="1110"/>
    </row>
    <row r="860">
      <c r="B860" s="1110"/>
      <c r="D860" s="1110"/>
    </row>
    <row r="861">
      <c r="B861" s="1110"/>
      <c r="D861" s="1110"/>
    </row>
    <row r="862">
      <c r="B862" s="1110"/>
      <c r="D862" s="1110"/>
    </row>
    <row r="863">
      <c r="B863" s="1110"/>
      <c r="D863" s="1110"/>
    </row>
    <row r="864">
      <c r="B864" s="1110"/>
      <c r="D864" s="1110"/>
    </row>
    <row r="865">
      <c r="B865" s="1110"/>
      <c r="D865" s="1110"/>
    </row>
    <row r="866">
      <c r="B866" s="1110"/>
      <c r="D866" s="1110"/>
    </row>
    <row r="867">
      <c r="B867" s="1110"/>
      <c r="D867" s="1110"/>
    </row>
    <row r="868">
      <c r="B868" s="1110"/>
      <c r="D868" s="1110"/>
    </row>
    <row r="869">
      <c r="B869" s="1110"/>
      <c r="D869" s="1110"/>
    </row>
    <row r="870">
      <c r="B870" s="1110"/>
      <c r="D870" s="1110"/>
    </row>
    <row r="871">
      <c r="B871" s="1110"/>
      <c r="D871" s="1110"/>
    </row>
    <row r="872">
      <c r="B872" s="1110"/>
      <c r="D872" s="1110"/>
    </row>
    <row r="873">
      <c r="B873" s="1110"/>
      <c r="D873" s="1110"/>
    </row>
    <row r="874">
      <c r="B874" s="1110"/>
      <c r="D874" s="1110"/>
    </row>
    <row r="875">
      <c r="B875" s="1110"/>
      <c r="D875" s="1110"/>
    </row>
    <row r="876">
      <c r="B876" s="1110"/>
      <c r="D876" s="1110"/>
    </row>
    <row r="877">
      <c r="B877" s="1110"/>
      <c r="D877" s="1110"/>
    </row>
    <row r="878">
      <c r="B878" s="1110"/>
      <c r="D878" s="1110"/>
    </row>
    <row r="879">
      <c r="B879" s="1110"/>
      <c r="D879" s="1110"/>
    </row>
    <row r="880">
      <c r="B880" s="1110"/>
      <c r="D880" s="1110"/>
    </row>
    <row r="881">
      <c r="B881" s="1110"/>
      <c r="D881" s="1110"/>
    </row>
    <row r="882">
      <c r="B882" s="1110"/>
      <c r="D882" s="1110"/>
    </row>
    <row r="883">
      <c r="B883" s="1110"/>
      <c r="D883" s="1110"/>
    </row>
    <row r="884">
      <c r="B884" s="1110"/>
      <c r="D884" s="1110"/>
    </row>
    <row r="885">
      <c r="B885" s="1110"/>
      <c r="D885" s="1110"/>
    </row>
    <row r="886">
      <c r="B886" s="1110"/>
      <c r="D886" s="1110"/>
    </row>
    <row r="887">
      <c r="B887" s="1110"/>
      <c r="D887" s="1110"/>
    </row>
    <row r="888">
      <c r="B888" s="1110"/>
      <c r="D888" s="1110"/>
    </row>
    <row r="889">
      <c r="B889" s="1110"/>
      <c r="D889" s="1110"/>
    </row>
    <row r="890">
      <c r="B890" s="1110"/>
      <c r="D890" s="1110"/>
    </row>
    <row r="891">
      <c r="B891" s="1110"/>
      <c r="D891" s="1110"/>
    </row>
    <row r="892">
      <c r="B892" s="1110"/>
      <c r="D892" s="1110"/>
    </row>
    <row r="893">
      <c r="B893" s="1110"/>
      <c r="D893" s="1110"/>
    </row>
    <row r="894">
      <c r="B894" s="1110"/>
      <c r="D894" s="1110"/>
    </row>
    <row r="895">
      <c r="B895" s="1110"/>
      <c r="D895" s="1110"/>
    </row>
    <row r="896">
      <c r="B896" s="1110"/>
      <c r="D896" s="1110"/>
    </row>
    <row r="897">
      <c r="B897" s="1110"/>
      <c r="D897" s="1110"/>
    </row>
    <row r="898">
      <c r="B898" s="1110"/>
      <c r="D898" s="1110"/>
    </row>
    <row r="899">
      <c r="B899" s="1110"/>
      <c r="D899" s="1110"/>
    </row>
    <row r="900">
      <c r="B900" s="1110"/>
      <c r="D900" s="1110"/>
    </row>
    <row r="901">
      <c r="B901" s="1110"/>
      <c r="D901" s="1110"/>
    </row>
    <row r="902">
      <c r="B902" s="1110"/>
      <c r="D902" s="1110"/>
    </row>
    <row r="903">
      <c r="B903" s="1110"/>
      <c r="D903" s="1110"/>
    </row>
    <row r="904">
      <c r="B904" s="1110"/>
      <c r="D904" s="1110"/>
    </row>
    <row r="905">
      <c r="B905" s="1110"/>
      <c r="D905" s="1110"/>
    </row>
    <row r="906">
      <c r="B906" s="1110"/>
      <c r="D906" s="1110"/>
    </row>
    <row r="907">
      <c r="B907" s="1110"/>
      <c r="D907" s="1110"/>
    </row>
    <row r="908">
      <c r="B908" s="1110"/>
      <c r="D908" s="1110"/>
    </row>
    <row r="909">
      <c r="B909" s="1110"/>
      <c r="D909" s="1110"/>
    </row>
    <row r="910">
      <c r="B910" s="1110"/>
      <c r="D910" s="1110"/>
    </row>
    <row r="911">
      <c r="B911" s="1110"/>
      <c r="D911" s="1110"/>
    </row>
    <row r="912">
      <c r="B912" s="1110"/>
      <c r="D912" s="1110"/>
    </row>
    <row r="913">
      <c r="B913" s="1110"/>
      <c r="D913" s="1110"/>
    </row>
    <row r="914">
      <c r="B914" s="1110"/>
      <c r="D914" s="1110"/>
    </row>
    <row r="915">
      <c r="B915" s="1110"/>
      <c r="D915" s="1110"/>
    </row>
    <row r="916">
      <c r="B916" s="1110"/>
      <c r="D916" s="1110"/>
    </row>
    <row r="917">
      <c r="B917" s="1110"/>
      <c r="D917" s="1110"/>
    </row>
    <row r="918">
      <c r="B918" s="1110"/>
      <c r="D918" s="1110"/>
    </row>
    <row r="919">
      <c r="B919" s="1110"/>
      <c r="D919" s="1110"/>
    </row>
    <row r="920">
      <c r="B920" s="1110"/>
      <c r="D920" s="1110"/>
    </row>
    <row r="921">
      <c r="B921" s="1110"/>
      <c r="D921" s="1110"/>
    </row>
    <row r="922">
      <c r="B922" s="1110"/>
      <c r="D922" s="1110"/>
    </row>
    <row r="923">
      <c r="B923" s="1110"/>
      <c r="D923" s="1110"/>
    </row>
    <row r="924">
      <c r="B924" s="1110"/>
      <c r="D924" s="1110"/>
    </row>
    <row r="925">
      <c r="B925" s="1110"/>
      <c r="D925" s="1110"/>
    </row>
    <row r="926">
      <c r="B926" s="1110"/>
      <c r="D926" s="1110"/>
    </row>
    <row r="927">
      <c r="B927" s="1110"/>
      <c r="D927" s="1110"/>
    </row>
    <row r="928">
      <c r="B928" s="1110"/>
      <c r="D928" s="1110"/>
    </row>
    <row r="929">
      <c r="B929" s="1110"/>
      <c r="D929" s="1110"/>
    </row>
    <row r="930">
      <c r="B930" s="1110"/>
      <c r="D930" s="1110"/>
    </row>
    <row r="931">
      <c r="B931" s="1110"/>
      <c r="D931" s="1110"/>
    </row>
    <row r="932">
      <c r="B932" s="1110"/>
      <c r="D932" s="1110"/>
    </row>
    <row r="933">
      <c r="B933" s="1110"/>
      <c r="D933" s="1110"/>
    </row>
    <row r="934">
      <c r="B934" s="1110"/>
      <c r="D934" s="1110"/>
    </row>
    <row r="935">
      <c r="B935" s="1110"/>
      <c r="D935" s="1110"/>
    </row>
    <row r="936">
      <c r="B936" s="1110"/>
      <c r="D936" s="1110"/>
    </row>
    <row r="937">
      <c r="B937" s="1110"/>
      <c r="D937" s="1110"/>
    </row>
    <row r="938">
      <c r="B938" s="1110"/>
      <c r="D938" s="1110"/>
    </row>
    <row r="939">
      <c r="B939" s="1110"/>
      <c r="D939" s="1110"/>
    </row>
    <row r="940">
      <c r="B940" s="1110"/>
      <c r="D940" s="1110"/>
    </row>
    <row r="941">
      <c r="B941" s="1110"/>
      <c r="D941" s="1110"/>
    </row>
    <row r="942">
      <c r="B942" s="1110"/>
      <c r="D942" s="1110"/>
    </row>
    <row r="943">
      <c r="B943" s="1110"/>
      <c r="D943" s="1110"/>
    </row>
    <row r="944">
      <c r="B944" s="1110"/>
      <c r="D944" s="1110"/>
    </row>
    <row r="945">
      <c r="B945" s="1110"/>
      <c r="D945" s="1110"/>
    </row>
    <row r="946">
      <c r="B946" s="1110"/>
      <c r="D946" s="1110"/>
    </row>
    <row r="947">
      <c r="B947" s="1110"/>
      <c r="D947" s="1110"/>
    </row>
    <row r="948">
      <c r="B948" s="1110"/>
      <c r="D948" s="1110"/>
    </row>
    <row r="949">
      <c r="B949" s="1110"/>
      <c r="D949" s="1110"/>
    </row>
    <row r="950">
      <c r="B950" s="1110"/>
      <c r="D950" s="1110"/>
    </row>
    <row r="951">
      <c r="B951" s="1110"/>
      <c r="D951" s="1110"/>
    </row>
    <row r="952">
      <c r="B952" s="1110"/>
      <c r="D952" s="1110"/>
    </row>
    <row r="953">
      <c r="B953" s="1110"/>
      <c r="D953" s="1110"/>
    </row>
    <row r="954">
      <c r="B954" s="1110"/>
      <c r="D954" s="1110"/>
    </row>
    <row r="955">
      <c r="B955" s="1110"/>
      <c r="D955" s="1110"/>
    </row>
    <row r="956">
      <c r="B956" s="1110"/>
      <c r="D956" s="1110"/>
    </row>
    <row r="957">
      <c r="B957" s="1110"/>
      <c r="D957" s="1110"/>
    </row>
    <row r="958">
      <c r="B958" s="1110"/>
      <c r="D958" s="1110"/>
    </row>
    <row r="959">
      <c r="B959" s="1110"/>
      <c r="D959" s="1110"/>
    </row>
    <row r="960">
      <c r="B960" s="1110"/>
      <c r="D960" s="1110"/>
    </row>
    <row r="961">
      <c r="B961" s="1110"/>
      <c r="D961" s="1110"/>
    </row>
    <row r="962">
      <c r="B962" s="1110"/>
      <c r="D962" s="1110"/>
    </row>
    <row r="963">
      <c r="B963" s="1110"/>
      <c r="D963" s="1110"/>
    </row>
    <row r="964">
      <c r="B964" s="1110"/>
      <c r="D964" s="1110"/>
    </row>
    <row r="965">
      <c r="B965" s="1110"/>
      <c r="D965" s="1110"/>
    </row>
    <row r="966">
      <c r="B966" s="1110"/>
      <c r="D966" s="1110"/>
    </row>
    <row r="967">
      <c r="B967" s="1110"/>
      <c r="D967" s="1110"/>
    </row>
    <row r="968">
      <c r="B968" s="1110"/>
      <c r="D968" s="1110"/>
    </row>
    <row r="969">
      <c r="B969" s="1110"/>
      <c r="D969" s="1110"/>
    </row>
    <row r="970">
      <c r="B970" s="1110"/>
      <c r="D970" s="1110"/>
    </row>
    <row r="971">
      <c r="B971" s="1110"/>
      <c r="D971" s="1110"/>
    </row>
    <row r="972">
      <c r="B972" s="1110"/>
      <c r="D972" s="1110"/>
    </row>
    <row r="973">
      <c r="B973" s="1110"/>
      <c r="D973" s="1110"/>
    </row>
    <row r="974">
      <c r="B974" s="1110"/>
      <c r="D974" s="1110"/>
    </row>
    <row r="975">
      <c r="B975" s="1110"/>
      <c r="D975" s="1110"/>
    </row>
    <row r="976">
      <c r="B976" s="1110"/>
      <c r="D976" s="1110"/>
    </row>
    <row r="977">
      <c r="B977" s="1110"/>
      <c r="D977" s="1110"/>
    </row>
    <row r="978">
      <c r="B978" s="1110"/>
      <c r="D978" s="1110"/>
    </row>
    <row r="979">
      <c r="B979" s="1110"/>
      <c r="D979" s="1110"/>
    </row>
  </sheetData>
  <customSheetViews>
    <customSheetView guid="{BE0E24FF-E905-4556-BF58-9EBCE7C8F460}" filter="1" showAutoFilter="1">
      <autoFilter ref="$B$6:$J$354">
        <filterColumn colId="5">
          <filters>
            <filter val="Líderes de Vendas"/>
          </filters>
        </filterColumn>
      </autoFilter>
    </customSheetView>
  </customSheetViews>
  <mergeCells count="1">
    <mergeCell ref="B1:G4"/>
  </mergeCells>
  <dataValidations>
    <dataValidation type="list" allowBlank="1" showErrorMessage="1" sqref="G7:G393">
      <formula1>Listas!$B$3:$B$20</formula1>
    </dataValidation>
    <dataValidation type="list" allowBlank="1" showErrorMessage="1" sqref="N7:N393">
      <formula1>Listas!$D$3:$D$82</formula1>
    </dataValidation>
    <dataValidation type="list" allowBlank="1" showErrorMessage="1" sqref="M7:M393">
      <formula1>Listas!$C$3:$C$18</formula1>
    </dataValidation>
  </dataValidations>
  <hyperlinks>
    <hyperlink r:id="rId1" ref="L7"/>
    <hyperlink r:id="rId2" ref="L8"/>
    <hyperlink r:id="rId3" ref="L9"/>
    <hyperlink r:id="rId4" ref="L10"/>
    <hyperlink r:id="rId5" ref="L11"/>
    <hyperlink r:id="rId6" ref="L12"/>
    <hyperlink r:id="rId7" ref="L13"/>
    <hyperlink r:id="rId8" ref="L14"/>
    <hyperlink r:id="rId9" ref="L15"/>
    <hyperlink r:id="rId10" ref="L16"/>
    <hyperlink r:id="rId11" ref="L17"/>
    <hyperlink r:id="rId12" ref="L18"/>
    <hyperlink r:id="rId13" ref="L19"/>
    <hyperlink r:id="rId14" ref="L20"/>
    <hyperlink r:id="rId15" ref="L21"/>
    <hyperlink r:id="rId16" ref="L22"/>
    <hyperlink r:id="rId17" ref="L23"/>
    <hyperlink r:id="rId18" ref="L24"/>
    <hyperlink r:id="rId19" ref="L25"/>
    <hyperlink r:id="rId20" ref="L26"/>
    <hyperlink r:id="rId21" ref="L27"/>
    <hyperlink r:id="rId22" ref="L28"/>
    <hyperlink r:id="rId23" ref="L29"/>
    <hyperlink r:id="rId24" ref="L30"/>
    <hyperlink r:id="rId25" ref="L31"/>
    <hyperlink r:id="rId26" ref="L32"/>
    <hyperlink r:id="rId27" ref="L33"/>
    <hyperlink r:id="rId28" ref="L34"/>
    <hyperlink r:id="rId29" ref="L35"/>
    <hyperlink r:id="rId30" ref="L36"/>
    <hyperlink r:id="rId31" ref="L37"/>
    <hyperlink r:id="rId32" ref="L38"/>
    <hyperlink r:id="rId33" ref="L39"/>
    <hyperlink r:id="rId34" ref="L40"/>
    <hyperlink r:id="rId35" ref="L41"/>
    <hyperlink r:id="rId36" ref="L42"/>
    <hyperlink r:id="rId37" ref="L43"/>
    <hyperlink r:id="rId38" ref="L44"/>
    <hyperlink r:id="rId39" ref="L45"/>
    <hyperlink r:id="rId40" ref="L46"/>
    <hyperlink r:id="rId41" ref="L47"/>
    <hyperlink r:id="rId42" ref="L48"/>
    <hyperlink r:id="rId43" ref="L49"/>
    <hyperlink r:id="rId44" ref="L50"/>
    <hyperlink r:id="rId45" ref="L51"/>
    <hyperlink r:id="rId46" ref="L52"/>
    <hyperlink r:id="rId47" ref="L53"/>
    <hyperlink r:id="rId48" ref="L54"/>
    <hyperlink r:id="rId49" ref="L55"/>
    <hyperlink r:id="rId50" ref="L56"/>
    <hyperlink r:id="rId51" ref="L57"/>
    <hyperlink r:id="rId52" ref="L58"/>
    <hyperlink r:id="rId53" ref="L59"/>
    <hyperlink r:id="rId54" ref="L60"/>
    <hyperlink r:id="rId55" ref="L61"/>
    <hyperlink r:id="rId56" ref="L62"/>
    <hyperlink r:id="rId57" ref="L63"/>
    <hyperlink r:id="rId58" ref="L64"/>
    <hyperlink r:id="rId59" ref="L65"/>
    <hyperlink r:id="rId60" ref="L66"/>
    <hyperlink r:id="rId61" ref="L67"/>
    <hyperlink r:id="rId62" ref="L68"/>
    <hyperlink r:id="rId63" ref="L69"/>
    <hyperlink r:id="rId64" ref="L70"/>
    <hyperlink r:id="rId65" ref="L71"/>
    <hyperlink r:id="rId66" ref="L72"/>
    <hyperlink r:id="rId67" ref="L73"/>
    <hyperlink r:id="rId68" ref="L74"/>
    <hyperlink r:id="rId69" ref="L75"/>
    <hyperlink r:id="rId70" ref="L76"/>
    <hyperlink r:id="rId71" ref="L77"/>
    <hyperlink r:id="rId72" ref="L78"/>
    <hyperlink r:id="rId73" ref="L79"/>
    <hyperlink r:id="rId74" ref="L80"/>
    <hyperlink r:id="rId75" ref="L81"/>
    <hyperlink r:id="rId76" ref="L82"/>
    <hyperlink r:id="rId77" ref="L83"/>
    <hyperlink r:id="rId78" ref="L84"/>
    <hyperlink r:id="rId79" ref="L85"/>
    <hyperlink r:id="rId80" ref="L86"/>
    <hyperlink r:id="rId81" ref="L87"/>
    <hyperlink r:id="rId82" ref="L88"/>
    <hyperlink r:id="rId83" ref="L89"/>
    <hyperlink r:id="rId84" ref="L90"/>
    <hyperlink r:id="rId85" ref="L91"/>
    <hyperlink r:id="rId86" ref="L92"/>
    <hyperlink r:id="rId87" ref="L93"/>
    <hyperlink r:id="rId88" ref="L94"/>
    <hyperlink r:id="rId89" ref="L95"/>
    <hyperlink r:id="rId90" ref="L96"/>
    <hyperlink r:id="rId91" ref="L97"/>
    <hyperlink r:id="rId92" ref="L98"/>
    <hyperlink r:id="rId93" ref="L99"/>
    <hyperlink r:id="rId94" ref="L100"/>
    <hyperlink r:id="rId95" ref="L101"/>
    <hyperlink r:id="rId96" ref="L102"/>
    <hyperlink r:id="rId97" ref="L103"/>
    <hyperlink r:id="rId98" ref="L104"/>
    <hyperlink r:id="rId99" ref="L105"/>
    <hyperlink r:id="rId100" ref="L106"/>
    <hyperlink r:id="rId101" ref="L107"/>
    <hyperlink r:id="rId102" ref="L155"/>
    <hyperlink r:id="rId103" ref="L157"/>
    <hyperlink r:id="rId104" ref="L158"/>
    <hyperlink r:id="rId105" ref="L159"/>
    <hyperlink r:id="rId106" ref="L161"/>
    <hyperlink r:id="rId107" ref="L162"/>
    <hyperlink r:id="rId108" ref="L163"/>
    <hyperlink r:id="rId109" ref="L264"/>
    <hyperlink r:id="rId110" ref="J301"/>
    <hyperlink r:id="rId111" ref="L348"/>
    <hyperlink r:id="rId112" ref="L349"/>
    <hyperlink r:id="rId113" ref="L350"/>
    <hyperlink r:id="rId114" ref="L351"/>
    <hyperlink r:id="rId115" ref="L352"/>
    <hyperlink r:id="rId116" ref="L353"/>
    <hyperlink r:id="rId117" ref="L354"/>
    <hyperlink r:id="rId118" ref="L355"/>
    <hyperlink r:id="rId119" ref="L356"/>
    <hyperlink r:id="rId120" ref="L357"/>
    <hyperlink r:id="rId121" ref="L358"/>
    <hyperlink r:id="rId122" ref="L359"/>
    <hyperlink r:id="rId123" ref="L363"/>
  </hyperlinks>
  <drawing r:id="rId124"/>
  <tableParts count="1">
    <tablePart r:id="rId126"/>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outlineLevelCol="1"/>
  <cols>
    <col customWidth="1" min="5" max="5" width="78.29"/>
  </cols>
  <sheetData>
    <row r="1">
      <c r="A1" s="345" t="s">
        <v>5582</v>
      </c>
      <c r="B1" s="345" t="s">
        <v>5583</v>
      </c>
      <c r="C1" s="345" t="s">
        <v>5584</v>
      </c>
      <c r="D1" s="345" t="s">
        <v>5585</v>
      </c>
      <c r="E1" s="345" t="s">
        <v>5586</v>
      </c>
      <c r="F1" s="345" t="s">
        <v>5587</v>
      </c>
      <c r="G1" s="345" t="s">
        <v>5588</v>
      </c>
      <c r="H1" s="345" t="s">
        <v>5589</v>
      </c>
      <c r="I1" s="345" t="s">
        <v>5591</v>
      </c>
      <c r="J1" s="345" t="s">
        <v>5592</v>
      </c>
      <c r="K1" s="345" t="s">
        <v>5593</v>
      </c>
      <c r="L1" s="345" t="s">
        <v>5594</v>
      </c>
      <c r="M1" s="345" t="s">
        <v>5598</v>
      </c>
      <c r="N1" s="345" t="s">
        <v>5600</v>
      </c>
      <c r="O1" s="345" t="s">
        <v>5601</v>
      </c>
      <c r="P1" s="1020" t="s">
        <v>5603</v>
      </c>
      <c r="Q1" s="345"/>
      <c r="R1" s="345"/>
      <c r="S1" s="345"/>
      <c r="T1" s="345"/>
      <c r="U1" s="345"/>
      <c r="V1" s="345"/>
      <c r="W1" s="345"/>
      <c r="X1" s="345"/>
      <c r="Y1" s="345"/>
      <c r="Z1" s="345"/>
    </row>
    <row r="2">
      <c r="A2" s="345" t="s">
        <v>5607</v>
      </c>
      <c r="B2" s="1021">
        <v>45022.0</v>
      </c>
      <c r="C2" s="345"/>
      <c r="D2" s="1021">
        <v>45056.0</v>
      </c>
      <c r="E2" s="345" t="s">
        <v>5608</v>
      </c>
      <c r="F2" s="345" t="s">
        <v>5610</v>
      </c>
      <c r="G2" s="345" t="s">
        <v>5611</v>
      </c>
      <c r="H2" s="1020" t="s">
        <v>5611</v>
      </c>
      <c r="I2" s="345"/>
      <c r="J2" s="345"/>
      <c r="K2" s="345" t="s">
        <v>5612</v>
      </c>
      <c r="L2" s="345" t="s">
        <v>5613</v>
      </c>
      <c r="M2" s="345" t="s">
        <v>215</v>
      </c>
      <c r="N2" s="345"/>
      <c r="O2" s="345"/>
      <c r="P2" s="345"/>
      <c r="Q2" s="345"/>
      <c r="R2" s="345"/>
      <c r="S2" s="345"/>
      <c r="T2" s="345"/>
      <c r="U2" s="345"/>
      <c r="V2" s="345"/>
      <c r="W2" s="345"/>
      <c r="X2" s="345"/>
      <c r="Y2" s="345"/>
      <c r="Z2" s="345"/>
    </row>
    <row r="3">
      <c r="A3" s="345" t="s">
        <v>5614</v>
      </c>
      <c r="B3" s="1021">
        <v>45022.0</v>
      </c>
      <c r="C3" s="345"/>
      <c r="D3" s="1021">
        <v>45056.0</v>
      </c>
      <c r="E3" s="345" t="s">
        <v>5615</v>
      </c>
      <c r="F3" s="345" t="s">
        <v>5610</v>
      </c>
      <c r="G3" s="345" t="s">
        <v>5611</v>
      </c>
      <c r="H3" s="1020" t="s">
        <v>5611</v>
      </c>
      <c r="I3" s="345"/>
      <c r="J3" s="345"/>
      <c r="K3" s="345" t="s">
        <v>5612</v>
      </c>
      <c r="L3" s="345" t="s">
        <v>5616</v>
      </c>
      <c r="M3" s="345" t="s">
        <v>215</v>
      </c>
      <c r="N3" s="345"/>
      <c r="O3" s="345"/>
      <c r="P3" s="345"/>
      <c r="Q3" s="345"/>
      <c r="R3" s="345"/>
      <c r="S3" s="345"/>
      <c r="T3" s="345"/>
      <c r="U3" s="345"/>
      <c r="V3" s="345"/>
      <c r="W3" s="345"/>
      <c r="X3" s="345"/>
      <c r="Y3" s="345"/>
      <c r="Z3" s="345"/>
    </row>
    <row r="4">
      <c r="A4" s="1027">
        <v>1.20435176696143E15</v>
      </c>
      <c r="B4" s="1021">
        <v>45022.0</v>
      </c>
      <c r="C4" s="345"/>
      <c r="D4" s="1021">
        <v>45056.0</v>
      </c>
      <c r="E4" s="345" t="s">
        <v>5617</v>
      </c>
      <c r="F4" s="345" t="s">
        <v>5610</v>
      </c>
      <c r="G4" s="345" t="s">
        <v>5611</v>
      </c>
      <c r="H4" s="1020" t="s">
        <v>5611</v>
      </c>
      <c r="I4" s="345"/>
      <c r="J4" s="345"/>
      <c r="K4" s="345" t="s">
        <v>5612</v>
      </c>
      <c r="L4" s="345" t="s">
        <v>5618</v>
      </c>
      <c r="M4" s="345" t="s">
        <v>215</v>
      </c>
      <c r="N4" s="345"/>
      <c r="O4" s="345"/>
      <c r="P4" s="345"/>
      <c r="Q4" s="345"/>
      <c r="R4" s="345"/>
      <c r="S4" s="345"/>
      <c r="T4" s="345"/>
      <c r="U4" s="345"/>
      <c r="V4" s="345"/>
      <c r="W4" s="345"/>
      <c r="X4" s="345"/>
      <c r="Y4" s="345"/>
      <c r="Z4" s="345"/>
    </row>
    <row r="5">
      <c r="A5" s="345" t="s">
        <v>5619</v>
      </c>
      <c r="B5" s="1021">
        <v>45022.0</v>
      </c>
      <c r="C5" s="345"/>
      <c r="D5" s="1021">
        <v>45056.0</v>
      </c>
      <c r="E5" s="345" t="s">
        <v>5620</v>
      </c>
      <c r="F5" s="345" t="s">
        <v>5610</v>
      </c>
      <c r="G5" s="345" t="s">
        <v>5611</v>
      </c>
      <c r="H5" s="1020" t="s">
        <v>5611</v>
      </c>
      <c r="I5" s="345"/>
      <c r="J5" s="345"/>
      <c r="K5" s="345" t="s">
        <v>5612</v>
      </c>
      <c r="L5" s="345" t="s">
        <v>5621</v>
      </c>
      <c r="M5" s="345" t="s">
        <v>215</v>
      </c>
      <c r="N5" s="345"/>
      <c r="O5" s="345"/>
      <c r="P5" s="345"/>
      <c r="Q5" s="345"/>
      <c r="R5" s="345"/>
      <c r="S5" s="345"/>
      <c r="T5" s="345"/>
      <c r="U5" s="345"/>
      <c r="V5" s="345"/>
      <c r="W5" s="345"/>
      <c r="X5" s="345"/>
      <c r="Y5" s="345"/>
      <c r="Z5" s="345"/>
    </row>
    <row r="6">
      <c r="A6" s="345" t="s">
        <v>5622</v>
      </c>
      <c r="B6" s="1021">
        <v>45022.0</v>
      </c>
      <c r="C6" s="345"/>
      <c r="D6" s="1021">
        <v>45056.0</v>
      </c>
      <c r="E6" s="345" t="s">
        <v>5623</v>
      </c>
      <c r="F6" s="345" t="s">
        <v>5610</v>
      </c>
      <c r="G6" s="345" t="s">
        <v>5611</v>
      </c>
      <c r="H6" s="1020" t="s">
        <v>5611</v>
      </c>
      <c r="I6" s="345"/>
      <c r="J6" s="345"/>
      <c r="K6" s="345" t="s">
        <v>5612</v>
      </c>
      <c r="L6" s="345" t="s">
        <v>5625</v>
      </c>
      <c r="M6" s="345" t="s">
        <v>215</v>
      </c>
      <c r="N6" s="345"/>
      <c r="O6" s="345"/>
      <c r="P6" s="345"/>
      <c r="Q6" s="345"/>
      <c r="R6" s="345"/>
      <c r="S6" s="345"/>
      <c r="T6" s="345"/>
      <c r="U6" s="345"/>
      <c r="V6" s="345"/>
      <c r="W6" s="345"/>
      <c r="X6" s="345"/>
      <c r="Y6" s="345"/>
      <c r="Z6" s="345"/>
    </row>
    <row r="7">
      <c r="A7" s="345" t="s">
        <v>5626</v>
      </c>
      <c r="B7" s="1021">
        <v>45042.0</v>
      </c>
      <c r="C7" s="345"/>
      <c r="D7" s="1021">
        <v>45056.0</v>
      </c>
      <c r="E7" s="345" t="s">
        <v>5627</v>
      </c>
      <c r="F7" s="345" t="s">
        <v>5610</v>
      </c>
      <c r="G7" s="345" t="s">
        <v>5628</v>
      </c>
      <c r="H7" s="1020" t="s">
        <v>5629</v>
      </c>
      <c r="I7" s="345"/>
      <c r="J7" s="345"/>
      <c r="K7" s="345" t="s">
        <v>5630</v>
      </c>
      <c r="L7" s="345" t="s">
        <v>5631</v>
      </c>
      <c r="M7" s="345" t="s">
        <v>215</v>
      </c>
      <c r="N7" s="345"/>
      <c r="O7" s="345"/>
      <c r="P7" s="345"/>
      <c r="Q7" s="345"/>
      <c r="R7" s="345"/>
      <c r="S7" s="345"/>
      <c r="T7" s="345"/>
      <c r="U7" s="345"/>
      <c r="V7" s="345"/>
      <c r="W7" s="345"/>
      <c r="X7" s="345"/>
      <c r="Y7" s="345"/>
      <c r="Z7" s="345"/>
    </row>
    <row r="8">
      <c r="A8" s="345" t="s">
        <v>5632</v>
      </c>
      <c r="B8" s="1021">
        <v>45042.0</v>
      </c>
      <c r="C8" s="345"/>
      <c r="D8" s="1021">
        <v>45056.0</v>
      </c>
      <c r="E8" s="345" t="s">
        <v>5633</v>
      </c>
      <c r="F8" s="345" t="s">
        <v>5610</v>
      </c>
      <c r="G8" s="345" t="s">
        <v>5628</v>
      </c>
      <c r="H8" s="1020" t="s">
        <v>5629</v>
      </c>
      <c r="I8" s="345"/>
      <c r="J8" s="345"/>
      <c r="K8" s="345" t="s">
        <v>5630</v>
      </c>
      <c r="L8" s="345" t="s">
        <v>5634</v>
      </c>
      <c r="M8" s="345" t="s">
        <v>215</v>
      </c>
      <c r="N8" s="345"/>
      <c r="O8" s="345"/>
      <c r="P8" s="345"/>
      <c r="Q8" s="345"/>
      <c r="R8" s="345"/>
      <c r="S8" s="345"/>
      <c r="T8" s="345"/>
      <c r="U8" s="345"/>
      <c r="V8" s="345"/>
      <c r="W8" s="345"/>
      <c r="X8" s="345"/>
      <c r="Y8" s="345"/>
      <c r="Z8" s="345"/>
    </row>
    <row r="9">
      <c r="A9" s="345" t="s">
        <v>5635</v>
      </c>
      <c r="B9" s="1021">
        <v>45042.0</v>
      </c>
      <c r="C9" s="345"/>
      <c r="D9" s="1021">
        <v>45056.0</v>
      </c>
      <c r="E9" s="345" t="s">
        <v>5636</v>
      </c>
      <c r="F9" s="345" t="s">
        <v>5610</v>
      </c>
      <c r="G9" s="345" t="s">
        <v>5628</v>
      </c>
      <c r="H9" s="1020" t="s">
        <v>5629</v>
      </c>
      <c r="I9" s="345"/>
      <c r="J9" s="345"/>
      <c r="K9" s="345" t="s">
        <v>5630</v>
      </c>
      <c r="L9" s="345" t="s">
        <v>5637</v>
      </c>
      <c r="M9" s="345" t="s">
        <v>215</v>
      </c>
      <c r="N9" s="345"/>
      <c r="O9" s="345"/>
      <c r="P9" s="345"/>
      <c r="Q9" s="345"/>
      <c r="R9" s="345"/>
      <c r="S9" s="345"/>
      <c r="T9" s="345"/>
      <c r="U9" s="345"/>
      <c r="V9" s="345"/>
      <c r="W9" s="345"/>
      <c r="X9" s="345"/>
      <c r="Y9" s="345"/>
      <c r="Z9" s="345"/>
    </row>
    <row r="10">
      <c r="A10" s="1027">
        <v>1.20448168523485E15</v>
      </c>
      <c r="B10" s="1021">
        <v>45042.0</v>
      </c>
      <c r="C10" s="345"/>
      <c r="D10" s="1021">
        <v>45056.0</v>
      </c>
      <c r="E10" s="345" t="s">
        <v>5638</v>
      </c>
      <c r="F10" s="345" t="s">
        <v>5610</v>
      </c>
      <c r="G10" s="345" t="s">
        <v>5628</v>
      </c>
      <c r="H10" s="1020" t="s">
        <v>5629</v>
      </c>
      <c r="I10" s="345"/>
      <c r="J10" s="345"/>
      <c r="K10" s="345" t="s">
        <v>5630</v>
      </c>
      <c r="L10" s="345" t="s">
        <v>5639</v>
      </c>
      <c r="M10" s="345" t="s">
        <v>215</v>
      </c>
      <c r="N10" s="345"/>
      <c r="O10" s="345"/>
      <c r="P10" s="345"/>
      <c r="Q10" s="345"/>
      <c r="R10" s="345"/>
      <c r="S10" s="345"/>
      <c r="T10" s="345"/>
      <c r="U10" s="345"/>
      <c r="V10" s="345"/>
      <c r="W10" s="345"/>
      <c r="X10" s="345"/>
      <c r="Y10" s="345"/>
      <c r="Z10" s="345"/>
    </row>
    <row r="11">
      <c r="A11" s="345" t="s">
        <v>5640</v>
      </c>
      <c r="B11" s="1021">
        <v>45042.0</v>
      </c>
      <c r="C11" s="345"/>
      <c r="D11" s="1021">
        <v>45056.0</v>
      </c>
      <c r="E11" s="345" t="s">
        <v>5641</v>
      </c>
      <c r="F11" s="345" t="s">
        <v>5610</v>
      </c>
      <c r="G11" s="345" t="s">
        <v>5628</v>
      </c>
      <c r="H11" s="1020" t="s">
        <v>5629</v>
      </c>
      <c r="I11" s="345"/>
      <c r="J11" s="345"/>
      <c r="K11" s="345" t="s">
        <v>5630</v>
      </c>
      <c r="L11" s="345" t="s">
        <v>5642</v>
      </c>
      <c r="M11" s="345" t="s">
        <v>215</v>
      </c>
      <c r="N11" s="345"/>
      <c r="O11" s="345"/>
      <c r="P11" s="345"/>
      <c r="Q11" s="345"/>
      <c r="R11" s="345"/>
      <c r="S11" s="345"/>
      <c r="T11" s="345"/>
      <c r="U11" s="345"/>
      <c r="V11" s="345"/>
      <c r="W11" s="345"/>
      <c r="X11" s="345"/>
      <c r="Y11" s="345"/>
      <c r="Z11" s="345"/>
    </row>
    <row r="12">
      <c r="A12" s="345" t="s">
        <v>5643</v>
      </c>
      <c r="B12" s="1021">
        <v>45042.0</v>
      </c>
      <c r="C12" s="345"/>
      <c r="D12" s="1021">
        <v>45056.0</v>
      </c>
      <c r="E12" s="345" t="s">
        <v>5644</v>
      </c>
      <c r="F12" s="345" t="s">
        <v>5645</v>
      </c>
      <c r="G12" s="345" t="s">
        <v>5611</v>
      </c>
      <c r="H12" s="1020" t="s">
        <v>5611</v>
      </c>
      <c r="I12" s="345"/>
      <c r="J12" s="345"/>
      <c r="K12" s="345" t="s">
        <v>5646</v>
      </c>
      <c r="L12" s="345" t="s">
        <v>5647</v>
      </c>
      <c r="M12" s="345" t="s">
        <v>215</v>
      </c>
      <c r="N12" s="345"/>
      <c r="O12" s="345"/>
      <c r="P12" s="345"/>
      <c r="Q12" s="345"/>
      <c r="R12" s="345"/>
      <c r="S12" s="345"/>
      <c r="T12" s="345"/>
      <c r="U12" s="345"/>
      <c r="V12" s="345"/>
      <c r="W12" s="345"/>
      <c r="X12" s="345"/>
      <c r="Y12" s="345"/>
      <c r="Z12" s="345"/>
    </row>
    <row r="13">
      <c r="A13" s="345" t="s">
        <v>5648</v>
      </c>
      <c r="B13" s="1021">
        <v>45042.0</v>
      </c>
      <c r="C13" s="345"/>
      <c r="D13" s="1021">
        <v>45056.0</v>
      </c>
      <c r="E13" s="345" t="s">
        <v>5649</v>
      </c>
      <c r="F13" s="345" t="s">
        <v>5645</v>
      </c>
      <c r="G13" s="345" t="s">
        <v>5611</v>
      </c>
      <c r="H13" s="1020" t="s">
        <v>5611</v>
      </c>
      <c r="I13" s="345"/>
      <c r="J13" s="345"/>
      <c r="K13" s="345" t="s">
        <v>5646</v>
      </c>
      <c r="L13" s="345" t="s">
        <v>5650</v>
      </c>
      <c r="M13" s="345" t="s">
        <v>215</v>
      </c>
      <c r="N13" s="345"/>
      <c r="O13" s="345"/>
      <c r="P13" s="345"/>
      <c r="Q13" s="345"/>
      <c r="R13" s="345"/>
      <c r="S13" s="345"/>
      <c r="T13" s="345"/>
      <c r="U13" s="345"/>
      <c r="V13" s="345"/>
      <c r="W13" s="345"/>
      <c r="X13" s="345"/>
      <c r="Y13" s="345"/>
      <c r="Z13" s="345"/>
    </row>
    <row r="14">
      <c r="A14" s="1027">
        <v>1.20448168523484E15</v>
      </c>
      <c r="B14" s="1021">
        <v>45042.0</v>
      </c>
      <c r="C14" s="345"/>
      <c r="D14" s="1021">
        <v>45056.0</v>
      </c>
      <c r="E14" s="345" t="s">
        <v>5651</v>
      </c>
      <c r="F14" s="345" t="s">
        <v>5645</v>
      </c>
      <c r="G14" s="345" t="s">
        <v>5611</v>
      </c>
      <c r="H14" s="1020" t="s">
        <v>5611</v>
      </c>
      <c r="I14" s="345"/>
      <c r="J14" s="345"/>
      <c r="K14" s="345" t="s">
        <v>5646</v>
      </c>
      <c r="L14" s="345" t="s">
        <v>5652</v>
      </c>
      <c r="M14" s="345" t="s">
        <v>215</v>
      </c>
      <c r="N14" s="345"/>
      <c r="O14" s="345"/>
      <c r="P14" s="345"/>
      <c r="Q14" s="345"/>
      <c r="R14" s="345"/>
      <c r="S14" s="345"/>
      <c r="T14" s="345"/>
      <c r="U14" s="345"/>
      <c r="V14" s="345"/>
      <c r="W14" s="345"/>
      <c r="X14" s="345"/>
      <c r="Y14" s="345"/>
      <c r="Z14" s="345"/>
    </row>
    <row r="15">
      <c r="A15" s="345" t="s">
        <v>5653</v>
      </c>
      <c r="B15" s="1021">
        <v>45042.0</v>
      </c>
      <c r="C15" s="345"/>
      <c r="D15" s="1021">
        <v>45056.0</v>
      </c>
      <c r="E15" s="345" t="s">
        <v>5654</v>
      </c>
      <c r="F15" s="345" t="s">
        <v>5645</v>
      </c>
      <c r="G15" s="345" t="s">
        <v>5611</v>
      </c>
      <c r="H15" s="1020" t="s">
        <v>5611</v>
      </c>
      <c r="I15" s="345"/>
      <c r="J15" s="345"/>
      <c r="K15" s="345" t="s">
        <v>5646</v>
      </c>
      <c r="L15" s="345" t="s">
        <v>5655</v>
      </c>
      <c r="M15" s="345" t="s">
        <v>215</v>
      </c>
      <c r="N15" s="345"/>
      <c r="O15" s="345"/>
      <c r="P15" s="345"/>
      <c r="Q15" s="345"/>
      <c r="R15" s="345"/>
      <c r="S15" s="345"/>
      <c r="T15" s="345"/>
      <c r="U15" s="345"/>
      <c r="V15" s="345"/>
      <c r="W15" s="345"/>
      <c r="X15" s="345"/>
      <c r="Y15" s="345"/>
      <c r="Z15" s="345"/>
    </row>
    <row r="16">
      <c r="A16" s="345" t="s">
        <v>5657</v>
      </c>
      <c r="B16" s="1021">
        <v>45042.0</v>
      </c>
      <c r="C16" s="345"/>
      <c r="D16" s="1021">
        <v>45055.0</v>
      </c>
      <c r="E16" s="345" t="s">
        <v>5659</v>
      </c>
      <c r="F16" s="345" t="s">
        <v>5645</v>
      </c>
      <c r="G16" s="345" t="s">
        <v>5611</v>
      </c>
      <c r="H16" s="1020" t="s">
        <v>5611</v>
      </c>
      <c r="I16" s="345"/>
      <c r="J16" s="345"/>
      <c r="K16" s="345" t="s">
        <v>5646</v>
      </c>
      <c r="L16" s="345" t="s">
        <v>5660</v>
      </c>
      <c r="M16" s="345" t="s">
        <v>215</v>
      </c>
      <c r="N16" s="345"/>
      <c r="O16" s="345"/>
      <c r="P16" s="345"/>
      <c r="Q16" s="345"/>
      <c r="R16" s="345"/>
      <c r="S16" s="345"/>
      <c r="T16" s="345"/>
      <c r="U16" s="345"/>
      <c r="V16" s="345"/>
      <c r="W16" s="345"/>
      <c r="X16" s="345"/>
      <c r="Y16" s="345"/>
      <c r="Z16" s="345"/>
    </row>
    <row r="17">
      <c r="A17" s="345" t="s">
        <v>5661</v>
      </c>
      <c r="B17" s="1021">
        <v>45022.0</v>
      </c>
      <c r="C17" s="345"/>
      <c r="D17" s="1021">
        <v>45043.0</v>
      </c>
      <c r="E17" s="345" t="s">
        <v>5663</v>
      </c>
      <c r="F17" s="345" t="s">
        <v>5645</v>
      </c>
      <c r="G17" s="345" t="s">
        <v>5628</v>
      </c>
      <c r="H17" s="1020" t="s">
        <v>5629</v>
      </c>
      <c r="I17" s="345"/>
      <c r="J17" s="345"/>
      <c r="K17" s="345" t="s">
        <v>5664</v>
      </c>
      <c r="L17" s="345" t="s">
        <v>5666</v>
      </c>
      <c r="M17" s="345" t="s">
        <v>215</v>
      </c>
      <c r="N17" s="345"/>
      <c r="O17" s="345"/>
      <c r="P17" s="345"/>
      <c r="Q17" s="345"/>
      <c r="R17" s="345"/>
      <c r="S17" s="345"/>
      <c r="T17" s="345"/>
      <c r="U17" s="345"/>
      <c r="V17" s="345"/>
      <c r="W17" s="345"/>
      <c r="X17" s="345"/>
      <c r="Y17" s="345"/>
      <c r="Z17" s="345"/>
    </row>
    <row r="18">
      <c r="A18" s="345" t="s">
        <v>5667</v>
      </c>
      <c r="B18" s="1021">
        <v>45000.0</v>
      </c>
      <c r="C18" s="345"/>
      <c r="D18" s="1021">
        <v>45043.0</v>
      </c>
      <c r="E18" s="345" t="s">
        <v>5668</v>
      </c>
      <c r="F18" s="345" t="s">
        <v>5645</v>
      </c>
      <c r="G18" s="345" t="s">
        <v>5628</v>
      </c>
      <c r="H18" s="1020" t="s">
        <v>5629</v>
      </c>
      <c r="I18" s="345"/>
      <c r="J18" s="345"/>
      <c r="K18" s="345" t="s">
        <v>5670</v>
      </c>
      <c r="L18" s="345" t="s">
        <v>5671</v>
      </c>
      <c r="M18" s="345" t="s">
        <v>215</v>
      </c>
      <c r="N18" s="345"/>
      <c r="O18" s="345"/>
      <c r="P18" s="345"/>
      <c r="Q18" s="345"/>
      <c r="R18" s="345"/>
      <c r="S18" s="345"/>
      <c r="T18" s="345"/>
      <c r="U18" s="345"/>
      <c r="V18" s="345"/>
      <c r="W18" s="345"/>
      <c r="X18" s="345"/>
      <c r="Y18" s="345"/>
      <c r="Z18" s="345"/>
    </row>
    <row r="19">
      <c r="A19" s="345" t="s">
        <v>5673</v>
      </c>
      <c r="B19" s="1021">
        <v>45000.0</v>
      </c>
      <c r="C19" s="345"/>
      <c r="D19" s="1021">
        <v>45043.0</v>
      </c>
      <c r="E19" s="345" t="s">
        <v>5674</v>
      </c>
      <c r="F19" s="345" t="s">
        <v>5645</v>
      </c>
      <c r="G19" s="345" t="s">
        <v>5628</v>
      </c>
      <c r="H19" s="1020" t="s">
        <v>5629</v>
      </c>
      <c r="I19" s="345"/>
      <c r="J19" s="345"/>
      <c r="K19" s="345" t="s">
        <v>5675</v>
      </c>
      <c r="L19" s="345" t="s">
        <v>5676</v>
      </c>
      <c r="M19" s="345" t="s">
        <v>215</v>
      </c>
      <c r="N19" s="345"/>
      <c r="O19" s="345"/>
      <c r="P19" s="345"/>
      <c r="Q19" s="345"/>
      <c r="R19" s="345"/>
      <c r="S19" s="345"/>
      <c r="T19" s="345"/>
      <c r="U19" s="345"/>
      <c r="V19" s="345"/>
      <c r="W19" s="345"/>
      <c r="X19" s="345"/>
      <c r="Y19" s="345"/>
      <c r="Z19" s="345"/>
    </row>
    <row r="20">
      <c r="A20" s="345" t="s">
        <v>5677</v>
      </c>
      <c r="B20" s="1021">
        <v>45000.0</v>
      </c>
      <c r="C20" s="345"/>
      <c r="D20" s="1021">
        <v>45043.0</v>
      </c>
      <c r="E20" s="345" t="s">
        <v>5679</v>
      </c>
      <c r="F20" s="345" t="s">
        <v>5645</v>
      </c>
      <c r="G20" s="345" t="s">
        <v>5628</v>
      </c>
      <c r="H20" s="1020" t="s">
        <v>5629</v>
      </c>
      <c r="I20" s="345"/>
      <c r="J20" s="345"/>
      <c r="K20" s="345" t="s">
        <v>5670</v>
      </c>
      <c r="L20" s="345" t="s">
        <v>5681</v>
      </c>
      <c r="M20" s="345" t="s">
        <v>215</v>
      </c>
      <c r="N20" s="345"/>
      <c r="O20" s="345"/>
      <c r="P20" s="345"/>
      <c r="Q20" s="345"/>
      <c r="R20" s="345"/>
      <c r="S20" s="345"/>
      <c r="T20" s="345"/>
      <c r="U20" s="345"/>
      <c r="V20" s="345"/>
      <c r="W20" s="345"/>
      <c r="X20" s="345"/>
      <c r="Y20" s="345"/>
      <c r="Z20" s="345"/>
    </row>
    <row r="21">
      <c r="A21" s="1027">
        <v>1.20418728698174E15</v>
      </c>
      <c r="B21" s="1021">
        <v>45000.0</v>
      </c>
      <c r="C21" s="345"/>
      <c r="D21" s="1021">
        <v>45022.0</v>
      </c>
      <c r="E21" s="345" t="s">
        <v>5682</v>
      </c>
      <c r="F21" s="345" t="s">
        <v>5645</v>
      </c>
      <c r="G21" s="345" t="s">
        <v>5628</v>
      </c>
      <c r="H21" s="1020" t="s">
        <v>5629</v>
      </c>
      <c r="I21" s="345"/>
      <c r="J21" s="345"/>
      <c r="K21" s="345" t="s">
        <v>5670</v>
      </c>
      <c r="L21" s="345" t="s">
        <v>5683</v>
      </c>
      <c r="M21" s="345" t="s">
        <v>215</v>
      </c>
      <c r="N21" s="345"/>
      <c r="O21" s="345"/>
      <c r="P21" s="345"/>
      <c r="Q21" s="345"/>
      <c r="R21" s="345"/>
      <c r="S21" s="345"/>
      <c r="T21" s="345"/>
      <c r="U21" s="345"/>
      <c r="V21" s="345"/>
      <c r="W21" s="345"/>
      <c r="X21" s="345"/>
      <c r="Y21" s="345"/>
      <c r="Z21" s="345"/>
    </row>
    <row r="22">
      <c r="A22" s="345" t="s">
        <v>5684</v>
      </c>
      <c r="B22" s="1021">
        <v>44952.0</v>
      </c>
      <c r="C22" s="345"/>
      <c r="D22" s="1021">
        <v>44993.0</v>
      </c>
      <c r="E22" s="345" t="s">
        <v>5685</v>
      </c>
      <c r="F22" s="345" t="s">
        <v>5645</v>
      </c>
      <c r="G22" s="345" t="s">
        <v>5628</v>
      </c>
      <c r="H22" s="1020" t="s">
        <v>5629</v>
      </c>
      <c r="I22" s="345"/>
      <c r="J22" s="345"/>
      <c r="K22" s="345" t="s">
        <v>5688</v>
      </c>
      <c r="L22" s="345" t="s">
        <v>5689</v>
      </c>
      <c r="M22" s="345" t="s">
        <v>215</v>
      </c>
      <c r="N22" s="345"/>
      <c r="O22" s="345"/>
      <c r="P22" s="345"/>
      <c r="Q22" s="345"/>
      <c r="R22" s="345"/>
      <c r="S22" s="345"/>
      <c r="T22" s="345"/>
      <c r="U22" s="345"/>
      <c r="V22" s="345"/>
      <c r="W22" s="345"/>
      <c r="X22" s="345"/>
      <c r="Y22" s="345"/>
      <c r="Z22" s="345"/>
    </row>
    <row r="23">
      <c r="A23" s="1027">
        <v>1.20383188548238E15</v>
      </c>
      <c r="B23" s="1021">
        <v>44952.0</v>
      </c>
      <c r="C23" s="345"/>
      <c r="D23" s="1021">
        <v>44993.0</v>
      </c>
      <c r="E23" s="345" t="s">
        <v>5693</v>
      </c>
      <c r="F23" s="345" t="s">
        <v>5645</v>
      </c>
      <c r="G23" s="345" t="s">
        <v>5628</v>
      </c>
      <c r="H23" s="1020" t="s">
        <v>5629</v>
      </c>
      <c r="I23" s="345"/>
      <c r="J23" s="345"/>
      <c r="K23" s="345" t="s">
        <v>5688</v>
      </c>
      <c r="L23" s="345" t="s">
        <v>5694</v>
      </c>
      <c r="M23" s="345" t="s">
        <v>215</v>
      </c>
      <c r="N23" s="345"/>
      <c r="O23" s="345"/>
      <c r="P23" s="345"/>
      <c r="Q23" s="345"/>
      <c r="R23" s="345"/>
      <c r="S23" s="345"/>
      <c r="T23" s="345"/>
      <c r="U23" s="345"/>
      <c r="V23" s="345"/>
      <c r="W23" s="345"/>
      <c r="X23" s="345"/>
      <c r="Y23" s="345"/>
      <c r="Z23" s="345"/>
    </row>
    <row r="24">
      <c r="A24" s="345" t="s">
        <v>5695</v>
      </c>
      <c r="B24" s="1021">
        <v>44968.0</v>
      </c>
      <c r="C24" s="345"/>
      <c r="D24" s="1021">
        <v>44993.0</v>
      </c>
      <c r="E24" s="345" t="s">
        <v>5696</v>
      </c>
      <c r="F24" s="345" t="s">
        <v>5645</v>
      </c>
      <c r="G24" s="345" t="s">
        <v>5628</v>
      </c>
      <c r="H24" s="1020" t="s">
        <v>5629</v>
      </c>
      <c r="I24" s="345"/>
      <c r="J24" s="345"/>
      <c r="K24" s="345" t="s">
        <v>5697</v>
      </c>
      <c r="L24" s="345" t="s">
        <v>5698</v>
      </c>
      <c r="M24" s="345" t="s">
        <v>215</v>
      </c>
      <c r="N24" s="345"/>
      <c r="O24" s="345"/>
      <c r="P24" s="345"/>
      <c r="Q24" s="345"/>
      <c r="R24" s="345"/>
      <c r="S24" s="345"/>
      <c r="T24" s="345"/>
      <c r="U24" s="345"/>
      <c r="V24" s="345"/>
      <c r="W24" s="345"/>
      <c r="X24" s="345"/>
      <c r="Y24" s="345"/>
      <c r="Z24" s="345"/>
    </row>
    <row r="25">
      <c r="A25" s="345" t="s">
        <v>5700</v>
      </c>
      <c r="B25" s="1021">
        <v>44968.0</v>
      </c>
      <c r="C25" s="345"/>
      <c r="D25" s="1021">
        <v>44993.0</v>
      </c>
      <c r="E25" s="345" t="s">
        <v>5702</v>
      </c>
      <c r="F25" s="345" t="s">
        <v>5645</v>
      </c>
      <c r="G25" s="345" t="s">
        <v>5628</v>
      </c>
      <c r="H25" s="1020" t="s">
        <v>5629</v>
      </c>
      <c r="I25" s="345"/>
      <c r="J25" s="345"/>
      <c r="K25" s="345" t="s">
        <v>5697</v>
      </c>
      <c r="L25" s="345" t="s">
        <v>5703</v>
      </c>
      <c r="M25" s="345" t="s">
        <v>215</v>
      </c>
      <c r="N25" s="345"/>
      <c r="O25" s="345"/>
      <c r="P25" s="345"/>
      <c r="Q25" s="345"/>
      <c r="R25" s="345"/>
      <c r="S25" s="345"/>
      <c r="T25" s="345"/>
      <c r="U25" s="345"/>
      <c r="V25" s="345"/>
      <c r="W25" s="345"/>
      <c r="X25" s="345"/>
      <c r="Y25" s="345"/>
      <c r="Z25" s="345"/>
    </row>
    <row r="26">
      <c r="A26" s="345" t="s">
        <v>5705</v>
      </c>
      <c r="B26" s="1021">
        <v>44968.0</v>
      </c>
      <c r="C26" s="345"/>
      <c r="D26" s="1021">
        <v>45000.0</v>
      </c>
      <c r="E26" s="345" t="s">
        <v>5706</v>
      </c>
      <c r="F26" s="345" t="s">
        <v>5645</v>
      </c>
      <c r="G26" s="345" t="s">
        <v>5628</v>
      </c>
      <c r="H26" s="1020" t="s">
        <v>5629</v>
      </c>
      <c r="I26" s="345"/>
      <c r="J26" s="345"/>
      <c r="K26" s="345" t="s">
        <v>5697</v>
      </c>
      <c r="L26" s="345" t="s">
        <v>5708</v>
      </c>
      <c r="M26" s="345" t="s">
        <v>215</v>
      </c>
      <c r="N26" s="345"/>
      <c r="O26" s="345"/>
      <c r="P26" s="345"/>
      <c r="Q26" s="345"/>
      <c r="R26" s="345"/>
      <c r="S26" s="345"/>
      <c r="T26" s="345"/>
      <c r="U26" s="345"/>
      <c r="V26" s="345"/>
      <c r="W26" s="345"/>
      <c r="X26" s="345"/>
      <c r="Y26" s="345"/>
      <c r="Z26" s="345"/>
    </row>
    <row r="27">
      <c r="A27" s="1027">
        <v>1.20395179859232E15</v>
      </c>
      <c r="B27" s="1021">
        <v>44968.0</v>
      </c>
      <c r="C27" s="345"/>
      <c r="D27" s="1021">
        <v>44993.0</v>
      </c>
      <c r="E27" s="345" t="s">
        <v>5709</v>
      </c>
      <c r="F27" s="345" t="s">
        <v>5645</v>
      </c>
      <c r="G27" s="345" t="s">
        <v>5628</v>
      </c>
      <c r="H27" s="1020" t="s">
        <v>5629</v>
      </c>
      <c r="I27" s="345"/>
      <c r="J27" s="345"/>
      <c r="K27" s="345" t="s">
        <v>5697</v>
      </c>
      <c r="L27" s="345" t="s">
        <v>5710</v>
      </c>
      <c r="M27" s="345" t="s">
        <v>215</v>
      </c>
      <c r="N27" s="345"/>
      <c r="O27" s="345"/>
      <c r="P27" s="345"/>
      <c r="Q27" s="345"/>
      <c r="R27" s="345"/>
      <c r="S27" s="345"/>
      <c r="T27" s="345"/>
      <c r="U27" s="345"/>
      <c r="V27" s="345"/>
      <c r="W27" s="345"/>
      <c r="X27" s="345"/>
      <c r="Y27" s="345"/>
      <c r="Z27" s="345"/>
    </row>
    <row r="28">
      <c r="A28" s="345" t="s">
        <v>5711</v>
      </c>
      <c r="B28" s="1021">
        <v>45022.0</v>
      </c>
      <c r="C28" s="345"/>
      <c r="D28" s="1021">
        <v>45056.0</v>
      </c>
      <c r="E28" s="345" t="s">
        <v>5712</v>
      </c>
      <c r="F28" s="345" t="s">
        <v>5713</v>
      </c>
      <c r="G28" s="345" t="s">
        <v>5611</v>
      </c>
      <c r="H28" s="1020" t="s">
        <v>5611</v>
      </c>
      <c r="I28" s="345"/>
      <c r="J28" s="345"/>
      <c r="K28" s="345" t="s">
        <v>5714</v>
      </c>
      <c r="L28" s="345" t="s">
        <v>5716</v>
      </c>
      <c r="M28" s="345" t="s">
        <v>215</v>
      </c>
      <c r="N28" s="345"/>
      <c r="O28" s="345"/>
      <c r="P28" s="345"/>
      <c r="Q28" s="345"/>
      <c r="R28" s="345"/>
      <c r="S28" s="345"/>
      <c r="T28" s="345"/>
      <c r="U28" s="345"/>
      <c r="V28" s="345"/>
      <c r="W28" s="345"/>
      <c r="X28" s="345"/>
      <c r="Y28" s="345"/>
      <c r="Z28" s="345"/>
    </row>
    <row r="29">
      <c r="A29" s="345" t="s">
        <v>5718</v>
      </c>
      <c r="B29" s="1021">
        <v>45022.0</v>
      </c>
      <c r="C29" s="345"/>
      <c r="D29" s="1021">
        <v>45056.0</v>
      </c>
      <c r="E29" s="345" t="s">
        <v>5719</v>
      </c>
      <c r="F29" s="345" t="s">
        <v>5713</v>
      </c>
      <c r="G29" s="345" t="s">
        <v>5611</v>
      </c>
      <c r="H29" s="1020" t="s">
        <v>5611</v>
      </c>
      <c r="I29" s="345"/>
      <c r="J29" s="345"/>
      <c r="K29" s="345" t="s">
        <v>5714</v>
      </c>
      <c r="L29" s="345" t="s">
        <v>5720</v>
      </c>
      <c r="M29" s="345" t="s">
        <v>215</v>
      </c>
      <c r="N29" s="345"/>
      <c r="O29" s="345"/>
      <c r="P29" s="345"/>
      <c r="Q29" s="345"/>
      <c r="R29" s="345"/>
      <c r="S29" s="345"/>
      <c r="T29" s="345"/>
      <c r="U29" s="345"/>
      <c r="V29" s="345"/>
      <c r="W29" s="345"/>
      <c r="X29" s="345"/>
      <c r="Y29" s="345"/>
      <c r="Z29" s="345"/>
    </row>
    <row r="30">
      <c r="A30" s="345" t="s">
        <v>5722</v>
      </c>
      <c r="B30" s="1021">
        <v>45022.0</v>
      </c>
      <c r="C30" s="345"/>
      <c r="D30" s="1021">
        <v>45056.0</v>
      </c>
      <c r="E30" s="345" t="s">
        <v>5724</v>
      </c>
      <c r="F30" s="345" t="s">
        <v>5713</v>
      </c>
      <c r="G30" s="345" t="s">
        <v>5611</v>
      </c>
      <c r="H30" s="1020" t="s">
        <v>5611</v>
      </c>
      <c r="I30" s="345"/>
      <c r="J30" s="345"/>
      <c r="K30" s="345" t="s">
        <v>5714</v>
      </c>
      <c r="L30" s="345" t="s">
        <v>5725</v>
      </c>
      <c r="M30" s="345" t="s">
        <v>215</v>
      </c>
      <c r="N30" s="345"/>
      <c r="O30" s="345"/>
      <c r="P30" s="345"/>
      <c r="Q30" s="345"/>
      <c r="R30" s="345"/>
      <c r="S30" s="345"/>
      <c r="T30" s="345"/>
      <c r="U30" s="345"/>
      <c r="V30" s="345"/>
      <c r="W30" s="345"/>
      <c r="X30" s="345"/>
      <c r="Y30" s="345"/>
      <c r="Z30" s="345"/>
    </row>
    <row r="31">
      <c r="A31" s="1027">
        <v>1.20435176696142E15</v>
      </c>
      <c r="B31" s="1021">
        <v>45022.0</v>
      </c>
      <c r="C31" s="345"/>
      <c r="D31" s="1021">
        <v>45049.0</v>
      </c>
      <c r="E31" s="345" t="s">
        <v>5726</v>
      </c>
      <c r="F31" s="345" t="s">
        <v>5713</v>
      </c>
      <c r="G31" s="345" t="s">
        <v>5611</v>
      </c>
      <c r="H31" s="1020" t="s">
        <v>5611</v>
      </c>
      <c r="I31" s="345"/>
      <c r="J31" s="345"/>
      <c r="K31" s="345" t="s">
        <v>5727</v>
      </c>
      <c r="L31" s="345" t="s">
        <v>5729</v>
      </c>
      <c r="M31" s="345" t="s">
        <v>215</v>
      </c>
      <c r="N31" s="345"/>
      <c r="O31" s="345"/>
      <c r="P31" s="345"/>
      <c r="Q31" s="345"/>
      <c r="R31" s="345"/>
      <c r="S31" s="345"/>
      <c r="T31" s="345"/>
      <c r="U31" s="345"/>
      <c r="V31" s="345"/>
      <c r="W31" s="345"/>
      <c r="X31" s="345"/>
      <c r="Y31" s="345"/>
      <c r="Z31" s="345"/>
    </row>
    <row r="32">
      <c r="A32" s="345" t="s">
        <v>5731</v>
      </c>
      <c r="B32" s="1021">
        <v>45022.0</v>
      </c>
      <c r="C32" s="345"/>
      <c r="D32" s="1021">
        <v>45049.0</v>
      </c>
      <c r="E32" s="345" t="s">
        <v>5732</v>
      </c>
      <c r="F32" s="345" t="s">
        <v>5713</v>
      </c>
      <c r="G32" s="345" t="s">
        <v>5611</v>
      </c>
      <c r="H32" s="1020" t="s">
        <v>5611</v>
      </c>
      <c r="I32" s="345"/>
      <c r="J32" s="345"/>
      <c r="K32" s="345" t="s">
        <v>5733</v>
      </c>
      <c r="L32" s="345" t="s">
        <v>5734</v>
      </c>
      <c r="M32" s="345" t="s">
        <v>215</v>
      </c>
      <c r="N32" s="345"/>
      <c r="O32" s="345"/>
      <c r="P32" s="345"/>
      <c r="Q32" s="345"/>
      <c r="R32" s="345"/>
      <c r="S32" s="345"/>
      <c r="T32" s="345"/>
      <c r="U32" s="345"/>
      <c r="V32" s="345"/>
      <c r="W32" s="345"/>
      <c r="X32" s="345"/>
      <c r="Y32" s="345"/>
      <c r="Z32" s="345"/>
    </row>
    <row r="33">
      <c r="A33" s="345" t="s">
        <v>5735</v>
      </c>
      <c r="B33" s="1021">
        <v>45022.0</v>
      </c>
      <c r="C33" s="345"/>
      <c r="D33" s="1021">
        <v>45049.0</v>
      </c>
      <c r="E33" s="345" t="s">
        <v>5736</v>
      </c>
      <c r="F33" s="345" t="s">
        <v>5713</v>
      </c>
      <c r="G33" s="345" t="s">
        <v>5611</v>
      </c>
      <c r="H33" s="1020" t="s">
        <v>5611</v>
      </c>
      <c r="I33" s="345"/>
      <c r="J33" s="345"/>
      <c r="K33" s="345" t="s">
        <v>5733</v>
      </c>
      <c r="L33" s="345" t="s">
        <v>5737</v>
      </c>
      <c r="M33" s="345" t="s">
        <v>215</v>
      </c>
      <c r="N33" s="345"/>
      <c r="O33" s="345"/>
      <c r="P33" s="345"/>
      <c r="Q33" s="345"/>
      <c r="R33" s="345"/>
      <c r="S33" s="345"/>
      <c r="T33" s="345"/>
      <c r="U33" s="345"/>
      <c r="V33" s="345"/>
      <c r="W33" s="345"/>
      <c r="X33" s="345"/>
      <c r="Y33" s="345"/>
      <c r="Z33" s="345"/>
    </row>
    <row r="34">
      <c r="A34" s="1027">
        <v>1.20435176696145E15</v>
      </c>
      <c r="B34" s="1021">
        <v>45022.0</v>
      </c>
      <c r="C34" s="345"/>
      <c r="D34" s="1021">
        <v>45049.0</v>
      </c>
      <c r="E34" s="345" t="s">
        <v>5740</v>
      </c>
      <c r="F34" s="345" t="s">
        <v>5713</v>
      </c>
      <c r="G34" s="345" t="s">
        <v>5611</v>
      </c>
      <c r="H34" s="1020" t="s">
        <v>5611</v>
      </c>
      <c r="I34" s="345"/>
      <c r="J34" s="345"/>
      <c r="K34" s="345" t="s">
        <v>5733</v>
      </c>
      <c r="L34" s="345" t="s">
        <v>5741</v>
      </c>
      <c r="M34" s="345" t="s">
        <v>215</v>
      </c>
      <c r="N34" s="345"/>
      <c r="O34" s="345"/>
      <c r="P34" s="345"/>
      <c r="Q34" s="345"/>
      <c r="R34" s="345"/>
      <c r="S34" s="345"/>
      <c r="T34" s="345"/>
      <c r="U34" s="345"/>
      <c r="V34" s="345"/>
      <c r="W34" s="345"/>
      <c r="X34" s="345"/>
      <c r="Y34" s="345"/>
      <c r="Z34" s="345"/>
    </row>
    <row r="35">
      <c r="A35" s="345" t="s">
        <v>5742</v>
      </c>
      <c r="B35" s="1021">
        <v>45022.0</v>
      </c>
      <c r="C35" s="345"/>
      <c r="D35" s="1021">
        <v>45049.0</v>
      </c>
      <c r="E35" s="345" t="s">
        <v>5743</v>
      </c>
      <c r="F35" s="345" t="s">
        <v>5713</v>
      </c>
      <c r="G35" s="345" t="s">
        <v>5611</v>
      </c>
      <c r="H35" s="1020" t="s">
        <v>5611</v>
      </c>
      <c r="I35" s="345"/>
      <c r="J35" s="345"/>
      <c r="K35" s="345" t="s">
        <v>5733</v>
      </c>
      <c r="L35" s="345" t="s">
        <v>5744</v>
      </c>
      <c r="M35" s="345" t="s">
        <v>215</v>
      </c>
      <c r="N35" s="345"/>
      <c r="O35" s="345"/>
      <c r="P35" s="345"/>
      <c r="Q35" s="345"/>
      <c r="R35" s="345"/>
      <c r="S35" s="345"/>
      <c r="T35" s="345"/>
      <c r="U35" s="345"/>
      <c r="V35" s="345"/>
      <c r="W35" s="345"/>
      <c r="X35" s="345"/>
      <c r="Y35" s="345"/>
      <c r="Z35" s="345"/>
    </row>
    <row r="36">
      <c r="A36" s="345" t="s">
        <v>5745</v>
      </c>
      <c r="B36" s="1021">
        <v>45022.0</v>
      </c>
      <c r="C36" s="345"/>
      <c r="D36" s="1021">
        <v>45049.0</v>
      </c>
      <c r="E36" s="345" t="s">
        <v>5746</v>
      </c>
      <c r="F36" s="345" t="s">
        <v>5713</v>
      </c>
      <c r="G36" s="345" t="s">
        <v>5611</v>
      </c>
      <c r="H36" s="1020" t="s">
        <v>5611</v>
      </c>
      <c r="I36" s="345"/>
      <c r="J36" s="345"/>
      <c r="K36" s="345" t="s">
        <v>5733</v>
      </c>
      <c r="L36" s="345" t="s">
        <v>5747</v>
      </c>
      <c r="M36" s="345" t="s">
        <v>215</v>
      </c>
      <c r="N36" s="345"/>
      <c r="O36" s="345"/>
      <c r="P36" s="345"/>
      <c r="Q36" s="345"/>
      <c r="R36" s="345"/>
      <c r="S36" s="345"/>
      <c r="T36" s="345"/>
      <c r="U36" s="345"/>
      <c r="V36" s="345"/>
      <c r="W36" s="345"/>
      <c r="X36" s="345"/>
      <c r="Y36" s="345"/>
      <c r="Z36" s="345"/>
    </row>
    <row r="37">
      <c r="A37" s="1027">
        <v>1.20435176696146E15</v>
      </c>
      <c r="B37" s="1021">
        <v>45022.0</v>
      </c>
      <c r="C37" s="345"/>
      <c r="D37" s="1021">
        <v>45049.0</v>
      </c>
      <c r="E37" s="345" t="s">
        <v>5749</v>
      </c>
      <c r="F37" s="345" t="s">
        <v>5713</v>
      </c>
      <c r="G37" s="345" t="s">
        <v>5611</v>
      </c>
      <c r="H37" s="1020" t="s">
        <v>5611</v>
      </c>
      <c r="I37" s="345"/>
      <c r="J37" s="345"/>
      <c r="K37" s="345" t="s">
        <v>5751</v>
      </c>
      <c r="L37" s="345" t="s">
        <v>5752</v>
      </c>
      <c r="M37" s="345" t="s">
        <v>215</v>
      </c>
      <c r="N37" s="345"/>
      <c r="O37" s="345"/>
      <c r="P37" s="345"/>
      <c r="Q37" s="345"/>
      <c r="R37" s="345"/>
      <c r="S37" s="345"/>
      <c r="T37" s="345"/>
      <c r="U37" s="345"/>
      <c r="V37" s="345"/>
      <c r="W37" s="345"/>
      <c r="X37" s="345"/>
      <c r="Y37" s="345"/>
      <c r="Z37" s="345"/>
    </row>
    <row r="38">
      <c r="A38" s="345" t="s">
        <v>5753</v>
      </c>
      <c r="B38" s="1021">
        <v>45022.0</v>
      </c>
      <c r="C38" s="345"/>
      <c r="D38" s="1021">
        <v>45049.0</v>
      </c>
      <c r="E38" s="345" t="s">
        <v>5754</v>
      </c>
      <c r="F38" s="345" t="s">
        <v>5713</v>
      </c>
      <c r="G38" s="345" t="s">
        <v>5611</v>
      </c>
      <c r="H38" s="1020" t="s">
        <v>5611</v>
      </c>
      <c r="I38" s="345"/>
      <c r="J38" s="345"/>
      <c r="K38" s="345" t="s">
        <v>5751</v>
      </c>
      <c r="L38" s="345" t="s">
        <v>5755</v>
      </c>
      <c r="M38" s="345" t="s">
        <v>215</v>
      </c>
      <c r="N38" s="345"/>
      <c r="O38" s="345"/>
      <c r="P38" s="345"/>
      <c r="Q38" s="345"/>
      <c r="R38" s="345"/>
      <c r="S38" s="345"/>
      <c r="T38" s="345"/>
      <c r="U38" s="345"/>
      <c r="V38" s="345"/>
      <c r="W38" s="345"/>
      <c r="X38" s="345"/>
      <c r="Y38" s="345"/>
      <c r="Z38" s="345"/>
    </row>
    <row r="39">
      <c r="A39" s="345" t="s">
        <v>5756</v>
      </c>
      <c r="B39" s="1021">
        <v>45022.0</v>
      </c>
      <c r="C39" s="345"/>
      <c r="D39" s="1021">
        <v>45049.0</v>
      </c>
      <c r="E39" s="345" t="s">
        <v>5757</v>
      </c>
      <c r="F39" s="345" t="s">
        <v>5713</v>
      </c>
      <c r="G39" s="345" t="s">
        <v>5611</v>
      </c>
      <c r="H39" s="1020" t="s">
        <v>5611</v>
      </c>
      <c r="I39" s="345"/>
      <c r="J39" s="345"/>
      <c r="K39" s="345" t="s">
        <v>5664</v>
      </c>
      <c r="L39" s="345" t="s">
        <v>5758</v>
      </c>
      <c r="M39" s="345" t="s">
        <v>215</v>
      </c>
      <c r="N39" s="345"/>
      <c r="O39" s="345"/>
      <c r="P39" s="345"/>
      <c r="Q39" s="345"/>
      <c r="R39" s="345"/>
      <c r="S39" s="345"/>
      <c r="T39" s="345"/>
      <c r="U39" s="345"/>
      <c r="V39" s="345"/>
      <c r="W39" s="345"/>
      <c r="X39" s="345"/>
      <c r="Y39" s="345"/>
      <c r="Z39" s="345"/>
    </row>
    <row r="40">
      <c r="A40" s="345" t="s">
        <v>5760</v>
      </c>
      <c r="B40" s="1021">
        <v>45014.0</v>
      </c>
      <c r="C40" s="345"/>
      <c r="D40" s="1021">
        <v>45040.0</v>
      </c>
      <c r="E40" s="345" t="s">
        <v>5761</v>
      </c>
      <c r="F40" s="345" t="s">
        <v>5713</v>
      </c>
      <c r="G40" s="345" t="s">
        <v>5611</v>
      </c>
      <c r="H40" s="1020" t="s">
        <v>5611</v>
      </c>
      <c r="I40" s="345"/>
      <c r="J40" s="345"/>
      <c r="K40" s="345" t="s">
        <v>5763</v>
      </c>
      <c r="L40" s="345" t="s">
        <v>5764</v>
      </c>
      <c r="M40" s="345" t="s">
        <v>215</v>
      </c>
      <c r="N40" s="345"/>
      <c r="O40" s="345"/>
      <c r="P40" s="345"/>
      <c r="Q40" s="345"/>
      <c r="R40" s="345"/>
      <c r="S40" s="345"/>
      <c r="T40" s="345"/>
      <c r="U40" s="345"/>
      <c r="V40" s="345"/>
      <c r="W40" s="345"/>
      <c r="X40" s="345"/>
      <c r="Y40" s="345"/>
      <c r="Z40" s="345"/>
    </row>
    <row r="41">
      <c r="A41" s="345" t="s">
        <v>5765</v>
      </c>
      <c r="B41" s="1021">
        <v>45000.0</v>
      </c>
      <c r="C41" s="345"/>
      <c r="D41" s="1021">
        <v>45028.0</v>
      </c>
      <c r="E41" s="345" t="s">
        <v>5766</v>
      </c>
      <c r="F41" s="345" t="s">
        <v>5713</v>
      </c>
      <c r="G41" s="345" t="s">
        <v>5611</v>
      </c>
      <c r="H41" s="1020" t="s">
        <v>5611</v>
      </c>
      <c r="I41" s="345"/>
      <c r="J41" s="345"/>
      <c r="K41" s="345" t="s">
        <v>5767</v>
      </c>
      <c r="L41" s="345" t="s">
        <v>5768</v>
      </c>
      <c r="M41" s="345" t="s">
        <v>215</v>
      </c>
      <c r="N41" s="345"/>
      <c r="O41" s="345"/>
      <c r="P41" s="345"/>
      <c r="Q41" s="345"/>
      <c r="R41" s="345"/>
      <c r="S41" s="345"/>
      <c r="T41" s="345"/>
      <c r="U41" s="345"/>
      <c r="V41" s="345"/>
      <c r="W41" s="345"/>
      <c r="X41" s="345"/>
      <c r="Y41" s="345"/>
      <c r="Z41" s="345"/>
    </row>
    <row r="42">
      <c r="A42" s="345" t="s">
        <v>5769</v>
      </c>
      <c r="B42" s="1021">
        <v>45000.0</v>
      </c>
      <c r="C42" s="345"/>
      <c r="D42" s="1021">
        <v>45028.0</v>
      </c>
      <c r="E42" s="345" t="s">
        <v>5770</v>
      </c>
      <c r="F42" s="345" t="s">
        <v>5713</v>
      </c>
      <c r="G42" s="345" t="s">
        <v>5611</v>
      </c>
      <c r="H42" s="1020" t="s">
        <v>5611</v>
      </c>
      <c r="I42" s="345"/>
      <c r="J42" s="345"/>
      <c r="K42" s="345" t="s">
        <v>5767</v>
      </c>
      <c r="L42" s="345" t="s">
        <v>5771</v>
      </c>
      <c r="M42" s="345" t="s">
        <v>215</v>
      </c>
      <c r="N42" s="345"/>
      <c r="O42" s="345"/>
      <c r="P42" s="345"/>
      <c r="Q42" s="345"/>
      <c r="R42" s="345"/>
      <c r="S42" s="345"/>
      <c r="T42" s="345"/>
      <c r="U42" s="345"/>
      <c r="V42" s="345"/>
      <c r="W42" s="345"/>
      <c r="X42" s="345"/>
      <c r="Y42" s="345"/>
      <c r="Z42" s="345"/>
    </row>
    <row r="43">
      <c r="A43" s="345" t="s">
        <v>5773</v>
      </c>
      <c r="B43" s="1021">
        <v>45014.0</v>
      </c>
      <c r="C43" s="345"/>
      <c r="D43" s="1021">
        <v>45028.0</v>
      </c>
      <c r="E43" s="345" t="s">
        <v>5774</v>
      </c>
      <c r="F43" s="345" t="s">
        <v>5713</v>
      </c>
      <c r="G43" s="345" t="s">
        <v>5611</v>
      </c>
      <c r="H43" s="1020" t="s">
        <v>5611</v>
      </c>
      <c r="I43" s="345"/>
      <c r="J43" s="345"/>
      <c r="K43" s="345" t="s">
        <v>5763</v>
      </c>
      <c r="L43" s="345" t="s">
        <v>5776</v>
      </c>
      <c r="M43" s="345" t="s">
        <v>215</v>
      </c>
      <c r="N43" s="345"/>
      <c r="O43" s="345"/>
      <c r="P43" s="345"/>
      <c r="Q43" s="345"/>
      <c r="R43" s="345"/>
      <c r="S43" s="345"/>
      <c r="T43" s="345"/>
      <c r="U43" s="345"/>
      <c r="V43" s="345"/>
      <c r="W43" s="345"/>
      <c r="X43" s="345"/>
      <c r="Y43" s="345"/>
      <c r="Z43" s="345"/>
    </row>
    <row r="44">
      <c r="A44" s="1027">
        <v>1.20418728748409E15</v>
      </c>
      <c r="B44" s="1021">
        <v>45000.0</v>
      </c>
      <c r="C44" s="345"/>
      <c r="D44" s="1021">
        <v>45028.0</v>
      </c>
      <c r="E44" s="345" t="s">
        <v>5777</v>
      </c>
      <c r="F44" s="345" t="s">
        <v>5713</v>
      </c>
      <c r="G44" s="345" t="s">
        <v>5611</v>
      </c>
      <c r="H44" s="1020" t="s">
        <v>5611</v>
      </c>
      <c r="I44" s="345"/>
      <c r="J44" s="345"/>
      <c r="K44" s="345" t="s">
        <v>5778</v>
      </c>
      <c r="L44" s="345" t="s">
        <v>5779</v>
      </c>
      <c r="M44" s="345" t="s">
        <v>215</v>
      </c>
      <c r="N44" s="345"/>
      <c r="O44" s="345"/>
      <c r="P44" s="345"/>
      <c r="Q44" s="345"/>
      <c r="R44" s="345"/>
      <c r="S44" s="345"/>
      <c r="T44" s="345"/>
      <c r="U44" s="345"/>
      <c r="V44" s="345"/>
      <c r="W44" s="345"/>
      <c r="X44" s="345"/>
      <c r="Y44" s="345"/>
      <c r="Z44" s="345"/>
    </row>
    <row r="45">
      <c r="A45" s="1027">
        <v>1.20418728698173E15</v>
      </c>
      <c r="B45" s="1021">
        <v>45000.0</v>
      </c>
      <c r="C45" s="345"/>
      <c r="D45" s="1021">
        <v>45028.0</v>
      </c>
      <c r="E45" s="345" t="s">
        <v>5780</v>
      </c>
      <c r="F45" s="345" t="s">
        <v>5713</v>
      </c>
      <c r="G45" s="345" t="s">
        <v>5611</v>
      </c>
      <c r="H45" s="1020" t="s">
        <v>5611</v>
      </c>
      <c r="I45" s="345"/>
      <c r="J45" s="345"/>
      <c r="K45" s="345" t="s">
        <v>5781</v>
      </c>
      <c r="L45" s="345" t="s">
        <v>5782</v>
      </c>
      <c r="M45" s="345" t="s">
        <v>215</v>
      </c>
      <c r="N45" s="345"/>
      <c r="O45" s="345"/>
      <c r="P45" s="345"/>
      <c r="Q45" s="345"/>
      <c r="R45" s="345"/>
      <c r="S45" s="345"/>
      <c r="T45" s="345"/>
      <c r="U45" s="345"/>
      <c r="V45" s="345"/>
      <c r="W45" s="345"/>
      <c r="X45" s="345"/>
      <c r="Y45" s="345"/>
      <c r="Z45" s="345"/>
    </row>
    <row r="46">
      <c r="A46" s="1027">
        <v>1.20418728748407E15</v>
      </c>
      <c r="B46" s="1021">
        <v>45000.0</v>
      </c>
      <c r="C46" s="345"/>
      <c r="D46" s="1021">
        <v>45014.0</v>
      </c>
      <c r="E46" s="345" t="s">
        <v>5784</v>
      </c>
      <c r="F46" s="345" t="s">
        <v>5713</v>
      </c>
      <c r="G46" s="345" t="s">
        <v>5611</v>
      </c>
      <c r="H46" s="1020" t="s">
        <v>5611</v>
      </c>
      <c r="I46" s="345"/>
      <c r="J46" s="345"/>
      <c r="K46" s="345" t="s">
        <v>5785</v>
      </c>
      <c r="L46" s="345" t="s">
        <v>5786</v>
      </c>
      <c r="M46" s="345" t="s">
        <v>215</v>
      </c>
      <c r="N46" s="345"/>
      <c r="O46" s="345"/>
      <c r="P46" s="345"/>
      <c r="Q46" s="345"/>
      <c r="R46" s="345"/>
      <c r="S46" s="345"/>
      <c r="T46" s="345"/>
      <c r="U46" s="345"/>
      <c r="V46" s="345"/>
      <c r="W46" s="345"/>
      <c r="X46" s="345"/>
      <c r="Y46" s="345"/>
      <c r="Z46" s="345"/>
    </row>
    <row r="47">
      <c r="A47" s="345" t="s">
        <v>5788</v>
      </c>
      <c r="B47" s="1021">
        <v>45000.0</v>
      </c>
      <c r="C47" s="345"/>
      <c r="D47" s="1021">
        <v>45014.0</v>
      </c>
      <c r="E47" s="345" t="s">
        <v>5789</v>
      </c>
      <c r="F47" s="345" t="s">
        <v>5713</v>
      </c>
      <c r="G47" s="345" t="s">
        <v>5611</v>
      </c>
      <c r="H47" s="1020" t="s">
        <v>5611</v>
      </c>
      <c r="I47" s="345"/>
      <c r="J47" s="345"/>
      <c r="K47" s="345" t="s">
        <v>5785</v>
      </c>
      <c r="L47" s="345" t="s">
        <v>5790</v>
      </c>
      <c r="M47" s="345" t="s">
        <v>215</v>
      </c>
      <c r="N47" s="345"/>
      <c r="O47" s="345"/>
      <c r="P47" s="345"/>
      <c r="Q47" s="345"/>
      <c r="R47" s="345"/>
      <c r="S47" s="345"/>
      <c r="T47" s="345"/>
      <c r="U47" s="345"/>
      <c r="V47" s="345"/>
      <c r="W47" s="345"/>
      <c r="X47" s="345"/>
      <c r="Y47" s="345"/>
      <c r="Z47" s="345"/>
    </row>
    <row r="48">
      <c r="A48" s="345" t="s">
        <v>5791</v>
      </c>
      <c r="B48" s="1021">
        <v>45000.0</v>
      </c>
      <c r="C48" s="345"/>
      <c r="D48" s="1021">
        <v>45009.0</v>
      </c>
      <c r="E48" s="345" t="s">
        <v>5792</v>
      </c>
      <c r="F48" s="345" t="s">
        <v>5713</v>
      </c>
      <c r="G48" s="345" t="s">
        <v>5611</v>
      </c>
      <c r="H48" s="1020" t="s">
        <v>5611</v>
      </c>
      <c r="I48" s="345"/>
      <c r="J48" s="345"/>
      <c r="K48" s="345" t="s">
        <v>5793</v>
      </c>
      <c r="L48" s="345" t="s">
        <v>5794</v>
      </c>
      <c r="M48" s="345" t="s">
        <v>215</v>
      </c>
      <c r="N48" s="345"/>
      <c r="O48" s="345"/>
      <c r="P48" s="345"/>
      <c r="Q48" s="345"/>
      <c r="R48" s="345"/>
      <c r="S48" s="345"/>
      <c r="T48" s="345"/>
      <c r="U48" s="345"/>
      <c r="V48" s="345"/>
      <c r="W48" s="345"/>
      <c r="X48" s="345"/>
      <c r="Y48" s="345"/>
      <c r="Z48" s="345"/>
    </row>
    <row r="49">
      <c r="A49" s="345" t="s">
        <v>5795</v>
      </c>
      <c r="B49" s="1021">
        <v>45000.0</v>
      </c>
      <c r="C49" s="345"/>
      <c r="D49" s="1021">
        <v>45034.0</v>
      </c>
      <c r="E49" s="345" t="s">
        <v>5796</v>
      </c>
      <c r="F49" s="345" t="s">
        <v>5713</v>
      </c>
      <c r="G49" s="345" t="s">
        <v>5611</v>
      </c>
      <c r="H49" s="1020" t="s">
        <v>5611</v>
      </c>
      <c r="I49" s="345"/>
      <c r="J49" s="345"/>
      <c r="K49" s="345" t="s">
        <v>5793</v>
      </c>
      <c r="L49" s="345" t="s">
        <v>5798</v>
      </c>
      <c r="M49" s="345" t="s">
        <v>215</v>
      </c>
      <c r="N49" s="345"/>
      <c r="O49" s="345"/>
      <c r="P49" s="345"/>
      <c r="Q49" s="345"/>
      <c r="R49" s="345"/>
      <c r="S49" s="345"/>
      <c r="T49" s="345"/>
      <c r="U49" s="345"/>
      <c r="V49" s="345"/>
      <c r="W49" s="345"/>
      <c r="X49" s="345"/>
      <c r="Y49" s="345"/>
      <c r="Z49" s="345"/>
    </row>
    <row r="50">
      <c r="A50" s="345" t="s">
        <v>5799</v>
      </c>
      <c r="B50" s="1021">
        <v>45000.0</v>
      </c>
      <c r="C50" s="345"/>
      <c r="D50" s="1021">
        <v>45009.0</v>
      </c>
      <c r="E50" s="345" t="s">
        <v>5800</v>
      </c>
      <c r="F50" s="345" t="s">
        <v>5713</v>
      </c>
      <c r="G50" s="345" t="s">
        <v>5611</v>
      </c>
      <c r="H50" s="1020" t="s">
        <v>5611</v>
      </c>
      <c r="I50" s="345"/>
      <c r="J50" s="345"/>
      <c r="K50" s="345" t="s">
        <v>5793</v>
      </c>
      <c r="L50" s="345" t="s">
        <v>5802</v>
      </c>
      <c r="M50" s="345" t="s">
        <v>215</v>
      </c>
      <c r="N50" s="345"/>
      <c r="O50" s="345"/>
      <c r="P50" s="345"/>
      <c r="Q50" s="345"/>
      <c r="R50" s="345"/>
      <c r="S50" s="345"/>
      <c r="T50" s="345"/>
      <c r="U50" s="345"/>
      <c r="V50" s="345"/>
      <c r="W50" s="345"/>
      <c r="X50" s="345"/>
      <c r="Y50" s="345"/>
      <c r="Z50" s="345"/>
    </row>
    <row r="51">
      <c r="A51" s="1027">
        <v>1.20407389548149E15</v>
      </c>
      <c r="B51" s="1021">
        <v>44984.0</v>
      </c>
      <c r="C51" s="345"/>
      <c r="D51" s="1021">
        <v>45021.0</v>
      </c>
      <c r="E51" s="345" t="s">
        <v>5803</v>
      </c>
      <c r="F51" s="345" t="s">
        <v>5713</v>
      </c>
      <c r="G51" s="345" t="s">
        <v>5611</v>
      </c>
      <c r="H51" s="1020" t="s">
        <v>5611</v>
      </c>
      <c r="I51" s="345"/>
      <c r="J51" s="345"/>
      <c r="K51" s="345" t="s">
        <v>5804</v>
      </c>
      <c r="L51" s="345" t="s">
        <v>5805</v>
      </c>
      <c r="M51" s="345" t="s">
        <v>215</v>
      </c>
      <c r="N51" s="345"/>
      <c r="O51" s="345"/>
      <c r="P51" s="345"/>
      <c r="Q51" s="345"/>
      <c r="R51" s="345"/>
      <c r="S51" s="345"/>
      <c r="T51" s="345"/>
      <c r="U51" s="345"/>
      <c r="V51" s="345"/>
      <c r="W51" s="345"/>
      <c r="X51" s="345"/>
      <c r="Y51" s="345"/>
      <c r="Z51" s="345"/>
    </row>
    <row r="52">
      <c r="A52" s="345" t="s">
        <v>5806</v>
      </c>
      <c r="B52" s="1021">
        <v>44984.0</v>
      </c>
      <c r="C52" s="345"/>
      <c r="D52" s="1021">
        <v>45007.0</v>
      </c>
      <c r="E52" s="345" t="s">
        <v>5808</v>
      </c>
      <c r="F52" s="345" t="s">
        <v>5713</v>
      </c>
      <c r="G52" s="345" t="s">
        <v>5611</v>
      </c>
      <c r="H52" s="1020" t="s">
        <v>5611</v>
      </c>
      <c r="I52" s="345"/>
      <c r="J52" s="345"/>
      <c r="K52" s="345" t="s">
        <v>5809</v>
      </c>
      <c r="L52" s="345" t="s">
        <v>5810</v>
      </c>
      <c r="M52" s="345" t="s">
        <v>215</v>
      </c>
      <c r="N52" s="345"/>
      <c r="O52" s="345"/>
      <c r="P52" s="345"/>
      <c r="Q52" s="345"/>
      <c r="R52" s="345"/>
      <c r="S52" s="345"/>
      <c r="T52" s="345"/>
      <c r="U52" s="345"/>
      <c r="V52" s="345"/>
      <c r="W52" s="345"/>
      <c r="X52" s="345"/>
      <c r="Y52" s="345"/>
      <c r="Z52" s="345"/>
    </row>
    <row r="53">
      <c r="A53" s="345" t="s">
        <v>5812</v>
      </c>
      <c r="B53" s="1021">
        <v>44984.0</v>
      </c>
      <c r="C53" s="345"/>
      <c r="D53" s="1021">
        <v>45048.0</v>
      </c>
      <c r="E53" s="345" t="s">
        <v>5813</v>
      </c>
      <c r="F53" s="345" t="s">
        <v>5713</v>
      </c>
      <c r="G53" s="345" t="s">
        <v>5611</v>
      </c>
      <c r="H53" s="1020" t="s">
        <v>5611</v>
      </c>
      <c r="I53" s="345"/>
      <c r="J53" s="345"/>
      <c r="K53" s="345" t="s">
        <v>5809</v>
      </c>
      <c r="L53" s="345" t="s">
        <v>5814</v>
      </c>
      <c r="M53" s="345" t="s">
        <v>215</v>
      </c>
      <c r="N53" s="345"/>
      <c r="O53" s="345"/>
      <c r="P53" s="345"/>
      <c r="Q53" s="345"/>
      <c r="R53" s="345"/>
      <c r="S53" s="345"/>
      <c r="T53" s="345"/>
      <c r="U53" s="345"/>
      <c r="V53" s="345"/>
      <c r="W53" s="345"/>
      <c r="X53" s="345"/>
      <c r="Y53" s="345"/>
      <c r="Z53" s="345"/>
    </row>
    <row r="54">
      <c r="A54" s="345" t="s">
        <v>5815</v>
      </c>
      <c r="B54" s="1021">
        <v>44977.0</v>
      </c>
      <c r="C54" s="345"/>
      <c r="D54" s="1021">
        <v>45022.0</v>
      </c>
      <c r="E54" s="345" t="s">
        <v>5816</v>
      </c>
      <c r="F54" s="345" t="s">
        <v>5713</v>
      </c>
      <c r="G54" s="345" t="s">
        <v>5611</v>
      </c>
      <c r="H54" s="1020" t="s">
        <v>5611</v>
      </c>
      <c r="I54" s="345"/>
      <c r="J54" s="345"/>
      <c r="K54" s="345" t="s">
        <v>5817</v>
      </c>
      <c r="L54" s="345" t="s">
        <v>5818</v>
      </c>
      <c r="M54" s="345" t="s">
        <v>215</v>
      </c>
      <c r="N54" s="345"/>
      <c r="O54" s="345"/>
      <c r="P54" s="345"/>
      <c r="Q54" s="345"/>
      <c r="R54" s="345"/>
      <c r="S54" s="345"/>
      <c r="T54" s="345"/>
      <c r="U54" s="345"/>
      <c r="V54" s="345"/>
      <c r="W54" s="345"/>
      <c r="X54" s="345"/>
      <c r="Y54" s="345"/>
      <c r="Z54" s="345"/>
    </row>
    <row r="55">
      <c r="A55" s="345" t="s">
        <v>5819</v>
      </c>
      <c r="B55" s="1021">
        <v>44932.0</v>
      </c>
      <c r="C55" s="345"/>
      <c r="D55" s="1021">
        <v>45041.0</v>
      </c>
      <c r="E55" s="345" t="s">
        <v>5772</v>
      </c>
      <c r="F55" s="345" t="s">
        <v>5713</v>
      </c>
      <c r="G55" s="345" t="s">
        <v>5611</v>
      </c>
      <c r="H55" s="1020" t="s">
        <v>5611</v>
      </c>
      <c r="I55" s="345"/>
      <c r="J55" s="345"/>
      <c r="K55" s="345" t="s">
        <v>5820</v>
      </c>
      <c r="L55" s="345" t="s">
        <v>5822</v>
      </c>
      <c r="M55" s="345" t="s">
        <v>215</v>
      </c>
      <c r="N55" s="345"/>
      <c r="O55" s="345"/>
      <c r="P55" s="345"/>
      <c r="Q55" s="345"/>
      <c r="R55" s="345"/>
      <c r="S55" s="345"/>
      <c r="T55" s="345"/>
      <c r="U55" s="345"/>
      <c r="V55" s="345"/>
      <c r="W55" s="345"/>
      <c r="X55" s="345"/>
      <c r="Y55" s="345"/>
      <c r="Z55" s="345"/>
    </row>
    <row r="56">
      <c r="A56" s="345" t="s">
        <v>5823</v>
      </c>
      <c r="B56" s="1021">
        <v>44931.0</v>
      </c>
      <c r="C56" s="345"/>
      <c r="D56" s="1021">
        <v>45022.0</v>
      </c>
      <c r="E56" s="345" t="s">
        <v>5759</v>
      </c>
      <c r="F56" s="345" t="s">
        <v>5713</v>
      </c>
      <c r="G56" s="345" t="s">
        <v>5611</v>
      </c>
      <c r="H56" s="1020" t="s">
        <v>5611</v>
      </c>
      <c r="I56" s="345"/>
      <c r="J56" s="345"/>
      <c r="K56" s="345" t="s">
        <v>5820</v>
      </c>
      <c r="L56" s="345" t="s">
        <v>5825</v>
      </c>
      <c r="M56" s="345" t="s">
        <v>215</v>
      </c>
      <c r="N56" s="345"/>
      <c r="O56" s="345"/>
      <c r="P56" s="345"/>
      <c r="Q56" s="345"/>
      <c r="R56" s="345"/>
      <c r="S56" s="345"/>
      <c r="T56" s="345"/>
      <c r="U56" s="345"/>
      <c r="V56" s="345"/>
      <c r="W56" s="345"/>
      <c r="X56" s="345"/>
      <c r="Y56" s="345"/>
      <c r="Z56" s="345"/>
    </row>
    <row r="57">
      <c r="A57" s="1027">
        <v>1.20364271306296E15</v>
      </c>
      <c r="B57" s="1021">
        <v>44929.0</v>
      </c>
      <c r="C57" s="345"/>
      <c r="D57" s="1021">
        <v>45022.0</v>
      </c>
      <c r="E57" s="345" t="s">
        <v>5738</v>
      </c>
      <c r="F57" s="345" t="s">
        <v>5713</v>
      </c>
      <c r="G57" s="345" t="s">
        <v>5611</v>
      </c>
      <c r="H57" s="1020" t="s">
        <v>5611</v>
      </c>
      <c r="I57" s="345"/>
      <c r="J57" s="345"/>
      <c r="K57" s="345" t="s">
        <v>5820</v>
      </c>
      <c r="L57" s="345" t="s">
        <v>5826</v>
      </c>
      <c r="M57" s="345" t="s">
        <v>215</v>
      </c>
      <c r="N57" s="345"/>
      <c r="O57" s="345"/>
      <c r="P57" s="345"/>
      <c r="Q57" s="345"/>
      <c r="R57" s="345"/>
      <c r="S57" s="345"/>
      <c r="T57" s="345"/>
      <c r="U57" s="345"/>
      <c r="V57" s="345"/>
      <c r="W57" s="345"/>
      <c r="X57" s="345"/>
      <c r="Y57" s="345"/>
      <c r="Z57" s="345"/>
    </row>
    <row r="58">
      <c r="A58" s="345" t="s">
        <v>5827</v>
      </c>
      <c r="B58" s="1021">
        <v>44931.0</v>
      </c>
      <c r="C58" s="345"/>
      <c r="D58" s="1021">
        <v>45022.0</v>
      </c>
      <c r="E58" s="345" t="s">
        <v>5728</v>
      </c>
      <c r="F58" s="345" t="s">
        <v>5713</v>
      </c>
      <c r="G58" s="345" t="s">
        <v>5611</v>
      </c>
      <c r="H58" s="1020" t="s">
        <v>5611</v>
      </c>
      <c r="I58" s="345"/>
      <c r="J58" s="345"/>
      <c r="K58" s="345" t="s">
        <v>5820</v>
      </c>
      <c r="L58" s="345" t="s">
        <v>5828</v>
      </c>
      <c r="M58" s="345" t="s">
        <v>215</v>
      </c>
      <c r="N58" s="345"/>
      <c r="O58" s="345"/>
      <c r="P58" s="345"/>
      <c r="Q58" s="345"/>
      <c r="R58" s="345"/>
      <c r="S58" s="345"/>
      <c r="T58" s="345"/>
      <c r="U58" s="345"/>
      <c r="V58" s="345"/>
      <c r="W58" s="345"/>
      <c r="X58" s="345"/>
      <c r="Y58" s="345"/>
      <c r="Z58" s="345"/>
    </row>
    <row r="59">
      <c r="A59" s="345" t="s">
        <v>5829</v>
      </c>
      <c r="B59" s="1021">
        <v>44931.0</v>
      </c>
      <c r="C59" s="345"/>
      <c r="D59" s="1021">
        <v>45022.0</v>
      </c>
      <c r="E59" s="345" t="s">
        <v>5721</v>
      </c>
      <c r="F59" s="345" t="s">
        <v>5713</v>
      </c>
      <c r="G59" s="345" t="s">
        <v>5611</v>
      </c>
      <c r="H59" s="1020" t="s">
        <v>5611</v>
      </c>
      <c r="I59" s="345"/>
      <c r="J59" s="345"/>
      <c r="K59" s="345" t="s">
        <v>5820</v>
      </c>
      <c r="L59" s="345" t="s">
        <v>5831</v>
      </c>
      <c r="M59" s="345" t="s">
        <v>215</v>
      </c>
      <c r="N59" s="345"/>
      <c r="O59" s="345"/>
      <c r="P59" s="345"/>
      <c r="Q59" s="345"/>
      <c r="R59" s="345"/>
      <c r="S59" s="345"/>
      <c r="T59" s="345"/>
      <c r="U59" s="345"/>
      <c r="V59" s="345"/>
      <c r="W59" s="345"/>
      <c r="X59" s="345"/>
      <c r="Y59" s="345"/>
      <c r="Z59" s="345"/>
    </row>
    <row r="60">
      <c r="A60" s="345" t="s">
        <v>5832</v>
      </c>
      <c r="B60" s="1021">
        <v>44937.0</v>
      </c>
      <c r="C60" s="345"/>
      <c r="D60" s="1021">
        <v>45006.0</v>
      </c>
      <c r="E60" s="345" t="s">
        <v>5834</v>
      </c>
      <c r="F60" s="345" t="s">
        <v>5713</v>
      </c>
      <c r="G60" s="345" t="s">
        <v>5611</v>
      </c>
      <c r="H60" s="1020" t="s">
        <v>5611</v>
      </c>
      <c r="I60" s="345"/>
      <c r="J60" s="345"/>
      <c r="K60" s="345" t="s">
        <v>5835</v>
      </c>
      <c r="L60" s="345" t="s">
        <v>5836</v>
      </c>
      <c r="M60" s="345" t="s">
        <v>215</v>
      </c>
      <c r="N60" s="345"/>
      <c r="O60" s="345"/>
      <c r="P60" s="345"/>
      <c r="Q60" s="345"/>
      <c r="R60" s="345"/>
      <c r="S60" s="345"/>
      <c r="T60" s="345"/>
      <c r="U60" s="345"/>
      <c r="V60" s="345"/>
      <c r="W60" s="345"/>
      <c r="X60" s="345"/>
      <c r="Y60" s="345"/>
      <c r="Z60" s="345"/>
    </row>
    <row r="61">
      <c r="A61" s="345" t="s">
        <v>5837</v>
      </c>
      <c r="B61" s="1021">
        <v>44937.0</v>
      </c>
      <c r="C61" s="345"/>
      <c r="D61" s="1021">
        <v>44997.0</v>
      </c>
      <c r="E61" s="345" t="s">
        <v>5830</v>
      </c>
      <c r="F61" s="345" t="s">
        <v>5713</v>
      </c>
      <c r="G61" s="345" t="s">
        <v>5611</v>
      </c>
      <c r="H61" s="1020" t="s">
        <v>5611</v>
      </c>
      <c r="I61" s="345"/>
      <c r="J61" s="345"/>
      <c r="K61" s="345" t="s">
        <v>5835</v>
      </c>
      <c r="L61" s="345" t="s">
        <v>5838</v>
      </c>
      <c r="M61" s="345" t="s">
        <v>215</v>
      </c>
      <c r="N61" s="345"/>
      <c r="O61" s="345"/>
      <c r="P61" s="345"/>
      <c r="Q61" s="345"/>
      <c r="R61" s="345"/>
      <c r="S61" s="345"/>
      <c r="T61" s="345"/>
      <c r="U61" s="345"/>
      <c r="V61" s="345"/>
      <c r="W61" s="345"/>
      <c r="X61" s="345"/>
      <c r="Y61" s="345"/>
      <c r="Z61" s="345"/>
    </row>
    <row r="62">
      <c r="A62" s="345" t="s">
        <v>5839</v>
      </c>
      <c r="B62" s="1021">
        <v>44960.0</v>
      </c>
      <c r="C62" s="345"/>
      <c r="D62" s="1021">
        <v>44997.0</v>
      </c>
      <c r="E62" s="345" t="s">
        <v>5840</v>
      </c>
      <c r="F62" s="345" t="s">
        <v>5713</v>
      </c>
      <c r="G62" s="345" t="s">
        <v>5611</v>
      </c>
      <c r="H62" s="1020" t="s">
        <v>5611</v>
      </c>
      <c r="I62" s="345"/>
      <c r="J62" s="345"/>
      <c r="K62" s="345" t="s">
        <v>5841</v>
      </c>
      <c r="L62" s="345" t="s">
        <v>5843</v>
      </c>
      <c r="M62" s="345" t="s">
        <v>215</v>
      </c>
      <c r="N62" s="345"/>
      <c r="O62" s="345"/>
      <c r="P62" s="345"/>
      <c r="Q62" s="345"/>
      <c r="R62" s="345"/>
      <c r="S62" s="345"/>
      <c r="T62" s="345"/>
      <c r="U62" s="345"/>
      <c r="V62" s="345"/>
      <c r="W62" s="345"/>
      <c r="X62" s="345"/>
      <c r="Y62" s="345"/>
      <c r="Z62" s="345"/>
    </row>
    <row r="63">
      <c r="A63" s="345" t="s">
        <v>5844</v>
      </c>
      <c r="B63" s="1021">
        <v>44960.0</v>
      </c>
      <c r="C63" s="345"/>
      <c r="D63" s="1021">
        <v>44997.0</v>
      </c>
      <c r="E63" s="345" t="s">
        <v>5845</v>
      </c>
      <c r="F63" s="345" t="s">
        <v>5713</v>
      </c>
      <c r="G63" s="345" t="s">
        <v>5611</v>
      </c>
      <c r="H63" s="1020" t="s">
        <v>5611</v>
      </c>
      <c r="I63" s="345"/>
      <c r="J63" s="345"/>
      <c r="K63" s="345" t="s">
        <v>5841</v>
      </c>
      <c r="L63" s="345" t="s">
        <v>5846</v>
      </c>
      <c r="M63" s="345" t="s">
        <v>215</v>
      </c>
      <c r="N63" s="345"/>
      <c r="O63" s="345"/>
      <c r="P63" s="345"/>
      <c r="Q63" s="345"/>
      <c r="R63" s="345"/>
      <c r="S63" s="345"/>
      <c r="T63" s="345"/>
      <c r="U63" s="345"/>
      <c r="V63" s="345"/>
      <c r="W63" s="345"/>
      <c r="X63" s="345"/>
      <c r="Y63" s="345"/>
      <c r="Z63" s="345"/>
    </row>
    <row r="64">
      <c r="A64" s="345" t="s">
        <v>5847</v>
      </c>
      <c r="B64" s="1021">
        <v>44960.0</v>
      </c>
      <c r="C64" s="345"/>
      <c r="D64" s="1021">
        <v>44997.0</v>
      </c>
      <c r="E64" s="345" t="s">
        <v>5848</v>
      </c>
      <c r="F64" s="345" t="s">
        <v>5713</v>
      </c>
      <c r="G64" s="345" t="s">
        <v>5611</v>
      </c>
      <c r="H64" s="1020" t="s">
        <v>5611</v>
      </c>
      <c r="I64" s="345"/>
      <c r="J64" s="345"/>
      <c r="K64" s="345" t="s">
        <v>5841</v>
      </c>
      <c r="L64" s="345" t="s">
        <v>5850</v>
      </c>
      <c r="M64" s="345" t="s">
        <v>215</v>
      </c>
      <c r="N64" s="345"/>
      <c r="O64" s="345"/>
      <c r="P64" s="345"/>
      <c r="Q64" s="345"/>
      <c r="R64" s="345"/>
      <c r="S64" s="345"/>
      <c r="T64" s="345"/>
      <c r="U64" s="345"/>
      <c r="V64" s="345"/>
      <c r="W64" s="345"/>
      <c r="X64" s="345"/>
      <c r="Y64" s="345"/>
      <c r="Z64" s="345"/>
    </row>
    <row r="65">
      <c r="A65" s="1027">
        <v>1.20395179859234E15</v>
      </c>
      <c r="B65" s="1021">
        <v>44968.0</v>
      </c>
      <c r="C65" s="345"/>
      <c r="D65" s="1021">
        <v>44997.0</v>
      </c>
      <c r="E65" s="345" t="s">
        <v>5662</v>
      </c>
      <c r="F65" s="345" t="s">
        <v>5713</v>
      </c>
      <c r="G65" s="345" t="s">
        <v>5611</v>
      </c>
      <c r="H65" s="1020" t="s">
        <v>5611</v>
      </c>
      <c r="I65" s="345"/>
      <c r="J65" s="345"/>
      <c r="K65" s="345" t="s">
        <v>5854</v>
      </c>
      <c r="L65" s="345" t="s">
        <v>5855</v>
      </c>
      <c r="M65" s="345" t="s">
        <v>215</v>
      </c>
      <c r="N65" s="345"/>
      <c r="O65" s="345"/>
      <c r="P65" s="345"/>
      <c r="Q65" s="345"/>
      <c r="R65" s="345"/>
      <c r="S65" s="345"/>
      <c r="T65" s="345"/>
      <c r="U65" s="345"/>
      <c r="V65" s="345"/>
      <c r="W65" s="345"/>
      <c r="X65" s="345"/>
      <c r="Y65" s="345"/>
      <c r="Z65" s="345"/>
    </row>
    <row r="66">
      <c r="A66" s="345" t="s">
        <v>5856</v>
      </c>
      <c r="B66" s="1021">
        <v>44936.0</v>
      </c>
      <c r="C66" s="345"/>
      <c r="D66" s="1021">
        <v>45033.0</v>
      </c>
      <c r="E66" s="345" t="s">
        <v>5857</v>
      </c>
      <c r="F66" s="345" t="s">
        <v>5713</v>
      </c>
      <c r="G66" s="345" t="s">
        <v>5611</v>
      </c>
      <c r="H66" s="1020" t="s">
        <v>5611</v>
      </c>
      <c r="I66" s="345"/>
      <c r="J66" s="345"/>
      <c r="K66" s="345" t="s">
        <v>5858</v>
      </c>
      <c r="L66" s="345" t="s">
        <v>5859</v>
      </c>
      <c r="M66" s="345" t="s">
        <v>215</v>
      </c>
      <c r="N66" s="345"/>
      <c r="O66" s="345"/>
      <c r="P66" s="345"/>
      <c r="Q66" s="345"/>
      <c r="R66" s="345"/>
      <c r="S66" s="345"/>
      <c r="T66" s="345"/>
      <c r="U66" s="345"/>
      <c r="V66" s="345"/>
      <c r="W66" s="345"/>
      <c r="X66" s="345"/>
      <c r="Y66" s="345"/>
      <c r="Z66" s="345"/>
    </row>
    <row r="67">
      <c r="A67" s="345" t="s">
        <v>5861</v>
      </c>
      <c r="B67" s="1021">
        <v>44923.0</v>
      </c>
      <c r="C67" s="345"/>
      <c r="D67" s="1021">
        <v>45043.0</v>
      </c>
      <c r="E67" s="345" t="s">
        <v>5862</v>
      </c>
      <c r="F67" s="345" t="s">
        <v>5713</v>
      </c>
      <c r="G67" s="345" t="s">
        <v>5611</v>
      </c>
      <c r="H67" s="1020" t="s">
        <v>5611</v>
      </c>
      <c r="I67" s="345"/>
      <c r="J67" s="345"/>
      <c r="K67" s="345" t="s">
        <v>5863</v>
      </c>
      <c r="L67" s="345" t="s">
        <v>5864</v>
      </c>
      <c r="M67" s="345" t="s">
        <v>215</v>
      </c>
      <c r="N67" s="345"/>
      <c r="O67" s="345"/>
      <c r="P67" s="345"/>
      <c r="Q67" s="345"/>
      <c r="R67" s="345"/>
      <c r="S67" s="345"/>
      <c r="T67" s="345"/>
      <c r="U67" s="345"/>
      <c r="V67" s="345"/>
      <c r="W67" s="345"/>
      <c r="X67" s="345"/>
      <c r="Y67" s="345"/>
      <c r="Z67" s="345"/>
    </row>
    <row r="68">
      <c r="A68" s="345" t="s">
        <v>5866</v>
      </c>
      <c r="B68" s="1021">
        <v>44921.0</v>
      </c>
      <c r="C68" s="345"/>
      <c r="D68" s="1021">
        <v>44997.0</v>
      </c>
      <c r="E68" s="345" t="s">
        <v>5867</v>
      </c>
      <c r="F68" s="345" t="s">
        <v>5713</v>
      </c>
      <c r="G68" s="345" t="s">
        <v>5611</v>
      </c>
      <c r="H68" s="1020" t="s">
        <v>5611</v>
      </c>
      <c r="I68" s="345"/>
      <c r="J68" s="345"/>
      <c r="K68" s="345" t="s">
        <v>5868</v>
      </c>
      <c r="L68" s="345" t="s">
        <v>5869</v>
      </c>
      <c r="M68" s="345" t="s">
        <v>215</v>
      </c>
      <c r="N68" s="345"/>
      <c r="O68" s="345"/>
      <c r="P68" s="345"/>
      <c r="Q68" s="345"/>
      <c r="R68" s="345"/>
      <c r="S68" s="345"/>
      <c r="T68" s="345"/>
      <c r="U68" s="345"/>
      <c r="V68" s="345"/>
      <c r="W68" s="345"/>
      <c r="X68" s="345"/>
      <c r="Y68" s="345"/>
      <c r="Z68" s="345"/>
    </row>
    <row r="69">
      <c r="A69" s="345" t="s">
        <v>5870</v>
      </c>
      <c r="B69" s="1021">
        <v>44937.0</v>
      </c>
      <c r="C69" s="345"/>
      <c r="D69" s="1021">
        <v>44997.0</v>
      </c>
      <c r="E69" s="345" t="s">
        <v>5871</v>
      </c>
      <c r="F69" s="345" t="s">
        <v>5713</v>
      </c>
      <c r="G69" s="345" t="s">
        <v>5611</v>
      </c>
      <c r="H69" s="1020" t="s">
        <v>5611</v>
      </c>
      <c r="I69" s="345"/>
      <c r="J69" s="345"/>
      <c r="K69" s="345" t="s">
        <v>5872</v>
      </c>
      <c r="L69" s="345" t="s">
        <v>5874</v>
      </c>
      <c r="M69" s="345" t="s">
        <v>215</v>
      </c>
      <c r="N69" s="345"/>
      <c r="O69" s="345"/>
      <c r="P69" s="345"/>
      <c r="Q69" s="345"/>
      <c r="R69" s="345"/>
      <c r="S69" s="345"/>
      <c r="T69" s="345"/>
      <c r="U69" s="345"/>
      <c r="V69" s="345"/>
      <c r="W69" s="345"/>
      <c r="X69" s="345"/>
      <c r="Y69" s="345"/>
      <c r="Z69" s="345"/>
    </row>
    <row r="70">
      <c r="A70" s="345" t="s">
        <v>5876</v>
      </c>
      <c r="B70" s="1021">
        <v>44937.0</v>
      </c>
      <c r="C70" s="345"/>
      <c r="D70" s="1021">
        <v>44997.0</v>
      </c>
      <c r="E70" s="345" t="s">
        <v>5877</v>
      </c>
      <c r="F70" s="345" t="s">
        <v>5713</v>
      </c>
      <c r="G70" s="345" t="s">
        <v>5611</v>
      </c>
      <c r="H70" s="1020" t="s">
        <v>5611</v>
      </c>
      <c r="I70" s="345"/>
      <c r="J70" s="345"/>
      <c r="K70" s="345" t="s">
        <v>5872</v>
      </c>
      <c r="L70" s="345" t="s">
        <v>5878</v>
      </c>
      <c r="M70" s="345" t="s">
        <v>215</v>
      </c>
      <c r="N70" s="345"/>
      <c r="O70" s="345"/>
      <c r="P70" s="345"/>
      <c r="Q70" s="345"/>
      <c r="R70" s="345"/>
      <c r="S70" s="345"/>
      <c r="T70" s="345"/>
      <c r="U70" s="345"/>
      <c r="V70" s="345"/>
      <c r="W70" s="345"/>
      <c r="X70" s="345"/>
      <c r="Y70" s="345"/>
      <c r="Z70" s="345"/>
    </row>
    <row r="71">
      <c r="A71" s="345" t="s">
        <v>5879</v>
      </c>
      <c r="B71" s="1021">
        <v>44936.0</v>
      </c>
      <c r="C71" s="345"/>
      <c r="D71" s="1021">
        <v>45006.0</v>
      </c>
      <c r="E71" s="345" t="s">
        <v>5880</v>
      </c>
      <c r="F71" s="345" t="s">
        <v>5713</v>
      </c>
      <c r="G71" s="345" t="s">
        <v>5611</v>
      </c>
      <c r="H71" s="1020" t="s">
        <v>5611</v>
      </c>
      <c r="I71" s="345"/>
      <c r="J71" s="345"/>
      <c r="K71" s="345" t="s">
        <v>5881</v>
      </c>
      <c r="L71" s="345" t="s">
        <v>5882</v>
      </c>
      <c r="M71" s="345" t="s">
        <v>215</v>
      </c>
      <c r="N71" s="345"/>
      <c r="O71" s="345"/>
      <c r="P71" s="345"/>
      <c r="Q71" s="345"/>
      <c r="R71" s="345"/>
      <c r="S71" s="345"/>
      <c r="T71" s="345"/>
      <c r="U71" s="345"/>
      <c r="V71" s="345"/>
      <c r="W71" s="345"/>
      <c r="X71" s="345"/>
      <c r="Y71" s="345"/>
      <c r="Z71" s="345"/>
    </row>
    <row r="72">
      <c r="A72" s="345" t="s">
        <v>5884</v>
      </c>
      <c r="B72" s="1021">
        <v>44936.0</v>
      </c>
      <c r="C72" s="345"/>
      <c r="D72" s="1021">
        <v>44997.0</v>
      </c>
      <c r="E72" s="345" t="s">
        <v>5885</v>
      </c>
      <c r="F72" s="345" t="s">
        <v>5713</v>
      </c>
      <c r="G72" s="345" t="s">
        <v>5611</v>
      </c>
      <c r="H72" s="1020" t="s">
        <v>5611</v>
      </c>
      <c r="I72" s="345"/>
      <c r="J72" s="345"/>
      <c r="K72" s="345" t="s">
        <v>5881</v>
      </c>
      <c r="L72" s="345" t="s">
        <v>5887</v>
      </c>
      <c r="M72" s="345" t="s">
        <v>215</v>
      </c>
      <c r="N72" s="345"/>
      <c r="O72" s="345"/>
      <c r="P72" s="345"/>
      <c r="Q72" s="345"/>
      <c r="R72" s="345"/>
      <c r="S72" s="345"/>
      <c r="T72" s="345"/>
      <c r="U72" s="345"/>
      <c r="V72" s="345"/>
      <c r="W72" s="345"/>
      <c r="X72" s="345"/>
      <c r="Y72" s="345"/>
      <c r="Z72" s="345"/>
    </row>
    <row r="73">
      <c r="A73" s="345" t="s">
        <v>5888</v>
      </c>
      <c r="B73" s="1021">
        <v>44936.0</v>
      </c>
      <c r="C73" s="345"/>
      <c r="D73" s="1021">
        <v>44997.0</v>
      </c>
      <c r="E73" s="345" t="s">
        <v>5889</v>
      </c>
      <c r="F73" s="345" t="s">
        <v>5713</v>
      </c>
      <c r="G73" s="345" t="s">
        <v>5611</v>
      </c>
      <c r="H73" s="1020" t="s">
        <v>5611</v>
      </c>
      <c r="I73" s="345"/>
      <c r="J73" s="345"/>
      <c r="K73" s="345" t="s">
        <v>5881</v>
      </c>
      <c r="L73" s="345" t="s">
        <v>5890</v>
      </c>
      <c r="M73" s="345" t="s">
        <v>215</v>
      </c>
      <c r="N73" s="345"/>
      <c r="O73" s="345"/>
      <c r="P73" s="345"/>
      <c r="Q73" s="345"/>
      <c r="R73" s="345"/>
      <c r="S73" s="345"/>
      <c r="T73" s="345"/>
      <c r="U73" s="345"/>
      <c r="V73" s="345"/>
      <c r="W73" s="345"/>
      <c r="X73" s="345"/>
      <c r="Y73" s="345"/>
      <c r="Z73" s="345"/>
    </row>
    <row r="74">
      <c r="A74" s="345" t="s">
        <v>5891</v>
      </c>
      <c r="B74" s="1021">
        <v>44929.0</v>
      </c>
      <c r="C74" s="345"/>
      <c r="D74" s="1021">
        <v>44997.0</v>
      </c>
      <c r="E74" s="345" t="s">
        <v>5892</v>
      </c>
      <c r="F74" s="345" t="s">
        <v>5713</v>
      </c>
      <c r="G74" s="345" t="s">
        <v>5611</v>
      </c>
      <c r="H74" s="1020" t="s">
        <v>5611</v>
      </c>
      <c r="I74" s="345"/>
      <c r="J74" s="345"/>
      <c r="K74" s="345" t="s">
        <v>5894</v>
      </c>
      <c r="L74" s="345" t="s">
        <v>5896</v>
      </c>
      <c r="M74" s="345" t="s">
        <v>215</v>
      </c>
      <c r="N74" s="345"/>
      <c r="O74" s="345"/>
      <c r="P74" s="345"/>
      <c r="Q74" s="345"/>
      <c r="R74" s="345"/>
      <c r="S74" s="345"/>
      <c r="T74" s="345"/>
      <c r="U74" s="345"/>
      <c r="V74" s="345"/>
      <c r="W74" s="345"/>
      <c r="X74" s="345"/>
      <c r="Y74" s="345"/>
      <c r="Z74" s="345"/>
    </row>
    <row r="75">
      <c r="A75" s="345" t="s">
        <v>5897</v>
      </c>
      <c r="B75" s="1021">
        <v>44929.0</v>
      </c>
      <c r="C75" s="345"/>
      <c r="D75" s="1021">
        <v>44997.0</v>
      </c>
      <c r="E75" s="345" t="s">
        <v>5898</v>
      </c>
      <c r="F75" s="345" t="s">
        <v>5713</v>
      </c>
      <c r="G75" s="345" t="s">
        <v>5611</v>
      </c>
      <c r="H75" s="1020" t="s">
        <v>5611</v>
      </c>
      <c r="I75" s="345"/>
      <c r="J75" s="345"/>
      <c r="K75" s="345" t="s">
        <v>5899</v>
      </c>
      <c r="L75" s="345" t="s">
        <v>5900</v>
      </c>
      <c r="M75" s="345" t="s">
        <v>215</v>
      </c>
      <c r="N75" s="345"/>
      <c r="O75" s="345"/>
      <c r="P75" s="345"/>
      <c r="Q75" s="345"/>
      <c r="R75" s="345"/>
      <c r="S75" s="345"/>
      <c r="T75" s="345"/>
      <c r="U75" s="345"/>
      <c r="V75" s="345"/>
      <c r="W75" s="345"/>
      <c r="X75" s="345"/>
      <c r="Y75" s="345"/>
      <c r="Z75" s="345"/>
    </row>
    <row r="76">
      <c r="A76" s="345" t="s">
        <v>5901</v>
      </c>
      <c r="B76" s="1021">
        <v>44910.0</v>
      </c>
      <c r="C76" s="345"/>
      <c r="D76" s="1021">
        <v>44997.0</v>
      </c>
      <c r="E76" s="345" t="s">
        <v>5902</v>
      </c>
      <c r="F76" s="345" t="s">
        <v>5713</v>
      </c>
      <c r="G76" s="345" t="s">
        <v>5611</v>
      </c>
      <c r="H76" s="1020" t="s">
        <v>5611</v>
      </c>
      <c r="I76" s="345"/>
      <c r="J76" s="345"/>
      <c r="K76" s="345" t="s">
        <v>5903</v>
      </c>
      <c r="L76" s="345" t="s">
        <v>5904</v>
      </c>
      <c r="M76" s="345" t="s">
        <v>215</v>
      </c>
      <c r="N76" s="345"/>
      <c r="O76" s="345"/>
      <c r="P76" s="345"/>
      <c r="Q76" s="345"/>
      <c r="R76" s="345"/>
      <c r="S76" s="345"/>
      <c r="T76" s="345"/>
      <c r="U76" s="345"/>
      <c r="V76" s="345"/>
      <c r="W76" s="345"/>
      <c r="X76" s="345"/>
      <c r="Y76" s="345"/>
      <c r="Z76" s="345"/>
    </row>
    <row r="77">
      <c r="A77" s="345" t="s">
        <v>5906</v>
      </c>
      <c r="B77" s="1021">
        <v>44929.0</v>
      </c>
      <c r="C77" s="345"/>
      <c r="D77" s="1021">
        <v>45034.0</v>
      </c>
      <c r="E77" s="345" t="s">
        <v>5907</v>
      </c>
      <c r="F77" s="345" t="s">
        <v>5713</v>
      </c>
      <c r="G77" s="345" t="s">
        <v>5611</v>
      </c>
      <c r="H77" s="1020" t="s">
        <v>5611</v>
      </c>
      <c r="I77" s="345"/>
      <c r="J77" s="345"/>
      <c r="K77" s="345" t="s">
        <v>5909</v>
      </c>
      <c r="L77" s="345" t="s">
        <v>5910</v>
      </c>
      <c r="M77" s="345" t="s">
        <v>215</v>
      </c>
      <c r="N77" s="345"/>
      <c r="O77" s="345"/>
      <c r="P77" s="345"/>
      <c r="Q77" s="345"/>
      <c r="R77" s="345"/>
      <c r="S77" s="345"/>
      <c r="T77" s="345"/>
      <c r="U77" s="345"/>
      <c r="V77" s="345"/>
      <c r="W77" s="345"/>
      <c r="X77" s="345"/>
      <c r="Y77" s="345"/>
      <c r="Z77" s="345"/>
    </row>
    <row r="78">
      <c r="A78" s="345" t="s">
        <v>5911</v>
      </c>
      <c r="B78" s="1021">
        <v>44929.0</v>
      </c>
      <c r="C78" s="345"/>
      <c r="D78" s="1021">
        <v>45034.0</v>
      </c>
      <c r="E78" s="345" t="s">
        <v>5912</v>
      </c>
      <c r="F78" s="345" t="s">
        <v>5713</v>
      </c>
      <c r="G78" s="345" t="s">
        <v>5611</v>
      </c>
      <c r="H78" s="1020" t="s">
        <v>5611</v>
      </c>
      <c r="I78" s="345"/>
      <c r="J78" s="345"/>
      <c r="K78" s="345" t="s">
        <v>5909</v>
      </c>
      <c r="L78" s="345" t="s">
        <v>5914</v>
      </c>
      <c r="M78" s="345" t="s">
        <v>215</v>
      </c>
      <c r="N78" s="345"/>
      <c r="O78" s="345"/>
      <c r="P78" s="345"/>
      <c r="Q78" s="345"/>
      <c r="R78" s="345"/>
      <c r="S78" s="345"/>
      <c r="T78" s="345"/>
      <c r="U78" s="345"/>
      <c r="V78" s="345"/>
      <c r="W78" s="345"/>
      <c r="X78" s="345"/>
      <c r="Y78" s="345"/>
      <c r="Z78" s="345"/>
    </row>
    <row r="79">
      <c r="A79" s="345" t="s">
        <v>5915</v>
      </c>
      <c r="B79" s="1021">
        <v>44929.0</v>
      </c>
      <c r="C79" s="345"/>
      <c r="D79" s="1021">
        <v>45034.0</v>
      </c>
      <c r="E79" s="345" t="s">
        <v>5916</v>
      </c>
      <c r="F79" s="345" t="s">
        <v>5713</v>
      </c>
      <c r="G79" s="345" t="s">
        <v>5611</v>
      </c>
      <c r="H79" s="1020" t="s">
        <v>5611</v>
      </c>
      <c r="I79" s="345"/>
      <c r="J79" s="345"/>
      <c r="K79" s="345" t="s">
        <v>5909</v>
      </c>
      <c r="L79" s="345" t="s">
        <v>5918</v>
      </c>
      <c r="M79" s="345" t="s">
        <v>215</v>
      </c>
      <c r="N79" s="345"/>
      <c r="O79" s="345"/>
      <c r="P79" s="345"/>
      <c r="Q79" s="345"/>
      <c r="R79" s="345"/>
      <c r="S79" s="345"/>
      <c r="T79" s="345"/>
      <c r="U79" s="345"/>
      <c r="V79" s="345"/>
      <c r="W79" s="345"/>
      <c r="X79" s="345"/>
      <c r="Y79" s="345"/>
      <c r="Z79" s="345"/>
    </row>
    <row r="80">
      <c r="A80" s="345" t="s">
        <v>5920</v>
      </c>
      <c r="B80" s="1021">
        <v>45022.0</v>
      </c>
      <c r="C80" s="345"/>
      <c r="D80" s="1021">
        <v>45056.0</v>
      </c>
      <c r="E80" s="345" t="s">
        <v>5921</v>
      </c>
      <c r="F80" s="345" t="s">
        <v>5922</v>
      </c>
      <c r="G80" s="345" t="s">
        <v>5611</v>
      </c>
      <c r="H80" s="1020" t="s">
        <v>5611</v>
      </c>
      <c r="I80" s="345"/>
      <c r="J80" s="345"/>
      <c r="K80" s="345" t="s">
        <v>5751</v>
      </c>
      <c r="L80" s="345" t="s">
        <v>5923</v>
      </c>
      <c r="M80" s="345" t="s">
        <v>215</v>
      </c>
      <c r="N80" s="345"/>
      <c r="O80" s="345"/>
      <c r="P80" s="345"/>
      <c r="Q80" s="345"/>
      <c r="R80" s="345"/>
      <c r="S80" s="345"/>
      <c r="T80" s="345"/>
      <c r="U80" s="345"/>
      <c r="V80" s="345"/>
      <c r="W80" s="345"/>
      <c r="X80" s="345"/>
      <c r="Y80" s="345"/>
      <c r="Z80" s="345"/>
    </row>
    <row r="81">
      <c r="A81" s="1027">
        <v>1.20364271306293E15</v>
      </c>
      <c r="B81" s="1021">
        <v>44929.0</v>
      </c>
      <c r="C81" s="345"/>
      <c r="D81" s="1021">
        <v>45056.0</v>
      </c>
      <c r="E81" s="345" t="s">
        <v>5926</v>
      </c>
      <c r="F81" s="345" t="s">
        <v>5922</v>
      </c>
      <c r="G81" s="345" t="s">
        <v>5611</v>
      </c>
      <c r="H81" s="1020" t="s">
        <v>5611</v>
      </c>
      <c r="I81" s="345"/>
      <c r="J81" s="345"/>
      <c r="K81" s="345" t="s">
        <v>5909</v>
      </c>
      <c r="L81" s="345" t="s">
        <v>5927</v>
      </c>
      <c r="M81" s="345" t="s">
        <v>215</v>
      </c>
      <c r="N81" s="345"/>
      <c r="O81" s="345"/>
      <c r="P81" s="345"/>
      <c r="Q81" s="345"/>
      <c r="R81" s="345"/>
      <c r="S81" s="345"/>
      <c r="T81" s="345"/>
      <c r="U81" s="345"/>
      <c r="V81" s="345"/>
      <c r="W81" s="345"/>
      <c r="X81" s="345"/>
      <c r="Y81" s="345"/>
      <c r="Z81" s="345"/>
    </row>
    <row r="82">
      <c r="A82" s="345" t="s">
        <v>5929</v>
      </c>
      <c r="B82" s="1021">
        <v>45022.0</v>
      </c>
      <c r="C82" s="345"/>
      <c r="D82" s="1021">
        <v>45056.0</v>
      </c>
      <c r="E82" s="345" t="s">
        <v>5930</v>
      </c>
      <c r="F82" s="345" t="s">
        <v>5922</v>
      </c>
      <c r="G82" s="345" t="s">
        <v>5611</v>
      </c>
      <c r="H82" s="1020" t="s">
        <v>5611</v>
      </c>
      <c r="I82" s="345"/>
      <c r="J82" s="345"/>
      <c r="K82" s="345" t="s">
        <v>5751</v>
      </c>
      <c r="L82" s="345" t="s">
        <v>5932</v>
      </c>
      <c r="M82" s="345" t="s">
        <v>215</v>
      </c>
      <c r="N82" s="345"/>
      <c r="O82" s="345"/>
      <c r="P82" s="345"/>
      <c r="Q82" s="345"/>
      <c r="R82" s="345"/>
      <c r="S82" s="345"/>
      <c r="T82" s="345"/>
      <c r="U82" s="345"/>
      <c r="V82" s="345"/>
      <c r="W82" s="345"/>
      <c r="X82" s="345"/>
      <c r="Y82" s="345"/>
      <c r="Z82" s="345"/>
    </row>
    <row r="83">
      <c r="A83" s="345" t="s">
        <v>5933</v>
      </c>
      <c r="B83" s="1021">
        <v>45022.0</v>
      </c>
      <c r="C83" s="345"/>
      <c r="D83" s="1021">
        <v>45055.0</v>
      </c>
      <c r="E83" s="345" t="s">
        <v>5935</v>
      </c>
      <c r="F83" s="345" t="s">
        <v>5922</v>
      </c>
      <c r="G83" s="345" t="s">
        <v>5611</v>
      </c>
      <c r="H83" s="1020" t="s">
        <v>5611</v>
      </c>
      <c r="I83" s="345"/>
      <c r="J83" s="345"/>
      <c r="K83" s="345" t="s">
        <v>5727</v>
      </c>
      <c r="L83" s="345" t="s">
        <v>5937</v>
      </c>
      <c r="M83" s="345" t="s">
        <v>215</v>
      </c>
      <c r="N83" s="345"/>
      <c r="O83" s="345"/>
      <c r="P83" s="345"/>
      <c r="Q83" s="345"/>
      <c r="R83" s="345"/>
      <c r="S83" s="345"/>
      <c r="T83" s="345"/>
      <c r="U83" s="345"/>
      <c r="V83" s="345"/>
      <c r="W83" s="345"/>
      <c r="X83" s="345"/>
      <c r="Y83" s="345"/>
      <c r="Z83" s="345"/>
    </row>
    <row r="84">
      <c r="A84" s="345" t="s">
        <v>5938</v>
      </c>
      <c r="B84" s="1021">
        <v>45022.0</v>
      </c>
      <c r="C84" s="345"/>
      <c r="D84" s="1021">
        <v>45055.0</v>
      </c>
      <c r="E84" s="345" t="s">
        <v>5939</v>
      </c>
      <c r="F84" s="345" t="s">
        <v>5922</v>
      </c>
      <c r="G84" s="345" t="s">
        <v>5611</v>
      </c>
      <c r="H84" s="1020" t="s">
        <v>5611</v>
      </c>
      <c r="I84" s="345"/>
      <c r="J84" s="345"/>
      <c r="K84" s="345" t="s">
        <v>5727</v>
      </c>
      <c r="L84" s="345" t="s">
        <v>5942</v>
      </c>
      <c r="M84" s="345" t="s">
        <v>215</v>
      </c>
      <c r="N84" s="345"/>
      <c r="O84" s="345"/>
      <c r="P84" s="345"/>
      <c r="Q84" s="345"/>
      <c r="R84" s="345"/>
      <c r="S84" s="345"/>
      <c r="T84" s="345"/>
      <c r="U84" s="345"/>
      <c r="V84" s="345"/>
      <c r="W84" s="345"/>
      <c r="X84" s="345"/>
      <c r="Y84" s="345"/>
      <c r="Z84" s="345"/>
    </row>
    <row r="85">
      <c r="A85" s="1027">
        <v>1.20364271306291E15</v>
      </c>
      <c r="B85" s="1021">
        <v>44929.0</v>
      </c>
      <c r="C85" s="345"/>
      <c r="D85" s="1021">
        <v>45054.0</v>
      </c>
      <c r="E85" s="345" t="s">
        <v>5943</v>
      </c>
      <c r="F85" s="345" t="s">
        <v>5922</v>
      </c>
      <c r="G85" s="345" t="s">
        <v>5611</v>
      </c>
      <c r="H85" s="1020" t="s">
        <v>5611</v>
      </c>
      <c r="I85" s="345"/>
      <c r="J85" s="345"/>
      <c r="K85" s="345" t="s">
        <v>5944</v>
      </c>
      <c r="L85" s="345" t="s">
        <v>5946</v>
      </c>
      <c r="M85" s="345" t="s">
        <v>215</v>
      </c>
      <c r="N85" s="345"/>
      <c r="O85" s="345"/>
      <c r="P85" s="345"/>
      <c r="Q85" s="345"/>
      <c r="R85" s="345"/>
      <c r="S85" s="345"/>
      <c r="T85" s="345"/>
      <c r="U85" s="345"/>
      <c r="V85" s="345"/>
      <c r="W85" s="345"/>
      <c r="X85" s="345"/>
      <c r="Y85" s="345"/>
      <c r="Z85" s="345"/>
    </row>
    <row r="86">
      <c r="A86" s="1027">
        <v>1.2036427130629E15</v>
      </c>
      <c r="B86" s="1021">
        <v>44929.0</v>
      </c>
      <c r="C86" s="345"/>
      <c r="D86" s="1021">
        <v>45054.0</v>
      </c>
      <c r="E86" s="345" t="s">
        <v>5948</v>
      </c>
      <c r="F86" s="345" t="s">
        <v>5922</v>
      </c>
      <c r="G86" s="345" t="s">
        <v>5611</v>
      </c>
      <c r="H86" s="1020" t="s">
        <v>5611</v>
      </c>
      <c r="I86" s="345"/>
      <c r="J86" s="345"/>
      <c r="K86" s="345" t="s">
        <v>5899</v>
      </c>
      <c r="L86" s="345" t="s">
        <v>5949</v>
      </c>
      <c r="M86" s="345" t="s">
        <v>215</v>
      </c>
      <c r="N86" s="345"/>
      <c r="O86" s="345"/>
      <c r="P86" s="345"/>
      <c r="Q86" s="345"/>
      <c r="R86" s="345"/>
      <c r="S86" s="345"/>
      <c r="T86" s="345"/>
      <c r="U86" s="345"/>
      <c r="V86" s="345"/>
      <c r="W86" s="345"/>
      <c r="X86" s="345"/>
      <c r="Y86" s="345"/>
      <c r="Z86" s="345"/>
    </row>
    <row r="87">
      <c r="A87" s="345" t="s">
        <v>5950</v>
      </c>
      <c r="B87" s="1021">
        <v>44929.0</v>
      </c>
      <c r="C87" s="345"/>
      <c r="D87" s="1021">
        <v>45054.0</v>
      </c>
      <c r="E87" s="345" t="s">
        <v>5951</v>
      </c>
      <c r="F87" s="345" t="s">
        <v>5922</v>
      </c>
      <c r="G87" s="345" t="s">
        <v>5611</v>
      </c>
      <c r="H87" s="1020" t="s">
        <v>5611</v>
      </c>
      <c r="I87" s="345"/>
      <c r="J87" s="345"/>
      <c r="K87" s="345" t="s">
        <v>5899</v>
      </c>
      <c r="L87" s="345" t="s">
        <v>5952</v>
      </c>
      <c r="M87" s="345" t="s">
        <v>215</v>
      </c>
      <c r="N87" s="345"/>
      <c r="O87" s="345"/>
      <c r="P87" s="345"/>
      <c r="Q87" s="345"/>
      <c r="R87" s="345"/>
      <c r="S87" s="345"/>
      <c r="T87" s="345"/>
      <c r="U87" s="345"/>
      <c r="V87" s="345"/>
      <c r="W87" s="345"/>
      <c r="X87" s="345"/>
      <c r="Y87" s="345"/>
      <c r="Z87" s="345"/>
    </row>
    <row r="88">
      <c r="A88" s="345" t="s">
        <v>5955</v>
      </c>
      <c r="B88" s="1021">
        <v>45000.0</v>
      </c>
      <c r="C88" s="345"/>
      <c r="D88" s="1021">
        <v>45051.0</v>
      </c>
      <c r="E88" s="345" t="s">
        <v>5956</v>
      </c>
      <c r="F88" s="345" t="s">
        <v>5922</v>
      </c>
      <c r="G88" s="345" t="s">
        <v>5611</v>
      </c>
      <c r="H88" s="1020" t="s">
        <v>5611</v>
      </c>
      <c r="I88" s="345"/>
      <c r="J88" s="345"/>
      <c r="K88" s="345" t="s">
        <v>5958</v>
      </c>
      <c r="L88" s="345" t="s">
        <v>5959</v>
      </c>
      <c r="M88" s="345" t="s">
        <v>215</v>
      </c>
      <c r="N88" s="345"/>
      <c r="O88" s="345"/>
      <c r="P88" s="345"/>
      <c r="Q88" s="345"/>
      <c r="R88" s="345"/>
      <c r="S88" s="345"/>
      <c r="T88" s="345"/>
      <c r="U88" s="345"/>
      <c r="V88" s="345"/>
      <c r="W88" s="345"/>
      <c r="X88" s="345"/>
      <c r="Y88" s="345"/>
      <c r="Z88" s="345"/>
    </row>
    <row r="89">
      <c r="A89" s="345" t="s">
        <v>5960</v>
      </c>
      <c r="B89" s="1021">
        <v>45014.0</v>
      </c>
      <c r="C89" s="345"/>
      <c r="D89" s="1021">
        <v>45051.0</v>
      </c>
      <c r="E89" s="345" t="s">
        <v>5961</v>
      </c>
      <c r="F89" s="345" t="s">
        <v>5922</v>
      </c>
      <c r="G89" s="345" t="s">
        <v>5611</v>
      </c>
      <c r="H89" s="1020" t="s">
        <v>5611</v>
      </c>
      <c r="I89" s="345"/>
      <c r="J89" s="345"/>
      <c r="K89" s="345" t="s">
        <v>5763</v>
      </c>
      <c r="L89" s="345" t="s">
        <v>5962</v>
      </c>
      <c r="M89" s="345" t="s">
        <v>215</v>
      </c>
      <c r="N89" s="345"/>
      <c r="O89" s="345"/>
      <c r="P89" s="345"/>
      <c r="Q89" s="345"/>
      <c r="R89" s="345"/>
      <c r="S89" s="345"/>
      <c r="T89" s="345"/>
      <c r="U89" s="345"/>
      <c r="V89" s="345"/>
      <c r="W89" s="345"/>
      <c r="X89" s="345"/>
      <c r="Y89" s="345"/>
      <c r="Z89" s="345"/>
    </row>
    <row r="90">
      <c r="A90" s="1027">
        <v>1.20435176696144E15</v>
      </c>
      <c r="B90" s="1021">
        <v>45022.0</v>
      </c>
      <c r="C90" s="345"/>
      <c r="D90" s="1021">
        <v>45050.0</v>
      </c>
      <c r="E90" s="345" t="s">
        <v>5963</v>
      </c>
      <c r="F90" s="345" t="s">
        <v>5922</v>
      </c>
      <c r="G90" s="345" t="s">
        <v>5611</v>
      </c>
      <c r="H90" s="1020" t="s">
        <v>5611</v>
      </c>
      <c r="I90" s="345"/>
      <c r="J90" s="345"/>
      <c r="K90" s="345" t="s">
        <v>5714</v>
      </c>
      <c r="L90" s="345" t="s">
        <v>5964</v>
      </c>
      <c r="M90" s="345" t="s">
        <v>215</v>
      </c>
      <c r="N90" s="345"/>
      <c r="O90" s="345"/>
      <c r="P90" s="345"/>
      <c r="Q90" s="345"/>
      <c r="R90" s="345"/>
      <c r="S90" s="345"/>
      <c r="T90" s="345"/>
      <c r="U90" s="345"/>
      <c r="V90" s="345"/>
      <c r="W90" s="345"/>
      <c r="X90" s="345"/>
      <c r="Y90" s="345"/>
      <c r="Z90" s="345"/>
    </row>
    <row r="91">
      <c r="A91" s="345" t="s">
        <v>5965</v>
      </c>
      <c r="B91" s="1021">
        <v>45022.0</v>
      </c>
      <c r="C91" s="345"/>
      <c r="D91" s="1021">
        <v>45050.0</v>
      </c>
      <c r="E91" s="345" t="s">
        <v>5966</v>
      </c>
      <c r="F91" s="345" t="s">
        <v>5922</v>
      </c>
      <c r="G91" s="345" t="s">
        <v>5611</v>
      </c>
      <c r="H91" s="1020" t="s">
        <v>5611</v>
      </c>
      <c r="I91" s="345"/>
      <c r="J91" s="345"/>
      <c r="K91" s="345" t="s">
        <v>5664</v>
      </c>
      <c r="L91" s="345" t="s">
        <v>5967</v>
      </c>
      <c r="M91" s="345" t="s">
        <v>215</v>
      </c>
      <c r="N91" s="345"/>
      <c r="O91" s="345"/>
      <c r="P91" s="345"/>
      <c r="Q91" s="345"/>
      <c r="R91" s="345"/>
      <c r="S91" s="345"/>
      <c r="T91" s="345"/>
      <c r="U91" s="345"/>
      <c r="V91" s="345"/>
      <c r="W91" s="345"/>
      <c r="X91" s="345"/>
      <c r="Y91" s="345"/>
      <c r="Z91" s="345"/>
    </row>
    <row r="92">
      <c r="A92" s="345" t="s">
        <v>5968</v>
      </c>
      <c r="B92" s="1021">
        <v>45022.0</v>
      </c>
      <c r="C92" s="345"/>
      <c r="D92" s="1021">
        <v>45050.0</v>
      </c>
      <c r="E92" s="345" t="s">
        <v>5969</v>
      </c>
      <c r="F92" s="345" t="s">
        <v>5922</v>
      </c>
      <c r="G92" s="345" t="s">
        <v>5611</v>
      </c>
      <c r="H92" s="1020" t="s">
        <v>5611</v>
      </c>
      <c r="I92" s="345"/>
      <c r="J92" s="345"/>
      <c r="K92" s="345" t="s">
        <v>5714</v>
      </c>
      <c r="L92" s="345" t="s">
        <v>5971</v>
      </c>
      <c r="M92" s="345" t="s">
        <v>215</v>
      </c>
      <c r="N92" s="345"/>
      <c r="O92" s="345"/>
      <c r="P92" s="345"/>
      <c r="Q92" s="345"/>
      <c r="R92" s="345"/>
      <c r="S92" s="345"/>
      <c r="T92" s="345"/>
      <c r="U92" s="345"/>
      <c r="V92" s="345"/>
      <c r="W92" s="345"/>
      <c r="X92" s="345"/>
      <c r="Y92" s="345"/>
      <c r="Z92" s="345"/>
    </row>
    <row r="93">
      <c r="A93" s="1027">
        <v>1.20418728748408E15</v>
      </c>
      <c r="B93" s="1021">
        <v>45000.0</v>
      </c>
      <c r="C93" s="345"/>
      <c r="D93" s="1021">
        <v>45049.0</v>
      </c>
      <c r="E93" s="345" t="s">
        <v>5972</v>
      </c>
      <c r="F93" s="345" t="s">
        <v>5922</v>
      </c>
      <c r="G93" s="345" t="s">
        <v>5611</v>
      </c>
      <c r="H93" s="1020" t="s">
        <v>5611</v>
      </c>
      <c r="I93" s="345"/>
      <c r="J93" s="345"/>
      <c r="K93" s="345" t="s">
        <v>5973</v>
      </c>
      <c r="L93" s="345" t="s">
        <v>5974</v>
      </c>
      <c r="M93" s="345" t="s">
        <v>215</v>
      </c>
      <c r="N93" s="345"/>
      <c r="O93" s="345"/>
      <c r="P93" s="345"/>
      <c r="Q93" s="345"/>
      <c r="R93" s="345"/>
      <c r="S93" s="345"/>
      <c r="T93" s="345"/>
      <c r="U93" s="345"/>
      <c r="V93" s="345"/>
      <c r="W93" s="345"/>
      <c r="X93" s="345"/>
      <c r="Y93" s="345"/>
      <c r="Z93" s="345"/>
    </row>
    <row r="94">
      <c r="A94" s="345" t="s">
        <v>5976</v>
      </c>
      <c r="B94" s="1021">
        <v>45000.0</v>
      </c>
      <c r="C94" s="345"/>
      <c r="D94" s="1021">
        <v>45048.0</v>
      </c>
      <c r="E94" s="345" t="s">
        <v>5977</v>
      </c>
      <c r="F94" s="345" t="s">
        <v>5922</v>
      </c>
      <c r="G94" s="345" t="s">
        <v>5611</v>
      </c>
      <c r="H94" s="1020" t="s">
        <v>5611</v>
      </c>
      <c r="I94" s="345"/>
      <c r="J94" s="345"/>
      <c r="K94" s="345" t="s">
        <v>5973</v>
      </c>
      <c r="L94" s="345" t="s">
        <v>5979</v>
      </c>
      <c r="M94" s="345" t="s">
        <v>215</v>
      </c>
      <c r="N94" s="345"/>
      <c r="O94" s="345"/>
      <c r="P94" s="345"/>
      <c r="Q94" s="345"/>
      <c r="R94" s="345"/>
      <c r="S94" s="345"/>
      <c r="T94" s="345"/>
      <c r="U94" s="345"/>
      <c r="V94" s="345"/>
      <c r="W94" s="345"/>
      <c r="X94" s="345"/>
      <c r="Y94" s="345"/>
      <c r="Z94" s="345"/>
    </row>
    <row r="95">
      <c r="A95" s="345" t="s">
        <v>5980</v>
      </c>
      <c r="B95" s="1021">
        <v>45022.0</v>
      </c>
      <c r="C95" s="345"/>
      <c r="D95" s="1021">
        <v>45048.0</v>
      </c>
      <c r="E95" s="345" t="s">
        <v>5981</v>
      </c>
      <c r="F95" s="345" t="s">
        <v>5922</v>
      </c>
      <c r="G95" s="345" t="s">
        <v>5611</v>
      </c>
      <c r="H95" s="1020" t="s">
        <v>5611</v>
      </c>
      <c r="I95" s="345"/>
      <c r="J95" s="345"/>
      <c r="K95" s="345" t="s">
        <v>5751</v>
      </c>
      <c r="L95" s="345" t="s">
        <v>5982</v>
      </c>
      <c r="M95" s="345" t="s">
        <v>215</v>
      </c>
      <c r="N95" s="345"/>
      <c r="O95" s="345"/>
      <c r="P95" s="345"/>
      <c r="Q95" s="345"/>
      <c r="R95" s="345"/>
      <c r="S95" s="345"/>
      <c r="T95" s="345"/>
      <c r="U95" s="345"/>
      <c r="V95" s="345"/>
      <c r="W95" s="345"/>
      <c r="X95" s="345"/>
      <c r="Y95" s="345"/>
      <c r="Z95" s="345"/>
    </row>
    <row r="96">
      <c r="A96" s="345" t="s">
        <v>5983</v>
      </c>
      <c r="B96" s="1021">
        <v>45000.0</v>
      </c>
      <c r="C96" s="345"/>
      <c r="D96" s="1021">
        <v>45048.0</v>
      </c>
      <c r="E96" s="345" t="s">
        <v>5984</v>
      </c>
      <c r="F96" s="345" t="s">
        <v>5922</v>
      </c>
      <c r="G96" s="345" t="s">
        <v>5611</v>
      </c>
      <c r="H96" s="1020" t="s">
        <v>5611</v>
      </c>
      <c r="I96" s="345"/>
      <c r="J96" s="345"/>
      <c r="K96" s="345" t="s">
        <v>5985</v>
      </c>
      <c r="L96" s="345" t="s">
        <v>5987</v>
      </c>
      <c r="M96" s="345" t="s">
        <v>215</v>
      </c>
      <c r="N96" s="345"/>
      <c r="O96" s="345"/>
      <c r="P96" s="345"/>
      <c r="Q96" s="345"/>
      <c r="R96" s="345"/>
      <c r="S96" s="345"/>
      <c r="T96" s="345"/>
      <c r="U96" s="345"/>
      <c r="V96" s="345"/>
      <c r="W96" s="345"/>
      <c r="X96" s="345"/>
      <c r="Y96" s="345"/>
      <c r="Z96" s="345"/>
    </row>
    <row r="97">
      <c r="A97" s="345" t="s">
        <v>5988</v>
      </c>
      <c r="B97" s="1021">
        <v>45000.0</v>
      </c>
      <c r="C97" s="345"/>
      <c r="D97" s="1021">
        <v>45048.0</v>
      </c>
      <c r="E97" s="345" t="s">
        <v>5989</v>
      </c>
      <c r="F97" s="345" t="s">
        <v>5922</v>
      </c>
      <c r="G97" s="345" t="s">
        <v>5611</v>
      </c>
      <c r="H97" s="1020" t="s">
        <v>5611</v>
      </c>
      <c r="I97" s="345"/>
      <c r="J97" s="345"/>
      <c r="K97" s="345" t="s">
        <v>5785</v>
      </c>
      <c r="L97" s="345" t="s">
        <v>5990</v>
      </c>
      <c r="M97" s="345" t="s">
        <v>215</v>
      </c>
      <c r="N97" s="345"/>
      <c r="O97" s="345"/>
      <c r="P97" s="345"/>
      <c r="Q97" s="345"/>
      <c r="R97" s="345"/>
      <c r="S97" s="345"/>
      <c r="T97" s="345"/>
      <c r="U97" s="345"/>
      <c r="V97" s="345"/>
      <c r="W97" s="345"/>
      <c r="X97" s="345"/>
      <c r="Y97" s="345"/>
      <c r="Z97" s="345"/>
    </row>
    <row r="98">
      <c r="A98" s="345" t="s">
        <v>5991</v>
      </c>
      <c r="B98" s="1021">
        <v>45000.0</v>
      </c>
      <c r="C98" s="345"/>
      <c r="D98" s="1021">
        <v>45048.0</v>
      </c>
      <c r="E98" s="345" t="s">
        <v>5992</v>
      </c>
      <c r="F98" s="345" t="s">
        <v>5922</v>
      </c>
      <c r="G98" s="345" t="s">
        <v>5611</v>
      </c>
      <c r="H98" s="1020" t="s">
        <v>5611</v>
      </c>
      <c r="I98" s="345"/>
      <c r="J98" s="345"/>
      <c r="K98" s="345" t="s">
        <v>5785</v>
      </c>
      <c r="L98" s="345" t="s">
        <v>5993</v>
      </c>
      <c r="M98" s="345" t="s">
        <v>215</v>
      </c>
      <c r="N98" s="345"/>
      <c r="O98" s="345"/>
      <c r="P98" s="345"/>
      <c r="Q98" s="345"/>
      <c r="R98" s="345"/>
      <c r="S98" s="345"/>
      <c r="T98" s="345"/>
      <c r="U98" s="345"/>
      <c r="V98" s="345"/>
      <c r="W98" s="345"/>
      <c r="X98" s="345"/>
      <c r="Y98" s="345"/>
      <c r="Z98" s="345"/>
    </row>
    <row r="99">
      <c r="A99" s="345" t="s">
        <v>5994</v>
      </c>
      <c r="B99" s="1021">
        <v>44984.0</v>
      </c>
      <c r="C99" s="345"/>
      <c r="D99" s="1021">
        <v>45048.0</v>
      </c>
      <c r="E99" s="345" t="s">
        <v>5996</v>
      </c>
      <c r="F99" s="345" t="s">
        <v>5922</v>
      </c>
      <c r="G99" s="345" t="s">
        <v>5611</v>
      </c>
      <c r="H99" s="1020" t="s">
        <v>5611</v>
      </c>
      <c r="I99" s="345"/>
      <c r="J99" s="345"/>
      <c r="K99" s="345" t="s">
        <v>5997</v>
      </c>
      <c r="L99" s="345" t="s">
        <v>5998</v>
      </c>
      <c r="M99" s="345" t="s">
        <v>215</v>
      </c>
      <c r="N99" s="345"/>
      <c r="O99" s="345"/>
      <c r="P99" s="345"/>
      <c r="Q99" s="345"/>
      <c r="R99" s="345"/>
      <c r="S99" s="345"/>
      <c r="T99" s="345"/>
      <c r="U99" s="345"/>
      <c r="V99" s="345"/>
      <c r="W99" s="345"/>
      <c r="X99" s="345"/>
      <c r="Y99" s="345"/>
      <c r="Z99" s="345"/>
    </row>
    <row r="100">
      <c r="A100" s="345" t="s">
        <v>5999</v>
      </c>
      <c r="B100" s="1021">
        <v>44968.0</v>
      </c>
      <c r="C100" s="345"/>
      <c r="D100" s="1021">
        <v>45048.0</v>
      </c>
      <c r="E100" s="345" t="s">
        <v>5678</v>
      </c>
      <c r="F100" s="345" t="s">
        <v>5922</v>
      </c>
      <c r="G100" s="345" t="s">
        <v>5611</v>
      </c>
      <c r="H100" s="1020" t="s">
        <v>5611</v>
      </c>
      <c r="I100" s="345"/>
      <c r="J100" s="345"/>
      <c r="K100" s="345" t="s">
        <v>5854</v>
      </c>
      <c r="L100" s="345" t="s">
        <v>6001</v>
      </c>
      <c r="M100" s="345" t="s">
        <v>215</v>
      </c>
      <c r="N100" s="345"/>
      <c r="O100" s="345"/>
      <c r="P100" s="345"/>
      <c r="Q100" s="345"/>
      <c r="R100" s="345"/>
      <c r="S100" s="345"/>
      <c r="T100" s="345"/>
      <c r="U100" s="345"/>
      <c r="V100" s="345"/>
      <c r="W100" s="345"/>
      <c r="X100" s="345"/>
      <c r="Y100" s="345"/>
      <c r="Z100" s="345"/>
    </row>
    <row r="101">
      <c r="A101" s="345" t="s">
        <v>6005</v>
      </c>
      <c r="B101" s="1021">
        <v>45022.0</v>
      </c>
      <c r="C101" s="345"/>
      <c r="D101" s="1021">
        <v>45048.0</v>
      </c>
      <c r="E101" s="345" t="s">
        <v>6006</v>
      </c>
      <c r="F101" s="345" t="s">
        <v>5922</v>
      </c>
      <c r="G101" s="345" t="s">
        <v>5611</v>
      </c>
      <c r="H101" s="1020" t="s">
        <v>5611</v>
      </c>
      <c r="I101" s="345"/>
      <c r="J101" s="345"/>
      <c r="K101" s="345" t="s">
        <v>5664</v>
      </c>
      <c r="L101" s="345" t="s">
        <v>6008</v>
      </c>
      <c r="M101" s="345" t="s">
        <v>215</v>
      </c>
      <c r="N101" s="345"/>
      <c r="O101" s="345"/>
      <c r="P101" s="345"/>
      <c r="Q101" s="345"/>
      <c r="R101" s="345"/>
      <c r="S101" s="345"/>
      <c r="T101" s="345"/>
      <c r="U101" s="345"/>
      <c r="V101" s="345"/>
      <c r="W101" s="345"/>
      <c r="X101" s="345"/>
      <c r="Y101" s="345"/>
      <c r="Z101" s="345"/>
    </row>
    <row r="102">
      <c r="A102" s="345" t="s">
        <v>6009</v>
      </c>
      <c r="B102" s="1021">
        <v>45000.0</v>
      </c>
      <c r="C102" s="345"/>
      <c r="D102" s="1021">
        <v>45047.0</v>
      </c>
      <c r="E102" s="345" t="s">
        <v>6010</v>
      </c>
      <c r="F102" s="345" t="s">
        <v>5922</v>
      </c>
      <c r="G102" s="345" t="s">
        <v>5611</v>
      </c>
      <c r="H102" s="1020" t="s">
        <v>5611</v>
      </c>
      <c r="I102" s="345"/>
      <c r="J102" s="345"/>
      <c r="K102" s="345" t="s">
        <v>5767</v>
      </c>
      <c r="L102" s="345" t="s">
        <v>6011</v>
      </c>
      <c r="M102" s="345" t="s">
        <v>215</v>
      </c>
      <c r="N102" s="345"/>
      <c r="O102" s="345"/>
      <c r="P102" s="345"/>
      <c r="Q102" s="345"/>
      <c r="R102" s="345"/>
      <c r="S102" s="345"/>
      <c r="T102" s="345"/>
      <c r="U102" s="345"/>
      <c r="V102" s="345"/>
      <c r="W102" s="345"/>
      <c r="X102" s="345"/>
      <c r="Y102" s="345"/>
      <c r="Z102" s="345"/>
    </row>
    <row r="103">
      <c r="A103" s="345" t="s">
        <v>6012</v>
      </c>
      <c r="B103" s="1021">
        <v>45022.0</v>
      </c>
      <c r="C103" s="345"/>
      <c r="D103" s="1021">
        <v>45047.0</v>
      </c>
      <c r="E103" s="345" t="s">
        <v>6013</v>
      </c>
      <c r="F103" s="345" t="s">
        <v>5922</v>
      </c>
      <c r="G103" s="345" t="s">
        <v>5611</v>
      </c>
      <c r="H103" s="1020" t="s">
        <v>5611</v>
      </c>
      <c r="I103" s="345"/>
      <c r="J103" s="345"/>
      <c r="K103" s="345" t="s">
        <v>5664</v>
      </c>
      <c r="L103" s="345" t="s">
        <v>6016</v>
      </c>
      <c r="M103" s="345" t="s">
        <v>215</v>
      </c>
      <c r="N103" s="345"/>
      <c r="O103" s="345"/>
      <c r="P103" s="345"/>
      <c r="Q103" s="345"/>
      <c r="R103" s="345"/>
      <c r="S103" s="345"/>
      <c r="T103" s="345"/>
      <c r="U103" s="345"/>
      <c r="V103" s="345"/>
      <c r="W103" s="345"/>
      <c r="X103" s="345"/>
      <c r="Y103" s="345"/>
      <c r="Z103" s="345"/>
    </row>
    <row r="104">
      <c r="A104" s="345" t="s">
        <v>6017</v>
      </c>
      <c r="B104" s="1021">
        <v>45022.0</v>
      </c>
      <c r="C104" s="345"/>
      <c r="D104" s="1021">
        <v>45043.0</v>
      </c>
      <c r="E104" s="345" t="s">
        <v>6018</v>
      </c>
      <c r="F104" s="345" t="s">
        <v>5922</v>
      </c>
      <c r="G104" s="345" t="s">
        <v>5611</v>
      </c>
      <c r="H104" s="1020" t="s">
        <v>5611</v>
      </c>
      <c r="I104" s="345"/>
      <c r="J104" s="345"/>
      <c r="K104" s="345" t="s">
        <v>6019</v>
      </c>
      <c r="L104" s="345" t="s">
        <v>6020</v>
      </c>
      <c r="M104" s="345" t="s">
        <v>215</v>
      </c>
      <c r="N104" s="345"/>
      <c r="O104" s="345"/>
      <c r="P104" s="345"/>
      <c r="Q104" s="345"/>
      <c r="R104" s="345"/>
      <c r="S104" s="345"/>
      <c r="T104" s="345"/>
      <c r="U104" s="345"/>
      <c r="V104" s="345"/>
      <c r="W104" s="345"/>
      <c r="X104" s="345"/>
      <c r="Y104" s="345"/>
      <c r="Z104" s="345"/>
    </row>
    <row r="105">
      <c r="A105" s="345" t="s">
        <v>6021</v>
      </c>
      <c r="B105" s="1021">
        <v>44984.0</v>
      </c>
      <c r="C105" s="345"/>
      <c r="D105" s="1021">
        <v>45042.0</v>
      </c>
      <c r="E105" s="345" t="s">
        <v>6022</v>
      </c>
      <c r="F105" s="345" t="s">
        <v>5922</v>
      </c>
      <c r="G105" s="345" t="s">
        <v>5611</v>
      </c>
      <c r="H105" s="1020" t="s">
        <v>5611</v>
      </c>
      <c r="I105" s="345"/>
      <c r="J105" s="345"/>
      <c r="K105" s="345" t="s">
        <v>5804</v>
      </c>
      <c r="L105" s="345" t="s">
        <v>6024</v>
      </c>
      <c r="M105" s="345" t="s">
        <v>215</v>
      </c>
      <c r="N105" s="345"/>
      <c r="O105" s="345"/>
      <c r="P105" s="345"/>
      <c r="Q105" s="345"/>
      <c r="R105" s="345"/>
      <c r="S105" s="345"/>
      <c r="T105" s="345"/>
      <c r="U105" s="345"/>
      <c r="V105" s="345"/>
      <c r="W105" s="345"/>
      <c r="X105" s="345"/>
      <c r="Y105" s="345"/>
      <c r="Z105" s="345"/>
    </row>
    <row r="106">
      <c r="A106" s="345" t="s">
        <v>6026</v>
      </c>
      <c r="B106" s="1021">
        <v>45000.0</v>
      </c>
      <c r="C106" s="345"/>
      <c r="D106" s="1021">
        <v>45042.0</v>
      </c>
      <c r="E106" s="345" t="s">
        <v>6027</v>
      </c>
      <c r="F106" s="345" t="s">
        <v>5922</v>
      </c>
      <c r="G106" s="345" t="s">
        <v>5611</v>
      </c>
      <c r="H106" s="1020" t="s">
        <v>5611</v>
      </c>
      <c r="I106" s="345"/>
      <c r="J106" s="345"/>
      <c r="K106" s="345" t="s">
        <v>5793</v>
      </c>
      <c r="L106" s="345" t="s">
        <v>6028</v>
      </c>
      <c r="M106" s="345" t="s">
        <v>215</v>
      </c>
      <c r="N106" s="345"/>
      <c r="O106" s="345"/>
      <c r="P106" s="345"/>
      <c r="Q106" s="345"/>
      <c r="R106" s="345"/>
      <c r="S106" s="345"/>
      <c r="T106" s="345"/>
      <c r="U106" s="345"/>
      <c r="V106" s="345"/>
      <c r="W106" s="345"/>
      <c r="X106" s="345"/>
      <c r="Y106" s="345"/>
      <c r="Z106" s="345"/>
    </row>
    <row r="107">
      <c r="A107" s="345" t="s">
        <v>6029</v>
      </c>
      <c r="B107" s="1021">
        <v>44946.0</v>
      </c>
      <c r="C107" s="345"/>
      <c r="D107" s="1021">
        <v>45041.0</v>
      </c>
      <c r="E107" s="345" t="s">
        <v>5945</v>
      </c>
      <c r="F107" s="345" t="s">
        <v>5922</v>
      </c>
      <c r="G107" s="345" t="s">
        <v>5611</v>
      </c>
      <c r="H107" s="1020" t="s">
        <v>5611</v>
      </c>
      <c r="I107" s="345"/>
      <c r="J107" s="345"/>
      <c r="K107" s="345" t="s">
        <v>6031</v>
      </c>
      <c r="L107" s="345" t="s">
        <v>6032</v>
      </c>
      <c r="M107" s="345" t="s">
        <v>215</v>
      </c>
      <c r="N107" s="345"/>
      <c r="O107" s="345"/>
      <c r="P107" s="345"/>
      <c r="Q107" s="345"/>
      <c r="R107" s="345"/>
      <c r="S107" s="345"/>
      <c r="T107" s="345"/>
      <c r="U107" s="345"/>
      <c r="V107" s="345"/>
      <c r="W107" s="345"/>
      <c r="X107" s="345"/>
      <c r="Y107" s="345"/>
      <c r="Z107" s="345"/>
    </row>
    <row r="108">
      <c r="A108" s="345" t="s">
        <v>6033</v>
      </c>
      <c r="B108" s="1021">
        <v>44952.0</v>
      </c>
      <c r="C108" s="345"/>
      <c r="D108" s="1021">
        <v>45041.0</v>
      </c>
      <c r="E108" s="345" t="s">
        <v>6034</v>
      </c>
      <c r="F108" s="345" t="s">
        <v>5922</v>
      </c>
      <c r="G108" s="345" t="s">
        <v>5628</v>
      </c>
      <c r="H108" s="1020" t="s">
        <v>5629</v>
      </c>
      <c r="I108" s="345"/>
      <c r="J108" s="345"/>
      <c r="K108" s="345" t="s">
        <v>5688</v>
      </c>
      <c r="L108" s="1061" t="s">
        <v>6036</v>
      </c>
      <c r="M108" s="345" t="s">
        <v>215</v>
      </c>
      <c r="N108" s="345"/>
      <c r="O108" s="345"/>
      <c r="P108" s="345"/>
      <c r="Q108" s="345"/>
      <c r="R108" s="345"/>
      <c r="S108" s="345"/>
      <c r="T108" s="345"/>
      <c r="U108" s="345"/>
      <c r="V108" s="345"/>
      <c r="W108" s="345"/>
      <c r="X108" s="345"/>
      <c r="Y108" s="345"/>
      <c r="Z108" s="345"/>
    </row>
    <row r="109">
      <c r="A109" s="345" t="s">
        <v>6042</v>
      </c>
      <c r="B109" s="1021">
        <v>44984.0</v>
      </c>
      <c r="C109" s="345"/>
      <c r="D109" s="1021">
        <v>45041.0</v>
      </c>
      <c r="E109" s="345" t="s">
        <v>6043</v>
      </c>
      <c r="F109" s="345" t="s">
        <v>5922</v>
      </c>
      <c r="G109" s="345" t="s">
        <v>5611</v>
      </c>
      <c r="H109" s="1020" t="s">
        <v>5611</v>
      </c>
      <c r="I109" s="345"/>
      <c r="J109" s="345"/>
      <c r="K109" s="345" t="s">
        <v>5809</v>
      </c>
      <c r="L109" s="345" t="s">
        <v>6044</v>
      </c>
      <c r="M109" s="345" t="s">
        <v>215</v>
      </c>
      <c r="N109" s="345"/>
      <c r="O109" s="345"/>
      <c r="P109" s="345"/>
      <c r="Q109" s="345"/>
      <c r="R109" s="345"/>
      <c r="S109" s="345"/>
      <c r="T109" s="345"/>
      <c r="U109" s="345"/>
      <c r="V109" s="345"/>
      <c r="W109" s="345"/>
      <c r="X109" s="345"/>
      <c r="Y109" s="345"/>
      <c r="Z109" s="345"/>
    </row>
    <row r="110">
      <c r="A110" s="345" t="s">
        <v>6045</v>
      </c>
      <c r="B110" s="1021">
        <v>44934.0</v>
      </c>
      <c r="C110" s="345"/>
      <c r="D110" s="1021">
        <v>45041.0</v>
      </c>
      <c r="E110" s="345" t="s">
        <v>5748</v>
      </c>
      <c r="F110" s="345" t="s">
        <v>5922</v>
      </c>
      <c r="G110" s="345" t="s">
        <v>5611</v>
      </c>
      <c r="H110" s="1020" t="s">
        <v>5611</v>
      </c>
      <c r="I110" s="345"/>
      <c r="J110" s="345"/>
      <c r="K110" s="345" t="s">
        <v>5820</v>
      </c>
      <c r="L110" s="345" t="s">
        <v>6046</v>
      </c>
      <c r="M110" s="345" t="s">
        <v>215</v>
      </c>
      <c r="N110" s="345"/>
      <c r="O110" s="345"/>
      <c r="P110" s="345"/>
      <c r="Q110" s="345"/>
      <c r="R110" s="345"/>
      <c r="S110" s="345"/>
      <c r="T110" s="345"/>
      <c r="U110" s="345"/>
      <c r="V110" s="345"/>
      <c r="W110" s="345"/>
      <c r="X110" s="345"/>
      <c r="Y110" s="345"/>
      <c r="Z110" s="345"/>
    </row>
    <row r="111">
      <c r="A111" s="345" t="s">
        <v>6048</v>
      </c>
      <c r="B111" s="1021">
        <v>44947.0</v>
      </c>
      <c r="C111" s="345"/>
      <c r="D111" s="1021">
        <v>45040.0</v>
      </c>
      <c r="E111" s="345" t="s">
        <v>6049</v>
      </c>
      <c r="F111" s="345" t="s">
        <v>5922</v>
      </c>
      <c r="G111" s="345" t="s">
        <v>5611</v>
      </c>
      <c r="H111" s="1020" t="s">
        <v>5611</v>
      </c>
      <c r="I111" s="345"/>
      <c r="J111" s="345"/>
      <c r="K111" s="345" t="s">
        <v>6050</v>
      </c>
      <c r="L111" s="345" t="s">
        <v>6051</v>
      </c>
      <c r="M111" s="345" t="s">
        <v>215</v>
      </c>
      <c r="N111" s="345"/>
      <c r="O111" s="345"/>
      <c r="P111" s="345"/>
      <c r="Q111" s="345"/>
      <c r="R111" s="345"/>
      <c r="S111" s="345"/>
      <c r="T111" s="345"/>
      <c r="U111" s="345"/>
      <c r="V111" s="345"/>
      <c r="W111" s="345"/>
      <c r="X111" s="345"/>
      <c r="Y111" s="345"/>
      <c r="Z111" s="345"/>
    </row>
    <row r="112">
      <c r="A112" s="345" t="s">
        <v>6052</v>
      </c>
      <c r="B112" s="1021">
        <v>44921.0</v>
      </c>
      <c r="C112" s="345"/>
      <c r="D112" s="1021">
        <v>45040.0</v>
      </c>
      <c r="E112" s="345" t="s">
        <v>6053</v>
      </c>
      <c r="F112" s="345" t="s">
        <v>5922</v>
      </c>
      <c r="G112" s="345" t="s">
        <v>5611</v>
      </c>
      <c r="H112" s="1020" t="s">
        <v>5611</v>
      </c>
      <c r="I112" s="345"/>
      <c r="J112" s="345"/>
      <c r="K112" s="345" t="s">
        <v>6054</v>
      </c>
      <c r="L112" s="345" t="s">
        <v>6055</v>
      </c>
      <c r="M112" s="345" t="s">
        <v>215</v>
      </c>
      <c r="N112" s="345"/>
      <c r="O112" s="345"/>
      <c r="P112" s="345"/>
      <c r="Q112" s="345"/>
      <c r="R112" s="345"/>
      <c r="S112" s="345"/>
      <c r="T112" s="345"/>
      <c r="U112" s="345"/>
      <c r="V112" s="345"/>
      <c r="W112" s="345"/>
      <c r="X112" s="345"/>
      <c r="Y112" s="345"/>
      <c r="Z112" s="345"/>
    </row>
    <row r="113">
      <c r="A113" s="345" t="s">
        <v>6056</v>
      </c>
      <c r="B113" s="1021">
        <v>44929.0</v>
      </c>
      <c r="C113" s="345"/>
      <c r="D113" s="1021">
        <v>45040.0</v>
      </c>
      <c r="E113" s="345" t="s">
        <v>6057</v>
      </c>
      <c r="F113" s="345" t="s">
        <v>5922</v>
      </c>
      <c r="G113" s="345" t="s">
        <v>5611</v>
      </c>
      <c r="H113" s="1020" t="s">
        <v>5611</v>
      </c>
      <c r="I113" s="345"/>
      <c r="J113" s="345"/>
      <c r="K113" s="345" t="s">
        <v>5909</v>
      </c>
      <c r="L113" s="345" t="s">
        <v>6059</v>
      </c>
      <c r="M113" s="345" t="s">
        <v>215</v>
      </c>
      <c r="N113" s="345"/>
      <c r="O113" s="345"/>
      <c r="P113" s="345"/>
      <c r="Q113" s="345"/>
      <c r="R113" s="345"/>
      <c r="S113" s="345"/>
      <c r="T113" s="345"/>
      <c r="U113" s="345"/>
      <c r="V113" s="345"/>
      <c r="W113" s="345"/>
      <c r="X113" s="345"/>
      <c r="Y113" s="345"/>
      <c r="Z113" s="345"/>
    </row>
    <row r="114">
      <c r="A114" s="345" t="s">
        <v>6060</v>
      </c>
      <c r="B114" s="1021">
        <v>44984.0</v>
      </c>
      <c r="C114" s="345"/>
      <c r="D114" s="1021">
        <v>45040.0</v>
      </c>
      <c r="E114" s="345" t="s">
        <v>6061</v>
      </c>
      <c r="F114" s="345" t="s">
        <v>5922</v>
      </c>
      <c r="G114" s="345" t="s">
        <v>5611</v>
      </c>
      <c r="H114" s="1020" t="s">
        <v>5611</v>
      </c>
      <c r="I114" s="345"/>
      <c r="J114" s="345"/>
      <c r="K114" s="345" t="s">
        <v>6062</v>
      </c>
      <c r="L114" s="345" t="s">
        <v>6063</v>
      </c>
      <c r="M114" s="345" t="s">
        <v>215</v>
      </c>
      <c r="N114" s="345"/>
      <c r="O114" s="345"/>
      <c r="P114" s="345"/>
      <c r="Q114" s="345"/>
      <c r="R114" s="345"/>
      <c r="S114" s="345"/>
      <c r="T114" s="345"/>
      <c r="U114" s="345"/>
      <c r="V114" s="345"/>
      <c r="W114" s="345"/>
      <c r="X114" s="345"/>
      <c r="Y114" s="345"/>
      <c r="Z114" s="345"/>
    </row>
    <row r="115">
      <c r="A115" s="345" t="s">
        <v>6064</v>
      </c>
      <c r="B115" s="1021">
        <v>45014.0</v>
      </c>
      <c r="C115" s="345"/>
      <c r="D115" s="1021">
        <v>45049.0</v>
      </c>
      <c r="E115" s="345" t="s">
        <v>6065</v>
      </c>
      <c r="F115" s="345" t="s">
        <v>5922</v>
      </c>
      <c r="G115" s="345" t="s">
        <v>5611</v>
      </c>
      <c r="H115" s="1020" t="s">
        <v>5611</v>
      </c>
      <c r="I115" s="345"/>
      <c r="J115" s="345"/>
      <c r="K115" s="345" t="s">
        <v>5763</v>
      </c>
      <c r="L115" s="345" t="s">
        <v>6067</v>
      </c>
      <c r="M115" s="345" t="s">
        <v>215</v>
      </c>
      <c r="N115" s="345"/>
      <c r="O115" s="345"/>
      <c r="P115" s="345"/>
      <c r="Q115" s="345"/>
      <c r="R115" s="345"/>
      <c r="S115" s="345"/>
      <c r="T115" s="345"/>
      <c r="U115" s="345"/>
      <c r="V115" s="345"/>
      <c r="W115" s="345"/>
      <c r="X115" s="345"/>
      <c r="Y115" s="345"/>
      <c r="Z115" s="345"/>
    </row>
    <row r="116">
      <c r="A116" s="345" t="s">
        <v>6068</v>
      </c>
      <c r="B116" s="1021">
        <v>45000.0</v>
      </c>
      <c r="C116" s="345"/>
      <c r="D116" s="1021">
        <v>45036.0</v>
      </c>
      <c r="E116" s="345" t="s">
        <v>6069</v>
      </c>
      <c r="F116" s="345" t="s">
        <v>5922</v>
      </c>
      <c r="G116" s="345" t="s">
        <v>5611</v>
      </c>
      <c r="H116" s="1020" t="s">
        <v>5611</v>
      </c>
      <c r="I116" s="345"/>
      <c r="J116" s="345"/>
      <c r="K116" s="345" t="s">
        <v>5781</v>
      </c>
      <c r="L116" s="345" t="s">
        <v>6070</v>
      </c>
      <c r="M116" s="345" t="s">
        <v>215</v>
      </c>
      <c r="N116" s="345"/>
      <c r="O116" s="345"/>
      <c r="P116" s="345"/>
      <c r="Q116" s="345"/>
      <c r="R116" s="345"/>
      <c r="S116" s="345"/>
      <c r="T116" s="345"/>
      <c r="U116" s="345"/>
      <c r="V116" s="345"/>
      <c r="W116" s="345"/>
      <c r="X116" s="345"/>
      <c r="Y116" s="345"/>
      <c r="Z116" s="345"/>
    </row>
    <row r="117">
      <c r="A117" s="345" t="s">
        <v>6071</v>
      </c>
      <c r="B117" s="1021">
        <v>45014.0</v>
      </c>
      <c r="C117" s="345"/>
      <c r="D117" s="1021">
        <v>45036.0</v>
      </c>
      <c r="E117" s="345" t="s">
        <v>6073</v>
      </c>
      <c r="F117" s="345" t="s">
        <v>5922</v>
      </c>
      <c r="G117" s="345" t="s">
        <v>5611</v>
      </c>
      <c r="H117" s="1020" t="s">
        <v>5611</v>
      </c>
      <c r="I117" s="345"/>
      <c r="J117" s="345"/>
      <c r="K117" s="345" t="s">
        <v>6074</v>
      </c>
      <c r="L117" s="345" t="s">
        <v>6075</v>
      </c>
      <c r="M117" s="345" t="s">
        <v>215</v>
      </c>
      <c r="N117" s="345"/>
      <c r="O117" s="345"/>
      <c r="P117" s="345"/>
      <c r="Q117" s="345"/>
      <c r="R117" s="345"/>
      <c r="S117" s="345"/>
      <c r="T117" s="345"/>
      <c r="U117" s="345"/>
      <c r="V117" s="345"/>
      <c r="W117" s="345"/>
      <c r="X117" s="345"/>
      <c r="Y117" s="345"/>
      <c r="Z117" s="345"/>
    </row>
    <row r="118">
      <c r="A118" s="345" t="s">
        <v>6076</v>
      </c>
      <c r="B118" s="1021">
        <v>44984.0</v>
      </c>
      <c r="C118" s="345"/>
      <c r="D118" s="1021">
        <v>45035.0</v>
      </c>
      <c r="E118" s="345" t="s">
        <v>6077</v>
      </c>
      <c r="F118" s="345" t="s">
        <v>5922</v>
      </c>
      <c r="G118" s="345" t="s">
        <v>5611</v>
      </c>
      <c r="H118" s="1020" t="s">
        <v>5611</v>
      </c>
      <c r="I118" s="345"/>
      <c r="J118" s="345"/>
      <c r="K118" s="345" t="s">
        <v>5809</v>
      </c>
      <c r="L118" s="345" t="s">
        <v>6078</v>
      </c>
      <c r="M118" s="345" t="s">
        <v>215</v>
      </c>
      <c r="N118" s="345"/>
      <c r="O118" s="345"/>
      <c r="P118" s="345"/>
      <c r="Q118" s="345"/>
      <c r="R118" s="345"/>
      <c r="S118" s="345"/>
      <c r="T118" s="345"/>
      <c r="U118" s="345"/>
      <c r="V118" s="345"/>
      <c r="W118" s="345"/>
      <c r="X118" s="345"/>
      <c r="Y118" s="345"/>
      <c r="Z118" s="345"/>
    </row>
    <row r="119">
      <c r="A119" s="345" t="s">
        <v>6079</v>
      </c>
      <c r="B119" s="1021">
        <v>44921.0</v>
      </c>
      <c r="C119" s="345"/>
      <c r="D119" s="1021">
        <v>45035.0</v>
      </c>
      <c r="E119" s="345" t="s">
        <v>6080</v>
      </c>
      <c r="F119" s="345" t="s">
        <v>5922</v>
      </c>
      <c r="G119" s="345" t="s">
        <v>5611</v>
      </c>
      <c r="H119" s="1020" t="s">
        <v>5611</v>
      </c>
      <c r="I119" s="345"/>
      <c r="J119" s="345"/>
      <c r="K119" s="345" t="s">
        <v>5863</v>
      </c>
      <c r="L119" s="345" t="s">
        <v>6082</v>
      </c>
      <c r="M119" s="345" t="s">
        <v>215</v>
      </c>
      <c r="N119" s="345"/>
      <c r="O119" s="345"/>
      <c r="P119" s="345"/>
      <c r="Q119" s="345"/>
      <c r="R119" s="345"/>
      <c r="S119" s="345"/>
      <c r="T119" s="345"/>
      <c r="U119" s="345"/>
      <c r="V119" s="345"/>
      <c r="W119" s="345"/>
      <c r="X119" s="345"/>
      <c r="Y119" s="345"/>
      <c r="Z119" s="345"/>
    </row>
    <row r="120">
      <c r="A120" s="1027">
        <v>1.20383188548236E15</v>
      </c>
      <c r="B120" s="1021">
        <v>44952.0</v>
      </c>
      <c r="C120" s="345"/>
      <c r="D120" s="1021">
        <v>45034.0</v>
      </c>
      <c r="E120" s="345" t="s">
        <v>6083</v>
      </c>
      <c r="F120" s="345" t="s">
        <v>5922</v>
      </c>
      <c r="G120" s="345" t="s">
        <v>5611</v>
      </c>
      <c r="H120" s="1020" t="s">
        <v>5611</v>
      </c>
      <c r="I120" s="345"/>
      <c r="J120" s="345"/>
      <c r="K120" s="345" t="s">
        <v>6084</v>
      </c>
      <c r="L120" s="345" t="s">
        <v>6085</v>
      </c>
      <c r="M120" s="345" t="s">
        <v>215</v>
      </c>
      <c r="N120" s="345"/>
      <c r="O120" s="345"/>
      <c r="P120" s="345"/>
      <c r="Q120" s="345"/>
      <c r="R120" s="345"/>
      <c r="S120" s="345"/>
      <c r="T120" s="345"/>
      <c r="U120" s="345"/>
      <c r="V120" s="345"/>
      <c r="W120" s="345"/>
      <c r="X120" s="345"/>
      <c r="Y120" s="345"/>
      <c r="Z120" s="345"/>
    </row>
    <row r="121">
      <c r="A121" s="345" t="s">
        <v>6087</v>
      </c>
      <c r="B121" s="1021">
        <v>45022.0</v>
      </c>
      <c r="C121" s="345"/>
      <c r="D121" s="1021">
        <v>45049.0</v>
      </c>
      <c r="E121" s="345" t="s">
        <v>6088</v>
      </c>
      <c r="F121" s="345" t="s">
        <v>5922</v>
      </c>
      <c r="G121" s="345" t="s">
        <v>5611</v>
      </c>
      <c r="H121" s="1020" t="s">
        <v>5611</v>
      </c>
      <c r="I121" s="345"/>
      <c r="J121" s="345"/>
      <c r="K121" s="345" t="s">
        <v>5727</v>
      </c>
      <c r="L121" s="345" t="s">
        <v>6089</v>
      </c>
      <c r="M121" s="345" t="s">
        <v>215</v>
      </c>
      <c r="N121" s="345"/>
      <c r="O121" s="345"/>
      <c r="P121" s="345"/>
      <c r="Q121" s="345"/>
      <c r="R121" s="345"/>
      <c r="S121" s="345"/>
      <c r="T121" s="345"/>
      <c r="U121" s="345"/>
      <c r="V121" s="345"/>
      <c r="W121" s="345"/>
      <c r="X121" s="345"/>
      <c r="Y121" s="345"/>
      <c r="Z121" s="345"/>
    </row>
    <row r="122">
      <c r="A122" s="345" t="s">
        <v>6090</v>
      </c>
      <c r="B122" s="1021">
        <v>44929.0</v>
      </c>
      <c r="C122" s="345"/>
      <c r="D122" s="1021">
        <v>45033.0</v>
      </c>
      <c r="E122" s="345" t="s">
        <v>6091</v>
      </c>
      <c r="F122" s="345" t="s">
        <v>5922</v>
      </c>
      <c r="G122" s="345" t="s">
        <v>5611</v>
      </c>
      <c r="H122" s="1020" t="s">
        <v>5611</v>
      </c>
      <c r="I122" s="345"/>
      <c r="J122" s="345"/>
      <c r="K122" s="345" t="s">
        <v>5894</v>
      </c>
      <c r="L122" s="345" t="s">
        <v>6093</v>
      </c>
      <c r="M122" s="345" t="s">
        <v>215</v>
      </c>
      <c r="N122" s="345"/>
      <c r="O122" s="345"/>
      <c r="P122" s="345"/>
      <c r="Q122" s="345"/>
      <c r="R122" s="345"/>
      <c r="S122" s="345"/>
      <c r="T122" s="345"/>
      <c r="U122" s="345"/>
      <c r="V122" s="345"/>
      <c r="W122" s="345"/>
      <c r="X122" s="345"/>
      <c r="Y122" s="345"/>
      <c r="Z122" s="345"/>
    </row>
    <row r="123">
      <c r="A123" s="345" t="s">
        <v>6095</v>
      </c>
      <c r="B123" s="1021">
        <v>44929.0</v>
      </c>
      <c r="C123" s="345"/>
      <c r="D123" s="1021">
        <v>45032.0</v>
      </c>
      <c r="E123" s="345" t="s">
        <v>6096</v>
      </c>
      <c r="F123" s="345" t="s">
        <v>5922</v>
      </c>
      <c r="G123" s="345" t="s">
        <v>5611</v>
      </c>
      <c r="H123" s="1020" t="s">
        <v>5611</v>
      </c>
      <c r="I123" s="345"/>
      <c r="J123" s="345"/>
      <c r="K123" s="345" t="s">
        <v>5894</v>
      </c>
      <c r="L123" s="345" t="s">
        <v>6097</v>
      </c>
      <c r="M123" s="345" t="s">
        <v>215</v>
      </c>
      <c r="N123" s="345"/>
      <c r="O123" s="345"/>
      <c r="P123" s="345"/>
      <c r="Q123" s="345"/>
      <c r="R123" s="345"/>
      <c r="S123" s="345"/>
      <c r="T123" s="345"/>
      <c r="U123" s="345"/>
      <c r="V123" s="345"/>
      <c r="W123" s="345"/>
      <c r="X123" s="345"/>
      <c r="Y123" s="345"/>
      <c r="Z123" s="345"/>
    </row>
    <row r="124">
      <c r="A124" s="345" t="s">
        <v>6098</v>
      </c>
      <c r="B124" s="1021">
        <v>44929.0</v>
      </c>
      <c r="C124" s="345"/>
      <c r="D124" s="1021">
        <v>45032.0</v>
      </c>
      <c r="E124" s="345" t="s">
        <v>6099</v>
      </c>
      <c r="F124" s="345" t="s">
        <v>5922</v>
      </c>
      <c r="G124" s="345" t="s">
        <v>5611</v>
      </c>
      <c r="H124" s="1020" t="s">
        <v>5611</v>
      </c>
      <c r="I124" s="345"/>
      <c r="J124" s="345"/>
      <c r="K124" s="345" t="s">
        <v>6100</v>
      </c>
      <c r="L124" s="345" t="s">
        <v>6101</v>
      </c>
      <c r="M124" s="345" t="s">
        <v>215</v>
      </c>
      <c r="N124" s="345"/>
      <c r="O124" s="345"/>
      <c r="P124" s="345"/>
      <c r="Q124" s="345"/>
      <c r="R124" s="345"/>
      <c r="S124" s="345"/>
      <c r="T124" s="345"/>
      <c r="U124" s="345"/>
      <c r="V124" s="345"/>
      <c r="W124" s="345"/>
      <c r="X124" s="345"/>
      <c r="Y124" s="345"/>
      <c r="Z124" s="345"/>
    </row>
    <row r="125">
      <c r="A125" s="345" t="s">
        <v>6102</v>
      </c>
      <c r="B125" s="1021">
        <v>44977.0</v>
      </c>
      <c r="C125" s="345"/>
      <c r="D125" s="1021">
        <v>45032.0</v>
      </c>
      <c r="E125" s="345" t="s">
        <v>6103</v>
      </c>
      <c r="F125" s="345" t="s">
        <v>5922</v>
      </c>
      <c r="G125" s="345" t="s">
        <v>5611</v>
      </c>
      <c r="H125" s="1020" t="s">
        <v>5611</v>
      </c>
      <c r="I125" s="345"/>
      <c r="J125" s="345"/>
      <c r="K125" s="345" t="s">
        <v>6104</v>
      </c>
      <c r="L125" s="345" t="s">
        <v>6105</v>
      </c>
      <c r="M125" s="345" t="s">
        <v>215</v>
      </c>
      <c r="N125" s="345"/>
      <c r="O125" s="345"/>
      <c r="P125" s="345"/>
      <c r="Q125" s="345"/>
      <c r="R125" s="345"/>
      <c r="S125" s="345"/>
      <c r="T125" s="345"/>
      <c r="U125" s="345"/>
      <c r="V125" s="345"/>
      <c r="W125" s="345"/>
      <c r="X125" s="345"/>
      <c r="Y125" s="345"/>
      <c r="Z125" s="345"/>
    </row>
    <row r="126">
      <c r="A126" s="345" t="s">
        <v>6107</v>
      </c>
      <c r="B126" s="1021">
        <v>44921.0</v>
      </c>
      <c r="C126" s="345"/>
      <c r="D126" s="1021">
        <v>45029.0</v>
      </c>
      <c r="E126" s="345" t="s">
        <v>6108</v>
      </c>
      <c r="F126" s="345" t="s">
        <v>5922</v>
      </c>
      <c r="G126" s="345" t="s">
        <v>5611</v>
      </c>
      <c r="H126" s="1020" t="s">
        <v>5611</v>
      </c>
      <c r="I126" s="345"/>
      <c r="J126" s="345"/>
      <c r="K126" s="345" t="s">
        <v>6110</v>
      </c>
      <c r="L126" s="345" t="s">
        <v>6111</v>
      </c>
      <c r="M126" s="345" t="s">
        <v>215</v>
      </c>
      <c r="N126" s="345"/>
      <c r="O126" s="345"/>
      <c r="P126" s="345"/>
      <c r="Q126" s="345"/>
      <c r="R126" s="345"/>
      <c r="S126" s="345"/>
      <c r="T126" s="345"/>
      <c r="U126" s="345"/>
      <c r="V126" s="345"/>
      <c r="W126" s="345"/>
      <c r="X126" s="345"/>
      <c r="Y126" s="345"/>
      <c r="Z126" s="345"/>
    </row>
    <row r="127">
      <c r="A127" s="345" t="s">
        <v>6112</v>
      </c>
      <c r="B127" s="1021">
        <v>45000.0</v>
      </c>
      <c r="C127" s="345"/>
      <c r="D127" s="1021">
        <v>45029.0</v>
      </c>
      <c r="E127" s="345" t="s">
        <v>6113</v>
      </c>
      <c r="F127" s="345" t="s">
        <v>5922</v>
      </c>
      <c r="G127" s="345" t="s">
        <v>5611</v>
      </c>
      <c r="H127" s="1020" t="s">
        <v>5611</v>
      </c>
      <c r="I127" s="345"/>
      <c r="J127" s="345"/>
      <c r="K127" s="345" t="s">
        <v>6114</v>
      </c>
      <c r="L127" s="345" t="s">
        <v>6115</v>
      </c>
      <c r="M127" s="345" t="s">
        <v>215</v>
      </c>
      <c r="N127" s="345"/>
      <c r="O127" s="345"/>
      <c r="P127" s="345"/>
      <c r="Q127" s="345"/>
      <c r="R127" s="345"/>
      <c r="S127" s="345"/>
      <c r="T127" s="345"/>
      <c r="U127" s="345"/>
      <c r="V127" s="345"/>
      <c r="W127" s="345"/>
      <c r="X127" s="345"/>
      <c r="Y127" s="345"/>
      <c r="Z127" s="345"/>
    </row>
    <row r="128">
      <c r="A128" s="345" t="s">
        <v>6116</v>
      </c>
      <c r="B128" s="1021">
        <v>44977.0</v>
      </c>
      <c r="C128" s="345"/>
      <c r="D128" s="1021">
        <v>45029.0</v>
      </c>
      <c r="E128" s="345" t="s">
        <v>6117</v>
      </c>
      <c r="F128" s="345" t="s">
        <v>5922</v>
      </c>
      <c r="G128" s="345" t="s">
        <v>5611</v>
      </c>
      <c r="H128" s="1020" t="s">
        <v>5611</v>
      </c>
      <c r="I128" s="345"/>
      <c r="J128" s="345"/>
      <c r="K128" s="345" t="s">
        <v>6118</v>
      </c>
      <c r="L128" s="345" t="s">
        <v>6119</v>
      </c>
      <c r="M128" s="345" t="s">
        <v>215</v>
      </c>
      <c r="N128" s="345"/>
      <c r="O128" s="345"/>
      <c r="P128" s="345"/>
      <c r="Q128" s="345"/>
      <c r="R128" s="345"/>
      <c r="S128" s="345"/>
      <c r="T128" s="345"/>
      <c r="U128" s="345"/>
      <c r="V128" s="345"/>
      <c r="W128" s="345"/>
      <c r="X128" s="345"/>
      <c r="Y128" s="345"/>
      <c r="Z128" s="345"/>
    </row>
    <row r="129">
      <c r="A129" s="345" t="s">
        <v>6121</v>
      </c>
      <c r="B129" s="1021">
        <v>44984.0</v>
      </c>
      <c r="C129" s="345"/>
      <c r="D129" s="1021">
        <v>45029.0</v>
      </c>
      <c r="E129" s="345" t="s">
        <v>6000</v>
      </c>
      <c r="F129" s="345" t="s">
        <v>5922</v>
      </c>
      <c r="G129" s="345" t="s">
        <v>5611</v>
      </c>
      <c r="H129" s="1020" t="s">
        <v>5611</v>
      </c>
      <c r="I129" s="345"/>
      <c r="J129" s="345"/>
      <c r="K129" s="345" t="s">
        <v>5997</v>
      </c>
      <c r="L129" s="345" t="s">
        <v>6122</v>
      </c>
      <c r="M129" s="345" t="s">
        <v>215</v>
      </c>
      <c r="N129" s="345"/>
      <c r="O129" s="345"/>
      <c r="P129" s="345"/>
      <c r="Q129" s="345"/>
      <c r="R129" s="345"/>
      <c r="S129" s="345"/>
      <c r="T129" s="345"/>
      <c r="U129" s="345"/>
      <c r="V129" s="345"/>
      <c r="W129" s="345"/>
      <c r="X129" s="345"/>
      <c r="Y129" s="345"/>
      <c r="Z129" s="345"/>
    </row>
    <row r="130">
      <c r="A130" s="345" t="s">
        <v>6123</v>
      </c>
      <c r="B130" s="1021">
        <v>44960.0</v>
      </c>
      <c r="C130" s="345"/>
      <c r="D130" s="1021">
        <v>45028.0</v>
      </c>
      <c r="E130" s="345" t="s">
        <v>5975</v>
      </c>
      <c r="F130" s="345" t="s">
        <v>5922</v>
      </c>
      <c r="G130" s="345" t="s">
        <v>5611</v>
      </c>
      <c r="H130" s="1020" t="s">
        <v>5611</v>
      </c>
      <c r="I130" s="345"/>
      <c r="J130" s="345"/>
      <c r="K130" s="345" t="s">
        <v>5841</v>
      </c>
      <c r="L130" s="345" t="s">
        <v>6125</v>
      </c>
      <c r="M130" s="345" t="s">
        <v>215</v>
      </c>
      <c r="N130" s="345"/>
      <c r="O130" s="345"/>
      <c r="P130" s="345"/>
      <c r="Q130" s="345"/>
      <c r="R130" s="345"/>
      <c r="S130" s="345"/>
      <c r="T130" s="345"/>
      <c r="U130" s="345"/>
      <c r="V130" s="345"/>
      <c r="W130" s="345"/>
      <c r="X130" s="345"/>
      <c r="Y130" s="345"/>
      <c r="Z130" s="345"/>
    </row>
    <row r="131">
      <c r="A131" s="345" t="s">
        <v>6126</v>
      </c>
      <c r="B131" s="1021">
        <v>44931.0</v>
      </c>
      <c r="C131" s="345"/>
      <c r="D131" s="1021">
        <v>45027.0</v>
      </c>
      <c r="E131" s="345" t="s">
        <v>5715</v>
      </c>
      <c r="F131" s="345" t="s">
        <v>5922</v>
      </c>
      <c r="G131" s="345" t="s">
        <v>5611</v>
      </c>
      <c r="H131" s="1020" t="s">
        <v>5611</v>
      </c>
      <c r="I131" s="345"/>
      <c r="J131" s="345"/>
      <c r="K131" s="345" t="s">
        <v>5820</v>
      </c>
      <c r="L131" s="345" t="s">
        <v>6128</v>
      </c>
      <c r="M131" s="345" t="s">
        <v>215</v>
      </c>
      <c r="N131" s="345"/>
      <c r="O131" s="345"/>
      <c r="P131" s="345"/>
      <c r="Q131" s="345"/>
      <c r="R131" s="345"/>
      <c r="S131" s="345"/>
      <c r="T131" s="345"/>
      <c r="U131" s="345"/>
      <c r="V131" s="345"/>
      <c r="W131" s="345"/>
      <c r="X131" s="345"/>
      <c r="Y131" s="345"/>
      <c r="Z131" s="345"/>
    </row>
    <row r="132">
      <c r="A132" s="345" t="s">
        <v>6129</v>
      </c>
      <c r="B132" s="1021">
        <v>45000.0</v>
      </c>
      <c r="C132" s="345"/>
      <c r="D132" s="1021">
        <v>45027.0</v>
      </c>
      <c r="E132" s="345" t="s">
        <v>6130</v>
      </c>
      <c r="F132" s="345" t="s">
        <v>5922</v>
      </c>
      <c r="G132" s="345" t="s">
        <v>5611</v>
      </c>
      <c r="H132" s="1020" t="s">
        <v>5611</v>
      </c>
      <c r="I132" s="345"/>
      <c r="J132" s="345"/>
      <c r="K132" s="345" t="s">
        <v>5958</v>
      </c>
      <c r="L132" s="345" t="s">
        <v>6131</v>
      </c>
      <c r="M132" s="345" t="s">
        <v>215</v>
      </c>
      <c r="N132" s="345"/>
      <c r="O132" s="345"/>
      <c r="P132" s="345"/>
      <c r="Q132" s="345"/>
      <c r="R132" s="345"/>
      <c r="S132" s="345"/>
      <c r="T132" s="345"/>
      <c r="U132" s="345"/>
      <c r="V132" s="345"/>
      <c r="W132" s="345"/>
      <c r="X132" s="345"/>
      <c r="Y132" s="345"/>
      <c r="Z132" s="345"/>
    </row>
    <row r="133">
      <c r="A133" s="345" t="s">
        <v>6132</v>
      </c>
      <c r="B133" s="1021">
        <v>45000.0</v>
      </c>
      <c r="C133" s="345"/>
      <c r="D133" s="1021">
        <v>45027.0</v>
      </c>
      <c r="E133" s="345" t="s">
        <v>6134</v>
      </c>
      <c r="F133" s="345" t="s">
        <v>5922</v>
      </c>
      <c r="G133" s="345" t="s">
        <v>5611</v>
      </c>
      <c r="H133" s="1020" t="s">
        <v>5611</v>
      </c>
      <c r="I133" s="345"/>
      <c r="J133" s="345"/>
      <c r="K133" s="345" t="s">
        <v>5778</v>
      </c>
      <c r="L133" s="345" t="s">
        <v>6135</v>
      </c>
      <c r="M133" s="345" t="s">
        <v>215</v>
      </c>
      <c r="N133" s="345"/>
      <c r="O133" s="345"/>
      <c r="P133" s="345"/>
      <c r="Q133" s="345"/>
      <c r="R133" s="345"/>
      <c r="S133" s="345"/>
      <c r="T133" s="345"/>
      <c r="U133" s="345"/>
      <c r="V133" s="345"/>
      <c r="W133" s="345"/>
      <c r="X133" s="345"/>
      <c r="Y133" s="345"/>
      <c r="Z133" s="345"/>
    </row>
    <row r="134">
      <c r="A134" s="345" t="s">
        <v>6137</v>
      </c>
      <c r="B134" s="1021">
        <v>45000.0</v>
      </c>
      <c r="C134" s="345"/>
      <c r="D134" s="1021">
        <v>45027.0</v>
      </c>
      <c r="E134" s="345" t="s">
        <v>6138</v>
      </c>
      <c r="F134" s="345" t="s">
        <v>5922</v>
      </c>
      <c r="G134" s="345" t="s">
        <v>5611</v>
      </c>
      <c r="H134" s="1020" t="s">
        <v>5611</v>
      </c>
      <c r="I134" s="345"/>
      <c r="J134" s="345"/>
      <c r="K134" s="345" t="s">
        <v>5670</v>
      </c>
      <c r="L134" s="345" t="s">
        <v>6139</v>
      </c>
      <c r="M134" s="345" t="s">
        <v>215</v>
      </c>
      <c r="N134" s="345"/>
      <c r="O134" s="345"/>
      <c r="P134" s="345"/>
      <c r="Q134" s="345"/>
      <c r="R134" s="345"/>
      <c r="S134" s="345"/>
      <c r="T134" s="345"/>
      <c r="U134" s="345"/>
      <c r="V134" s="345"/>
      <c r="W134" s="345"/>
      <c r="X134" s="345"/>
      <c r="Y134" s="345"/>
      <c r="Z134" s="345"/>
    </row>
    <row r="135">
      <c r="A135" s="345" t="s">
        <v>6141</v>
      </c>
      <c r="B135" s="1021">
        <v>44910.0</v>
      </c>
      <c r="C135" s="345"/>
      <c r="D135" s="1021">
        <v>45026.0</v>
      </c>
      <c r="E135" s="345" t="s">
        <v>6142</v>
      </c>
      <c r="F135" s="345" t="s">
        <v>5922</v>
      </c>
      <c r="G135" s="345" t="s">
        <v>5611</v>
      </c>
      <c r="H135" s="1020" t="s">
        <v>5611</v>
      </c>
      <c r="I135" s="345"/>
      <c r="J135" s="345"/>
      <c r="K135" s="345" t="s">
        <v>6144</v>
      </c>
      <c r="L135" s="345" t="s">
        <v>6146</v>
      </c>
      <c r="M135" s="345" t="s">
        <v>215</v>
      </c>
      <c r="N135" s="345"/>
      <c r="O135" s="345"/>
      <c r="P135" s="345"/>
      <c r="Q135" s="345"/>
      <c r="R135" s="345"/>
      <c r="S135" s="345"/>
      <c r="T135" s="345"/>
      <c r="U135" s="345"/>
      <c r="V135" s="345"/>
      <c r="W135" s="345"/>
      <c r="X135" s="345"/>
      <c r="Y135" s="345"/>
      <c r="Z135" s="345"/>
    </row>
    <row r="136">
      <c r="A136" s="345" t="s">
        <v>6147</v>
      </c>
      <c r="B136" s="1021">
        <v>44940.0</v>
      </c>
      <c r="C136" s="345"/>
      <c r="D136" s="1021">
        <v>45026.0</v>
      </c>
      <c r="E136" s="345" t="s">
        <v>6148</v>
      </c>
      <c r="F136" s="345" t="s">
        <v>5922</v>
      </c>
      <c r="G136" s="345" t="s">
        <v>5611</v>
      </c>
      <c r="H136" s="1020" t="s">
        <v>5611</v>
      </c>
      <c r="I136" s="345"/>
      <c r="J136" s="345"/>
      <c r="K136" s="345" t="s">
        <v>6050</v>
      </c>
      <c r="L136" s="345" t="s">
        <v>6149</v>
      </c>
      <c r="M136" s="345" t="s">
        <v>215</v>
      </c>
      <c r="N136" s="345"/>
      <c r="O136" s="345"/>
      <c r="P136" s="345"/>
      <c r="Q136" s="345"/>
      <c r="R136" s="345"/>
      <c r="S136" s="345"/>
      <c r="T136" s="345"/>
      <c r="U136" s="345"/>
      <c r="V136" s="345"/>
      <c r="W136" s="345"/>
      <c r="X136" s="345"/>
      <c r="Y136" s="345"/>
      <c r="Z136" s="345"/>
    </row>
    <row r="137">
      <c r="A137" s="345" t="s">
        <v>6150</v>
      </c>
      <c r="B137" s="1021">
        <v>44984.0</v>
      </c>
      <c r="C137" s="345"/>
      <c r="D137" s="1021">
        <v>45025.0</v>
      </c>
      <c r="E137" s="345" t="s">
        <v>6151</v>
      </c>
      <c r="F137" s="345" t="s">
        <v>5922</v>
      </c>
      <c r="G137" s="345" t="s">
        <v>5611</v>
      </c>
      <c r="H137" s="1020" t="s">
        <v>5611</v>
      </c>
      <c r="I137" s="345"/>
      <c r="J137" s="345"/>
      <c r="K137" s="345" t="s">
        <v>6152</v>
      </c>
      <c r="L137" s="345" t="s">
        <v>6153</v>
      </c>
      <c r="M137" s="345" t="s">
        <v>215</v>
      </c>
      <c r="N137" s="345"/>
      <c r="O137" s="345"/>
      <c r="P137" s="345"/>
      <c r="Q137" s="345"/>
      <c r="R137" s="345"/>
      <c r="S137" s="345"/>
      <c r="T137" s="345"/>
      <c r="U137" s="345"/>
      <c r="V137" s="345"/>
      <c r="W137" s="345"/>
      <c r="X137" s="345"/>
      <c r="Y137" s="345"/>
      <c r="Z137" s="345"/>
    </row>
    <row r="138">
      <c r="A138" s="345" t="s">
        <v>6155</v>
      </c>
      <c r="B138" s="1021">
        <v>44984.0</v>
      </c>
      <c r="C138" s="345"/>
      <c r="D138" s="1021">
        <v>45025.0</v>
      </c>
      <c r="E138" s="345" t="s">
        <v>6156</v>
      </c>
      <c r="F138" s="345" t="s">
        <v>5922</v>
      </c>
      <c r="G138" s="345" t="s">
        <v>5611</v>
      </c>
      <c r="H138" s="1020" t="s">
        <v>5611</v>
      </c>
      <c r="I138" s="345"/>
      <c r="J138" s="345"/>
      <c r="K138" s="345" t="s">
        <v>6152</v>
      </c>
      <c r="L138" s="345" t="s">
        <v>6157</v>
      </c>
      <c r="M138" s="345" t="s">
        <v>215</v>
      </c>
      <c r="N138" s="345"/>
      <c r="O138" s="345"/>
      <c r="P138" s="345"/>
      <c r="Q138" s="345"/>
      <c r="R138" s="345"/>
      <c r="S138" s="345"/>
      <c r="T138" s="345"/>
      <c r="U138" s="345"/>
      <c r="V138" s="345"/>
      <c r="W138" s="345"/>
      <c r="X138" s="345"/>
      <c r="Y138" s="345"/>
      <c r="Z138" s="345"/>
    </row>
    <row r="139">
      <c r="A139" s="345" t="s">
        <v>6158</v>
      </c>
      <c r="B139" s="1021">
        <v>44968.0</v>
      </c>
      <c r="C139" s="345"/>
      <c r="D139" s="1021">
        <v>45025.0</v>
      </c>
      <c r="E139" s="345" t="s">
        <v>5669</v>
      </c>
      <c r="F139" s="345" t="s">
        <v>5922</v>
      </c>
      <c r="G139" s="345" t="s">
        <v>5611</v>
      </c>
      <c r="H139" s="1020" t="s">
        <v>5611</v>
      </c>
      <c r="I139" s="345"/>
      <c r="J139" s="345"/>
      <c r="K139" s="345" t="s">
        <v>5854</v>
      </c>
      <c r="L139" s="345" t="s">
        <v>6160</v>
      </c>
      <c r="M139" s="345" t="s">
        <v>215</v>
      </c>
      <c r="N139" s="345"/>
      <c r="O139" s="345"/>
      <c r="P139" s="345"/>
      <c r="Q139" s="345"/>
      <c r="R139" s="345"/>
      <c r="S139" s="345"/>
      <c r="T139" s="345"/>
      <c r="U139" s="345"/>
      <c r="V139" s="345"/>
      <c r="W139" s="345"/>
      <c r="X139" s="345"/>
      <c r="Y139" s="345"/>
      <c r="Z139" s="345"/>
    </row>
    <row r="140">
      <c r="A140" s="1027">
        <v>1.20364271306289E15</v>
      </c>
      <c r="B140" s="1021">
        <v>44929.0</v>
      </c>
      <c r="C140" s="345"/>
      <c r="D140" s="1021">
        <v>45025.0</v>
      </c>
      <c r="E140" s="345" t="s">
        <v>6162</v>
      </c>
      <c r="F140" s="345" t="s">
        <v>5922</v>
      </c>
      <c r="G140" s="345" t="s">
        <v>5611</v>
      </c>
      <c r="H140" s="1020" t="s">
        <v>5611</v>
      </c>
      <c r="I140" s="345"/>
      <c r="J140" s="345"/>
      <c r="K140" s="345" t="s">
        <v>5894</v>
      </c>
      <c r="L140" s="345" t="s">
        <v>6164</v>
      </c>
      <c r="M140" s="345" t="s">
        <v>215</v>
      </c>
      <c r="N140" s="345"/>
      <c r="O140" s="345"/>
      <c r="P140" s="345"/>
      <c r="Q140" s="345"/>
      <c r="R140" s="345"/>
      <c r="S140" s="345"/>
      <c r="T140" s="345"/>
      <c r="U140" s="345"/>
      <c r="V140" s="345"/>
      <c r="W140" s="345"/>
      <c r="X140" s="345"/>
      <c r="Y140" s="345"/>
      <c r="Z140" s="345"/>
    </row>
    <row r="141">
      <c r="A141" s="345" t="s">
        <v>6166</v>
      </c>
      <c r="B141" s="1021">
        <v>45000.0</v>
      </c>
      <c r="C141" s="345"/>
      <c r="D141" s="1021">
        <v>45025.0</v>
      </c>
      <c r="E141" s="345" t="s">
        <v>6167</v>
      </c>
      <c r="F141" s="345" t="s">
        <v>5922</v>
      </c>
      <c r="G141" s="345" t="s">
        <v>5611</v>
      </c>
      <c r="H141" s="1020" t="s">
        <v>5611</v>
      </c>
      <c r="I141" s="345"/>
      <c r="J141" s="345"/>
      <c r="K141" s="345" t="s">
        <v>6114</v>
      </c>
      <c r="L141" s="345" t="s">
        <v>6169</v>
      </c>
      <c r="M141" s="345" t="s">
        <v>215</v>
      </c>
      <c r="N141" s="345"/>
      <c r="O141" s="345"/>
      <c r="P141" s="345"/>
      <c r="Q141" s="345"/>
      <c r="R141" s="345"/>
      <c r="S141" s="345"/>
      <c r="T141" s="345"/>
      <c r="U141" s="345"/>
      <c r="V141" s="345"/>
      <c r="W141" s="345"/>
      <c r="X141" s="345"/>
      <c r="Y141" s="345"/>
      <c r="Z141" s="345"/>
    </row>
    <row r="142">
      <c r="A142" s="345" t="s">
        <v>6171</v>
      </c>
      <c r="B142" s="1021">
        <v>44929.0</v>
      </c>
      <c r="C142" s="345"/>
      <c r="D142" s="1021">
        <v>45025.0</v>
      </c>
      <c r="E142" s="345" t="s">
        <v>6172</v>
      </c>
      <c r="F142" s="345" t="s">
        <v>5922</v>
      </c>
      <c r="G142" s="345" t="s">
        <v>5611</v>
      </c>
      <c r="H142" s="1020" t="s">
        <v>5611</v>
      </c>
      <c r="I142" s="345"/>
      <c r="J142" s="345"/>
      <c r="K142" s="345" t="s">
        <v>6173</v>
      </c>
      <c r="L142" s="345" t="s">
        <v>6174</v>
      </c>
      <c r="M142" s="345" t="s">
        <v>215</v>
      </c>
      <c r="N142" s="345"/>
      <c r="O142" s="345"/>
      <c r="P142" s="345"/>
      <c r="Q142" s="345"/>
      <c r="R142" s="345"/>
      <c r="S142" s="345"/>
      <c r="T142" s="345"/>
      <c r="U142" s="345"/>
      <c r="V142" s="345"/>
      <c r="W142" s="345"/>
      <c r="X142" s="345"/>
      <c r="Y142" s="345"/>
      <c r="Z142" s="345"/>
    </row>
    <row r="143">
      <c r="A143" s="345" t="s">
        <v>6175</v>
      </c>
      <c r="B143" s="1021">
        <v>44952.0</v>
      </c>
      <c r="C143" s="345"/>
      <c r="D143" s="1021">
        <v>45020.0</v>
      </c>
      <c r="E143" s="345" t="s">
        <v>6176</v>
      </c>
      <c r="F143" s="345" t="s">
        <v>5922</v>
      </c>
      <c r="G143" s="345" t="s">
        <v>5611</v>
      </c>
      <c r="H143" s="1020" t="s">
        <v>5611</v>
      </c>
      <c r="I143" s="345"/>
      <c r="J143" s="345"/>
      <c r="K143" s="345" t="s">
        <v>6084</v>
      </c>
      <c r="L143" s="345" t="s">
        <v>6178</v>
      </c>
      <c r="M143" s="345" t="s">
        <v>215</v>
      </c>
      <c r="N143" s="345"/>
      <c r="O143" s="345"/>
      <c r="P143" s="345"/>
      <c r="Q143" s="345"/>
      <c r="R143" s="345"/>
      <c r="S143" s="345"/>
      <c r="T143" s="345"/>
      <c r="U143" s="345"/>
      <c r="V143" s="345"/>
      <c r="W143" s="345"/>
      <c r="X143" s="345"/>
      <c r="Y143" s="345"/>
      <c r="Z143" s="345"/>
    </row>
    <row r="144">
      <c r="A144" s="345" t="s">
        <v>6180</v>
      </c>
      <c r="B144" s="1021">
        <v>44968.0</v>
      </c>
      <c r="C144" s="345"/>
      <c r="D144" s="1021">
        <v>45022.0</v>
      </c>
      <c r="E144" s="345" t="s">
        <v>6181</v>
      </c>
      <c r="F144" s="345" t="s">
        <v>5922</v>
      </c>
      <c r="G144" s="345" t="s">
        <v>5611</v>
      </c>
      <c r="H144" s="1020" t="s">
        <v>5611</v>
      </c>
      <c r="I144" s="345"/>
      <c r="J144" s="345"/>
      <c r="K144" s="345" t="s">
        <v>6182</v>
      </c>
      <c r="L144" s="345" t="s">
        <v>6183</v>
      </c>
      <c r="M144" s="345" t="s">
        <v>215</v>
      </c>
      <c r="N144" s="345"/>
      <c r="O144" s="345"/>
      <c r="P144" s="345"/>
      <c r="Q144" s="345"/>
      <c r="R144" s="345"/>
      <c r="S144" s="345"/>
      <c r="T144" s="345"/>
      <c r="U144" s="345"/>
      <c r="V144" s="345"/>
      <c r="W144" s="345"/>
      <c r="X144" s="345"/>
      <c r="Y144" s="345"/>
      <c r="Z144" s="345"/>
    </row>
    <row r="145">
      <c r="A145" s="345" t="s">
        <v>6184</v>
      </c>
      <c r="B145" s="1021">
        <v>44936.0</v>
      </c>
      <c r="C145" s="345"/>
      <c r="D145" s="1021">
        <v>45019.0</v>
      </c>
      <c r="E145" s="345" t="s">
        <v>6185</v>
      </c>
      <c r="F145" s="345" t="s">
        <v>5922</v>
      </c>
      <c r="G145" s="345" t="s">
        <v>5611</v>
      </c>
      <c r="H145" s="1020" t="s">
        <v>5611</v>
      </c>
      <c r="I145" s="345"/>
      <c r="J145" s="345"/>
      <c r="K145" s="345" t="s">
        <v>5881</v>
      </c>
      <c r="L145" s="345" t="s">
        <v>6187</v>
      </c>
      <c r="M145" s="345" t="s">
        <v>215</v>
      </c>
      <c r="N145" s="345"/>
      <c r="O145" s="345"/>
      <c r="P145" s="345"/>
      <c r="Q145" s="345"/>
      <c r="R145" s="345"/>
      <c r="S145" s="345"/>
      <c r="T145" s="345"/>
      <c r="U145" s="345"/>
      <c r="V145" s="345"/>
      <c r="W145" s="345"/>
      <c r="X145" s="345"/>
      <c r="Y145" s="345"/>
      <c r="Z145" s="345"/>
    </row>
    <row r="146">
      <c r="A146" s="345" t="s">
        <v>6188</v>
      </c>
      <c r="B146" s="1021">
        <v>44946.0</v>
      </c>
      <c r="C146" s="345"/>
      <c r="D146" s="1021">
        <v>45019.0</v>
      </c>
      <c r="E146" s="345" t="s">
        <v>6190</v>
      </c>
      <c r="F146" s="345" t="s">
        <v>5922</v>
      </c>
      <c r="G146" s="345" t="s">
        <v>5611</v>
      </c>
      <c r="H146" s="1020" t="s">
        <v>5611</v>
      </c>
      <c r="I146" s="345"/>
      <c r="J146" s="345"/>
      <c r="K146" s="345" t="s">
        <v>6191</v>
      </c>
      <c r="L146" s="345" t="s">
        <v>6192</v>
      </c>
      <c r="M146" s="345" t="s">
        <v>215</v>
      </c>
      <c r="N146" s="345"/>
      <c r="O146" s="345"/>
      <c r="P146" s="345"/>
      <c r="Q146" s="345"/>
      <c r="R146" s="345"/>
      <c r="S146" s="345"/>
      <c r="T146" s="345"/>
      <c r="U146" s="345"/>
      <c r="V146" s="345"/>
      <c r="W146" s="345"/>
      <c r="X146" s="345"/>
      <c r="Y146" s="345"/>
      <c r="Z146" s="345"/>
    </row>
    <row r="147">
      <c r="A147" s="345" t="s">
        <v>6193</v>
      </c>
      <c r="B147" s="1021">
        <v>45000.0</v>
      </c>
      <c r="C147" s="345"/>
      <c r="D147" s="1021">
        <v>45017.0</v>
      </c>
      <c r="E147" s="345" t="s">
        <v>6194</v>
      </c>
      <c r="F147" s="345" t="s">
        <v>5922</v>
      </c>
      <c r="G147" s="345" t="s">
        <v>5611</v>
      </c>
      <c r="H147" s="1020" t="s">
        <v>5611</v>
      </c>
      <c r="I147" s="345"/>
      <c r="J147" s="345"/>
      <c r="K147" s="345" t="s">
        <v>5793</v>
      </c>
      <c r="L147" s="345" t="s">
        <v>6195</v>
      </c>
      <c r="M147" s="345" t="s">
        <v>215</v>
      </c>
      <c r="N147" s="345"/>
      <c r="O147" s="345"/>
      <c r="P147" s="345"/>
      <c r="Q147" s="345"/>
      <c r="R147" s="345"/>
      <c r="S147" s="345"/>
      <c r="T147" s="345"/>
      <c r="U147" s="345"/>
      <c r="V147" s="345"/>
      <c r="W147" s="345"/>
      <c r="X147" s="345"/>
      <c r="Y147" s="345"/>
      <c r="Z147" s="345"/>
    </row>
    <row r="148">
      <c r="A148" s="345" t="s">
        <v>6197</v>
      </c>
      <c r="B148" s="1021">
        <v>44984.0</v>
      </c>
      <c r="C148" s="345"/>
      <c r="D148" s="1021">
        <v>45017.0</v>
      </c>
      <c r="E148" s="345" t="s">
        <v>6198</v>
      </c>
      <c r="F148" s="345" t="s">
        <v>5922</v>
      </c>
      <c r="G148" s="345" t="s">
        <v>5611</v>
      </c>
      <c r="H148" s="1020" t="s">
        <v>5611</v>
      </c>
      <c r="I148" s="345"/>
      <c r="J148" s="345"/>
      <c r="K148" s="345" t="s">
        <v>6152</v>
      </c>
      <c r="L148" s="345" t="s">
        <v>6200</v>
      </c>
      <c r="M148" s="345" t="s">
        <v>215</v>
      </c>
      <c r="N148" s="345"/>
      <c r="O148" s="345"/>
      <c r="P148" s="345"/>
      <c r="Q148" s="345"/>
      <c r="R148" s="345"/>
      <c r="S148" s="345"/>
      <c r="T148" s="345"/>
      <c r="U148" s="345"/>
      <c r="V148" s="345"/>
      <c r="W148" s="345"/>
      <c r="X148" s="345"/>
      <c r="Y148" s="345"/>
      <c r="Z148" s="345"/>
    </row>
    <row r="149">
      <c r="A149" s="345" t="s">
        <v>6201</v>
      </c>
      <c r="B149" s="1021">
        <v>44952.0</v>
      </c>
      <c r="C149" s="345"/>
      <c r="D149" s="1021">
        <v>45017.0</v>
      </c>
      <c r="E149" s="345" t="s">
        <v>6202</v>
      </c>
      <c r="F149" s="345" t="s">
        <v>5922</v>
      </c>
      <c r="G149" s="345" t="s">
        <v>5611</v>
      </c>
      <c r="H149" s="1020" t="s">
        <v>5611</v>
      </c>
      <c r="I149" s="345"/>
      <c r="J149" s="345"/>
      <c r="K149" s="345" t="s">
        <v>5688</v>
      </c>
      <c r="L149" s="345" t="s">
        <v>6204</v>
      </c>
      <c r="M149" s="345" t="s">
        <v>215</v>
      </c>
      <c r="N149" s="345"/>
      <c r="O149" s="345"/>
      <c r="P149" s="345"/>
      <c r="Q149" s="345"/>
      <c r="R149" s="345"/>
      <c r="S149" s="345"/>
      <c r="T149" s="345"/>
      <c r="U149" s="345"/>
      <c r="V149" s="345"/>
      <c r="W149" s="345"/>
      <c r="X149" s="345"/>
      <c r="Y149" s="345"/>
      <c r="Z149" s="345"/>
    </row>
    <row r="150">
      <c r="A150" s="1027">
        <v>1.20407389548151E15</v>
      </c>
      <c r="B150" s="1021">
        <v>44984.0</v>
      </c>
      <c r="C150" s="345"/>
      <c r="D150" s="1021">
        <v>45016.0</v>
      </c>
      <c r="E150" s="345" t="s">
        <v>6205</v>
      </c>
      <c r="F150" s="345" t="s">
        <v>5922</v>
      </c>
      <c r="G150" s="345" t="s">
        <v>5611</v>
      </c>
      <c r="H150" s="1020" t="s">
        <v>5611</v>
      </c>
      <c r="I150" s="345"/>
      <c r="J150" s="345"/>
      <c r="K150" s="345" t="s">
        <v>6062</v>
      </c>
      <c r="L150" s="345" t="s">
        <v>6207</v>
      </c>
      <c r="M150" s="345" t="s">
        <v>215</v>
      </c>
      <c r="N150" s="345"/>
      <c r="O150" s="345"/>
      <c r="P150" s="345"/>
      <c r="Q150" s="345"/>
      <c r="R150" s="345"/>
      <c r="S150" s="345"/>
      <c r="T150" s="345"/>
      <c r="U150" s="345"/>
      <c r="V150" s="345"/>
      <c r="W150" s="345"/>
      <c r="X150" s="345"/>
      <c r="Y150" s="345"/>
      <c r="Z150" s="345"/>
    </row>
    <row r="151">
      <c r="A151" s="345" t="s">
        <v>6208</v>
      </c>
      <c r="B151" s="1021">
        <v>44984.0</v>
      </c>
      <c r="C151" s="345"/>
      <c r="D151" s="1021">
        <v>45016.0</v>
      </c>
      <c r="E151" s="345" t="s">
        <v>6209</v>
      </c>
      <c r="F151" s="345" t="s">
        <v>5922</v>
      </c>
      <c r="G151" s="345" t="s">
        <v>5611</v>
      </c>
      <c r="H151" s="1020" t="s">
        <v>5611</v>
      </c>
      <c r="I151" s="345"/>
      <c r="J151" s="345"/>
      <c r="K151" s="345" t="s">
        <v>5804</v>
      </c>
      <c r="L151" s="345" t="s">
        <v>6210</v>
      </c>
      <c r="M151" s="345" t="s">
        <v>215</v>
      </c>
      <c r="N151" s="345"/>
      <c r="O151" s="345"/>
      <c r="P151" s="345"/>
      <c r="Q151" s="345"/>
      <c r="R151" s="345"/>
      <c r="S151" s="345"/>
      <c r="T151" s="345"/>
      <c r="U151" s="345"/>
      <c r="V151" s="345"/>
      <c r="W151" s="345"/>
      <c r="X151" s="345"/>
      <c r="Y151" s="345"/>
      <c r="Z151" s="345"/>
    </row>
    <row r="152">
      <c r="A152" s="345" t="s">
        <v>6211</v>
      </c>
      <c r="B152" s="1021">
        <v>44929.0</v>
      </c>
      <c r="C152" s="345"/>
      <c r="D152" s="1021">
        <v>45015.0</v>
      </c>
      <c r="E152" s="345" t="s">
        <v>6213</v>
      </c>
      <c r="F152" s="345" t="s">
        <v>5922</v>
      </c>
      <c r="G152" s="345" t="s">
        <v>5611</v>
      </c>
      <c r="H152" s="1020" t="s">
        <v>5611</v>
      </c>
      <c r="I152" s="345"/>
      <c r="J152" s="345"/>
      <c r="K152" s="345" t="s">
        <v>5899</v>
      </c>
      <c r="L152" s="345" t="s">
        <v>6216</v>
      </c>
      <c r="M152" s="345" t="s">
        <v>215</v>
      </c>
      <c r="N152" s="345"/>
      <c r="O152" s="345"/>
      <c r="P152" s="345"/>
      <c r="Q152" s="345"/>
      <c r="R152" s="345"/>
      <c r="S152" s="345"/>
      <c r="T152" s="345"/>
      <c r="U152" s="345"/>
      <c r="V152" s="345"/>
      <c r="W152" s="345"/>
      <c r="X152" s="345"/>
      <c r="Y152" s="345"/>
      <c r="Z152" s="345"/>
    </row>
    <row r="153">
      <c r="A153" s="345" t="s">
        <v>6217</v>
      </c>
      <c r="B153" s="1021">
        <v>44946.0</v>
      </c>
      <c r="C153" s="345"/>
      <c r="D153" s="1021">
        <v>45014.0</v>
      </c>
      <c r="E153" s="345" t="s">
        <v>6218</v>
      </c>
      <c r="F153" s="345" t="s">
        <v>5922</v>
      </c>
      <c r="G153" s="345" t="s">
        <v>5611</v>
      </c>
      <c r="H153" s="1020" t="s">
        <v>5611</v>
      </c>
      <c r="I153" s="345"/>
      <c r="J153" s="345"/>
      <c r="K153" s="345" t="s">
        <v>6219</v>
      </c>
      <c r="L153" s="345" t="s">
        <v>6220</v>
      </c>
      <c r="M153" s="345" t="s">
        <v>215</v>
      </c>
      <c r="N153" s="345"/>
      <c r="O153" s="345"/>
      <c r="P153" s="345"/>
      <c r="Q153" s="345"/>
      <c r="R153" s="345"/>
      <c r="S153" s="345"/>
      <c r="T153" s="345"/>
      <c r="U153" s="345"/>
      <c r="V153" s="345"/>
      <c r="W153" s="345"/>
      <c r="X153" s="345"/>
      <c r="Y153" s="345"/>
      <c r="Z153" s="345"/>
    </row>
    <row r="154">
      <c r="A154" s="345" t="s">
        <v>6221</v>
      </c>
      <c r="B154" s="1021">
        <v>44929.0</v>
      </c>
      <c r="C154" s="345"/>
      <c r="D154" s="1021">
        <v>45014.0</v>
      </c>
      <c r="E154" s="345" t="s">
        <v>6222</v>
      </c>
      <c r="F154" s="345" t="s">
        <v>5922</v>
      </c>
      <c r="G154" s="345" t="s">
        <v>5611</v>
      </c>
      <c r="H154" s="1020" t="s">
        <v>5611</v>
      </c>
      <c r="I154" s="345"/>
      <c r="J154" s="345"/>
      <c r="K154" s="345" t="s">
        <v>6223</v>
      </c>
      <c r="L154" s="345" t="s">
        <v>6224</v>
      </c>
      <c r="M154" s="345" t="s">
        <v>215</v>
      </c>
      <c r="N154" s="345"/>
      <c r="O154" s="345"/>
      <c r="P154" s="345"/>
      <c r="Q154" s="345"/>
      <c r="R154" s="345"/>
      <c r="S154" s="345"/>
      <c r="T154" s="345"/>
      <c r="U154" s="345"/>
      <c r="V154" s="345"/>
      <c r="W154" s="345"/>
      <c r="X154" s="345"/>
      <c r="Y154" s="345"/>
      <c r="Z154" s="345"/>
    </row>
    <row r="155">
      <c r="A155" s="345" t="s">
        <v>6226</v>
      </c>
      <c r="B155" s="1021">
        <v>44910.0</v>
      </c>
      <c r="C155" s="345"/>
      <c r="D155" s="1021">
        <v>45014.0</v>
      </c>
      <c r="E155" s="345" t="s">
        <v>6227</v>
      </c>
      <c r="F155" s="345" t="s">
        <v>5922</v>
      </c>
      <c r="G155" s="345" t="s">
        <v>5611</v>
      </c>
      <c r="H155" s="1020" t="s">
        <v>5611</v>
      </c>
      <c r="I155" s="345"/>
      <c r="J155" s="345"/>
      <c r="K155" s="345" t="s">
        <v>6144</v>
      </c>
      <c r="L155" s="345" t="s">
        <v>6230</v>
      </c>
      <c r="M155" s="345" t="s">
        <v>215</v>
      </c>
      <c r="N155" s="345"/>
      <c r="O155" s="345"/>
      <c r="P155" s="345"/>
      <c r="Q155" s="345"/>
      <c r="R155" s="345"/>
      <c r="S155" s="345"/>
      <c r="T155" s="345"/>
      <c r="U155" s="345"/>
      <c r="V155" s="345"/>
      <c r="W155" s="345"/>
      <c r="X155" s="345"/>
      <c r="Y155" s="345"/>
      <c r="Z155" s="345"/>
    </row>
    <row r="156">
      <c r="A156" s="345" t="s">
        <v>6233</v>
      </c>
      <c r="B156" s="1021">
        <v>44984.0</v>
      </c>
      <c r="C156" s="345"/>
      <c r="D156" s="1021">
        <v>45043.0</v>
      </c>
      <c r="E156" s="345" t="s">
        <v>6035</v>
      </c>
      <c r="F156" s="345" t="s">
        <v>5922</v>
      </c>
      <c r="G156" s="345" t="s">
        <v>5611</v>
      </c>
      <c r="H156" s="1020" t="s">
        <v>5611</v>
      </c>
      <c r="I156" s="345"/>
      <c r="J156" s="345"/>
      <c r="K156" s="345" t="s">
        <v>6234</v>
      </c>
      <c r="L156" s="345" t="s">
        <v>6236</v>
      </c>
      <c r="M156" s="345" t="s">
        <v>215</v>
      </c>
      <c r="N156" s="345"/>
      <c r="O156" s="345"/>
      <c r="P156" s="345"/>
      <c r="Q156" s="345"/>
      <c r="R156" s="345"/>
      <c r="S156" s="345"/>
      <c r="T156" s="345"/>
      <c r="U156" s="345"/>
      <c r="V156" s="345"/>
      <c r="W156" s="345"/>
      <c r="X156" s="345"/>
      <c r="Y156" s="345"/>
      <c r="Z156" s="345"/>
    </row>
    <row r="157">
      <c r="A157" s="345" t="s">
        <v>6238</v>
      </c>
      <c r="B157" s="1021">
        <v>44931.0</v>
      </c>
      <c r="C157" s="345"/>
      <c r="D157" s="1021">
        <v>45014.0</v>
      </c>
      <c r="E157" s="345" t="s">
        <v>5686</v>
      </c>
      <c r="F157" s="345" t="s">
        <v>5922</v>
      </c>
      <c r="G157" s="345" t="s">
        <v>5611</v>
      </c>
      <c r="H157" s="1020" t="s">
        <v>5611</v>
      </c>
      <c r="I157" s="345"/>
      <c r="J157" s="345"/>
      <c r="K157" s="345" t="s">
        <v>5820</v>
      </c>
      <c r="L157" s="345" t="s">
        <v>6239</v>
      </c>
      <c r="M157" s="345" t="s">
        <v>215</v>
      </c>
      <c r="N157" s="345"/>
      <c r="O157" s="345"/>
      <c r="P157" s="345"/>
      <c r="Q157" s="345"/>
      <c r="R157" s="345"/>
      <c r="S157" s="345"/>
      <c r="T157" s="345"/>
      <c r="U157" s="345"/>
      <c r="V157" s="345"/>
      <c r="W157" s="345"/>
      <c r="X157" s="345"/>
      <c r="Y157" s="345"/>
      <c r="Z157" s="345"/>
    </row>
    <row r="158">
      <c r="A158" s="345" t="s">
        <v>6241</v>
      </c>
      <c r="B158" s="1021">
        <v>44921.0</v>
      </c>
      <c r="C158" s="345"/>
      <c r="D158" s="1021">
        <v>45043.0</v>
      </c>
      <c r="E158" s="345" t="s">
        <v>6242</v>
      </c>
      <c r="F158" s="345" t="s">
        <v>5922</v>
      </c>
      <c r="G158" s="345" t="s">
        <v>5611</v>
      </c>
      <c r="H158" s="1020" t="s">
        <v>5611</v>
      </c>
      <c r="I158" s="345"/>
      <c r="J158" s="345"/>
      <c r="K158" s="345" t="s">
        <v>5863</v>
      </c>
      <c r="L158" s="345" t="s">
        <v>6243</v>
      </c>
      <c r="M158" s="345" t="s">
        <v>215</v>
      </c>
      <c r="N158" s="345"/>
      <c r="O158" s="345"/>
      <c r="P158" s="345"/>
      <c r="Q158" s="345"/>
      <c r="R158" s="345"/>
      <c r="S158" s="345"/>
      <c r="T158" s="345"/>
      <c r="U158" s="345"/>
      <c r="V158" s="345"/>
      <c r="W158" s="345"/>
      <c r="X158" s="345"/>
      <c r="Y158" s="345"/>
      <c r="Z158" s="345"/>
    </row>
    <row r="159">
      <c r="A159" s="345" t="s">
        <v>6245</v>
      </c>
      <c r="B159" s="1021">
        <v>44936.0</v>
      </c>
      <c r="C159" s="345"/>
      <c r="D159" s="1021">
        <v>45013.0</v>
      </c>
      <c r="E159" s="345" t="s">
        <v>5797</v>
      </c>
      <c r="F159" s="345" t="s">
        <v>5922</v>
      </c>
      <c r="G159" s="345" t="s">
        <v>5611</v>
      </c>
      <c r="H159" s="1020" t="s">
        <v>5611</v>
      </c>
      <c r="I159" s="345"/>
      <c r="J159" s="345"/>
      <c r="K159" s="345" t="s">
        <v>5835</v>
      </c>
      <c r="L159" s="345" t="s">
        <v>6246</v>
      </c>
      <c r="M159" s="345" t="s">
        <v>215</v>
      </c>
      <c r="N159" s="345"/>
      <c r="O159" s="345"/>
      <c r="P159" s="345"/>
      <c r="Q159" s="345"/>
      <c r="R159" s="345"/>
      <c r="S159" s="345"/>
      <c r="T159" s="345"/>
      <c r="U159" s="345"/>
      <c r="V159" s="345"/>
      <c r="W159" s="345"/>
      <c r="X159" s="345"/>
      <c r="Y159" s="345"/>
      <c r="Z159" s="345"/>
    </row>
    <row r="160">
      <c r="A160" s="345" t="s">
        <v>6247</v>
      </c>
      <c r="B160" s="1021">
        <v>44936.0</v>
      </c>
      <c r="C160" s="345"/>
      <c r="D160" s="1021">
        <v>45022.0</v>
      </c>
      <c r="E160" s="345" t="s">
        <v>6248</v>
      </c>
      <c r="F160" s="345" t="s">
        <v>5922</v>
      </c>
      <c r="G160" s="345" t="s">
        <v>5611</v>
      </c>
      <c r="H160" s="1020" t="s">
        <v>5611</v>
      </c>
      <c r="I160" s="345"/>
      <c r="J160" s="345"/>
      <c r="K160" s="345" t="s">
        <v>5881</v>
      </c>
      <c r="L160" s="345" t="s">
        <v>6250</v>
      </c>
      <c r="M160" s="345" t="s">
        <v>215</v>
      </c>
      <c r="N160" s="345"/>
      <c r="O160" s="345"/>
      <c r="P160" s="345"/>
      <c r="Q160" s="345"/>
      <c r="R160" s="345"/>
      <c r="S160" s="345"/>
      <c r="T160" s="345"/>
      <c r="U160" s="345"/>
      <c r="V160" s="345"/>
      <c r="W160" s="345"/>
      <c r="X160" s="345"/>
      <c r="Y160" s="345"/>
      <c r="Z160" s="345"/>
    </row>
    <row r="161">
      <c r="A161" s="1027">
        <v>1.20364271305972E15</v>
      </c>
      <c r="B161" s="1021">
        <v>44929.0</v>
      </c>
      <c r="C161" s="345"/>
      <c r="D161" s="1021">
        <v>45013.0</v>
      </c>
      <c r="E161" s="345" t="s">
        <v>6251</v>
      </c>
      <c r="F161" s="345" t="s">
        <v>5922</v>
      </c>
      <c r="G161" s="345" t="s">
        <v>5611</v>
      </c>
      <c r="H161" s="1020" t="s">
        <v>5611</v>
      </c>
      <c r="I161" s="345"/>
      <c r="J161" s="345"/>
      <c r="K161" s="345" t="s">
        <v>6173</v>
      </c>
      <c r="L161" s="345" t="s">
        <v>6253</v>
      </c>
      <c r="M161" s="345" t="s">
        <v>215</v>
      </c>
      <c r="N161" s="345"/>
      <c r="O161" s="345"/>
      <c r="P161" s="345"/>
      <c r="Q161" s="345"/>
      <c r="R161" s="345"/>
      <c r="S161" s="345"/>
      <c r="T161" s="345"/>
      <c r="U161" s="345"/>
      <c r="V161" s="345"/>
      <c r="W161" s="345"/>
      <c r="X161" s="345"/>
      <c r="Y161" s="345"/>
      <c r="Z161" s="345"/>
    </row>
    <row r="162">
      <c r="A162" s="345" t="s">
        <v>6254</v>
      </c>
      <c r="B162" s="1021">
        <v>44929.0</v>
      </c>
      <c r="C162" s="345"/>
      <c r="D162" s="1021">
        <v>45012.0</v>
      </c>
      <c r="E162" s="345" t="s">
        <v>6255</v>
      </c>
      <c r="F162" s="345" t="s">
        <v>5922</v>
      </c>
      <c r="G162" s="345" t="s">
        <v>5611</v>
      </c>
      <c r="H162" s="1020" t="s">
        <v>5611</v>
      </c>
      <c r="I162" s="345"/>
      <c r="J162" s="345"/>
      <c r="K162" s="345" t="s">
        <v>6173</v>
      </c>
      <c r="L162" s="345" t="s">
        <v>6258</v>
      </c>
      <c r="M162" s="345" t="s">
        <v>215</v>
      </c>
      <c r="N162" s="345"/>
      <c r="O162" s="345"/>
      <c r="P162" s="345"/>
      <c r="Q162" s="345"/>
      <c r="R162" s="345"/>
      <c r="S162" s="345"/>
      <c r="T162" s="345"/>
      <c r="U162" s="345"/>
      <c r="V162" s="345"/>
      <c r="W162" s="345"/>
      <c r="X162" s="345"/>
      <c r="Y162" s="345"/>
      <c r="Z162" s="345"/>
    </row>
    <row r="163">
      <c r="A163" s="345" t="s">
        <v>6260</v>
      </c>
      <c r="B163" s="1021">
        <v>44946.0</v>
      </c>
      <c r="C163" s="345"/>
      <c r="D163" s="1021">
        <v>45012.0</v>
      </c>
      <c r="E163" s="345" t="s">
        <v>6262</v>
      </c>
      <c r="F163" s="345" t="s">
        <v>5922</v>
      </c>
      <c r="G163" s="345" t="s">
        <v>5611</v>
      </c>
      <c r="H163" s="1020" t="s">
        <v>5611</v>
      </c>
      <c r="I163" s="345"/>
      <c r="J163" s="345"/>
      <c r="K163" s="345" t="s">
        <v>6191</v>
      </c>
      <c r="L163" s="345" t="s">
        <v>6264</v>
      </c>
      <c r="M163" s="345" t="s">
        <v>215</v>
      </c>
      <c r="N163" s="345"/>
      <c r="O163" s="345"/>
      <c r="P163" s="345"/>
      <c r="Q163" s="345"/>
      <c r="R163" s="345"/>
      <c r="S163" s="345"/>
      <c r="T163" s="345"/>
      <c r="U163" s="345"/>
      <c r="V163" s="345"/>
      <c r="W163" s="345"/>
      <c r="X163" s="345"/>
      <c r="Y163" s="345"/>
      <c r="Z163" s="345"/>
    </row>
    <row r="164">
      <c r="A164" s="345" t="s">
        <v>6266</v>
      </c>
      <c r="B164" s="1021">
        <v>44929.0</v>
      </c>
      <c r="C164" s="345"/>
      <c r="D164" s="1021">
        <v>45012.0</v>
      </c>
      <c r="E164" s="345" t="s">
        <v>6267</v>
      </c>
      <c r="F164" s="345" t="s">
        <v>5922</v>
      </c>
      <c r="G164" s="345" t="s">
        <v>5611</v>
      </c>
      <c r="H164" s="1020" t="s">
        <v>5611</v>
      </c>
      <c r="I164" s="345"/>
      <c r="J164" s="345"/>
      <c r="K164" s="345" t="s">
        <v>6173</v>
      </c>
      <c r="L164" s="345" t="s">
        <v>6269</v>
      </c>
      <c r="M164" s="345" t="s">
        <v>215</v>
      </c>
      <c r="N164" s="345"/>
      <c r="O164" s="345"/>
      <c r="P164" s="345"/>
      <c r="Q164" s="345"/>
      <c r="R164" s="345"/>
      <c r="S164" s="345"/>
      <c r="T164" s="345"/>
      <c r="U164" s="345"/>
      <c r="V164" s="345"/>
      <c r="W164" s="345"/>
      <c r="X164" s="345"/>
      <c r="Y164" s="345"/>
      <c r="Z164" s="345"/>
    </row>
    <row r="165">
      <c r="A165" s="345" t="s">
        <v>6270</v>
      </c>
      <c r="B165" s="1021">
        <v>44977.0</v>
      </c>
      <c r="C165" s="345"/>
      <c r="D165" s="1021">
        <v>45012.0</v>
      </c>
      <c r="E165" s="345" t="s">
        <v>6271</v>
      </c>
      <c r="F165" s="345" t="s">
        <v>5922</v>
      </c>
      <c r="G165" s="345" t="s">
        <v>5611</v>
      </c>
      <c r="H165" s="1020" t="s">
        <v>5611</v>
      </c>
      <c r="I165" s="345"/>
      <c r="J165" s="345"/>
      <c r="K165" s="345" t="s">
        <v>6118</v>
      </c>
      <c r="L165" s="345" t="s">
        <v>6272</v>
      </c>
      <c r="M165" s="345" t="s">
        <v>215</v>
      </c>
      <c r="N165" s="345"/>
      <c r="O165" s="345"/>
      <c r="P165" s="345"/>
      <c r="Q165" s="345"/>
      <c r="R165" s="345"/>
      <c r="S165" s="345"/>
      <c r="T165" s="345"/>
      <c r="U165" s="345"/>
      <c r="V165" s="345"/>
      <c r="W165" s="345"/>
      <c r="X165" s="345"/>
      <c r="Y165" s="345"/>
      <c r="Z165" s="345"/>
    </row>
    <row r="166">
      <c r="A166" s="345" t="s">
        <v>6275</v>
      </c>
      <c r="B166" s="1021">
        <v>44984.0</v>
      </c>
      <c r="C166" s="345"/>
      <c r="D166" s="1021">
        <v>45012.0</v>
      </c>
      <c r="E166" s="345" t="s">
        <v>6278</v>
      </c>
      <c r="F166" s="345" t="s">
        <v>5922</v>
      </c>
      <c r="G166" s="345" t="s">
        <v>5611</v>
      </c>
      <c r="H166" s="1020" t="s">
        <v>5611</v>
      </c>
      <c r="I166" s="345"/>
      <c r="J166" s="345"/>
      <c r="K166" s="345" t="s">
        <v>5809</v>
      </c>
      <c r="L166" s="345" t="s">
        <v>6281</v>
      </c>
      <c r="M166" s="345" t="s">
        <v>215</v>
      </c>
      <c r="N166" s="345"/>
      <c r="O166" s="345"/>
      <c r="P166" s="345"/>
      <c r="Q166" s="345"/>
      <c r="R166" s="345"/>
      <c r="S166" s="345"/>
      <c r="T166" s="345"/>
      <c r="U166" s="345"/>
      <c r="V166" s="345"/>
      <c r="W166" s="345"/>
      <c r="X166" s="345"/>
      <c r="Y166" s="345"/>
      <c r="Z166" s="345"/>
    </row>
    <row r="167">
      <c r="A167" s="1027">
        <v>1.20418728698172E15</v>
      </c>
      <c r="B167" s="1021">
        <v>45000.0</v>
      </c>
      <c r="C167" s="345"/>
      <c r="D167" s="1021">
        <v>45013.0</v>
      </c>
      <c r="E167" s="345" t="s">
        <v>6282</v>
      </c>
      <c r="F167" s="345" t="s">
        <v>5922</v>
      </c>
      <c r="G167" s="345" t="s">
        <v>5611</v>
      </c>
      <c r="H167" s="1020" t="s">
        <v>5611</v>
      </c>
      <c r="I167" s="345"/>
      <c r="J167" s="345"/>
      <c r="K167" s="345" t="s">
        <v>5793</v>
      </c>
      <c r="L167" s="345" t="s">
        <v>6283</v>
      </c>
      <c r="M167" s="345" t="s">
        <v>215</v>
      </c>
      <c r="N167" s="345"/>
      <c r="O167" s="345"/>
      <c r="P167" s="345"/>
      <c r="Q167" s="345"/>
      <c r="R167" s="345"/>
      <c r="S167" s="345"/>
      <c r="T167" s="345"/>
      <c r="U167" s="345"/>
      <c r="V167" s="345"/>
      <c r="W167" s="345"/>
      <c r="X167" s="345"/>
      <c r="Y167" s="345"/>
      <c r="Z167" s="345"/>
    </row>
    <row r="168">
      <c r="A168" s="345" t="s">
        <v>6285</v>
      </c>
      <c r="B168" s="1021">
        <v>44931.0</v>
      </c>
      <c r="C168" s="345"/>
      <c r="D168" s="1021">
        <v>45022.0</v>
      </c>
      <c r="E168" s="345" t="s">
        <v>5704</v>
      </c>
      <c r="F168" s="345" t="s">
        <v>5922</v>
      </c>
      <c r="G168" s="345" t="s">
        <v>5611</v>
      </c>
      <c r="H168" s="1020" t="s">
        <v>5611</v>
      </c>
      <c r="I168" s="345"/>
      <c r="J168" s="345"/>
      <c r="K168" s="345" t="s">
        <v>5820</v>
      </c>
      <c r="L168" s="345" t="s">
        <v>6292</v>
      </c>
      <c r="M168" s="345" t="s">
        <v>215</v>
      </c>
      <c r="N168" s="345"/>
      <c r="O168" s="345"/>
      <c r="P168" s="345"/>
      <c r="Q168" s="345"/>
      <c r="R168" s="345"/>
      <c r="S168" s="345"/>
      <c r="T168" s="345"/>
      <c r="U168" s="345"/>
      <c r="V168" s="345"/>
      <c r="W168" s="345"/>
      <c r="X168" s="345"/>
      <c r="Y168" s="345"/>
      <c r="Z168" s="345"/>
    </row>
    <row r="169">
      <c r="A169" s="1027">
        <v>1.20355870353856E15</v>
      </c>
      <c r="B169" s="1021">
        <v>44910.0</v>
      </c>
      <c r="C169" s="345"/>
      <c r="D169" s="1021">
        <v>45051.0</v>
      </c>
      <c r="E169" s="345" t="s">
        <v>6293</v>
      </c>
      <c r="F169" s="345" t="s">
        <v>5922</v>
      </c>
      <c r="G169" s="345" t="s">
        <v>5611</v>
      </c>
      <c r="H169" s="1020" t="s">
        <v>5611</v>
      </c>
      <c r="I169" s="345"/>
      <c r="J169" s="345"/>
      <c r="K169" s="345" t="s">
        <v>6144</v>
      </c>
      <c r="L169" s="345" t="s">
        <v>6294</v>
      </c>
      <c r="M169" s="345" t="s">
        <v>215</v>
      </c>
      <c r="N169" s="345"/>
      <c r="O169" s="345"/>
      <c r="P169" s="345"/>
      <c r="Q169" s="345"/>
      <c r="R169" s="345"/>
      <c r="S169" s="345"/>
      <c r="T169" s="345"/>
      <c r="U169" s="345"/>
      <c r="V169" s="345"/>
      <c r="W169" s="345"/>
      <c r="X169" s="345"/>
      <c r="Y169" s="345"/>
      <c r="Z169" s="345"/>
    </row>
    <row r="170">
      <c r="A170" s="345" t="s">
        <v>6297</v>
      </c>
      <c r="B170" s="1021">
        <v>44984.0</v>
      </c>
      <c r="C170" s="345"/>
      <c r="D170" s="1021">
        <v>45008.0</v>
      </c>
      <c r="E170" s="345" t="s">
        <v>6298</v>
      </c>
      <c r="F170" s="345" t="s">
        <v>5922</v>
      </c>
      <c r="G170" s="345" t="s">
        <v>5611</v>
      </c>
      <c r="H170" s="1020" t="s">
        <v>5611</v>
      </c>
      <c r="I170" s="345"/>
      <c r="J170" s="345"/>
      <c r="K170" s="345" t="s">
        <v>5804</v>
      </c>
      <c r="L170" s="345" t="s">
        <v>6301</v>
      </c>
      <c r="M170" s="345" t="s">
        <v>215</v>
      </c>
      <c r="N170" s="345"/>
      <c r="O170" s="345"/>
      <c r="P170" s="345"/>
      <c r="Q170" s="345"/>
      <c r="R170" s="345"/>
      <c r="S170" s="345"/>
      <c r="T170" s="345"/>
      <c r="U170" s="345"/>
      <c r="V170" s="345"/>
      <c r="W170" s="345"/>
      <c r="X170" s="345"/>
      <c r="Y170" s="345"/>
      <c r="Z170" s="345"/>
    </row>
    <row r="171">
      <c r="A171" s="345" t="s">
        <v>6302</v>
      </c>
      <c r="B171" s="1021">
        <v>44946.0</v>
      </c>
      <c r="C171" s="345"/>
      <c r="D171" s="1021">
        <v>45007.0</v>
      </c>
      <c r="E171" s="345" t="s">
        <v>5940</v>
      </c>
      <c r="F171" s="345" t="s">
        <v>5922</v>
      </c>
      <c r="G171" s="345" t="s">
        <v>5611</v>
      </c>
      <c r="H171" s="1020" t="s">
        <v>5611</v>
      </c>
      <c r="I171" s="345"/>
      <c r="J171" s="345"/>
      <c r="K171" s="345" t="s">
        <v>6031</v>
      </c>
      <c r="L171" s="345" t="s">
        <v>6308</v>
      </c>
      <c r="M171" s="345" t="s">
        <v>215</v>
      </c>
      <c r="N171" s="345"/>
      <c r="O171" s="345"/>
      <c r="P171" s="345"/>
      <c r="Q171" s="345"/>
      <c r="R171" s="345"/>
      <c r="S171" s="345"/>
      <c r="T171" s="345"/>
      <c r="U171" s="345"/>
      <c r="V171" s="345"/>
      <c r="W171" s="345"/>
      <c r="X171" s="345"/>
      <c r="Y171" s="345"/>
      <c r="Z171" s="345"/>
    </row>
    <row r="172">
      <c r="A172" s="345" t="s">
        <v>6311</v>
      </c>
      <c r="B172" s="1021">
        <v>44984.0</v>
      </c>
      <c r="C172" s="345"/>
      <c r="D172" s="1021">
        <v>45007.0</v>
      </c>
      <c r="E172" s="345" t="s">
        <v>6023</v>
      </c>
      <c r="F172" s="345" t="s">
        <v>5922</v>
      </c>
      <c r="G172" s="345" t="s">
        <v>5611</v>
      </c>
      <c r="H172" s="1020" t="s">
        <v>5611</v>
      </c>
      <c r="I172" s="345"/>
      <c r="J172" s="345"/>
      <c r="K172" s="345" t="s">
        <v>5997</v>
      </c>
      <c r="L172" s="345" t="s">
        <v>6313</v>
      </c>
      <c r="M172" s="345" t="s">
        <v>215</v>
      </c>
      <c r="N172" s="345"/>
      <c r="O172" s="345"/>
      <c r="P172" s="345"/>
      <c r="Q172" s="345"/>
      <c r="R172" s="345"/>
      <c r="S172" s="345"/>
      <c r="T172" s="345"/>
      <c r="U172" s="345"/>
      <c r="V172" s="345"/>
      <c r="W172" s="345"/>
      <c r="X172" s="345"/>
      <c r="Y172" s="345"/>
      <c r="Z172" s="345"/>
    </row>
    <row r="173">
      <c r="A173" s="345" t="s">
        <v>6314</v>
      </c>
      <c r="B173" s="1021">
        <v>44921.0</v>
      </c>
      <c r="C173" s="345"/>
      <c r="D173" s="1021">
        <v>45007.0</v>
      </c>
      <c r="E173" s="345" t="s">
        <v>6315</v>
      </c>
      <c r="F173" s="345" t="s">
        <v>5922</v>
      </c>
      <c r="G173" s="345" t="s">
        <v>5611</v>
      </c>
      <c r="H173" s="1020" t="s">
        <v>5611</v>
      </c>
      <c r="I173" s="345"/>
      <c r="J173" s="345"/>
      <c r="K173" s="345" t="s">
        <v>5863</v>
      </c>
      <c r="L173" s="345" t="s">
        <v>6318</v>
      </c>
      <c r="M173" s="345" t="s">
        <v>215</v>
      </c>
      <c r="N173" s="345"/>
      <c r="O173" s="345"/>
      <c r="P173" s="345"/>
      <c r="Q173" s="345"/>
      <c r="R173" s="345"/>
      <c r="S173" s="345"/>
      <c r="T173" s="345"/>
      <c r="U173" s="345"/>
      <c r="V173" s="345"/>
      <c r="W173" s="345"/>
      <c r="X173" s="345"/>
      <c r="Y173" s="345"/>
      <c r="Z173" s="345"/>
    </row>
    <row r="174">
      <c r="A174" s="345" t="s">
        <v>6320</v>
      </c>
      <c r="B174" s="1021">
        <v>44977.0</v>
      </c>
      <c r="C174" s="345"/>
      <c r="D174" s="1021">
        <v>45006.0</v>
      </c>
      <c r="E174" s="345" t="s">
        <v>6186</v>
      </c>
      <c r="F174" s="345" t="s">
        <v>5922</v>
      </c>
      <c r="G174" s="345" t="s">
        <v>5611</v>
      </c>
      <c r="H174" s="1020" t="s">
        <v>5611</v>
      </c>
      <c r="I174" s="345"/>
      <c r="J174" s="345"/>
      <c r="K174" s="345" t="s">
        <v>6104</v>
      </c>
      <c r="L174" s="345" t="s">
        <v>6322</v>
      </c>
      <c r="M174" s="345" t="s">
        <v>215</v>
      </c>
      <c r="N174" s="345"/>
      <c r="O174" s="345"/>
      <c r="P174" s="345"/>
      <c r="Q174" s="345"/>
      <c r="R174" s="345"/>
      <c r="S174" s="345"/>
      <c r="T174" s="345"/>
      <c r="U174" s="345"/>
      <c r="V174" s="345"/>
      <c r="W174" s="345"/>
      <c r="X174" s="345"/>
      <c r="Y174" s="345"/>
      <c r="Z174" s="345"/>
    </row>
    <row r="175">
      <c r="A175" s="345" t="s">
        <v>6323</v>
      </c>
      <c r="B175" s="1021">
        <v>44929.0</v>
      </c>
      <c r="C175" s="345"/>
      <c r="D175" s="1021">
        <v>45006.0</v>
      </c>
      <c r="E175" s="345" t="s">
        <v>6324</v>
      </c>
      <c r="F175" s="345" t="s">
        <v>5922</v>
      </c>
      <c r="G175" s="345" t="s">
        <v>5611</v>
      </c>
      <c r="H175" s="1020" t="s">
        <v>5611</v>
      </c>
      <c r="I175" s="345"/>
      <c r="J175" s="345"/>
      <c r="K175" s="345" t="s">
        <v>5899</v>
      </c>
      <c r="L175" s="345" t="s">
        <v>6326</v>
      </c>
      <c r="M175" s="345" t="s">
        <v>215</v>
      </c>
      <c r="N175" s="345"/>
      <c r="O175" s="345"/>
      <c r="P175" s="345"/>
      <c r="Q175" s="345"/>
      <c r="R175" s="345"/>
      <c r="S175" s="345"/>
      <c r="T175" s="345"/>
      <c r="U175" s="345"/>
      <c r="V175" s="345"/>
      <c r="W175" s="345"/>
      <c r="X175" s="345"/>
      <c r="Y175" s="345"/>
      <c r="Z175" s="345"/>
    </row>
    <row r="176">
      <c r="A176" s="345" t="s">
        <v>6327</v>
      </c>
      <c r="B176" s="1021">
        <v>44977.0</v>
      </c>
      <c r="C176" s="345"/>
      <c r="D176" s="1021">
        <v>45005.0</v>
      </c>
      <c r="E176" s="345" t="s">
        <v>6177</v>
      </c>
      <c r="F176" s="345" t="s">
        <v>5922</v>
      </c>
      <c r="G176" s="345" t="s">
        <v>5611</v>
      </c>
      <c r="H176" s="1020" t="s">
        <v>5611</v>
      </c>
      <c r="I176" s="345"/>
      <c r="J176" s="345"/>
      <c r="K176" s="345" t="s">
        <v>6104</v>
      </c>
      <c r="L176" s="345" t="s">
        <v>6329</v>
      </c>
      <c r="M176" s="345" t="s">
        <v>215</v>
      </c>
      <c r="N176" s="345"/>
      <c r="O176" s="345"/>
      <c r="P176" s="345"/>
      <c r="Q176" s="345"/>
      <c r="R176" s="345"/>
      <c r="S176" s="345"/>
      <c r="T176" s="345"/>
      <c r="U176" s="345"/>
      <c r="V176" s="345"/>
      <c r="W176" s="345"/>
      <c r="X176" s="345"/>
      <c r="Y176" s="345"/>
      <c r="Z176" s="345"/>
    </row>
    <row r="177">
      <c r="A177" s="345" t="s">
        <v>6330</v>
      </c>
      <c r="B177" s="1021">
        <v>44984.0</v>
      </c>
      <c r="C177" s="345"/>
      <c r="D177" s="1021">
        <v>45004.0</v>
      </c>
      <c r="E177" s="345" t="s">
        <v>6331</v>
      </c>
      <c r="F177" s="345" t="s">
        <v>5922</v>
      </c>
      <c r="G177" s="345" t="s">
        <v>5611</v>
      </c>
      <c r="H177" s="1020" t="s">
        <v>5611</v>
      </c>
      <c r="I177" s="345"/>
      <c r="J177" s="345"/>
      <c r="K177" s="345" t="s">
        <v>6062</v>
      </c>
      <c r="L177" s="345" t="s">
        <v>6332</v>
      </c>
      <c r="M177" s="345" t="s">
        <v>215</v>
      </c>
      <c r="N177" s="345"/>
      <c r="O177" s="345"/>
      <c r="P177" s="345"/>
      <c r="Q177" s="345"/>
      <c r="R177" s="345"/>
      <c r="S177" s="345"/>
      <c r="T177" s="345"/>
      <c r="U177" s="345"/>
      <c r="V177" s="345"/>
      <c r="W177" s="345"/>
      <c r="X177" s="345"/>
      <c r="Y177" s="345"/>
      <c r="Z177" s="345"/>
    </row>
    <row r="178">
      <c r="A178" s="345" t="s">
        <v>6333</v>
      </c>
      <c r="B178" s="1021">
        <v>44984.0</v>
      </c>
      <c r="C178" s="345"/>
      <c r="D178" s="1021">
        <v>45004.0</v>
      </c>
      <c r="E178" s="345" t="s">
        <v>6334</v>
      </c>
      <c r="F178" s="345" t="s">
        <v>5922</v>
      </c>
      <c r="G178" s="345" t="s">
        <v>5611</v>
      </c>
      <c r="H178" s="1020" t="s">
        <v>5611</v>
      </c>
      <c r="I178" s="345"/>
      <c r="J178" s="345"/>
      <c r="K178" s="345" t="s">
        <v>6062</v>
      </c>
      <c r="L178" s="345" t="s">
        <v>6336</v>
      </c>
      <c r="M178" s="345" t="s">
        <v>215</v>
      </c>
      <c r="N178" s="345"/>
      <c r="O178" s="345"/>
      <c r="P178" s="345"/>
      <c r="Q178" s="345"/>
      <c r="R178" s="345"/>
      <c r="S178" s="345"/>
      <c r="T178" s="345"/>
      <c r="U178" s="345"/>
      <c r="V178" s="345"/>
      <c r="W178" s="345"/>
      <c r="X178" s="345"/>
      <c r="Y178" s="345"/>
      <c r="Z178" s="345"/>
    </row>
    <row r="179">
      <c r="A179" s="345" t="s">
        <v>6337</v>
      </c>
      <c r="B179" s="1021">
        <v>44984.0</v>
      </c>
      <c r="C179" s="345"/>
      <c r="D179" s="1021">
        <v>45004.0</v>
      </c>
      <c r="E179" s="345" t="s">
        <v>6339</v>
      </c>
      <c r="F179" s="345" t="s">
        <v>5922</v>
      </c>
      <c r="G179" s="345" t="s">
        <v>5611</v>
      </c>
      <c r="H179" s="1020" t="s">
        <v>5611</v>
      </c>
      <c r="I179" s="345"/>
      <c r="J179" s="345"/>
      <c r="K179" s="345" t="s">
        <v>6062</v>
      </c>
      <c r="L179" s="345" t="s">
        <v>6340</v>
      </c>
      <c r="M179" s="345" t="s">
        <v>215</v>
      </c>
      <c r="N179" s="345"/>
      <c r="O179" s="345"/>
      <c r="P179" s="345"/>
      <c r="Q179" s="345"/>
      <c r="R179" s="345"/>
      <c r="S179" s="345"/>
      <c r="T179" s="345"/>
      <c r="U179" s="345"/>
      <c r="V179" s="345"/>
      <c r="W179" s="345"/>
      <c r="X179" s="345"/>
      <c r="Y179" s="345"/>
      <c r="Z179" s="345"/>
    </row>
    <row r="180">
      <c r="A180" s="345" t="s">
        <v>6341</v>
      </c>
      <c r="B180" s="1021">
        <v>44977.0</v>
      </c>
      <c r="C180" s="345"/>
      <c r="D180" s="1021">
        <v>45002.0</v>
      </c>
      <c r="E180" s="345" t="s">
        <v>6168</v>
      </c>
      <c r="F180" s="345" t="s">
        <v>5922</v>
      </c>
      <c r="G180" s="345" t="s">
        <v>5611</v>
      </c>
      <c r="H180" s="1020" t="s">
        <v>5611</v>
      </c>
      <c r="I180" s="345"/>
      <c r="J180" s="345"/>
      <c r="K180" s="345" t="s">
        <v>6104</v>
      </c>
      <c r="L180" s="345" t="s">
        <v>6343</v>
      </c>
      <c r="M180" s="345" t="s">
        <v>215</v>
      </c>
      <c r="N180" s="345"/>
      <c r="O180" s="345"/>
      <c r="P180" s="345"/>
      <c r="Q180" s="345"/>
      <c r="R180" s="345"/>
      <c r="S180" s="345"/>
      <c r="T180" s="345"/>
      <c r="U180" s="345"/>
      <c r="V180" s="345"/>
      <c r="W180" s="345"/>
      <c r="X180" s="345"/>
      <c r="Y180" s="345"/>
      <c r="Z180" s="345"/>
    </row>
    <row r="181">
      <c r="A181" s="345" t="s">
        <v>6344</v>
      </c>
      <c r="B181" s="1021">
        <v>44977.0</v>
      </c>
      <c r="C181" s="345"/>
      <c r="D181" s="1021">
        <v>45002.0</v>
      </c>
      <c r="E181" s="345" t="s">
        <v>6106</v>
      </c>
      <c r="F181" s="345" t="s">
        <v>5922</v>
      </c>
      <c r="G181" s="345" t="s">
        <v>5611</v>
      </c>
      <c r="H181" s="1020" t="s">
        <v>5611</v>
      </c>
      <c r="I181" s="345"/>
      <c r="J181" s="345"/>
      <c r="K181" s="345" t="s">
        <v>5817</v>
      </c>
      <c r="L181" s="345" t="s">
        <v>6345</v>
      </c>
      <c r="M181" s="345" t="s">
        <v>215</v>
      </c>
      <c r="N181" s="345"/>
      <c r="O181" s="345"/>
      <c r="P181" s="345"/>
      <c r="Q181" s="345"/>
      <c r="R181" s="345"/>
      <c r="S181" s="345"/>
      <c r="T181" s="345"/>
      <c r="U181" s="345"/>
      <c r="V181" s="345"/>
      <c r="W181" s="345"/>
      <c r="X181" s="345"/>
      <c r="Y181" s="345"/>
      <c r="Z181" s="345"/>
    </row>
    <row r="182">
      <c r="A182" s="345" t="s">
        <v>6346</v>
      </c>
      <c r="B182" s="1021">
        <v>44977.0</v>
      </c>
      <c r="C182" s="345"/>
      <c r="D182" s="1021">
        <v>45002.0</v>
      </c>
      <c r="E182" s="345" t="s">
        <v>6265</v>
      </c>
      <c r="F182" s="345" t="s">
        <v>5922</v>
      </c>
      <c r="G182" s="345" t="s">
        <v>5611</v>
      </c>
      <c r="H182" s="1020" t="s">
        <v>5611</v>
      </c>
      <c r="I182" s="345"/>
      <c r="J182" s="345"/>
      <c r="K182" s="345" t="s">
        <v>6118</v>
      </c>
      <c r="L182" s="345" t="s">
        <v>6347</v>
      </c>
      <c r="M182" s="345" t="s">
        <v>215</v>
      </c>
      <c r="N182" s="345"/>
      <c r="O182" s="345"/>
      <c r="P182" s="345"/>
      <c r="Q182" s="345"/>
      <c r="R182" s="345"/>
      <c r="S182" s="345"/>
      <c r="T182" s="345"/>
      <c r="U182" s="345"/>
      <c r="V182" s="345"/>
      <c r="W182" s="345"/>
      <c r="X182" s="345"/>
      <c r="Y182" s="345"/>
      <c r="Z182" s="345"/>
    </row>
    <row r="183">
      <c r="A183" s="345" t="s">
        <v>6348</v>
      </c>
      <c r="B183" s="1021">
        <v>44937.0</v>
      </c>
      <c r="C183" s="345"/>
      <c r="D183" s="1021">
        <v>45000.0</v>
      </c>
      <c r="E183" s="345" t="s">
        <v>6350</v>
      </c>
      <c r="F183" s="345" t="s">
        <v>5922</v>
      </c>
      <c r="G183" s="345" t="s">
        <v>5611</v>
      </c>
      <c r="H183" s="1020" t="s">
        <v>5611</v>
      </c>
      <c r="I183" s="345"/>
      <c r="J183" s="345"/>
      <c r="K183" s="345" t="s">
        <v>5872</v>
      </c>
      <c r="L183" s="345" t="s">
        <v>6351</v>
      </c>
      <c r="M183" s="345" t="s">
        <v>215</v>
      </c>
      <c r="N183" s="345"/>
      <c r="O183" s="345"/>
      <c r="P183" s="345"/>
      <c r="Q183" s="345"/>
      <c r="R183" s="345"/>
      <c r="S183" s="345"/>
      <c r="T183" s="345"/>
      <c r="U183" s="345"/>
      <c r="V183" s="345"/>
      <c r="W183" s="345"/>
      <c r="X183" s="345"/>
      <c r="Y183" s="345"/>
      <c r="Z183" s="345"/>
    </row>
    <row r="184">
      <c r="A184" s="345" t="s">
        <v>6352</v>
      </c>
      <c r="B184" s="1021">
        <v>44936.0</v>
      </c>
      <c r="C184" s="345"/>
      <c r="D184" s="1021">
        <v>45000.0</v>
      </c>
      <c r="E184" s="345" t="s">
        <v>6353</v>
      </c>
      <c r="F184" s="345" t="s">
        <v>5922</v>
      </c>
      <c r="G184" s="345" t="s">
        <v>5611</v>
      </c>
      <c r="H184" s="1020" t="s">
        <v>5611</v>
      </c>
      <c r="I184" s="345"/>
      <c r="J184" s="345"/>
      <c r="K184" s="345" t="s">
        <v>5881</v>
      </c>
      <c r="L184" s="345" t="s">
        <v>6354</v>
      </c>
      <c r="M184" s="345" t="s">
        <v>215</v>
      </c>
      <c r="N184" s="345"/>
      <c r="O184" s="345"/>
      <c r="P184" s="345"/>
      <c r="Q184" s="345"/>
      <c r="R184" s="345"/>
      <c r="S184" s="345"/>
      <c r="T184" s="345"/>
      <c r="U184" s="345"/>
      <c r="V184" s="345"/>
      <c r="W184" s="345"/>
      <c r="X184" s="345"/>
      <c r="Y184" s="345"/>
      <c r="Z184" s="345"/>
    </row>
    <row r="185">
      <c r="A185" s="345" t="s">
        <v>6355</v>
      </c>
      <c r="B185" s="1021">
        <v>44946.0</v>
      </c>
      <c r="C185" s="345"/>
      <c r="D185" s="1021">
        <v>45000.0</v>
      </c>
      <c r="E185" s="345" t="s">
        <v>6356</v>
      </c>
      <c r="F185" s="345" t="s">
        <v>5922</v>
      </c>
      <c r="G185" s="345" t="s">
        <v>5611</v>
      </c>
      <c r="H185" s="1020" t="s">
        <v>5611</v>
      </c>
      <c r="I185" s="345"/>
      <c r="J185" s="345"/>
      <c r="K185" s="345" t="s">
        <v>6219</v>
      </c>
      <c r="L185" s="345" t="s">
        <v>6357</v>
      </c>
      <c r="M185" s="345" t="s">
        <v>215</v>
      </c>
      <c r="N185" s="345"/>
      <c r="O185" s="345"/>
      <c r="P185" s="345"/>
      <c r="Q185" s="345"/>
      <c r="R185" s="345"/>
      <c r="S185" s="345"/>
      <c r="T185" s="345"/>
      <c r="U185" s="345"/>
      <c r="V185" s="345"/>
      <c r="W185" s="345"/>
      <c r="X185" s="345"/>
      <c r="Y185" s="345"/>
      <c r="Z185" s="345"/>
    </row>
    <row r="186">
      <c r="A186" s="345" t="s">
        <v>6358</v>
      </c>
      <c r="B186" s="1021">
        <v>44977.0</v>
      </c>
      <c r="C186" s="345"/>
      <c r="D186" s="1021">
        <v>45000.0</v>
      </c>
      <c r="E186" s="345" t="s">
        <v>6249</v>
      </c>
      <c r="F186" s="345" t="s">
        <v>5922</v>
      </c>
      <c r="G186" s="345" t="s">
        <v>5611</v>
      </c>
      <c r="H186" s="1020" t="s">
        <v>5611</v>
      </c>
      <c r="I186" s="345"/>
      <c r="J186" s="345"/>
      <c r="K186" s="345" t="s">
        <v>6118</v>
      </c>
      <c r="L186" s="345" t="s">
        <v>6364</v>
      </c>
      <c r="M186" s="345" t="s">
        <v>215</v>
      </c>
      <c r="N186" s="345"/>
      <c r="O186" s="345"/>
      <c r="P186" s="345"/>
      <c r="Q186" s="345"/>
      <c r="R186" s="345"/>
      <c r="S186" s="345"/>
      <c r="T186" s="345"/>
      <c r="U186" s="345"/>
      <c r="V186" s="345"/>
      <c r="W186" s="345"/>
      <c r="X186" s="345"/>
      <c r="Y186" s="345"/>
      <c r="Z186" s="345"/>
    </row>
    <row r="187">
      <c r="A187" s="345" t="s">
        <v>6365</v>
      </c>
      <c r="B187" s="1021">
        <v>44929.0</v>
      </c>
      <c r="C187" s="345"/>
      <c r="D187" s="1021">
        <v>45000.0</v>
      </c>
      <c r="E187" s="345" t="s">
        <v>6366</v>
      </c>
      <c r="F187" s="345" t="s">
        <v>5922</v>
      </c>
      <c r="G187" s="345" t="s">
        <v>5611</v>
      </c>
      <c r="H187" s="1020" t="s">
        <v>5611</v>
      </c>
      <c r="I187" s="345"/>
      <c r="J187" s="345"/>
      <c r="K187" s="345" t="s">
        <v>6369</v>
      </c>
      <c r="L187" s="345" t="s">
        <v>6370</v>
      </c>
      <c r="M187" s="345" t="s">
        <v>215</v>
      </c>
      <c r="N187" s="345"/>
      <c r="O187" s="345"/>
      <c r="P187" s="345"/>
      <c r="Q187" s="345"/>
      <c r="R187" s="345"/>
      <c r="S187" s="345"/>
      <c r="T187" s="345"/>
      <c r="U187" s="345"/>
      <c r="V187" s="345"/>
      <c r="W187" s="345"/>
      <c r="X187" s="345"/>
      <c r="Y187" s="345"/>
      <c r="Z187" s="345"/>
    </row>
    <row r="188">
      <c r="A188" s="345" t="s">
        <v>6371</v>
      </c>
      <c r="B188" s="1021">
        <v>44936.0</v>
      </c>
      <c r="C188" s="345"/>
      <c r="D188" s="1021">
        <v>44999.0</v>
      </c>
      <c r="E188" s="345" t="s">
        <v>6159</v>
      </c>
      <c r="F188" s="345" t="s">
        <v>5922</v>
      </c>
      <c r="G188" s="345" t="s">
        <v>5611</v>
      </c>
      <c r="H188" s="1020" t="s">
        <v>5611</v>
      </c>
      <c r="I188" s="345"/>
      <c r="J188" s="345"/>
      <c r="K188" s="345" t="s">
        <v>6373</v>
      </c>
      <c r="L188" s="345" t="s">
        <v>6374</v>
      </c>
      <c r="M188" s="345" t="s">
        <v>215</v>
      </c>
      <c r="N188" s="345"/>
      <c r="O188" s="345"/>
      <c r="P188" s="345"/>
      <c r="Q188" s="345"/>
      <c r="R188" s="345"/>
      <c r="S188" s="345"/>
      <c r="T188" s="345"/>
      <c r="U188" s="345"/>
      <c r="V188" s="345"/>
      <c r="W188" s="345"/>
      <c r="X188" s="345"/>
      <c r="Y188" s="345"/>
      <c r="Z188" s="345"/>
    </row>
    <row r="189">
      <c r="A189" s="345" t="s">
        <v>6375</v>
      </c>
      <c r="B189" s="1021">
        <v>44929.0</v>
      </c>
      <c r="C189" s="345"/>
      <c r="D189" s="1021">
        <v>44999.0</v>
      </c>
      <c r="E189" s="345" t="s">
        <v>6376</v>
      </c>
      <c r="F189" s="345" t="s">
        <v>5922</v>
      </c>
      <c r="G189" s="345" t="s">
        <v>5611</v>
      </c>
      <c r="H189" s="1020" t="s">
        <v>5611</v>
      </c>
      <c r="I189" s="345"/>
      <c r="J189" s="345"/>
      <c r="K189" s="345" t="s">
        <v>6223</v>
      </c>
      <c r="L189" s="345" t="s">
        <v>6377</v>
      </c>
      <c r="M189" s="345" t="s">
        <v>215</v>
      </c>
      <c r="N189" s="345"/>
      <c r="O189" s="345"/>
      <c r="P189" s="345"/>
      <c r="Q189" s="345"/>
      <c r="R189" s="345"/>
      <c r="S189" s="345"/>
      <c r="T189" s="345"/>
      <c r="U189" s="345"/>
      <c r="V189" s="345"/>
      <c r="W189" s="345"/>
      <c r="X189" s="345"/>
      <c r="Y189" s="345"/>
      <c r="Z189" s="345"/>
    </row>
    <row r="190">
      <c r="A190" s="345" t="s">
        <v>6379</v>
      </c>
      <c r="B190" s="1021">
        <v>44936.0</v>
      </c>
      <c r="C190" s="345"/>
      <c r="D190" s="1021">
        <v>44999.0</v>
      </c>
      <c r="E190" s="345" t="s">
        <v>6145</v>
      </c>
      <c r="F190" s="345" t="s">
        <v>5922</v>
      </c>
      <c r="G190" s="345" t="s">
        <v>5611</v>
      </c>
      <c r="H190" s="1020" t="s">
        <v>5611</v>
      </c>
      <c r="I190" s="345"/>
      <c r="J190" s="345"/>
      <c r="K190" s="345" t="s">
        <v>6373</v>
      </c>
      <c r="L190" s="345" t="s">
        <v>6380</v>
      </c>
      <c r="M190" s="345" t="s">
        <v>215</v>
      </c>
      <c r="N190" s="345"/>
      <c r="O190" s="345"/>
      <c r="P190" s="345"/>
      <c r="Q190" s="345"/>
      <c r="R190" s="345"/>
      <c r="S190" s="345"/>
      <c r="T190" s="345"/>
      <c r="U190" s="345"/>
      <c r="V190" s="345"/>
      <c r="W190" s="345"/>
      <c r="X190" s="345"/>
      <c r="Y190" s="345"/>
      <c r="Z190" s="345"/>
    </row>
    <row r="191">
      <c r="A191" s="345" t="s">
        <v>6381</v>
      </c>
      <c r="B191" s="1021">
        <v>44909.0</v>
      </c>
      <c r="C191" s="345"/>
      <c r="D191" s="1021">
        <v>44998.0</v>
      </c>
      <c r="E191" s="345" t="s">
        <v>6382</v>
      </c>
      <c r="F191" s="345" t="s">
        <v>5922</v>
      </c>
      <c r="G191" s="345" t="s">
        <v>5611</v>
      </c>
      <c r="H191" s="1020" t="s">
        <v>5611</v>
      </c>
      <c r="I191" s="345"/>
      <c r="J191" s="345"/>
      <c r="K191" s="345" t="s">
        <v>6383</v>
      </c>
      <c r="L191" s="345" t="s">
        <v>6384</v>
      </c>
      <c r="M191" s="345" t="s">
        <v>215</v>
      </c>
      <c r="N191" s="345"/>
      <c r="O191" s="345"/>
      <c r="P191" s="345"/>
      <c r="Q191" s="345"/>
      <c r="R191" s="345"/>
      <c r="S191" s="345"/>
      <c r="T191" s="345"/>
      <c r="U191" s="345"/>
      <c r="V191" s="345"/>
      <c r="W191" s="345"/>
      <c r="X191" s="345"/>
      <c r="Y191" s="345"/>
      <c r="Z191" s="345"/>
    </row>
    <row r="192">
      <c r="A192" s="345" t="s">
        <v>6385</v>
      </c>
      <c r="B192" s="1021">
        <v>44929.0</v>
      </c>
      <c r="C192" s="345"/>
      <c r="D192" s="1021">
        <v>44998.0</v>
      </c>
      <c r="E192" s="345" t="s">
        <v>6386</v>
      </c>
      <c r="F192" s="345" t="s">
        <v>5922</v>
      </c>
      <c r="G192" s="345" t="s">
        <v>5611</v>
      </c>
      <c r="H192" s="1020" t="s">
        <v>5611</v>
      </c>
      <c r="I192" s="345"/>
      <c r="J192" s="345"/>
      <c r="K192" s="345" t="s">
        <v>6223</v>
      </c>
      <c r="L192" s="345" t="s">
        <v>6388</v>
      </c>
      <c r="M192" s="345" t="s">
        <v>215</v>
      </c>
      <c r="N192" s="345"/>
      <c r="O192" s="345"/>
      <c r="P192" s="345"/>
      <c r="Q192" s="345"/>
      <c r="R192" s="345"/>
      <c r="S192" s="345"/>
      <c r="T192" s="345"/>
      <c r="U192" s="345"/>
      <c r="V192" s="345"/>
      <c r="W192" s="345"/>
      <c r="X192" s="345"/>
      <c r="Y192" s="345"/>
      <c r="Z192" s="345"/>
    </row>
    <row r="193">
      <c r="A193" s="345" t="s">
        <v>6389</v>
      </c>
      <c r="B193" s="1021">
        <v>44968.0</v>
      </c>
      <c r="C193" s="345"/>
      <c r="D193" s="1021">
        <v>44998.0</v>
      </c>
      <c r="E193" s="345" t="s">
        <v>6390</v>
      </c>
      <c r="F193" s="345" t="s">
        <v>5922</v>
      </c>
      <c r="G193" s="345" t="s">
        <v>5611</v>
      </c>
      <c r="H193" s="1020" t="s">
        <v>5611</v>
      </c>
      <c r="I193" s="345"/>
      <c r="J193" s="345"/>
      <c r="K193" s="345" t="s">
        <v>6182</v>
      </c>
      <c r="L193" s="345" t="s">
        <v>6391</v>
      </c>
      <c r="M193" s="345" t="s">
        <v>215</v>
      </c>
      <c r="N193" s="345"/>
      <c r="O193" s="345"/>
      <c r="P193" s="345"/>
      <c r="Q193" s="345"/>
      <c r="R193" s="345"/>
      <c r="S193" s="345"/>
      <c r="T193" s="345"/>
      <c r="U193" s="345"/>
      <c r="V193" s="345"/>
      <c r="W193" s="345"/>
      <c r="X193" s="345"/>
      <c r="Y193" s="345"/>
      <c r="Z193" s="345"/>
    </row>
    <row r="194">
      <c r="A194" s="345" t="s">
        <v>6392</v>
      </c>
      <c r="B194" s="1021">
        <v>44977.0</v>
      </c>
      <c r="C194" s="345"/>
      <c r="D194" s="1021">
        <v>44998.0</v>
      </c>
      <c r="E194" s="345" t="s">
        <v>6393</v>
      </c>
      <c r="F194" s="345" t="s">
        <v>5922</v>
      </c>
      <c r="G194" s="345" t="s">
        <v>5611</v>
      </c>
      <c r="H194" s="1020" t="s">
        <v>5611</v>
      </c>
      <c r="I194" s="345"/>
      <c r="J194" s="345"/>
      <c r="K194" s="345" t="s">
        <v>6118</v>
      </c>
      <c r="L194" s="345" t="s">
        <v>6395</v>
      </c>
      <c r="M194" s="345" t="s">
        <v>215</v>
      </c>
      <c r="N194" s="345"/>
      <c r="O194" s="345"/>
      <c r="P194" s="345"/>
      <c r="Q194" s="345"/>
      <c r="R194" s="345"/>
      <c r="S194" s="345"/>
      <c r="T194" s="345"/>
      <c r="U194" s="345"/>
      <c r="V194" s="345"/>
      <c r="W194" s="345"/>
      <c r="X194" s="345"/>
      <c r="Y194" s="345"/>
      <c r="Z194" s="345"/>
    </row>
    <row r="195">
      <c r="A195" s="345" t="s">
        <v>6396</v>
      </c>
      <c r="B195" s="1021">
        <v>44937.0</v>
      </c>
      <c r="C195" s="345"/>
      <c r="D195" s="1021">
        <v>44998.0</v>
      </c>
      <c r="E195" s="345" t="s">
        <v>5821</v>
      </c>
      <c r="F195" s="345" t="s">
        <v>5922</v>
      </c>
      <c r="G195" s="345" t="s">
        <v>5611</v>
      </c>
      <c r="H195" s="1020" t="s">
        <v>5611</v>
      </c>
      <c r="I195" s="345"/>
      <c r="J195" s="345"/>
      <c r="K195" s="345" t="s">
        <v>5835</v>
      </c>
      <c r="L195" s="345" t="s">
        <v>6397</v>
      </c>
      <c r="M195" s="345" t="s">
        <v>215</v>
      </c>
      <c r="N195" s="345"/>
      <c r="O195" s="345"/>
      <c r="P195" s="345"/>
      <c r="Q195" s="345"/>
      <c r="R195" s="345"/>
      <c r="S195" s="345"/>
      <c r="T195" s="345"/>
      <c r="U195" s="345"/>
      <c r="V195" s="345"/>
      <c r="W195" s="345"/>
      <c r="X195" s="345"/>
      <c r="Y195" s="345"/>
      <c r="Z195" s="345"/>
    </row>
    <row r="196">
      <c r="A196" s="1027">
        <v>1.20407389480355E15</v>
      </c>
      <c r="B196" s="1021">
        <v>44984.0</v>
      </c>
      <c r="C196" s="345"/>
      <c r="D196" s="1021">
        <v>44998.0</v>
      </c>
      <c r="E196" s="345" t="s">
        <v>6399</v>
      </c>
      <c r="F196" s="345" t="s">
        <v>5922</v>
      </c>
      <c r="G196" s="345" t="s">
        <v>5611</v>
      </c>
      <c r="H196" s="1020" t="s">
        <v>5611</v>
      </c>
      <c r="I196" s="345"/>
      <c r="J196" s="345"/>
      <c r="K196" s="345" t="s">
        <v>6400</v>
      </c>
      <c r="L196" s="345" t="s">
        <v>6401</v>
      </c>
      <c r="M196" s="345" t="s">
        <v>215</v>
      </c>
      <c r="N196" s="345"/>
      <c r="O196" s="345"/>
      <c r="P196" s="345"/>
      <c r="Q196" s="345"/>
      <c r="R196" s="345"/>
      <c r="S196" s="345"/>
      <c r="T196" s="345"/>
      <c r="U196" s="345"/>
      <c r="V196" s="345"/>
      <c r="W196" s="345"/>
      <c r="X196" s="345"/>
      <c r="Y196" s="345"/>
      <c r="Z196" s="345"/>
    </row>
    <row r="197">
      <c r="A197" s="345" t="s">
        <v>6402</v>
      </c>
      <c r="B197" s="1021">
        <v>44984.0</v>
      </c>
      <c r="C197" s="345"/>
      <c r="D197" s="1021">
        <v>44998.0</v>
      </c>
      <c r="E197" s="345" t="s">
        <v>6403</v>
      </c>
      <c r="F197" s="345" t="s">
        <v>5922</v>
      </c>
      <c r="G197" s="345" t="s">
        <v>5611</v>
      </c>
      <c r="H197" s="1020" t="s">
        <v>5611</v>
      </c>
      <c r="I197" s="345"/>
      <c r="J197" s="345"/>
      <c r="K197" s="345" t="s">
        <v>6400</v>
      </c>
      <c r="L197" s="345" t="s">
        <v>6404</v>
      </c>
      <c r="M197" s="345" t="s">
        <v>215</v>
      </c>
      <c r="N197" s="345"/>
      <c r="O197" s="345"/>
      <c r="P197" s="345"/>
      <c r="Q197" s="345"/>
      <c r="R197" s="345"/>
      <c r="S197" s="345"/>
      <c r="T197" s="345"/>
      <c r="U197" s="345"/>
      <c r="V197" s="345"/>
      <c r="W197" s="345"/>
      <c r="X197" s="345"/>
      <c r="Y197" s="345"/>
      <c r="Z197" s="345"/>
    </row>
    <row r="198">
      <c r="A198" s="345" t="s">
        <v>6406</v>
      </c>
      <c r="B198" s="1021">
        <v>44984.0</v>
      </c>
      <c r="C198" s="345"/>
      <c r="D198" s="1021">
        <v>44998.0</v>
      </c>
      <c r="E198" s="345" t="s">
        <v>6408</v>
      </c>
      <c r="F198" s="345" t="s">
        <v>5922</v>
      </c>
      <c r="G198" s="345" t="s">
        <v>5611</v>
      </c>
      <c r="H198" s="1020" t="s">
        <v>5611</v>
      </c>
      <c r="I198" s="345"/>
      <c r="J198" s="345"/>
      <c r="K198" s="345" t="s">
        <v>6400</v>
      </c>
      <c r="L198" s="345" t="s">
        <v>6409</v>
      </c>
      <c r="M198" s="345" t="s">
        <v>215</v>
      </c>
      <c r="N198" s="345"/>
      <c r="O198" s="345"/>
      <c r="P198" s="345"/>
      <c r="Q198" s="345"/>
      <c r="R198" s="345"/>
      <c r="S198" s="345"/>
      <c r="T198" s="345"/>
      <c r="U198" s="345"/>
      <c r="V198" s="345"/>
      <c r="W198" s="345"/>
      <c r="X198" s="345"/>
      <c r="Y198" s="345"/>
      <c r="Z198" s="345"/>
    </row>
    <row r="199">
      <c r="A199" s="345" t="s">
        <v>6410</v>
      </c>
      <c r="B199" s="1021">
        <v>44984.0</v>
      </c>
      <c r="C199" s="345"/>
      <c r="D199" s="1021">
        <v>44998.0</v>
      </c>
      <c r="E199" s="345" t="s">
        <v>6412</v>
      </c>
      <c r="F199" s="345" t="s">
        <v>5922</v>
      </c>
      <c r="G199" s="345" t="s">
        <v>5611</v>
      </c>
      <c r="H199" s="1020" t="s">
        <v>5611</v>
      </c>
      <c r="I199" s="345"/>
      <c r="J199" s="345"/>
      <c r="K199" s="345" t="s">
        <v>6400</v>
      </c>
      <c r="L199" s="345" t="s">
        <v>6414</v>
      </c>
      <c r="M199" s="345" t="s">
        <v>215</v>
      </c>
      <c r="N199" s="345"/>
      <c r="O199" s="345"/>
      <c r="P199" s="345"/>
      <c r="Q199" s="345"/>
      <c r="R199" s="345"/>
      <c r="S199" s="345"/>
      <c r="T199" s="345"/>
      <c r="U199" s="345"/>
      <c r="V199" s="345"/>
      <c r="W199" s="345"/>
      <c r="X199" s="345"/>
      <c r="Y199" s="345"/>
      <c r="Z199" s="345"/>
    </row>
    <row r="200">
      <c r="A200" s="345" t="s">
        <v>6415</v>
      </c>
      <c r="B200" s="1021">
        <v>44937.0</v>
      </c>
      <c r="C200" s="345"/>
      <c r="D200" s="1021">
        <v>44997.0</v>
      </c>
      <c r="E200" s="345" t="s">
        <v>5807</v>
      </c>
      <c r="F200" s="345" t="s">
        <v>5922</v>
      </c>
      <c r="G200" s="345"/>
      <c r="H200" s="345"/>
      <c r="I200" s="345"/>
      <c r="J200" s="345"/>
      <c r="K200" s="345" t="s">
        <v>5835</v>
      </c>
      <c r="L200" s="345" t="s">
        <v>6419</v>
      </c>
      <c r="M200" s="345" t="s">
        <v>215</v>
      </c>
      <c r="N200" s="345"/>
      <c r="O200" s="345"/>
      <c r="P200" s="345"/>
      <c r="Q200" s="345"/>
      <c r="R200" s="345"/>
      <c r="S200" s="345"/>
      <c r="T200" s="345"/>
      <c r="U200" s="345"/>
      <c r="V200" s="345"/>
      <c r="W200" s="345"/>
      <c r="X200" s="345"/>
      <c r="Y200" s="345"/>
      <c r="Z200" s="345"/>
    </row>
    <row r="201">
      <c r="A201" s="345" t="s">
        <v>6420</v>
      </c>
      <c r="B201" s="1021">
        <v>44968.0</v>
      </c>
      <c r="C201" s="345"/>
      <c r="D201" s="1021">
        <v>44995.0</v>
      </c>
      <c r="E201" s="345" t="s">
        <v>5656</v>
      </c>
      <c r="F201" s="345" t="s">
        <v>5922</v>
      </c>
      <c r="G201" s="345"/>
      <c r="H201" s="345"/>
      <c r="I201" s="345"/>
      <c r="J201" s="345"/>
      <c r="K201" s="345" t="s">
        <v>5854</v>
      </c>
      <c r="L201" s="345" t="s">
        <v>6421</v>
      </c>
      <c r="M201" s="345" t="s">
        <v>215</v>
      </c>
      <c r="N201" s="345"/>
      <c r="O201" s="345"/>
      <c r="P201" s="345"/>
      <c r="Q201" s="345"/>
      <c r="R201" s="345"/>
      <c r="S201" s="345"/>
      <c r="T201" s="345"/>
      <c r="U201" s="345"/>
      <c r="V201" s="345"/>
      <c r="W201" s="345"/>
      <c r="X201" s="345"/>
      <c r="Y201" s="345"/>
      <c r="Z201" s="345"/>
    </row>
    <row r="202">
      <c r="A202" s="345" t="s">
        <v>6423</v>
      </c>
      <c r="B202" s="1021">
        <v>44984.0</v>
      </c>
      <c r="C202" s="345"/>
      <c r="D202" s="1021">
        <v>44994.0</v>
      </c>
      <c r="E202" s="345" t="s">
        <v>6424</v>
      </c>
      <c r="F202" s="345" t="s">
        <v>5922</v>
      </c>
      <c r="G202" s="345" t="s">
        <v>5611</v>
      </c>
      <c r="H202" s="1020" t="s">
        <v>5611</v>
      </c>
      <c r="I202" s="345"/>
      <c r="J202" s="345"/>
      <c r="K202" s="345" t="s">
        <v>6152</v>
      </c>
      <c r="L202" s="345" t="s">
        <v>6425</v>
      </c>
      <c r="M202" s="345" t="s">
        <v>215</v>
      </c>
      <c r="N202" s="345"/>
      <c r="O202" s="345"/>
      <c r="P202" s="345"/>
      <c r="Q202" s="345"/>
      <c r="R202" s="345"/>
      <c r="S202" s="345"/>
      <c r="T202" s="345"/>
      <c r="U202" s="345"/>
      <c r="V202" s="345"/>
      <c r="W202" s="345"/>
      <c r="X202" s="345"/>
      <c r="Y202" s="345"/>
      <c r="Z202" s="345"/>
    </row>
    <row r="203">
      <c r="A203" s="345" t="s">
        <v>6427</v>
      </c>
      <c r="B203" s="1021">
        <v>44984.0</v>
      </c>
      <c r="C203" s="345"/>
      <c r="D203" s="1021">
        <v>44994.0</v>
      </c>
      <c r="E203" s="345" t="s">
        <v>6428</v>
      </c>
      <c r="F203" s="345" t="s">
        <v>5922</v>
      </c>
      <c r="G203" s="345" t="s">
        <v>5611</v>
      </c>
      <c r="H203" s="1020" t="s">
        <v>5611</v>
      </c>
      <c r="I203" s="345"/>
      <c r="J203" s="345"/>
      <c r="K203" s="345" t="s">
        <v>6152</v>
      </c>
      <c r="L203" s="345" t="s">
        <v>6430</v>
      </c>
      <c r="M203" s="345" t="s">
        <v>215</v>
      </c>
      <c r="N203" s="345"/>
      <c r="O203" s="345"/>
      <c r="P203" s="345"/>
      <c r="Q203" s="345"/>
      <c r="R203" s="345"/>
      <c r="S203" s="345"/>
      <c r="T203" s="345"/>
      <c r="U203" s="345"/>
      <c r="V203" s="345"/>
      <c r="W203" s="345"/>
      <c r="X203" s="345"/>
      <c r="Y203" s="345"/>
      <c r="Z203" s="345"/>
    </row>
    <row r="204">
      <c r="A204" s="345" t="s">
        <v>6432</v>
      </c>
      <c r="B204" s="1021">
        <v>44909.0</v>
      </c>
      <c r="C204" s="345"/>
      <c r="D204" s="1021">
        <v>44993.0</v>
      </c>
      <c r="E204" s="345" t="s">
        <v>6433</v>
      </c>
      <c r="F204" s="345" t="s">
        <v>5922</v>
      </c>
      <c r="G204" s="345" t="s">
        <v>5611</v>
      </c>
      <c r="H204" s="1020" t="s">
        <v>5611</v>
      </c>
      <c r="I204" s="345"/>
      <c r="J204" s="345"/>
      <c r="K204" s="345" t="s">
        <v>6383</v>
      </c>
      <c r="L204" s="345" t="s">
        <v>6435</v>
      </c>
      <c r="M204" s="345" t="s">
        <v>215</v>
      </c>
      <c r="N204" s="345"/>
      <c r="O204" s="345"/>
      <c r="P204" s="345"/>
      <c r="Q204" s="345"/>
      <c r="R204" s="345"/>
      <c r="S204" s="345"/>
      <c r="T204" s="345"/>
      <c r="U204" s="345"/>
      <c r="V204" s="345"/>
      <c r="W204" s="345"/>
      <c r="X204" s="345"/>
      <c r="Y204" s="345"/>
      <c r="Z204" s="345"/>
    </row>
    <row r="205">
      <c r="A205" s="345" t="s">
        <v>6437</v>
      </c>
      <c r="B205" s="1021">
        <v>44910.0</v>
      </c>
      <c r="C205" s="345"/>
      <c r="D205" s="1021">
        <v>44993.0</v>
      </c>
      <c r="E205" s="345" t="s">
        <v>6438</v>
      </c>
      <c r="F205" s="345" t="s">
        <v>5922</v>
      </c>
      <c r="G205" s="345" t="s">
        <v>6439</v>
      </c>
      <c r="H205" s="1020" t="s">
        <v>6439</v>
      </c>
      <c r="I205" s="345"/>
      <c r="J205" s="345"/>
      <c r="K205" s="345" t="s">
        <v>6144</v>
      </c>
      <c r="L205" s="345" t="s">
        <v>6440</v>
      </c>
      <c r="M205" s="345" t="s">
        <v>215</v>
      </c>
      <c r="N205" s="345"/>
      <c r="O205" s="345"/>
      <c r="P205" s="345"/>
      <c r="Q205" s="345"/>
      <c r="R205" s="345"/>
      <c r="S205" s="345"/>
      <c r="T205" s="345"/>
      <c r="U205" s="345"/>
      <c r="V205" s="345"/>
      <c r="W205" s="345"/>
      <c r="X205" s="345"/>
      <c r="Y205" s="345"/>
      <c r="Z205" s="345"/>
    </row>
    <row r="206">
      <c r="A206" s="345" t="s">
        <v>6441</v>
      </c>
      <c r="B206" s="1021">
        <v>44909.0</v>
      </c>
      <c r="C206" s="345"/>
      <c r="D206" s="1021">
        <v>44993.0</v>
      </c>
      <c r="E206" s="345" t="s">
        <v>6442</v>
      </c>
      <c r="F206" s="345" t="s">
        <v>5922</v>
      </c>
      <c r="G206" s="345"/>
      <c r="H206" s="345"/>
      <c r="I206" s="345"/>
      <c r="J206" s="345"/>
      <c r="K206" s="345" t="s">
        <v>6383</v>
      </c>
      <c r="L206" s="345" t="s">
        <v>6443</v>
      </c>
      <c r="M206" s="345" t="s">
        <v>215</v>
      </c>
      <c r="N206" s="345"/>
      <c r="O206" s="345"/>
      <c r="P206" s="345"/>
      <c r="Q206" s="345"/>
      <c r="R206" s="345"/>
      <c r="S206" s="345"/>
      <c r="T206" s="345"/>
      <c r="U206" s="345"/>
      <c r="V206" s="345"/>
      <c r="W206" s="345"/>
      <c r="X206" s="345"/>
      <c r="Y206" s="345"/>
      <c r="Z206" s="345"/>
    </row>
    <row r="207">
      <c r="A207" s="345" t="s">
        <v>6444</v>
      </c>
      <c r="B207" s="1021">
        <v>44952.0</v>
      </c>
      <c r="C207" s="345"/>
      <c r="D207" s="1021">
        <v>44993.0</v>
      </c>
      <c r="E207" s="345" t="s">
        <v>6445</v>
      </c>
      <c r="F207" s="345" t="s">
        <v>5922</v>
      </c>
      <c r="G207" s="345" t="s">
        <v>6439</v>
      </c>
      <c r="H207" s="1020" t="s">
        <v>6439</v>
      </c>
      <c r="I207" s="345"/>
      <c r="J207" s="345"/>
      <c r="K207" s="345" t="s">
        <v>5688</v>
      </c>
      <c r="L207" s="345" t="s">
        <v>6446</v>
      </c>
      <c r="M207" s="345" t="s">
        <v>215</v>
      </c>
      <c r="N207" s="345"/>
      <c r="O207" s="345"/>
      <c r="P207" s="345"/>
      <c r="Q207" s="345"/>
      <c r="R207" s="345"/>
      <c r="S207" s="345"/>
      <c r="T207" s="345"/>
      <c r="U207" s="345"/>
      <c r="V207" s="345"/>
      <c r="W207" s="345"/>
      <c r="X207" s="345"/>
      <c r="Y207" s="345"/>
      <c r="Z207" s="345"/>
    </row>
    <row r="208">
      <c r="A208" s="345" t="s">
        <v>6447</v>
      </c>
      <c r="B208" s="1021">
        <v>44921.0</v>
      </c>
      <c r="C208" s="345"/>
      <c r="D208" s="1021">
        <v>44993.0</v>
      </c>
      <c r="E208" s="345" t="s">
        <v>6448</v>
      </c>
      <c r="F208" s="345" t="s">
        <v>5922</v>
      </c>
      <c r="G208" s="345" t="s">
        <v>5611</v>
      </c>
      <c r="H208" s="1020" t="s">
        <v>5611</v>
      </c>
      <c r="I208" s="345"/>
      <c r="J208" s="345"/>
      <c r="K208" s="345" t="s">
        <v>6110</v>
      </c>
      <c r="L208" s="345" t="s">
        <v>6449</v>
      </c>
      <c r="M208" s="345" t="s">
        <v>215</v>
      </c>
      <c r="N208" s="345"/>
      <c r="O208" s="345"/>
      <c r="P208" s="345"/>
      <c r="Q208" s="345"/>
      <c r="R208" s="345"/>
      <c r="S208" s="345"/>
      <c r="T208" s="345"/>
      <c r="U208" s="345"/>
      <c r="V208" s="345"/>
      <c r="W208" s="345"/>
      <c r="X208" s="345"/>
      <c r="Y208" s="345"/>
      <c r="Z208" s="345"/>
    </row>
    <row r="209">
      <c r="A209" s="345" t="s">
        <v>6450</v>
      </c>
      <c r="B209" s="1021">
        <v>44929.0</v>
      </c>
      <c r="C209" s="345"/>
      <c r="D209" s="1021">
        <v>44992.0</v>
      </c>
      <c r="E209" s="345" t="s">
        <v>6451</v>
      </c>
      <c r="F209" s="345" t="s">
        <v>5922</v>
      </c>
      <c r="G209" s="345" t="s">
        <v>6439</v>
      </c>
      <c r="H209" s="1020" t="s">
        <v>6439</v>
      </c>
      <c r="I209" s="345"/>
      <c r="J209" s="345"/>
      <c r="K209" s="345" t="s">
        <v>6173</v>
      </c>
      <c r="L209" s="345" t="s">
        <v>6452</v>
      </c>
      <c r="M209" s="345" t="s">
        <v>215</v>
      </c>
      <c r="N209" s="345"/>
      <c r="O209" s="345"/>
      <c r="P209" s="345"/>
      <c r="Q209" s="345"/>
      <c r="R209" s="345"/>
      <c r="S209" s="345"/>
      <c r="T209" s="345"/>
      <c r="U209" s="345"/>
      <c r="V209" s="345"/>
      <c r="W209" s="345"/>
      <c r="X209" s="345"/>
      <c r="Y209" s="345"/>
      <c r="Z209" s="345"/>
    </row>
    <row r="210">
      <c r="A210" s="345" t="s">
        <v>6453</v>
      </c>
      <c r="B210" s="1021">
        <v>44984.0</v>
      </c>
      <c r="C210" s="345"/>
      <c r="D210" s="1021">
        <v>44992.0</v>
      </c>
      <c r="E210" s="345" t="s">
        <v>6454</v>
      </c>
      <c r="F210" s="345" t="s">
        <v>5922</v>
      </c>
      <c r="G210" s="345" t="s">
        <v>5611</v>
      </c>
      <c r="H210" s="1020" t="s">
        <v>5611</v>
      </c>
      <c r="I210" s="345"/>
      <c r="J210" s="345"/>
      <c r="K210" s="345" t="s">
        <v>6400</v>
      </c>
      <c r="L210" s="345" t="s">
        <v>6456</v>
      </c>
      <c r="M210" s="345" t="s">
        <v>215</v>
      </c>
      <c r="N210" s="345"/>
      <c r="O210" s="345"/>
      <c r="P210" s="345"/>
      <c r="Q210" s="345"/>
      <c r="R210" s="345"/>
      <c r="S210" s="345"/>
      <c r="T210" s="345"/>
      <c r="U210" s="345"/>
      <c r="V210" s="345"/>
      <c r="W210" s="345"/>
      <c r="X210" s="345"/>
      <c r="Y210" s="345"/>
      <c r="Z210" s="345"/>
    </row>
    <row r="211">
      <c r="A211" s="345" t="s">
        <v>6457</v>
      </c>
      <c r="B211" s="1021">
        <v>44929.0</v>
      </c>
      <c r="C211" s="345"/>
      <c r="D211" s="1021">
        <v>44991.0</v>
      </c>
      <c r="E211" s="345" t="s">
        <v>5699</v>
      </c>
      <c r="F211" s="345" t="s">
        <v>5922</v>
      </c>
      <c r="G211" s="345" t="s">
        <v>5611</v>
      </c>
      <c r="H211" s="1020" t="s">
        <v>5611</v>
      </c>
      <c r="I211" s="345"/>
      <c r="J211" s="345"/>
      <c r="K211" s="345" t="s">
        <v>5820</v>
      </c>
      <c r="L211" s="345" t="s">
        <v>6458</v>
      </c>
      <c r="M211" s="345" t="s">
        <v>215</v>
      </c>
      <c r="N211" s="345"/>
      <c r="O211" s="345"/>
      <c r="P211" s="345"/>
      <c r="Q211" s="345"/>
      <c r="R211" s="345"/>
      <c r="S211" s="345"/>
      <c r="T211" s="345"/>
      <c r="U211" s="345"/>
      <c r="V211" s="345"/>
      <c r="W211" s="345"/>
      <c r="X211" s="345"/>
      <c r="Y211" s="345"/>
      <c r="Z211" s="345"/>
    </row>
    <row r="212">
      <c r="A212" s="345" t="s">
        <v>6459</v>
      </c>
      <c r="B212" s="1021">
        <v>44968.0</v>
      </c>
      <c r="C212" s="345"/>
      <c r="D212" s="1021">
        <v>44991.0</v>
      </c>
      <c r="E212" s="345" t="s">
        <v>6460</v>
      </c>
      <c r="F212" s="345" t="s">
        <v>5922</v>
      </c>
      <c r="G212" s="345"/>
      <c r="H212" s="345"/>
      <c r="I212" s="345"/>
      <c r="J212" s="345"/>
      <c r="K212" s="345" t="s">
        <v>5854</v>
      </c>
      <c r="L212" s="345" t="s">
        <v>6461</v>
      </c>
      <c r="M212" s="345" t="s">
        <v>215</v>
      </c>
      <c r="N212" s="345"/>
      <c r="O212" s="345"/>
      <c r="P212" s="345"/>
      <c r="Q212" s="345"/>
      <c r="R212" s="345"/>
      <c r="S212" s="345"/>
      <c r="T212" s="345"/>
      <c r="U212" s="345"/>
      <c r="V212" s="345"/>
      <c r="W212" s="345"/>
      <c r="X212" s="345"/>
      <c r="Y212" s="345"/>
      <c r="Z212" s="345"/>
    </row>
    <row r="213">
      <c r="A213" s="1027">
        <v>1.2040738954815E15</v>
      </c>
      <c r="B213" s="1021">
        <v>44984.0</v>
      </c>
      <c r="C213" s="345"/>
      <c r="D213" s="1021">
        <v>44991.0</v>
      </c>
      <c r="E213" s="345" t="s">
        <v>6014</v>
      </c>
      <c r="F213" s="345" t="s">
        <v>5922</v>
      </c>
      <c r="G213" s="345" t="s">
        <v>5611</v>
      </c>
      <c r="H213" s="1020" t="s">
        <v>5611</v>
      </c>
      <c r="I213" s="345"/>
      <c r="J213" s="345"/>
      <c r="K213" s="345" t="s">
        <v>5997</v>
      </c>
      <c r="L213" s="345" t="s">
        <v>6463</v>
      </c>
      <c r="M213" s="345" t="s">
        <v>215</v>
      </c>
      <c r="N213" s="345"/>
      <c r="O213" s="345"/>
      <c r="P213" s="345"/>
      <c r="Q213" s="345"/>
      <c r="R213" s="345"/>
      <c r="S213" s="345"/>
      <c r="T213" s="345"/>
      <c r="U213" s="345"/>
      <c r="V213" s="345"/>
      <c r="W213" s="345"/>
      <c r="X213" s="345"/>
      <c r="Y213" s="345"/>
      <c r="Z213" s="345"/>
    </row>
    <row r="214">
      <c r="A214" s="345" t="s">
        <v>6464</v>
      </c>
      <c r="B214" s="1021">
        <v>44952.0</v>
      </c>
      <c r="C214" s="345"/>
      <c r="D214" s="1021">
        <v>44990.0</v>
      </c>
      <c r="E214" s="345" t="s">
        <v>6465</v>
      </c>
      <c r="F214" s="345" t="s">
        <v>5922</v>
      </c>
      <c r="G214" s="345" t="s">
        <v>6439</v>
      </c>
      <c r="H214" s="1020" t="s">
        <v>6439</v>
      </c>
      <c r="I214" s="345"/>
      <c r="J214" s="345"/>
      <c r="K214" s="345" t="s">
        <v>6084</v>
      </c>
      <c r="L214" s="345" t="s">
        <v>6466</v>
      </c>
      <c r="M214" s="345" t="s">
        <v>215</v>
      </c>
      <c r="N214" s="345"/>
      <c r="O214" s="345"/>
      <c r="P214" s="345"/>
      <c r="Q214" s="345"/>
      <c r="R214" s="345"/>
      <c r="S214" s="345"/>
      <c r="T214" s="345"/>
      <c r="U214" s="345"/>
      <c r="V214" s="345"/>
      <c r="W214" s="345"/>
      <c r="X214" s="345"/>
      <c r="Y214" s="345"/>
      <c r="Z214" s="345"/>
    </row>
    <row r="215">
      <c r="A215" s="345" t="s">
        <v>6468</v>
      </c>
      <c r="B215" s="1021">
        <v>44936.0</v>
      </c>
      <c r="C215" s="345"/>
      <c r="D215" s="1021">
        <v>44990.0</v>
      </c>
      <c r="E215" s="345" t="s">
        <v>6469</v>
      </c>
      <c r="F215" s="345" t="s">
        <v>5922</v>
      </c>
      <c r="G215" s="345"/>
      <c r="H215" s="345"/>
      <c r="I215" s="345"/>
      <c r="J215" s="345"/>
      <c r="K215" s="345" t="s">
        <v>5881</v>
      </c>
      <c r="L215" s="345" t="s">
        <v>6470</v>
      </c>
      <c r="M215" s="345" t="s">
        <v>215</v>
      </c>
      <c r="N215" s="345"/>
      <c r="O215" s="345"/>
      <c r="P215" s="345"/>
      <c r="Q215" s="345"/>
      <c r="R215" s="345"/>
      <c r="S215" s="345"/>
      <c r="T215" s="345"/>
      <c r="U215" s="345"/>
      <c r="V215" s="345"/>
      <c r="W215" s="345"/>
      <c r="X215" s="345"/>
      <c r="Y215" s="345"/>
      <c r="Z215" s="345"/>
    </row>
    <row r="216">
      <c r="A216" s="345" t="s">
        <v>6472</v>
      </c>
      <c r="B216" s="1021">
        <v>44929.0</v>
      </c>
      <c r="C216" s="345"/>
      <c r="D216" s="1021">
        <v>44990.0</v>
      </c>
      <c r="E216" s="345" t="s">
        <v>6474</v>
      </c>
      <c r="F216" s="345" t="s">
        <v>5922</v>
      </c>
      <c r="G216" s="345" t="s">
        <v>6439</v>
      </c>
      <c r="H216" s="1020" t="s">
        <v>6439</v>
      </c>
      <c r="I216" s="345"/>
      <c r="J216" s="345"/>
      <c r="K216" s="345" t="s">
        <v>6100</v>
      </c>
      <c r="L216" s="345" t="s">
        <v>6475</v>
      </c>
      <c r="M216" s="345" t="s">
        <v>215</v>
      </c>
      <c r="N216" s="345"/>
      <c r="O216" s="345"/>
      <c r="P216" s="345"/>
      <c r="Q216" s="345"/>
      <c r="R216" s="345"/>
      <c r="S216" s="345"/>
      <c r="T216" s="345"/>
      <c r="U216" s="345"/>
      <c r="V216" s="345"/>
      <c r="W216" s="345"/>
      <c r="X216" s="345"/>
      <c r="Y216" s="345"/>
      <c r="Z216" s="345"/>
    </row>
    <row r="217">
      <c r="A217" s="345" t="s">
        <v>6476</v>
      </c>
      <c r="B217" s="1021">
        <v>44968.0</v>
      </c>
      <c r="C217" s="345"/>
      <c r="D217" s="1021">
        <v>44987.0</v>
      </c>
      <c r="E217" s="345" t="s">
        <v>6477</v>
      </c>
      <c r="F217" s="345" t="s">
        <v>5922</v>
      </c>
      <c r="G217" s="345" t="s">
        <v>6439</v>
      </c>
      <c r="H217" s="1020" t="s">
        <v>6439</v>
      </c>
      <c r="I217" s="345"/>
      <c r="J217" s="345"/>
      <c r="K217" s="345" t="s">
        <v>6182</v>
      </c>
      <c r="L217" s="345" t="s">
        <v>6478</v>
      </c>
      <c r="M217" s="345" t="s">
        <v>215</v>
      </c>
      <c r="N217" s="345"/>
      <c r="O217" s="345"/>
      <c r="P217" s="345"/>
      <c r="Q217" s="345"/>
      <c r="R217" s="345"/>
      <c r="S217" s="345"/>
      <c r="T217" s="345"/>
      <c r="U217" s="345"/>
      <c r="V217" s="345"/>
      <c r="W217" s="345"/>
      <c r="X217" s="345"/>
      <c r="Y217" s="345"/>
      <c r="Z217" s="345"/>
    </row>
    <row r="218">
      <c r="A218" s="345" t="s">
        <v>6479</v>
      </c>
      <c r="B218" s="1021">
        <v>44910.0</v>
      </c>
      <c r="C218" s="345"/>
      <c r="D218" s="1021">
        <v>44987.0</v>
      </c>
      <c r="E218" s="345" t="s">
        <v>6480</v>
      </c>
      <c r="F218" s="345" t="s">
        <v>5922</v>
      </c>
      <c r="G218" s="345" t="s">
        <v>6439</v>
      </c>
      <c r="H218" s="1020" t="s">
        <v>6439</v>
      </c>
      <c r="I218" s="345"/>
      <c r="J218" s="345"/>
      <c r="K218" s="345" t="s">
        <v>6482</v>
      </c>
      <c r="L218" s="345" t="s">
        <v>6483</v>
      </c>
      <c r="M218" s="345" t="s">
        <v>215</v>
      </c>
      <c r="N218" s="345"/>
      <c r="O218" s="345"/>
      <c r="P218" s="345"/>
      <c r="Q218" s="345"/>
      <c r="R218" s="345"/>
      <c r="S218" s="345"/>
      <c r="T218" s="345"/>
      <c r="U218" s="345"/>
      <c r="V218" s="345"/>
      <c r="W218" s="345"/>
      <c r="X218" s="345"/>
      <c r="Y218" s="345"/>
      <c r="Z218" s="345"/>
    </row>
    <row r="219">
      <c r="A219" s="345" t="s">
        <v>6485</v>
      </c>
      <c r="B219" s="1021">
        <v>44921.0</v>
      </c>
      <c r="C219" s="345"/>
      <c r="D219" s="1021">
        <v>44987.0</v>
      </c>
      <c r="E219" s="345" t="s">
        <v>6486</v>
      </c>
      <c r="F219" s="345" t="s">
        <v>5922</v>
      </c>
      <c r="G219" s="345" t="s">
        <v>6439</v>
      </c>
      <c r="H219" s="1020" t="s">
        <v>6439</v>
      </c>
      <c r="I219" s="345"/>
      <c r="J219" s="345"/>
      <c r="K219" s="345" t="s">
        <v>6482</v>
      </c>
      <c r="L219" s="345" t="s">
        <v>6487</v>
      </c>
      <c r="M219" s="345" t="s">
        <v>215</v>
      </c>
      <c r="N219" s="345"/>
      <c r="O219" s="345"/>
      <c r="P219" s="345"/>
      <c r="Q219" s="345"/>
      <c r="R219" s="345"/>
      <c r="S219" s="345"/>
      <c r="T219" s="345"/>
      <c r="U219" s="345"/>
      <c r="V219" s="345"/>
      <c r="W219" s="345"/>
      <c r="X219" s="345"/>
      <c r="Y219" s="345"/>
      <c r="Z219" s="345"/>
    </row>
    <row r="220">
      <c r="A220" s="345" t="s">
        <v>6488</v>
      </c>
      <c r="B220" s="1021">
        <v>44929.0</v>
      </c>
      <c r="C220" s="345"/>
      <c r="D220" s="1021">
        <v>44986.0</v>
      </c>
      <c r="E220" s="345" t="s">
        <v>6489</v>
      </c>
      <c r="F220" s="345" t="s">
        <v>5922</v>
      </c>
      <c r="G220" s="345"/>
      <c r="H220" s="345"/>
      <c r="I220" s="345"/>
      <c r="J220" s="345"/>
      <c r="K220" s="345" t="s">
        <v>6223</v>
      </c>
      <c r="L220" s="345" t="s">
        <v>6490</v>
      </c>
      <c r="M220" s="345" t="s">
        <v>215</v>
      </c>
      <c r="N220" s="345"/>
      <c r="O220" s="345"/>
      <c r="P220" s="345"/>
      <c r="Q220" s="345"/>
      <c r="R220" s="345"/>
      <c r="S220" s="345"/>
      <c r="T220" s="345"/>
      <c r="U220" s="345"/>
      <c r="V220" s="345"/>
      <c r="W220" s="345"/>
      <c r="X220" s="345"/>
      <c r="Y220" s="345"/>
      <c r="Z220" s="345"/>
    </row>
    <row r="221">
      <c r="A221" s="345" t="s">
        <v>6492</v>
      </c>
      <c r="B221" s="1021">
        <v>44946.0</v>
      </c>
      <c r="C221" s="345"/>
      <c r="D221" s="1021">
        <v>44986.0</v>
      </c>
      <c r="E221" s="345" t="s">
        <v>6493</v>
      </c>
      <c r="F221" s="345" t="s">
        <v>5922</v>
      </c>
      <c r="G221" s="345" t="s">
        <v>6439</v>
      </c>
      <c r="H221" s="1020" t="s">
        <v>6439</v>
      </c>
      <c r="I221" s="345"/>
      <c r="J221" s="345"/>
      <c r="K221" s="345" t="s">
        <v>6191</v>
      </c>
      <c r="L221" s="345" t="s">
        <v>6494</v>
      </c>
      <c r="M221" s="345" t="s">
        <v>215</v>
      </c>
      <c r="N221" s="345"/>
      <c r="O221" s="345"/>
      <c r="P221" s="345"/>
      <c r="Q221" s="345"/>
      <c r="R221" s="345"/>
      <c r="S221" s="345"/>
      <c r="T221" s="345"/>
      <c r="U221" s="345"/>
      <c r="V221" s="345"/>
      <c r="W221" s="345"/>
      <c r="X221" s="345"/>
      <c r="Y221" s="345"/>
      <c r="Z221" s="345"/>
    </row>
    <row r="222">
      <c r="A222" s="345" t="s">
        <v>6495</v>
      </c>
      <c r="B222" s="1021">
        <v>44929.0</v>
      </c>
      <c r="C222" s="345"/>
      <c r="D222" s="1021">
        <v>44985.0</v>
      </c>
      <c r="E222" s="345" t="s">
        <v>6496</v>
      </c>
      <c r="F222" s="345" t="s">
        <v>5922</v>
      </c>
      <c r="G222" s="345"/>
      <c r="H222" s="345"/>
      <c r="I222" s="345"/>
      <c r="J222" s="345"/>
      <c r="K222" s="345" t="s">
        <v>6223</v>
      </c>
      <c r="L222" s="345" t="s">
        <v>6497</v>
      </c>
      <c r="M222" s="345" t="s">
        <v>215</v>
      </c>
      <c r="N222" s="345"/>
      <c r="O222" s="345"/>
      <c r="P222" s="345"/>
      <c r="Q222" s="345"/>
      <c r="R222" s="345"/>
      <c r="S222" s="345"/>
      <c r="T222" s="345"/>
      <c r="U222" s="345"/>
      <c r="V222" s="345"/>
      <c r="W222" s="345"/>
      <c r="X222" s="345"/>
      <c r="Y222" s="345"/>
      <c r="Z222" s="345"/>
    </row>
    <row r="223">
      <c r="A223" s="345" t="s">
        <v>6498</v>
      </c>
      <c r="B223" s="1021">
        <v>44950.0</v>
      </c>
      <c r="C223" s="345"/>
      <c r="D223" s="1021">
        <v>44985.0</v>
      </c>
      <c r="E223" s="345" t="s">
        <v>6225</v>
      </c>
      <c r="F223" s="345" t="s">
        <v>5922</v>
      </c>
      <c r="G223" s="345" t="s">
        <v>6439</v>
      </c>
      <c r="H223" s="1020" t="s">
        <v>6439</v>
      </c>
      <c r="I223" s="345"/>
      <c r="J223" s="345"/>
      <c r="K223" s="345" t="s">
        <v>6500</v>
      </c>
      <c r="L223" s="345" t="s">
        <v>6501</v>
      </c>
      <c r="M223" s="345" t="s">
        <v>215</v>
      </c>
      <c r="N223" s="345"/>
      <c r="O223" s="345"/>
      <c r="P223" s="345"/>
      <c r="Q223" s="345"/>
      <c r="R223" s="345"/>
      <c r="S223" s="345"/>
      <c r="T223" s="345"/>
      <c r="U223" s="345"/>
      <c r="V223" s="345"/>
      <c r="W223" s="345"/>
      <c r="X223" s="345"/>
      <c r="Y223" s="345"/>
      <c r="Z223" s="345"/>
    </row>
    <row r="224">
      <c r="A224" s="345" t="s">
        <v>6502</v>
      </c>
      <c r="B224" s="1021">
        <v>44977.0</v>
      </c>
      <c r="C224" s="345"/>
      <c r="D224" s="1021">
        <v>44984.0</v>
      </c>
      <c r="E224" s="345" t="s">
        <v>6163</v>
      </c>
      <c r="F224" s="345" t="s">
        <v>5922</v>
      </c>
      <c r="G224" s="345" t="s">
        <v>5611</v>
      </c>
      <c r="H224" s="1020" t="s">
        <v>5611</v>
      </c>
      <c r="I224" s="345"/>
      <c r="J224" s="345"/>
      <c r="K224" s="345" t="s">
        <v>6104</v>
      </c>
      <c r="L224" s="345" t="s">
        <v>6503</v>
      </c>
      <c r="M224" s="345" t="s">
        <v>215</v>
      </c>
      <c r="N224" s="345"/>
      <c r="O224" s="345"/>
      <c r="P224" s="345"/>
      <c r="Q224" s="345"/>
      <c r="R224" s="345"/>
      <c r="S224" s="345"/>
      <c r="T224" s="345"/>
      <c r="U224" s="345"/>
      <c r="V224" s="345"/>
      <c r="W224" s="345"/>
      <c r="X224" s="345"/>
      <c r="Y224" s="345"/>
      <c r="Z224" s="345"/>
    </row>
    <row r="225">
      <c r="A225" s="345" t="s">
        <v>6504</v>
      </c>
      <c r="B225" s="1021">
        <v>44977.0</v>
      </c>
      <c r="C225" s="345"/>
      <c r="D225" s="1021">
        <v>44984.0</v>
      </c>
      <c r="E225" s="345" t="s">
        <v>6092</v>
      </c>
      <c r="F225" s="345" t="s">
        <v>5922</v>
      </c>
      <c r="G225" s="345" t="s">
        <v>5611</v>
      </c>
      <c r="H225" s="1020" t="s">
        <v>5611</v>
      </c>
      <c r="I225" s="345"/>
      <c r="J225" s="345"/>
      <c r="K225" s="345" t="s">
        <v>5817</v>
      </c>
      <c r="L225" s="345" t="s">
        <v>6505</v>
      </c>
      <c r="M225" s="345" t="s">
        <v>215</v>
      </c>
      <c r="N225" s="345"/>
      <c r="O225" s="345"/>
      <c r="P225" s="345"/>
      <c r="Q225" s="345"/>
      <c r="R225" s="345"/>
      <c r="S225" s="345"/>
      <c r="T225" s="345"/>
      <c r="U225" s="345"/>
      <c r="V225" s="345"/>
      <c r="W225" s="345"/>
      <c r="X225" s="345"/>
      <c r="Y225" s="345"/>
      <c r="Z225" s="345"/>
    </row>
    <row r="226">
      <c r="A226" s="345" t="s">
        <v>6506</v>
      </c>
      <c r="B226" s="1021">
        <v>44977.0</v>
      </c>
      <c r="C226" s="345"/>
      <c r="D226" s="1021">
        <v>44984.0</v>
      </c>
      <c r="E226" s="345" t="s">
        <v>6081</v>
      </c>
      <c r="F226" s="345" t="s">
        <v>5922</v>
      </c>
      <c r="G226" s="345" t="s">
        <v>5611</v>
      </c>
      <c r="H226" s="1020" t="s">
        <v>5611</v>
      </c>
      <c r="I226" s="345"/>
      <c r="J226" s="345"/>
      <c r="K226" s="345" t="s">
        <v>5817</v>
      </c>
      <c r="L226" s="345" t="s">
        <v>6508</v>
      </c>
      <c r="M226" s="345" t="s">
        <v>215</v>
      </c>
      <c r="N226" s="345"/>
      <c r="O226" s="345"/>
      <c r="P226" s="345"/>
      <c r="Q226" s="345"/>
      <c r="R226" s="345"/>
      <c r="S226" s="345"/>
      <c r="T226" s="345"/>
      <c r="U226" s="345"/>
      <c r="V226" s="345"/>
      <c r="W226" s="345"/>
      <c r="X226" s="345"/>
      <c r="Y226" s="345"/>
      <c r="Z226" s="345"/>
    </row>
    <row r="227">
      <c r="A227" s="1027">
        <v>1.20395179859233E15</v>
      </c>
      <c r="B227" s="1021">
        <v>44968.0</v>
      </c>
      <c r="C227" s="345"/>
      <c r="D227" s="1021">
        <v>44983.0</v>
      </c>
      <c r="E227" s="345" t="s">
        <v>6510</v>
      </c>
      <c r="F227" s="345" t="s">
        <v>5922</v>
      </c>
      <c r="G227" s="345" t="s">
        <v>6439</v>
      </c>
      <c r="H227" s="1020" t="s">
        <v>6439</v>
      </c>
      <c r="I227" s="345"/>
      <c r="J227" s="345"/>
      <c r="K227" s="345" t="s">
        <v>6182</v>
      </c>
      <c r="L227" s="345" t="s">
        <v>6511</v>
      </c>
      <c r="M227" s="345" t="s">
        <v>215</v>
      </c>
      <c r="N227" s="345"/>
      <c r="O227" s="345"/>
      <c r="P227" s="345"/>
      <c r="Q227" s="345"/>
      <c r="R227" s="345"/>
      <c r="S227" s="345"/>
      <c r="T227" s="345"/>
      <c r="U227" s="345"/>
      <c r="V227" s="345"/>
      <c r="W227" s="345"/>
      <c r="X227" s="345"/>
      <c r="Y227" s="345"/>
      <c r="Z227" s="345"/>
    </row>
    <row r="228">
      <c r="A228" s="345" t="s">
        <v>6512</v>
      </c>
      <c r="B228" s="1021">
        <v>44921.0</v>
      </c>
      <c r="C228" s="345"/>
      <c r="D228" s="1021">
        <v>44980.0</v>
      </c>
      <c r="E228" s="345" t="s">
        <v>6513</v>
      </c>
      <c r="F228" s="345" t="s">
        <v>5922</v>
      </c>
      <c r="G228" s="345" t="s">
        <v>6439</v>
      </c>
      <c r="H228" s="1020" t="s">
        <v>6439</v>
      </c>
      <c r="I228" s="345"/>
      <c r="J228" s="345"/>
      <c r="K228" s="345" t="s">
        <v>6482</v>
      </c>
      <c r="L228" s="345" t="s">
        <v>6515</v>
      </c>
      <c r="M228" s="345" t="s">
        <v>215</v>
      </c>
      <c r="N228" s="345"/>
      <c r="O228" s="345"/>
      <c r="P228" s="345"/>
      <c r="Q228" s="345"/>
      <c r="R228" s="345"/>
      <c r="S228" s="345"/>
      <c r="T228" s="345"/>
      <c r="U228" s="345"/>
      <c r="V228" s="345"/>
      <c r="W228" s="345"/>
      <c r="X228" s="345"/>
      <c r="Y228" s="345"/>
      <c r="Z228" s="345"/>
    </row>
    <row r="229">
      <c r="A229" s="1027">
        <v>1.20364271306292E15</v>
      </c>
      <c r="B229" s="1021">
        <v>44929.0</v>
      </c>
      <c r="C229" s="345"/>
      <c r="D229" s="1021">
        <v>44980.0</v>
      </c>
      <c r="E229" s="345" t="s">
        <v>6516</v>
      </c>
      <c r="F229" s="345" t="s">
        <v>5922</v>
      </c>
      <c r="G229" s="345" t="s">
        <v>6439</v>
      </c>
      <c r="H229" s="1020" t="s">
        <v>6439</v>
      </c>
      <c r="I229" s="345"/>
      <c r="J229" s="345"/>
      <c r="K229" s="345" t="s">
        <v>6100</v>
      </c>
      <c r="L229" s="345" t="s">
        <v>6517</v>
      </c>
      <c r="M229" s="345" t="s">
        <v>215</v>
      </c>
      <c r="N229" s="345"/>
      <c r="O229" s="345"/>
      <c r="P229" s="345"/>
      <c r="Q229" s="345"/>
      <c r="R229" s="345"/>
      <c r="S229" s="345"/>
      <c r="T229" s="345"/>
      <c r="U229" s="345"/>
      <c r="V229" s="345"/>
      <c r="W229" s="345"/>
      <c r="X229" s="345"/>
      <c r="Y229" s="345"/>
      <c r="Z229" s="345"/>
    </row>
    <row r="230">
      <c r="A230" s="345" t="s">
        <v>6519</v>
      </c>
      <c r="B230" s="1021">
        <v>44929.0</v>
      </c>
      <c r="C230" s="345"/>
      <c r="D230" s="1021">
        <v>44979.0</v>
      </c>
      <c r="E230" s="345" t="s">
        <v>6520</v>
      </c>
      <c r="F230" s="345" t="s">
        <v>5922</v>
      </c>
      <c r="G230" s="345" t="s">
        <v>6439</v>
      </c>
      <c r="H230" s="1020" t="s">
        <v>6439</v>
      </c>
      <c r="I230" s="345"/>
      <c r="J230" s="345"/>
      <c r="K230" s="345" t="s">
        <v>6223</v>
      </c>
      <c r="L230" s="345" t="s">
        <v>6521</v>
      </c>
      <c r="M230" s="345" t="s">
        <v>215</v>
      </c>
      <c r="N230" s="345"/>
      <c r="O230" s="345"/>
      <c r="P230" s="345"/>
      <c r="Q230" s="345"/>
      <c r="R230" s="345"/>
      <c r="S230" s="345"/>
      <c r="T230" s="345"/>
      <c r="U230" s="345"/>
      <c r="V230" s="345"/>
      <c r="W230" s="345"/>
      <c r="X230" s="345"/>
      <c r="Y230" s="345"/>
      <c r="Z230" s="345"/>
    </row>
    <row r="231">
      <c r="A231" s="345" t="s">
        <v>6523</v>
      </c>
      <c r="B231" s="1021">
        <v>44937.0</v>
      </c>
      <c r="C231" s="345"/>
      <c r="D231" s="1021">
        <v>44979.0</v>
      </c>
      <c r="E231" s="345" t="s">
        <v>6525</v>
      </c>
      <c r="F231" s="345" t="s">
        <v>5922</v>
      </c>
      <c r="G231" s="345" t="s">
        <v>6439</v>
      </c>
      <c r="H231" s="1020" t="s">
        <v>6439</v>
      </c>
      <c r="I231" s="345"/>
      <c r="J231" s="345"/>
      <c r="K231" s="345" t="s">
        <v>6050</v>
      </c>
      <c r="L231" s="345" t="s">
        <v>6526</v>
      </c>
      <c r="M231" s="345" t="s">
        <v>215</v>
      </c>
      <c r="N231" s="345"/>
      <c r="O231" s="345"/>
      <c r="P231" s="345"/>
      <c r="Q231" s="345"/>
      <c r="R231" s="345"/>
      <c r="S231" s="345"/>
      <c r="T231" s="345"/>
      <c r="U231" s="345"/>
      <c r="V231" s="345"/>
      <c r="W231" s="345"/>
      <c r="X231" s="345"/>
      <c r="Y231" s="345"/>
      <c r="Z231" s="345"/>
    </row>
    <row r="232">
      <c r="A232" s="345" t="s">
        <v>6527</v>
      </c>
      <c r="B232" s="1021">
        <v>44929.0</v>
      </c>
      <c r="C232" s="345"/>
      <c r="D232" s="1021">
        <v>44979.0</v>
      </c>
      <c r="E232" s="345" t="s">
        <v>6529</v>
      </c>
      <c r="F232" s="345" t="s">
        <v>5922</v>
      </c>
      <c r="G232" s="345" t="s">
        <v>6439</v>
      </c>
      <c r="H232" s="1020" t="s">
        <v>6439</v>
      </c>
      <c r="I232" s="345"/>
      <c r="J232" s="345"/>
      <c r="K232" s="345" t="s">
        <v>6223</v>
      </c>
      <c r="L232" s="345" t="s">
        <v>6530</v>
      </c>
      <c r="M232" s="345" t="s">
        <v>215</v>
      </c>
      <c r="N232" s="345"/>
      <c r="O232" s="345"/>
      <c r="P232" s="345"/>
      <c r="Q232" s="345"/>
      <c r="R232" s="345"/>
      <c r="S232" s="345"/>
      <c r="T232" s="345"/>
      <c r="U232" s="345"/>
      <c r="V232" s="345"/>
      <c r="W232" s="345"/>
      <c r="X232" s="345"/>
      <c r="Y232" s="345"/>
      <c r="Z232" s="345"/>
    </row>
    <row r="233">
      <c r="A233" s="345" t="s">
        <v>6531</v>
      </c>
      <c r="B233" s="1021">
        <v>44929.0</v>
      </c>
      <c r="C233" s="345"/>
      <c r="D233" s="1021">
        <v>44978.0</v>
      </c>
      <c r="E233" s="345" t="s">
        <v>6533</v>
      </c>
      <c r="F233" s="345" t="s">
        <v>5922</v>
      </c>
      <c r="G233" s="345" t="s">
        <v>6439</v>
      </c>
      <c r="H233" s="1020" t="s">
        <v>6439</v>
      </c>
      <c r="I233" s="345"/>
      <c r="J233" s="345"/>
      <c r="K233" s="345" t="s">
        <v>5899</v>
      </c>
      <c r="L233" s="345" t="s">
        <v>6534</v>
      </c>
      <c r="M233" s="345" t="s">
        <v>215</v>
      </c>
      <c r="N233" s="345"/>
      <c r="O233" s="345"/>
      <c r="P233" s="345"/>
      <c r="Q233" s="345"/>
      <c r="R233" s="345"/>
      <c r="S233" s="345"/>
      <c r="T233" s="345"/>
      <c r="U233" s="345"/>
      <c r="V233" s="345"/>
      <c r="W233" s="345"/>
      <c r="X233" s="345"/>
      <c r="Y233" s="345"/>
      <c r="Z233" s="345"/>
    </row>
    <row r="234">
      <c r="A234" s="345" t="s">
        <v>6536</v>
      </c>
      <c r="B234" s="1021">
        <v>44936.0</v>
      </c>
      <c r="C234" s="345"/>
      <c r="D234" s="1021">
        <v>44978.0</v>
      </c>
      <c r="E234" s="345" t="s">
        <v>6140</v>
      </c>
      <c r="F234" s="345" t="s">
        <v>5922</v>
      </c>
      <c r="G234" s="345" t="s">
        <v>6439</v>
      </c>
      <c r="H234" s="1020" t="s">
        <v>6439</v>
      </c>
      <c r="I234" s="345"/>
      <c r="J234" s="345"/>
      <c r="K234" s="345" t="s">
        <v>6373</v>
      </c>
      <c r="L234" s="345" t="s">
        <v>6538</v>
      </c>
      <c r="M234" s="345" t="s">
        <v>215</v>
      </c>
      <c r="N234" s="345"/>
      <c r="O234" s="345"/>
      <c r="P234" s="345"/>
      <c r="Q234" s="345"/>
      <c r="R234" s="345"/>
      <c r="S234" s="345"/>
      <c r="T234" s="345"/>
      <c r="U234" s="345"/>
      <c r="V234" s="345"/>
      <c r="W234" s="345"/>
      <c r="X234" s="345"/>
      <c r="Y234" s="345"/>
      <c r="Z234" s="345"/>
    </row>
    <row r="235">
      <c r="A235" s="1027">
        <v>1.20355870353977E15</v>
      </c>
      <c r="B235" s="1021">
        <v>44910.0</v>
      </c>
      <c r="C235" s="345"/>
      <c r="D235" s="1021">
        <v>44978.0</v>
      </c>
      <c r="E235" s="345" t="s">
        <v>6539</v>
      </c>
      <c r="F235" s="345" t="s">
        <v>5922</v>
      </c>
      <c r="G235" s="345" t="s">
        <v>6439</v>
      </c>
      <c r="H235" s="1020" t="s">
        <v>6439</v>
      </c>
      <c r="I235" s="345"/>
      <c r="J235" s="345"/>
      <c r="K235" s="345" t="s">
        <v>5868</v>
      </c>
      <c r="L235" s="345" t="s">
        <v>6540</v>
      </c>
      <c r="M235" s="345" t="s">
        <v>215</v>
      </c>
      <c r="N235" s="345"/>
      <c r="O235" s="345"/>
      <c r="P235" s="345"/>
      <c r="Q235" s="345"/>
      <c r="R235" s="345"/>
      <c r="S235" s="345"/>
      <c r="T235" s="345"/>
      <c r="U235" s="345"/>
      <c r="V235" s="345"/>
      <c r="W235" s="345"/>
      <c r="X235" s="345"/>
      <c r="Y235" s="345"/>
      <c r="Z235" s="345"/>
    </row>
    <row r="236">
      <c r="A236" s="345" t="s">
        <v>6541</v>
      </c>
      <c r="B236" s="1021">
        <v>44960.0</v>
      </c>
      <c r="C236" s="345"/>
      <c r="D236" s="1021">
        <v>44978.0</v>
      </c>
      <c r="E236" s="345" t="s">
        <v>5953</v>
      </c>
      <c r="F236" s="345" t="s">
        <v>5922</v>
      </c>
      <c r="G236" s="345" t="s">
        <v>6439</v>
      </c>
      <c r="H236" s="1020" t="s">
        <v>6439</v>
      </c>
      <c r="I236" s="345"/>
      <c r="J236" s="345"/>
      <c r="K236" s="345" t="s">
        <v>5841</v>
      </c>
      <c r="L236" s="345" t="s">
        <v>6542</v>
      </c>
      <c r="M236" s="345" t="s">
        <v>215</v>
      </c>
      <c r="N236" s="345"/>
      <c r="O236" s="345"/>
      <c r="P236" s="345"/>
      <c r="Q236" s="345"/>
      <c r="R236" s="345"/>
      <c r="S236" s="345"/>
      <c r="T236" s="345"/>
      <c r="U236" s="345"/>
      <c r="V236" s="345"/>
      <c r="W236" s="345"/>
      <c r="X236" s="345"/>
      <c r="Y236" s="345"/>
      <c r="Z236" s="345"/>
    </row>
    <row r="237">
      <c r="A237" s="345" t="s">
        <v>6543</v>
      </c>
      <c r="B237" s="1021">
        <v>44929.0</v>
      </c>
      <c r="C237" s="345"/>
      <c r="D237" s="1021">
        <v>44976.0</v>
      </c>
      <c r="E237" s="345" t="s">
        <v>6545</v>
      </c>
      <c r="F237" s="345" t="s">
        <v>5922</v>
      </c>
      <c r="G237" s="345" t="s">
        <v>6439</v>
      </c>
      <c r="H237" s="1020" t="s">
        <v>6439</v>
      </c>
      <c r="I237" s="345"/>
      <c r="J237" s="345"/>
      <c r="K237" s="345" t="s">
        <v>6369</v>
      </c>
      <c r="L237" s="345" t="s">
        <v>6546</v>
      </c>
      <c r="M237" s="345" t="s">
        <v>215</v>
      </c>
      <c r="N237" s="345"/>
      <c r="O237" s="345"/>
      <c r="P237" s="345"/>
      <c r="Q237" s="345"/>
      <c r="R237" s="345"/>
      <c r="S237" s="345"/>
      <c r="T237" s="345"/>
      <c r="U237" s="345"/>
      <c r="V237" s="345"/>
      <c r="W237" s="345"/>
      <c r="X237" s="345"/>
      <c r="Y237" s="345"/>
      <c r="Z237" s="345"/>
    </row>
    <row r="238">
      <c r="A238" s="345" t="s">
        <v>6547</v>
      </c>
      <c r="B238" s="1021">
        <v>44921.0</v>
      </c>
      <c r="C238" s="345"/>
      <c r="D238" s="1021">
        <v>44976.0</v>
      </c>
      <c r="E238" s="345" t="s">
        <v>6537</v>
      </c>
      <c r="F238" s="345" t="s">
        <v>5922</v>
      </c>
      <c r="G238" s="345" t="s">
        <v>6439</v>
      </c>
      <c r="H238" s="1020" t="s">
        <v>6439</v>
      </c>
      <c r="I238" s="345"/>
      <c r="J238" s="345"/>
      <c r="K238" s="345" t="s">
        <v>6482</v>
      </c>
      <c r="L238" s="345" t="s">
        <v>6548</v>
      </c>
      <c r="M238" s="345" t="s">
        <v>215</v>
      </c>
      <c r="N238" s="345"/>
      <c r="O238" s="345"/>
      <c r="P238" s="345"/>
      <c r="Q238" s="345"/>
      <c r="R238" s="345"/>
      <c r="S238" s="345"/>
      <c r="T238" s="345"/>
      <c r="U238" s="345"/>
      <c r="V238" s="345"/>
      <c r="W238" s="345"/>
      <c r="X238" s="345"/>
      <c r="Y238" s="345"/>
      <c r="Z238" s="345"/>
    </row>
    <row r="239">
      <c r="A239" s="345" t="s">
        <v>6549</v>
      </c>
      <c r="B239" s="1021">
        <v>44921.0</v>
      </c>
      <c r="C239" s="345"/>
      <c r="D239" s="1021">
        <v>44973.0</v>
      </c>
      <c r="E239" s="345" t="s">
        <v>6535</v>
      </c>
      <c r="F239" s="345" t="s">
        <v>5922</v>
      </c>
      <c r="G239" s="345" t="s">
        <v>6439</v>
      </c>
      <c r="H239" s="1020" t="s">
        <v>6439</v>
      </c>
      <c r="I239" s="345"/>
      <c r="J239" s="345"/>
      <c r="K239" s="345" t="s">
        <v>6482</v>
      </c>
      <c r="L239" s="345" t="s">
        <v>6550</v>
      </c>
      <c r="M239" s="345" t="s">
        <v>215</v>
      </c>
      <c r="N239" s="345"/>
      <c r="O239" s="345"/>
      <c r="P239" s="345"/>
      <c r="Q239" s="345"/>
      <c r="R239" s="345"/>
      <c r="S239" s="345"/>
      <c r="T239" s="345"/>
      <c r="U239" s="345"/>
      <c r="V239" s="345"/>
      <c r="W239" s="345"/>
      <c r="X239" s="345"/>
      <c r="Y239" s="345"/>
      <c r="Z239" s="345"/>
    </row>
    <row r="240">
      <c r="A240" s="345" t="s">
        <v>6551</v>
      </c>
      <c r="B240" s="1021">
        <v>44929.0</v>
      </c>
      <c r="C240" s="345"/>
      <c r="D240" s="1021">
        <v>44973.0</v>
      </c>
      <c r="E240" s="345" t="s">
        <v>6552</v>
      </c>
      <c r="F240" s="345" t="s">
        <v>5922</v>
      </c>
      <c r="G240" s="345" t="s">
        <v>6439</v>
      </c>
      <c r="H240" s="1020" t="s">
        <v>6439</v>
      </c>
      <c r="I240" s="345"/>
      <c r="J240" s="345"/>
      <c r="K240" s="345" t="s">
        <v>6173</v>
      </c>
      <c r="L240" s="345" t="s">
        <v>6553</v>
      </c>
      <c r="M240" s="345" t="s">
        <v>215</v>
      </c>
      <c r="N240" s="345"/>
      <c r="O240" s="345"/>
      <c r="P240" s="345"/>
      <c r="Q240" s="345"/>
      <c r="R240" s="345"/>
      <c r="S240" s="345"/>
      <c r="T240" s="345"/>
      <c r="U240" s="345"/>
      <c r="V240" s="345"/>
      <c r="W240" s="345"/>
      <c r="X240" s="345"/>
      <c r="Y240" s="345"/>
      <c r="Z240" s="345"/>
    </row>
    <row r="241">
      <c r="A241" s="345" t="s">
        <v>6554</v>
      </c>
      <c r="B241" s="1021">
        <v>44937.0</v>
      </c>
      <c r="C241" s="345"/>
      <c r="D241" s="1021">
        <v>44972.0</v>
      </c>
      <c r="E241" s="345" t="s">
        <v>6555</v>
      </c>
      <c r="F241" s="345" t="s">
        <v>5922</v>
      </c>
      <c r="G241" s="345" t="s">
        <v>6439</v>
      </c>
      <c r="H241" s="1020" t="s">
        <v>6439</v>
      </c>
      <c r="I241" s="345"/>
      <c r="J241" s="345"/>
      <c r="K241" s="345" t="s">
        <v>6050</v>
      </c>
      <c r="L241" s="345" t="s">
        <v>6556</v>
      </c>
      <c r="M241" s="345" t="s">
        <v>215</v>
      </c>
      <c r="N241" s="345"/>
      <c r="O241" s="345"/>
      <c r="P241" s="345"/>
      <c r="Q241" s="345"/>
      <c r="R241" s="345"/>
      <c r="S241" s="345"/>
      <c r="T241" s="345"/>
      <c r="U241" s="345"/>
      <c r="V241" s="345"/>
      <c r="W241" s="345"/>
      <c r="X241" s="345"/>
      <c r="Y241" s="345"/>
      <c r="Z241" s="345"/>
    </row>
    <row r="242">
      <c r="A242" s="345" t="s">
        <v>6557</v>
      </c>
      <c r="B242" s="1021">
        <v>44921.0</v>
      </c>
      <c r="C242" s="345"/>
      <c r="D242" s="1021">
        <v>44972.0</v>
      </c>
      <c r="E242" s="345" t="s">
        <v>6558</v>
      </c>
      <c r="F242" s="345" t="s">
        <v>5922</v>
      </c>
      <c r="G242" s="345" t="s">
        <v>5611</v>
      </c>
      <c r="H242" s="1020" t="s">
        <v>5611</v>
      </c>
      <c r="I242" s="345"/>
      <c r="J242" s="345"/>
      <c r="K242" s="345" t="s">
        <v>6110</v>
      </c>
      <c r="L242" s="345" t="s">
        <v>6559</v>
      </c>
      <c r="M242" s="345" t="s">
        <v>215</v>
      </c>
      <c r="N242" s="345"/>
      <c r="O242" s="345"/>
      <c r="P242" s="345"/>
      <c r="Q242" s="345"/>
      <c r="R242" s="345"/>
      <c r="S242" s="345"/>
      <c r="T242" s="345"/>
      <c r="U242" s="345"/>
      <c r="V242" s="345"/>
      <c r="W242" s="345"/>
      <c r="X242" s="345"/>
      <c r="Y242" s="345"/>
      <c r="Z242" s="345"/>
    </row>
    <row r="243">
      <c r="A243" s="345" t="s">
        <v>6560</v>
      </c>
      <c r="B243" s="1021">
        <v>44921.0</v>
      </c>
      <c r="C243" s="345"/>
      <c r="D243" s="1021">
        <v>44972.0</v>
      </c>
      <c r="E243" s="345" t="s">
        <v>6524</v>
      </c>
      <c r="F243" s="345" t="s">
        <v>5922</v>
      </c>
      <c r="G243" s="345" t="s">
        <v>6439</v>
      </c>
      <c r="H243" s="1020" t="s">
        <v>6439</v>
      </c>
      <c r="I243" s="345"/>
      <c r="J243" s="345"/>
      <c r="K243" s="345" t="s">
        <v>6561</v>
      </c>
      <c r="L243" s="345" t="s">
        <v>6562</v>
      </c>
      <c r="M243" s="345" t="s">
        <v>215</v>
      </c>
      <c r="N243" s="345"/>
      <c r="O243" s="345"/>
      <c r="P243" s="345"/>
      <c r="Q243" s="345"/>
      <c r="R243" s="345"/>
      <c r="S243" s="345"/>
      <c r="T243" s="345"/>
      <c r="U243" s="345"/>
      <c r="V243" s="345"/>
      <c r="W243" s="345"/>
      <c r="X243" s="345"/>
      <c r="Y243" s="345"/>
      <c r="Z243" s="345"/>
    </row>
    <row r="244">
      <c r="A244" s="345" t="s">
        <v>6563</v>
      </c>
      <c r="B244" s="1021">
        <v>44946.0</v>
      </c>
      <c r="C244" s="345"/>
      <c r="D244" s="1021">
        <v>44971.0</v>
      </c>
      <c r="E244" s="345" t="s">
        <v>6564</v>
      </c>
      <c r="F244" s="345" t="s">
        <v>5922</v>
      </c>
      <c r="G244" s="345" t="s">
        <v>6439</v>
      </c>
      <c r="H244" s="1020" t="s">
        <v>6439</v>
      </c>
      <c r="I244" s="345"/>
      <c r="J244" s="345"/>
      <c r="K244" s="345" t="s">
        <v>6191</v>
      </c>
      <c r="L244" s="345" t="s">
        <v>6565</v>
      </c>
      <c r="M244" s="345" t="s">
        <v>215</v>
      </c>
      <c r="N244" s="345"/>
      <c r="O244" s="345"/>
      <c r="P244" s="345"/>
      <c r="Q244" s="345"/>
      <c r="R244" s="345"/>
      <c r="S244" s="345"/>
      <c r="T244" s="345"/>
      <c r="U244" s="345"/>
      <c r="V244" s="345"/>
      <c r="W244" s="345"/>
      <c r="X244" s="345"/>
      <c r="Y244" s="345"/>
      <c r="Z244" s="345"/>
    </row>
    <row r="245">
      <c r="A245" s="1027">
        <v>1.20378965914665E15</v>
      </c>
      <c r="B245" s="1021">
        <v>44946.0</v>
      </c>
      <c r="C245" s="345"/>
      <c r="D245" s="1021">
        <v>44971.0</v>
      </c>
      <c r="E245" s="345" t="s">
        <v>6566</v>
      </c>
      <c r="F245" s="345" t="s">
        <v>5922</v>
      </c>
      <c r="G245" s="345" t="s">
        <v>6439</v>
      </c>
      <c r="H245" s="1020" t="s">
        <v>6439</v>
      </c>
      <c r="I245" s="345"/>
      <c r="J245" s="345"/>
      <c r="K245" s="345" t="s">
        <v>6191</v>
      </c>
      <c r="L245" s="345" t="s">
        <v>6567</v>
      </c>
      <c r="M245" s="345" t="s">
        <v>215</v>
      </c>
      <c r="N245" s="345"/>
      <c r="O245" s="345"/>
      <c r="P245" s="345"/>
      <c r="Q245" s="345"/>
      <c r="R245" s="345"/>
      <c r="S245" s="345"/>
      <c r="T245" s="345"/>
      <c r="U245" s="345"/>
      <c r="V245" s="345"/>
      <c r="W245" s="345"/>
      <c r="X245" s="345"/>
      <c r="Y245" s="345"/>
      <c r="Z245" s="345"/>
    </row>
    <row r="246">
      <c r="A246" s="345" t="s">
        <v>6572</v>
      </c>
      <c r="B246" s="1021">
        <v>44952.0</v>
      </c>
      <c r="C246" s="345"/>
      <c r="D246" s="1021">
        <v>44970.0</v>
      </c>
      <c r="E246" s="345" t="s">
        <v>6362</v>
      </c>
      <c r="F246" s="345" t="s">
        <v>5922</v>
      </c>
      <c r="G246" s="345" t="s">
        <v>6439</v>
      </c>
      <c r="H246" s="1020" t="s">
        <v>6439</v>
      </c>
      <c r="I246" s="345"/>
      <c r="J246" s="345"/>
      <c r="K246" s="345" t="s">
        <v>6084</v>
      </c>
      <c r="L246" s="345" t="s">
        <v>6573</v>
      </c>
      <c r="M246" s="345" t="s">
        <v>215</v>
      </c>
      <c r="N246" s="345"/>
      <c r="O246" s="345"/>
      <c r="P246" s="345"/>
      <c r="Q246" s="345"/>
      <c r="R246" s="345"/>
      <c r="S246" s="345"/>
      <c r="T246" s="345"/>
      <c r="U246" s="345"/>
      <c r="V246" s="345"/>
      <c r="W246" s="345"/>
      <c r="X246" s="345"/>
      <c r="Y246" s="345"/>
      <c r="Z246" s="345"/>
    </row>
    <row r="247">
      <c r="A247" s="345" t="s">
        <v>6574</v>
      </c>
      <c r="B247" s="1021">
        <v>44952.0</v>
      </c>
      <c r="C247" s="345"/>
      <c r="D247" s="1021">
        <v>44970.0</v>
      </c>
      <c r="E247" s="345" t="s">
        <v>6360</v>
      </c>
      <c r="F247" s="345" t="s">
        <v>5922</v>
      </c>
      <c r="G247" s="345" t="s">
        <v>6439</v>
      </c>
      <c r="H247" s="1020" t="s">
        <v>6439</v>
      </c>
      <c r="I247" s="345"/>
      <c r="J247" s="345"/>
      <c r="K247" s="345" t="s">
        <v>6084</v>
      </c>
      <c r="L247" s="345" t="s">
        <v>6575</v>
      </c>
      <c r="M247" s="345" t="s">
        <v>215</v>
      </c>
      <c r="N247" s="345"/>
      <c r="O247" s="345"/>
      <c r="P247" s="345"/>
      <c r="Q247" s="345"/>
      <c r="R247" s="345"/>
      <c r="S247" s="345"/>
      <c r="T247" s="345"/>
      <c r="U247" s="345"/>
      <c r="V247" s="345"/>
      <c r="W247" s="345"/>
      <c r="X247" s="345"/>
      <c r="Y247" s="345"/>
      <c r="Z247" s="345"/>
    </row>
    <row r="248">
      <c r="A248" s="1027">
        <v>1.20382510968631E15</v>
      </c>
      <c r="B248" s="1021">
        <v>44950.0</v>
      </c>
      <c r="C248" s="345"/>
      <c r="D248" s="1021">
        <v>44970.0</v>
      </c>
      <c r="E248" s="345" t="s">
        <v>6212</v>
      </c>
      <c r="F248" s="345" t="s">
        <v>5922</v>
      </c>
      <c r="G248" s="345" t="s">
        <v>6439</v>
      </c>
      <c r="H248" s="1020" t="s">
        <v>6439</v>
      </c>
      <c r="I248" s="345"/>
      <c r="J248" s="345"/>
      <c r="K248" s="345" t="s">
        <v>6576</v>
      </c>
      <c r="L248" s="345" t="s">
        <v>6577</v>
      </c>
      <c r="M248" s="345" t="s">
        <v>215</v>
      </c>
      <c r="N248" s="345"/>
      <c r="O248" s="345"/>
      <c r="P248" s="345"/>
      <c r="Q248" s="345"/>
      <c r="R248" s="345"/>
      <c r="S248" s="345"/>
      <c r="T248" s="345"/>
      <c r="U248" s="345"/>
      <c r="V248" s="345"/>
      <c r="W248" s="345"/>
      <c r="X248" s="345"/>
      <c r="Y248" s="345"/>
      <c r="Z248" s="345"/>
    </row>
    <row r="249">
      <c r="A249" s="1027">
        <v>1.20364271306295E15</v>
      </c>
      <c r="B249" s="1021">
        <v>44929.0</v>
      </c>
      <c r="C249" s="345"/>
      <c r="D249" s="1021">
        <v>44970.0</v>
      </c>
      <c r="E249" s="345" t="s">
        <v>6579</v>
      </c>
      <c r="F249" s="345" t="s">
        <v>5922</v>
      </c>
      <c r="G249" s="345" t="s">
        <v>6439</v>
      </c>
      <c r="H249" s="1020" t="s">
        <v>6439</v>
      </c>
      <c r="I249" s="345"/>
      <c r="J249" s="345"/>
      <c r="K249" s="345" t="s">
        <v>6223</v>
      </c>
      <c r="L249" s="345" t="s">
        <v>6581</v>
      </c>
      <c r="M249" s="345" t="s">
        <v>215</v>
      </c>
      <c r="N249" s="345"/>
      <c r="O249" s="345"/>
      <c r="P249" s="345"/>
      <c r="Q249" s="345"/>
      <c r="R249" s="345"/>
      <c r="S249" s="345"/>
      <c r="T249" s="345"/>
      <c r="U249" s="345"/>
      <c r="V249" s="345"/>
      <c r="W249" s="345"/>
      <c r="X249" s="345"/>
      <c r="Y249" s="345"/>
      <c r="Z249" s="345"/>
    </row>
    <row r="250">
      <c r="A250" s="345" t="s">
        <v>6583</v>
      </c>
      <c r="B250" s="1021">
        <v>44923.0</v>
      </c>
      <c r="C250" s="345"/>
      <c r="D250" s="1021">
        <v>44970.0</v>
      </c>
      <c r="E250" s="345" t="s">
        <v>6528</v>
      </c>
      <c r="F250" s="345" t="s">
        <v>5922</v>
      </c>
      <c r="G250" s="345" t="s">
        <v>6439</v>
      </c>
      <c r="H250" s="1020" t="s">
        <v>6439</v>
      </c>
      <c r="I250" s="345"/>
      <c r="J250" s="345"/>
      <c r="K250" s="345" t="s">
        <v>5863</v>
      </c>
      <c r="L250" s="1100" t="s">
        <v>6585</v>
      </c>
      <c r="M250" s="345" t="s">
        <v>215</v>
      </c>
      <c r="N250" s="345"/>
      <c r="O250" s="345"/>
      <c r="P250" s="345"/>
      <c r="Q250" s="345"/>
      <c r="R250" s="345"/>
      <c r="S250" s="345"/>
      <c r="T250" s="345"/>
      <c r="U250" s="345"/>
      <c r="V250" s="345"/>
      <c r="W250" s="345"/>
      <c r="X250" s="345"/>
      <c r="Y250" s="345"/>
      <c r="Z250" s="345"/>
    </row>
    <row r="251">
      <c r="A251" s="345" t="s">
        <v>6588</v>
      </c>
      <c r="B251" s="1021">
        <v>44921.0</v>
      </c>
      <c r="C251" s="345"/>
      <c r="D251" s="1021">
        <v>44969.0</v>
      </c>
      <c r="E251" s="345" t="s">
        <v>6589</v>
      </c>
      <c r="F251" s="345" t="s">
        <v>5922</v>
      </c>
      <c r="G251" s="345" t="s">
        <v>5611</v>
      </c>
      <c r="H251" s="1020" t="s">
        <v>5611</v>
      </c>
      <c r="I251" s="345"/>
      <c r="J251" s="345"/>
      <c r="K251" s="345" t="s">
        <v>6110</v>
      </c>
      <c r="L251" s="345" t="s">
        <v>6590</v>
      </c>
      <c r="M251" s="345" t="s">
        <v>215</v>
      </c>
      <c r="N251" s="345"/>
      <c r="O251" s="345"/>
      <c r="P251" s="345"/>
      <c r="Q251" s="345"/>
      <c r="R251" s="345"/>
      <c r="S251" s="345"/>
      <c r="T251" s="345"/>
      <c r="U251" s="345"/>
      <c r="V251" s="345"/>
      <c r="W251" s="345"/>
      <c r="X251" s="345"/>
      <c r="Y251" s="345"/>
      <c r="Z251" s="345"/>
    </row>
    <row r="252">
      <c r="A252" s="345" t="s">
        <v>6591</v>
      </c>
      <c r="B252" s="1021">
        <v>44936.0</v>
      </c>
      <c r="C252" s="345"/>
      <c r="D252" s="1021">
        <v>44969.0</v>
      </c>
      <c r="E252" s="345" t="s">
        <v>5905</v>
      </c>
      <c r="F252" s="345" t="s">
        <v>5922</v>
      </c>
      <c r="G252" s="345" t="s">
        <v>6439</v>
      </c>
      <c r="H252" s="1020" t="s">
        <v>6439</v>
      </c>
      <c r="I252" s="345"/>
      <c r="J252" s="345"/>
      <c r="K252" s="345" t="s">
        <v>5858</v>
      </c>
      <c r="L252" s="345" t="s">
        <v>6592</v>
      </c>
      <c r="M252" s="345" t="s">
        <v>215</v>
      </c>
      <c r="N252" s="345"/>
      <c r="O252" s="345"/>
      <c r="P252" s="345"/>
      <c r="Q252" s="345"/>
      <c r="R252" s="345"/>
      <c r="S252" s="345"/>
      <c r="T252" s="345"/>
      <c r="U252" s="345"/>
      <c r="V252" s="345"/>
      <c r="W252" s="345"/>
      <c r="X252" s="345"/>
      <c r="Y252" s="345"/>
      <c r="Z252" s="345"/>
    </row>
    <row r="253">
      <c r="A253" s="345" t="s">
        <v>6593</v>
      </c>
      <c r="B253" s="1021">
        <v>44946.0</v>
      </c>
      <c r="C253" s="345"/>
      <c r="D253" s="1021">
        <v>44969.0</v>
      </c>
      <c r="E253" s="345" t="s">
        <v>6342</v>
      </c>
      <c r="F253" s="345" t="s">
        <v>5922</v>
      </c>
      <c r="G253" s="345" t="s">
        <v>6439</v>
      </c>
      <c r="H253" s="1020" t="s">
        <v>6439</v>
      </c>
      <c r="I253" s="345"/>
      <c r="J253" s="345"/>
      <c r="K253" s="345" t="s">
        <v>6219</v>
      </c>
      <c r="L253" s="345" t="s">
        <v>6594</v>
      </c>
      <c r="M253" s="345" t="s">
        <v>215</v>
      </c>
      <c r="N253" s="345"/>
      <c r="O253" s="345"/>
      <c r="P253" s="345"/>
      <c r="Q253" s="345"/>
      <c r="R253" s="345"/>
      <c r="S253" s="345"/>
      <c r="T253" s="345"/>
      <c r="U253" s="345"/>
      <c r="V253" s="345"/>
      <c r="W253" s="345"/>
      <c r="X253" s="345"/>
      <c r="Y253" s="345"/>
      <c r="Z253" s="345"/>
    </row>
    <row r="254">
      <c r="A254" s="345" t="s">
        <v>6596</v>
      </c>
      <c r="B254" s="1021">
        <v>44946.0</v>
      </c>
      <c r="C254" s="345"/>
      <c r="D254" s="1021">
        <v>44966.0</v>
      </c>
      <c r="E254" s="345" t="s">
        <v>6597</v>
      </c>
      <c r="F254" s="345" t="s">
        <v>5922</v>
      </c>
      <c r="G254" s="345" t="s">
        <v>6439</v>
      </c>
      <c r="H254" s="1020" t="s">
        <v>6439</v>
      </c>
      <c r="I254" s="345"/>
      <c r="J254" s="345"/>
      <c r="K254" s="345" t="s">
        <v>6031</v>
      </c>
      <c r="L254" s="345" t="s">
        <v>6598</v>
      </c>
      <c r="M254" s="345" t="s">
        <v>215</v>
      </c>
      <c r="N254" s="345"/>
      <c r="O254" s="345"/>
      <c r="P254" s="345"/>
      <c r="Q254" s="345"/>
      <c r="R254" s="345"/>
      <c r="S254" s="345"/>
      <c r="T254" s="345"/>
      <c r="U254" s="345"/>
      <c r="V254" s="345"/>
      <c r="W254" s="345"/>
      <c r="X254" s="345"/>
      <c r="Y254" s="345"/>
      <c r="Z254" s="345"/>
    </row>
    <row r="255">
      <c r="A255" s="345" t="s">
        <v>6599</v>
      </c>
      <c r="B255" s="1021">
        <v>44921.0</v>
      </c>
      <c r="C255" s="345"/>
      <c r="D255" s="1021">
        <v>44966.0</v>
      </c>
      <c r="E255" s="345" t="s">
        <v>6600</v>
      </c>
      <c r="F255" s="345" t="s">
        <v>5922</v>
      </c>
      <c r="G255" s="345" t="s">
        <v>5611</v>
      </c>
      <c r="H255" s="1020" t="s">
        <v>5611</v>
      </c>
      <c r="I255" s="345"/>
      <c r="J255" s="345"/>
      <c r="K255" s="345" t="s">
        <v>5863</v>
      </c>
      <c r="L255" s="345" t="s">
        <v>6602</v>
      </c>
      <c r="M255" s="345" t="s">
        <v>215</v>
      </c>
      <c r="N255" s="345"/>
      <c r="O255" s="345"/>
      <c r="P255" s="345"/>
      <c r="Q255" s="345"/>
      <c r="R255" s="345"/>
      <c r="S255" s="345"/>
      <c r="T255" s="345"/>
      <c r="U255" s="345"/>
      <c r="V255" s="345"/>
      <c r="W255" s="345"/>
      <c r="X255" s="345"/>
      <c r="Y255" s="345"/>
      <c r="Z255" s="345"/>
    </row>
    <row r="256">
      <c r="A256" s="1027">
        <v>1.20378951612182E15</v>
      </c>
      <c r="B256" s="1021">
        <v>44946.0</v>
      </c>
      <c r="C256" s="345"/>
      <c r="D256" s="1021">
        <v>44966.0</v>
      </c>
      <c r="E256" s="345" t="s">
        <v>5928</v>
      </c>
      <c r="F256" s="345" t="s">
        <v>5922</v>
      </c>
      <c r="G256" s="345" t="s">
        <v>6439</v>
      </c>
      <c r="H256" s="1020" t="s">
        <v>6439</v>
      </c>
      <c r="I256" s="345"/>
      <c r="J256" s="345"/>
      <c r="K256" s="345" t="s">
        <v>6031</v>
      </c>
      <c r="L256" s="345" t="s">
        <v>6604</v>
      </c>
      <c r="M256" s="345" t="s">
        <v>215</v>
      </c>
      <c r="N256" s="345"/>
      <c r="O256" s="345"/>
      <c r="P256" s="345"/>
      <c r="Q256" s="345"/>
      <c r="R256" s="345"/>
      <c r="S256" s="345"/>
      <c r="T256" s="345"/>
      <c r="U256" s="345"/>
      <c r="V256" s="345"/>
      <c r="W256" s="345"/>
      <c r="X256" s="345"/>
      <c r="Y256" s="345"/>
      <c r="Z256" s="345"/>
    </row>
    <row r="257">
      <c r="A257" s="345" t="s">
        <v>6605</v>
      </c>
      <c r="B257" s="1021">
        <v>44936.0</v>
      </c>
      <c r="C257" s="345"/>
      <c r="D257" s="1021">
        <v>45015.0</v>
      </c>
      <c r="E257" s="345" t="s">
        <v>6133</v>
      </c>
      <c r="F257" s="345" t="s">
        <v>5922</v>
      </c>
      <c r="G257" s="345"/>
      <c r="H257" s="345"/>
      <c r="I257" s="345"/>
      <c r="J257" s="345"/>
      <c r="K257" s="345" t="s">
        <v>6373</v>
      </c>
      <c r="L257" s="345" t="s">
        <v>6607</v>
      </c>
      <c r="M257" s="345" t="s">
        <v>215</v>
      </c>
      <c r="N257" s="345"/>
      <c r="O257" s="345"/>
      <c r="P257" s="345"/>
      <c r="Q257" s="345"/>
      <c r="R257" s="345"/>
      <c r="S257" s="345"/>
      <c r="T257" s="345"/>
      <c r="U257" s="345"/>
      <c r="V257" s="345"/>
      <c r="W257" s="345"/>
      <c r="X257" s="345"/>
      <c r="Y257" s="345"/>
      <c r="Z257" s="345"/>
    </row>
    <row r="258">
      <c r="A258" s="345" t="s">
        <v>6609</v>
      </c>
      <c r="B258" s="1021">
        <v>44929.0</v>
      </c>
      <c r="C258" s="345"/>
      <c r="D258" s="1021">
        <v>44965.0</v>
      </c>
      <c r="E258" s="345" t="s">
        <v>6610</v>
      </c>
      <c r="F258" s="345" t="s">
        <v>5922</v>
      </c>
      <c r="G258" s="345" t="s">
        <v>6439</v>
      </c>
      <c r="H258" s="1020" t="s">
        <v>6439</v>
      </c>
      <c r="I258" s="345"/>
      <c r="J258" s="345"/>
      <c r="K258" s="345" t="s">
        <v>6223</v>
      </c>
      <c r="L258" s="345" t="s">
        <v>6611</v>
      </c>
      <c r="M258" s="345" t="s">
        <v>215</v>
      </c>
      <c r="N258" s="345"/>
      <c r="O258" s="345"/>
      <c r="P258" s="345"/>
      <c r="Q258" s="345"/>
      <c r="R258" s="345"/>
      <c r="S258" s="345"/>
      <c r="T258" s="345"/>
      <c r="U258" s="345"/>
      <c r="V258" s="345"/>
      <c r="W258" s="345"/>
      <c r="X258" s="345"/>
      <c r="Y258" s="345"/>
      <c r="Z258" s="345"/>
    </row>
    <row r="259">
      <c r="A259" s="345" t="s">
        <v>6612</v>
      </c>
      <c r="B259" s="1021">
        <v>44946.0</v>
      </c>
      <c r="C259" s="345"/>
      <c r="D259" s="1021">
        <v>44965.0</v>
      </c>
      <c r="E259" s="345" t="s">
        <v>6335</v>
      </c>
      <c r="F259" s="345" t="s">
        <v>5922</v>
      </c>
      <c r="G259" s="345" t="s">
        <v>6439</v>
      </c>
      <c r="H259" s="1020" t="s">
        <v>6439</v>
      </c>
      <c r="I259" s="345"/>
      <c r="J259" s="345"/>
      <c r="K259" s="345" t="s">
        <v>6219</v>
      </c>
      <c r="L259" s="345" t="s">
        <v>6613</v>
      </c>
      <c r="M259" s="345" t="s">
        <v>215</v>
      </c>
      <c r="N259" s="345"/>
      <c r="O259" s="345"/>
      <c r="P259" s="345"/>
      <c r="Q259" s="345"/>
      <c r="R259" s="345"/>
      <c r="S259" s="345"/>
      <c r="T259" s="345"/>
      <c r="U259" s="345"/>
      <c r="V259" s="345"/>
      <c r="W259" s="345"/>
      <c r="X259" s="345"/>
      <c r="Y259" s="345"/>
      <c r="Z259" s="345"/>
    </row>
    <row r="260">
      <c r="A260" s="345" t="s">
        <v>6614</v>
      </c>
      <c r="B260" s="1021">
        <v>44921.0</v>
      </c>
      <c r="C260" s="345"/>
      <c r="D260" s="1021">
        <v>44965.0</v>
      </c>
      <c r="E260" s="345" t="s">
        <v>6522</v>
      </c>
      <c r="F260" s="345" t="s">
        <v>5922</v>
      </c>
      <c r="G260" s="345" t="s">
        <v>6439</v>
      </c>
      <c r="H260" s="1020" t="s">
        <v>6439</v>
      </c>
      <c r="I260" s="345"/>
      <c r="J260" s="345"/>
      <c r="K260" s="345" t="s">
        <v>6561</v>
      </c>
      <c r="L260" s="345" t="s">
        <v>6615</v>
      </c>
      <c r="M260" s="345" t="s">
        <v>215</v>
      </c>
      <c r="N260" s="345"/>
      <c r="O260" s="345"/>
      <c r="P260" s="345"/>
      <c r="Q260" s="345"/>
      <c r="R260" s="345"/>
      <c r="S260" s="345"/>
      <c r="T260" s="345"/>
      <c r="U260" s="345"/>
      <c r="V260" s="345"/>
      <c r="W260" s="345"/>
      <c r="X260" s="345"/>
      <c r="Y260" s="345"/>
      <c r="Z260" s="345"/>
    </row>
    <row r="261">
      <c r="A261" s="345" t="s">
        <v>6616</v>
      </c>
      <c r="B261" s="1021">
        <v>44929.0</v>
      </c>
      <c r="C261" s="345"/>
      <c r="D261" s="1021">
        <v>44965.0</v>
      </c>
      <c r="E261" s="345" t="s">
        <v>6584</v>
      </c>
      <c r="F261" s="345" t="s">
        <v>5922</v>
      </c>
      <c r="G261" s="345" t="s">
        <v>6439</v>
      </c>
      <c r="H261" s="1020" t="s">
        <v>6439</v>
      </c>
      <c r="I261" s="345"/>
      <c r="J261" s="345"/>
      <c r="K261" s="345" t="s">
        <v>5894</v>
      </c>
      <c r="L261" s="345" t="s">
        <v>6617</v>
      </c>
      <c r="M261" s="345" t="s">
        <v>215</v>
      </c>
      <c r="N261" s="345"/>
      <c r="O261" s="345"/>
      <c r="P261" s="345"/>
      <c r="Q261" s="345"/>
      <c r="R261" s="345"/>
      <c r="S261" s="345"/>
      <c r="T261" s="345"/>
      <c r="U261" s="345"/>
      <c r="V261" s="345"/>
      <c r="W261" s="345"/>
      <c r="X261" s="345"/>
      <c r="Y261" s="345"/>
      <c r="Z261" s="345"/>
    </row>
    <row r="262">
      <c r="A262" s="345" t="s">
        <v>6618</v>
      </c>
      <c r="B262" s="1021">
        <v>44921.0</v>
      </c>
      <c r="C262" s="345"/>
      <c r="D262" s="1021">
        <v>44964.0</v>
      </c>
      <c r="E262" s="345" t="s">
        <v>6620</v>
      </c>
      <c r="F262" s="345" t="s">
        <v>5922</v>
      </c>
      <c r="G262" s="345" t="s">
        <v>5611</v>
      </c>
      <c r="H262" s="1020" t="s">
        <v>5611</v>
      </c>
      <c r="I262" s="345"/>
      <c r="J262" s="345"/>
      <c r="K262" s="345" t="s">
        <v>6110</v>
      </c>
      <c r="L262" s="345" t="s">
        <v>6621</v>
      </c>
      <c r="M262" s="345" t="s">
        <v>215</v>
      </c>
      <c r="N262" s="345"/>
      <c r="O262" s="345"/>
      <c r="P262" s="345"/>
      <c r="Q262" s="345"/>
      <c r="R262" s="345"/>
      <c r="S262" s="345"/>
      <c r="T262" s="345"/>
      <c r="U262" s="345"/>
      <c r="V262" s="345"/>
      <c r="W262" s="345"/>
      <c r="X262" s="345"/>
      <c r="Y262" s="345"/>
      <c r="Z262" s="345"/>
    </row>
    <row r="263">
      <c r="A263" s="345" t="s">
        <v>6623</v>
      </c>
      <c r="B263" s="1021">
        <v>44921.0</v>
      </c>
      <c r="C263" s="345"/>
      <c r="D263" s="1021">
        <v>44964.0</v>
      </c>
      <c r="E263" s="345" t="s">
        <v>6624</v>
      </c>
      <c r="F263" s="345" t="s">
        <v>5922</v>
      </c>
      <c r="G263" s="345" t="s">
        <v>5611</v>
      </c>
      <c r="H263" s="1020" t="s">
        <v>5611</v>
      </c>
      <c r="I263" s="345"/>
      <c r="J263" s="345"/>
      <c r="K263" s="345" t="s">
        <v>6110</v>
      </c>
      <c r="L263" s="345" t="s">
        <v>6625</v>
      </c>
      <c r="M263" s="345" t="s">
        <v>215</v>
      </c>
      <c r="N263" s="345"/>
      <c r="O263" s="345"/>
      <c r="P263" s="345"/>
      <c r="Q263" s="345"/>
      <c r="R263" s="345"/>
      <c r="S263" s="345"/>
      <c r="T263" s="345"/>
      <c r="U263" s="345"/>
      <c r="V263" s="345"/>
      <c r="W263" s="345"/>
      <c r="X263" s="345"/>
      <c r="Y263" s="345"/>
      <c r="Z263" s="345"/>
    </row>
    <row r="264">
      <c r="A264" s="345" t="s">
        <v>6627</v>
      </c>
      <c r="B264" s="1021">
        <v>44929.0</v>
      </c>
      <c r="C264" s="345"/>
      <c r="D264" s="1021">
        <v>44964.0</v>
      </c>
      <c r="E264" s="345" t="s">
        <v>6628</v>
      </c>
      <c r="F264" s="345" t="s">
        <v>5922</v>
      </c>
      <c r="G264" s="345" t="s">
        <v>6439</v>
      </c>
      <c r="H264" s="1020" t="s">
        <v>6439</v>
      </c>
      <c r="I264" s="345"/>
      <c r="J264" s="345"/>
      <c r="K264" s="345" t="s">
        <v>6223</v>
      </c>
      <c r="L264" s="345" t="s">
        <v>6629</v>
      </c>
      <c r="M264" s="345" t="s">
        <v>215</v>
      </c>
      <c r="N264" s="345"/>
      <c r="O264" s="345"/>
      <c r="P264" s="345"/>
      <c r="Q264" s="345"/>
      <c r="R264" s="345"/>
      <c r="S264" s="345"/>
      <c r="T264" s="345"/>
      <c r="U264" s="345"/>
      <c r="V264" s="345"/>
      <c r="W264" s="345"/>
      <c r="X264" s="345"/>
      <c r="Y264" s="345"/>
      <c r="Z264" s="345"/>
    </row>
    <row r="265">
      <c r="A265" s="345" t="s">
        <v>6630</v>
      </c>
      <c r="B265" s="1021">
        <v>44915.0</v>
      </c>
      <c r="C265" s="345"/>
      <c r="D265" s="1021">
        <v>44964.0</v>
      </c>
      <c r="E265" s="345" t="s">
        <v>6631</v>
      </c>
      <c r="F265" s="345" t="s">
        <v>5922</v>
      </c>
      <c r="G265" s="345" t="s">
        <v>6439</v>
      </c>
      <c r="H265" s="1020" t="s">
        <v>6439</v>
      </c>
      <c r="I265" s="345"/>
      <c r="J265" s="345"/>
      <c r="K265" s="345" t="s">
        <v>6632</v>
      </c>
      <c r="L265" s="345" t="s">
        <v>6633</v>
      </c>
      <c r="M265" s="345" t="s">
        <v>215</v>
      </c>
      <c r="N265" s="345"/>
      <c r="O265" s="345"/>
      <c r="P265" s="345"/>
      <c r="Q265" s="345"/>
      <c r="R265" s="345"/>
      <c r="S265" s="345"/>
      <c r="T265" s="345"/>
      <c r="U265" s="345"/>
      <c r="V265" s="345"/>
      <c r="W265" s="345"/>
      <c r="X265" s="345"/>
      <c r="Y265" s="345"/>
      <c r="Z265" s="345"/>
    </row>
    <row r="266">
      <c r="A266" s="345" t="s">
        <v>6634</v>
      </c>
      <c r="B266" s="1021">
        <v>44936.0</v>
      </c>
      <c r="C266" s="345"/>
      <c r="D266" s="1021">
        <v>44963.0</v>
      </c>
      <c r="E266" s="345" t="s">
        <v>5883</v>
      </c>
      <c r="F266" s="345" t="s">
        <v>5922</v>
      </c>
      <c r="G266" s="345" t="s">
        <v>6439</v>
      </c>
      <c r="H266" s="1020" t="s">
        <v>6439</v>
      </c>
      <c r="I266" s="345"/>
      <c r="J266" s="345"/>
      <c r="K266" s="345" t="s">
        <v>5858</v>
      </c>
      <c r="L266" s="345" t="s">
        <v>6636</v>
      </c>
      <c r="M266" s="345" t="s">
        <v>215</v>
      </c>
      <c r="N266" s="345"/>
      <c r="O266" s="345"/>
      <c r="P266" s="345"/>
      <c r="Q266" s="345"/>
      <c r="R266" s="345"/>
      <c r="S266" s="345"/>
      <c r="T266" s="345"/>
      <c r="U266" s="345"/>
      <c r="V266" s="345"/>
      <c r="W266" s="345"/>
      <c r="X266" s="345"/>
      <c r="Y266" s="345"/>
      <c r="Z266" s="345"/>
    </row>
    <row r="267">
      <c r="A267" s="1027">
        <v>1.20378965914664E15</v>
      </c>
      <c r="B267" s="1021">
        <v>44946.0</v>
      </c>
      <c r="C267" s="345"/>
      <c r="D267" s="1021">
        <v>44963.0</v>
      </c>
      <c r="E267" s="345" t="s">
        <v>6637</v>
      </c>
      <c r="F267" s="345" t="s">
        <v>5922</v>
      </c>
      <c r="G267" s="345" t="s">
        <v>6439</v>
      </c>
      <c r="H267" s="1020" t="s">
        <v>6439</v>
      </c>
      <c r="I267" s="345"/>
      <c r="J267" s="345"/>
      <c r="K267" s="345" t="s">
        <v>6219</v>
      </c>
      <c r="L267" s="345" t="s">
        <v>6638</v>
      </c>
      <c r="M267" s="345" t="s">
        <v>215</v>
      </c>
      <c r="N267" s="345"/>
      <c r="O267" s="345"/>
      <c r="P267" s="345"/>
      <c r="Q267" s="345"/>
      <c r="R267" s="345"/>
      <c r="S267" s="345"/>
      <c r="T267" s="345"/>
      <c r="U267" s="345"/>
      <c r="V267" s="345"/>
      <c r="W267" s="345"/>
      <c r="X267" s="345"/>
      <c r="Y267" s="345"/>
      <c r="Z267" s="345"/>
    </row>
    <row r="268">
      <c r="A268" s="345" t="s">
        <v>6639</v>
      </c>
      <c r="B268" s="1021">
        <v>44921.0</v>
      </c>
      <c r="C268" s="345"/>
      <c r="D268" s="1021">
        <v>44963.0</v>
      </c>
      <c r="E268" s="345" t="s">
        <v>6640</v>
      </c>
      <c r="F268" s="345" t="s">
        <v>5922</v>
      </c>
      <c r="G268" s="345" t="s">
        <v>6439</v>
      </c>
      <c r="H268" s="1020" t="s">
        <v>6439</v>
      </c>
      <c r="I268" s="345"/>
      <c r="J268" s="345"/>
      <c r="K268" s="345" t="s">
        <v>5868</v>
      </c>
      <c r="L268" s="345" t="s">
        <v>6641</v>
      </c>
      <c r="M268" s="345" t="s">
        <v>215</v>
      </c>
      <c r="N268" s="345"/>
      <c r="O268" s="345"/>
      <c r="P268" s="345"/>
      <c r="Q268" s="345"/>
      <c r="R268" s="345"/>
      <c r="S268" s="345"/>
      <c r="T268" s="345"/>
      <c r="U268" s="345"/>
      <c r="V268" s="345"/>
      <c r="W268" s="345"/>
      <c r="X268" s="345"/>
      <c r="Y268" s="345"/>
      <c r="Z268" s="345"/>
    </row>
    <row r="269">
      <c r="A269" s="345" t="s">
        <v>6642</v>
      </c>
      <c r="B269" s="1021">
        <v>44921.0</v>
      </c>
      <c r="C269" s="345"/>
      <c r="D269" s="1021">
        <v>44963.0</v>
      </c>
      <c r="E269" s="345" t="s">
        <v>6643</v>
      </c>
      <c r="F269" s="345" t="s">
        <v>5922</v>
      </c>
      <c r="G269" s="345" t="s">
        <v>6439</v>
      </c>
      <c r="H269" s="1020" t="s">
        <v>6439</v>
      </c>
      <c r="I269" s="345"/>
      <c r="J269" s="345"/>
      <c r="K269" s="345" t="s">
        <v>5868</v>
      </c>
      <c r="L269" s="345" t="s">
        <v>6644</v>
      </c>
      <c r="M269" s="345" t="s">
        <v>215</v>
      </c>
      <c r="N269" s="345"/>
      <c r="O269" s="345"/>
      <c r="P269" s="345"/>
      <c r="Q269" s="345"/>
      <c r="R269" s="345"/>
      <c r="S269" s="345"/>
      <c r="T269" s="345"/>
      <c r="U269" s="345"/>
      <c r="V269" s="345"/>
      <c r="W269" s="345"/>
      <c r="X269" s="345"/>
      <c r="Y269" s="345"/>
      <c r="Z269" s="345"/>
    </row>
    <row r="270">
      <c r="A270" s="345" t="s">
        <v>6646</v>
      </c>
      <c r="B270" s="1021">
        <v>44921.0</v>
      </c>
      <c r="C270" s="345"/>
      <c r="D270" s="1021">
        <v>44963.0</v>
      </c>
      <c r="E270" s="345" t="s">
        <v>6647</v>
      </c>
      <c r="F270" s="345" t="s">
        <v>5922</v>
      </c>
      <c r="G270" s="345" t="s">
        <v>6439</v>
      </c>
      <c r="H270" s="1020" t="s">
        <v>6439</v>
      </c>
      <c r="I270" s="345"/>
      <c r="J270" s="345"/>
      <c r="K270" s="345" t="s">
        <v>5868</v>
      </c>
      <c r="L270" s="345" t="s">
        <v>6648</v>
      </c>
      <c r="M270" s="345" t="s">
        <v>215</v>
      </c>
      <c r="N270" s="345"/>
      <c r="O270" s="345"/>
      <c r="P270" s="345"/>
      <c r="Q270" s="345"/>
      <c r="R270" s="345"/>
      <c r="S270" s="345"/>
      <c r="T270" s="345"/>
      <c r="U270" s="345"/>
      <c r="V270" s="345"/>
      <c r="W270" s="345"/>
      <c r="X270" s="345"/>
      <c r="Y270" s="345"/>
      <c r="Z270" s="345"/>
    </row>
    <row r="271">
      <c r="A271" s="345" t="s">
        <v>6649</v>
      </c>
      <c r="B271" s="1021">
        <v>44921.0</v>
      </c>
      <c r="C271" s="345"/>
      <c r="D271" s="1021">
        <v>44963.0</v>
      </c>
      <c r="E271" s="345" t="s">
        <v>6650</v>
      </c>
      <c r="F271" s="345" t="s">
        <v>5922</v>
      </c>
      <c r="G271" s="345" t="s">
        <v>5611</v>
      </c>
      <c r="H271" s="1020" t="s">
        <v>5611</v>
      </c>
      <c r="I271" s="345"/>
      <c r="J271" s="345"/>
      <c r="K271" s="345" t="s">
        <v>6651</v>
      </c>
      <c r="L271" s="345" t="s">
        <v>6652</v>
      </c>
      <c r="M271" s="345" t="s">
        <v>215</v>
      </c>
      <c r="N271" s="345"/>
      <c r="O271" s="345"/>
      <c r="P271" s="345"/>
      <c r="Q271" s="345"/>
      <c r="R271" s="345"/>
      <c r="S271" s="345"/>
      <c r="T271" s="345"/>
      <c r="U271" s="345"/>
      <c r="V271" s="345"/>
      <c r="W271" s="345"/>
      <c r="X271" s="345"/>
      <c r="Y271" s="345"/>
      <c r="Z271" s="345"/>
    </row>
    <row r="272">
      <c r="A272" s="345" t="s">
        <v>6653</v>
      </c>
      <c r="B272" s="1021">
        <v>44937.0</v>
      </c>
      <c r="C272" s="345"/>
      <c r="D272" s="1021">
        <v>44963.0</v>
      </c>
      <c r="E272" s="345" t="s">
        <v>6655</v>
      </c>
      <c r="F272" s="345" t="s">
        <v>5922</v>
      </c>
      <c r="G272" s="345" t="s">
        <v>6439</v>
      </c>
      <c r="H272" s="1020" t="s">
        <v>6439</v>
      </c>
      <c r="I272" s="345"/>
      <c r="J272" s="345"/>
      <c r="K272" s="345" t="s">
        <v>6050</v>
      </c>
      <c r="L272" s="345" t="s">
        <v>6656</v>
      </c>
      <c r="M272" s="345" t="s">
        <v>215</v>
      </c>
      <c r="N272" s="345"/>
      <c r="O272" s="345"/>
      <c r="P272" s="345"/>
      <c r="Q272" s="345"/>
      <c r="R272" s="345"/>
      <c r="S272" s="345"/>
      <c r="T272" s="345"/>
      <c r="U272" s="345"/>
      <c r="V272" s="345"/>
      <c r="W272" s="345"/>
      <c r="X272" s="345"/>
      <c r="Y272" s="345"/>
      <c r="Z272" s="345"/>
    </row>
    <row r="273">
      <c r="A273" s="345" t="s">
        <v>6657</v>
      </c>
      <c r="B273" s="1021">
        <v>44950.0</v>
      </c>
      <c r="C273" s="345"/>
      <c r="D273" s="1021">
        <v>44963.0</v>
      </c>
      <c r="E273" s="345" t="s">
        <v>6203</v>
      </c>
      <c r="F273" s="345" t="s">
        <v>5922</v>
      </c>
      <c r="G273" s="345" t="s">
        <v>6439</v>
      </c>
      <c r="H273" s="1020" t="s">
        <v>6439</v>
      </c>
      <c r="I273" s="345"/>
      <c r="J273" s="345"/>
      <c r="K273" s="345" t="s">
        <v>6576</v>
      </c>
      <c r="L273" s="345" t="s">
        <v>6658</v>
      </c>
      <c r="M273" s="345" t="s">
        <v>215</v>
      </c>
      <c r="N273" s="345"/>
      <c r="O273" s="345"/>
      <c r="P273" s="345"/>
      <c r="Q273" s="345"/>
      <c r="R273" s="345"/>
      <c r="S273" s="345"/>
      <c r="T273" s="345"/>
      <c r="U273" s="345"/>
      <c r="V273" s="345"/>
      <c r="W273" s="345"/>
      <c r="X273" s="345"/>
      <c r="Y273" s="345"/>
      <c r="Z273" s="345"/>
    </row>
    <row r="274">
      <c r="A274" s="345" t="s">
        <v>6659</v>
      </c>
      <c r="B274" s="1021">
        <v>44921.0</v>
      </c>
      <c r="C274" s="345"/>
      <c r="D274" s="1021">
        <v>44960.0</v>
      </c>
      <c r="E274" s="345" t="s">
        <v>6660</v>
      </c>
      <c r="F274" s="345" t="s">
        <v>5922</v>
      </c>
      <c r="G274" s="345" t="s">
        <v>5611</v>
      </c>
      <c r="H274" s="1020" t="s">
        <v>5611</v>
      </c>
      <c r="I274" s="345"/>
      <c r="J274" s="345"/>
      <c r="K274" s="345" t="s">
        <v>6110</v>
      </c>
      <c r="L274" s="345" t="s">
        <v>6662</v>
      </c>
      <c r="M274" s="345" t="s">
        <v>215</v>
      </c>
      <c r="N274" s="345"/>
      <c r="O274" s="345"/>
      <c r="P274" s="345"/>
      <c r="Q274" s="345"/>
      <c r="R274" s="345"/>
      <c r="S274" s="345"/>
      <c r="T274" s="345"/>
      <c r="U274" s="345"/>
      <c r="V274" s="345"/>
      <c r="W274" s="345"/>
      <c r="X274" s="345"/>
      <c r="Y274" s="345"/>
      <c r="Z274" s="345"/>
    </row>
    <row r="275">
      <c r="A275" s="345" t="s">
        <v>6663</v>
      </c>
      <c r="B275" s="1021">
        <v>44929.0</v>
      </c>
      <c r="C275" s="345"/>
      <c r="D275" s="1021">
        <v>44960.0</v>
      </c>
      <c r="E275" s="345" t="s">
        <v>6664</v>
      </c>
      <c r="F275" s="345" t="s">
        <v>5922</v>
      </c>
      <c r="G275" s="345" t="s">
        <v>6439</v>
      </c>
      <c r="H275" s="1020" t="s">
        <v>6439</v>
      </c>
      <c r="I275" s="345"/>
      <c r="J275" s="345"/>
      <c r="K275" s="345" t="s">
        <v>6223</v>
      </c>
      <c r="L275" s="345" t="s">
        <v>6665</v>
      </c>
      <c r="M275" s="345" t="s">
        <v>215</v>
      </c>
      <c r="N275" s="345"/>
      <c r="O275" s="345"/>
      <c r="P275" s="345"/>
      <c r="Q275" s="345"/>
      <c r="R275" s="345"/>
      <c r="S275" s="345"/>
      <c r="T275" s="345"/>
      <c r="U275" s="345"/>
      <c r="V275" s="345"/>
      <c r="W275" s="345"/>
      <c r="X275" s="345"/>
      <c r="Y275" s="345"/>
      <c r="Z275" s="345"/>
    </row>
    <row r="276">
      <c r="A276" s="345" t="s">
        <v>6666</v>
      </c>
      <c r="B276" s="1021">
        <v>44921.0</v>
      </c>
      <c r="C276" s="345"/>
      <c r="D276" s="1021">
        <v>44959.0</v>
      </c>
      <c r="E276" s="345" t="s">
        <v>6667</v>
      </c>
      <c r="F276" s="345" t="s">
        <v>5922</v>
      </c>
      <c r="G276" s="345" t="s">
        <v>5611</v>
      </c>
      <c r="H276" s="1020" t="s">
        <v>5611</v>
      </c>
      <c r="I276" s="345"/>
      <c r="J276" s="345"/>
      <c r="K276" s="345" t="s">
        <v>6668</v>
      </c>
      <c r="L276" s="345" t="s">
        <v>6669</v>
      </c>
      <c r="M276" s="345" t="s">
        <v>215</v>
      </c>
      <c r="N276" s="345"/>
      <c r="O276" s="345"/>
      <c r="P276" s="345"/>
      <c r="Q276" s="345"/>
      <c r="R276" s="345"/>
      <c r="S276" s="345"/>
      <c r="T276" s="345"/>
      <c r="U276" s="345"/>
      <c r="V276" s="345"/>
      <c r="W276" s="345"/>
      <c r="X276" s="345"/>
      <c r="Y276" s="345"/>
      <c r="Z276" s="345"/>
    </row>
    <row r="277">
      <c r="A277" s="1027">
        <v>1.20370592291638E15</v>
      </c>
      <c r="B277" s="1021">
        <v>44937.0</v>
      </c>
      <c r="C277" s="345"/>
      <c r="D277" s="1021">
        <v>44959.0</v>
      </c>
      <c r="E277" s="345" t="s">
        <v>5893</v>
      </c>
      <c r="F277" s="345" t="s">
        <v>5922</v>
      </c>
      <c r="G277" s="345" t="s">
        <v>6439</v>
      </c>
      <c r="H277" s="1020" t="s">
        <v>6439</v>
      </c>
      <c r="I277" s="345"/>
      <c r="J277" s="345"/>
      <c r="K277" s="345" t="s">
        <v>5858</v>
      </c>
      <c r="L277" s="345" t="s">
        <v>6671</v>
      </c>
      <c r="M277" s="345" t="s">
        <v>215</v>
      </c>
      <c r="N277" s="345"/>
      <c r="O277" s="345"/>
      <c r="P277" s="345"/>
      <c r="Q277" s="345"/>
      <c r="R277" s="345"/>
      <c r="S277" s="345"/>
      <c r="T277" s="345"/>
      <c r="U277" s="345"/>
      <c r="V277" s="345"/>
      <c r="W277" s="345"/>
      <c r="X277" s="345"/>
      <c r="Y277" s="345"/>
      <c r="Z277" s="345"/>
    </row>
    <row r="278">
      <c r="A278" s="345" t="s">
        <v>6673</v>
      </c>
      <c r="B278" s="1021">
        <v>44921.0</v>
      </c>
      <c r="C278" s="345"/>
      <c r="D278" s="1021">
        <v>44959.0</v>
      </c>
      <c r="E278" s="345" t="s">
        <v>6674</v>
      </c>
      <c r="F278" s="345" t="s">
        <v>5922</v>
      </c>
      <c r="G278" s="345" t="s">
        <v>5611</v>
      </c>
      <c r="H278" s="1020" t="s">
        <v>5611</v>
      </c>
      <c r="I278" s="345"/>
      <c r="J278" s="345"/>
      <c r="K278" s="345" t="s">
        <v>5863</v>
      </c>
      <c r="L278" s="345" t="s">
        <v>6675</v>
      </c>
      <c r="M278" s="345" t="s">
        <v>215</v>
      </c>
      <c r="N278" s="345"/>
      <c r="O278" s="345"/>
      <c r="P278" s="345"/>
      <c r="Q278" s="345"/>
      <c r="R278" s="345"/>
      <c r="S278" s="345"/>
      <c r="T278" s="345"/>
      <c r="U278" s="345"/>
      <c r="V278" s="345"/>
      <c r="W278" s="345"/>
      <c r="X278" s="345"/>
      <c r="Y278" s="345"/>
      <c r="Z278" s="345"/>
    </row>
    <row r="279">
      <c r="A279" s="345" t="s">
        <v>6676</v>
      </c>
      <c r="B279" s="1021">
        <v>44946.0</v>
      </c>
      <c r="C279" s="345"/>
      <c r="D279" s="1021">
        <v>44959.0</v>
      </c>
      <c r="E279" s="345" t="s">
        <v>5924</v>
      </c>
      <c r="F279" s="345" t="s">
        <v>5922</v>
      </c>
      <c r="G279" s="345" t="s">
        <v>6439</v>
      </c>
      <c r="H279" s="1020" t="s">
        <v>6439</v>
      </c>
      <c r="I279" s="345"/>
      <c r="J279" s="345"/>
      <c r="K279" s="345" t="s">
        <v>6031</v>
      </c>
      <c r="L279" s="345" t="s">
        <v>6677</v>
      </c>
      <c r="M279" s="345" t="s">
        <v>215</v>
      </c>
      <c r="N279" s="345"/>
      <c r="O279" s="345"/>
      <c r="P279" s="345"/>
      <c r="Q279" s="345"/>
      <c r="R279" s="345"/>
      <c r="S279" s="345"/>
      <c r="T279" s="345"/>
      <c r="U279" s="345"/>
      <c r="V279" s="345"/>
      <c r="W279" s="345"/>
      <c r="X279" s="345"/>
      <c r="Y279" s="345"/>
      <c r="Z279" s="345"/>
    </row>
    <row r="280">
      <c r="A280" s="345" t="s">
        <v>6678</v>
      </c>
      <c r="B280" s="1021">
        <v>44946.0</v>
      </c>
      <c r="C280" s="345"/>
      <c r="D280" s="1021">
        <v>44959.0</v>
      </c>
      <c r="E280" s="345" t="s">
        <v>5917</v>
      </c>
      <c r="F280" s="345" t="s">
        <v>5922</v>
      </c>
      <c r="G280" s="345" t="s">
        <v>6439</v>
      </c>
      <c r="H280" s="1020" t="s">
        <v>6439</v>
      </c>
      <c r="I280" s="345"/>
      <c r="J280" s="345"/>
      <c r="K280" s="345" t="s">
        <v>6031</v>
      </c>
      <c r="L280" s="345" t="s">
        <v>6680</v>
      </c>
      <c r="M280" s="345" t="s">
        <v>215</v>
      </c>
      <c r="N280" s="345"/>
      <c r="O280" s="345"/>
      <c r="P280" s="345"/>
      <c r="Q280" s="345"/>
      <c r="R280" s="345"/>
      <c r="S280" s="345"/>
      <c r="T280" s="345"/>
      <c r="U280" s="345"/>
      <c r="V280" s="345"/>
      <c r="W280" s="345"/>
      <c r="X280" s="345"/>
      <c r="Y280" s="345"/>
      <c r="Z280" s="345"/>
    </row>
    <row r="281">
      <c r="A281" s="345" t="s">
        <v>6681</v>
      </c>
      <c r="B281" s="1021">
        <v>44921.0</v>
      </c>
      <c r="C281" s="345"/>
      <c r="D281" s="1021">
        <v>44957.0</v>
      </c>
      <c r="E281" s="345" t="s">
        <v>6682</v>
      </c>
      <c r="F281" s="345" t="s">
        <v>5922</v>
      </c>
      <c r="G281" s="345" t="s">
        <v>5611</v>
      </c>
      <c r="H281" s="1020" t="s">
        <v>5611</v>
      </c>
      <c r="I281" s="345"/>
      <c r="J281" s="345"/>
      <c r="K281" s="345" t="s">
        <v>6110</v>
      </c>
      <c r="L281" s="345" t="s">
        <v>6683</v>
      </c>
      <c r="M281" s="345" t="s">
        <v>215</v>
      </c>
      <c r="N281" s="345"/>
      <c r="O281" s="345"/>
      <c r="P281" s="345"/>
      <c r="Q281" s="345"/>
      <c r="R281" s="345"/>
      <c r="S281" s="345"/>
      <c r="T281" s="345"/>
      <c r="U281" s="345"/>
      <c r="V281" s="345"/>
      <c r="W281" s="345"/>
      <c r="X281" s="345"/>
      <c r="Y281" s="345"/>
      <c r="Z281" s="345"/>
    </row>
    <row r="282">
      <c r="A282" s="345" t="s">
        <v>6685</v>
      </c>
      <c r="B282" s="1021">
        <v>44936.0</v>
      </c>
      <c r="C282" s="345"/>
      <c r="D282" s="1021">
        <v>44957.0</v>
      </c>
      <c r="E282" s="345" t="s">
        <v>6124</v>
      </c>
      <c r="F282" s="345" t="s">
        <v>5922</v>
      </c>
      <c r="G282" s="345" t="s">
        <v>6439</v>
      </c>
      <c r="H282" s="1020" t="s">
        <v>6439</v>
      </c>
      <c r="I282" s="345"/>
      <c r="J282" s="345"/>
      <c r="K282" s="345" t="s">
        <v>6373</v>
      </c>
      <c r="L282" s="345" t="s">
        <v>6687</v>
      </c>
      <c r="M282" s="345" t="s">
        <v>215</v>
      </c>
      <c r="N282" s="345"/>
      <c r="O282" s="345"/>
      <c r="P282" s="345"/>
      <c r="Q282" s="345"/>
      <c r="R282" s="345"/>
      <c r="S282" s="345"/>
      <c r="T282" s="345"/>
      <c r="U282" s="345"/>
      <c r="V282" s="345"/>
      <c r="W282" s="345"/>
      <c r="X282" s="345"/>
      <c r="Y282" s="345"/>
      <c r="Z282" s="345"/>
    </row>
    <row r="283">
      <c r="A283" s="345" t="s">
        <v>6688</v>
      </c>
      <c r="B283" s="1021">
        <v>44915.0</v>
      </c>
      <c r="C283" s="345"/>
      <c r="D283" s="1021">
        <v>44957.0</v>
      </c>
      <c r="E283" s="345" t="s">
        <v>6689</v>
      </c>
      <c r="F283" s="345" t="s">
        <v>5922</v>
      </c>
      <c r="G283" s="345" t="s">
        <v>6439</v>
      </c>
      <c r="H283" s="1020" t="s">
        <v>6439</v>
      </c>
      <c r="I283" s="345"/>
      <c r="J283" s="345"/>
      <c r="K283" s="345" t="s">
        <v>6690</v>
      </c>
      <c r="L283" s="345" t="s">
        <v>6691</v>
      </c>
      <c r="M283" s="345" t="s">
        <v>215</v>
      </c>
      <c r="N283" s="345"/>
      <c r="O283" s="345"/>
      <c r="P283" s="345"/>
      <c r="Q283" s="345"/>
      <c r="R283" s="345"/>
      <c r="S283" s="345"/>
      <c r="T283" s="345"/>
      <c r="U283" s="345"/>
      <c r="V283" s="345"/>
      <c r="W283" s="345"/>
      <c r="X283" s="345"/>
      <c r="Y283" s="345"/>
      <c r="Z283" s="345"/>
    </row>
    <row r="284">
      <c r="A284" s="345" t="s">
        <v>6692</v>
      </c>
      <c r="B284" s="1021">
        <v>44937.0</v>
      </c>
      <c r="C284" s="345"/>
      <c r="D284" s="1021">
        <v>44957.0</v>
      </c>
      <c r="E284" s="345" t="s">
        <v>6693</v>
      </c>
      <c r="F284" s="345" t="s">
        <v>5922</v>
      </c>
      <c r="G284" s="345" t="s">
        <v>6439</v>
      </c>
      <c r="H284" s="1020" t="s">
        <v>6439</v>
      </c>
      <c r="I284" s="345"/>
      <c r="J284" s="345"/>
      <c r="K284" s="345" t="s">
        <v>6050</v>
      </c>
      <c r="L284" s="345" t="s">
        <v>6694</v>
      </c>
      <c r="M284" s="345" t="s">
        <v>215</v>
      </c>
      <c r="N284" s="345"/>
      <c r="O284" s="345"/>
      <c r="P284" s="345"/>
      <c r="Q284" s="345"/>
      <c r="R284" s="345"/>
      <c r="S284" s="345"/>
      <c r="T284" s="345"/>
      <c r="U284" s="345"/>
      <c r="V284" s="345"/>
      <c r="W284" s="345"/>
      <c r="X284" s="345"/>
      <c r="Y284" s="345"/>
      <c r="Z284" s="345"/>
    </row>
    <row r="285">
      <c r="A285" s="345" t="s">
        <v>6695</v>
      </c>
      <c r="B285" s="1021">
        <v>44909.0</v>
      </c>
      <c r="C285" s="345"/>
      <c r="D285" s="1021">
        <v>44957.0</v>
      </c>
      <c r="E285" s="345" t="s">
        <v>6696</v>
      </c>
      <c r="F285" s="345" t="s">
        <v>5922</v>
      </c>
      <c r="G285" s="345" t="s">
        <v>5611</v>
      </c>
      <c r="H285" s="1020" t="s">
        <v>5611</v>
      </c>
      <c r="I285" s="345"/>
      <c r="J285" s="345"/>
      <c r="K285" s="345" t="s">
        <v>6383</v>
      </c>
      <c r="L285" s="345" t="s">
        <v>6697</v>
      </c>
      <c r="M285" s="345" t="s">
        <v>215</v>
      </c>
      <c r="N285" s="345"/>
      <c r="O285" s="345"/>
      <c r="P285" s="345"/>
      <c r="Q285" s="345"/>
      <c r="R285" s="345"/>
      <c r="S285" s="345"/>
      <c r="T285" s="345"/>
      <c r="U285" s="345"/>
      <c r="V285" s="345"/>
      <c r="W285" s="345"/>
      <c r="X285" s="345"/>
      <c r="Y285" s="345"/>
      <c r="Z285" s="345"/>
    </row>
    <row r="286">
      <c r="A286" s="345" t="s">
        <v>6698</v>
      </c>
      <c r="B286" s="1021">
        <v>44921.0</v>
      </c>
      <c r="C286" s="345"/>
      <c r="D286" s="1021">
        <v>44957.0</v>
      </c>
      <c r="E286" s="345" t="s">
        <v>6532</v>
      </c>
      <c r="F286" s="345" t="s">
        <v>5922</v>
      </c>
      <c r="G286" s="345" t="s">
        <v>6439</v>
      </c>
      <c r="H286" s="1020" t="s">
        <v>6439</v>
      </c>
      <c r="I286" s="345"/>
      <c r="J286" s="345"/>
      <c r="K286" s="345" t="s">
        <v>6482</v>
      </c>
      <c r="L286" s="345" t="s">
        <v>6701</v>
      </c>
      <c r="M286" s="345" t="s">
        <v>215</v>
      </c>
      <c r="N286" s="345"/>
      <c r="O286" s="345"/>
      <c r="P286" s="345"/>
      <c r="Q286" s="345"/>
      <c r="R286" s="345"/>
      <c r="S286" s="345"/>
      <c r="T286" s="345"/>
      <c r="U286" s="345"/>
      <c r="V286" s="345"/>
      <c r="W286" s="345"/>
      <c r="X286" s="345"/>
      <c r="Y286" s="345"/>
      <c r="Z286" s="345"/>
    </row>
    <row r="287">
      <c r="A287" s="345" t="s">
        <v>6702</v>
      </c>
      <c r="B287" s="1021">
        <v>44921.0</v>
      </c>
      <c r="C287" s="345"/>
      <c r="D287" s="1021">
        <v>44957.0</v>
      </c>
      <c r="E287" s="345" t="s">
        <v>6703</v>
      </c>
      <c r="F287" s="345" t="s">
        <v>5922</v>
      </c>
      <c r="G287" s="345" t="s">
        <v>5611</v>
      </c>
      <c r="H287" s="1020" t="s">
        <v>5611</v>
      </c>
      <c r="I287" s="345"/>
      <c r="J287" s="345"/>
      <c r="K287" s="345" t="s">
        <v>6110</v>
      </c>
      <c r="L287" s="345" t="s">
        <v>6704</v>
      </c>
      <c r="M287" s="345" t="s">
        <v>215</v>
      </c>
      <c r="N287" s="345"/>
      <c r="O287" s="345"/>
      <c r="P287" s="345"/>
      <c r="Q287" s="345"/>
      <c r="R287" s="345"/>
      <c r="S287" s="345"/>
      <c r="T287" s="345"/>
      <c r="U287" s="345"/>
      <c r="V287" s="345"/>
      <c r="W287" s="345"/>
      <c r="X287" s="345"/>
      <c r="Y287" s="345"/>
      <c r="Z287" s="345"/>
    </row>
    <row r="288">
      <c r="A288" s="345" t="s">
        <v>6705</v>
      </c>
      <c r="B288" s="1021">
        <v>44923.0</v>
      </c>
      <c r="C288" s="345"/>
      <c r="D288" s="1021">
        <v>44957.0</v>
      </c>
      <c r="E288" s="345" t="s">
        <v>6706</v>
      </c>
      <c r="F288" s="345" t="s">
        <v>5922</v>
      </c>
      <c r="G288" s="345" t="s">
        <v>6439</v>
      </c>
      <c r="H288" s="1020" t="s">
        <v>6439</v>
      </c>
      <c r="I288" s="345"/>
      <c r="J288" s="345"/>
      <c r="K288" s="345" t="s">
        <v>5863</v>
      </c>
      <c r="L288" s="345" t="s">
        <v>6707</v>
      </c>
      <c r="M288" s="345" t="s">
        <v>215</v>
      </c>
      <c r="N288" s="345"/>
      <c r="O288" s="345"/>
      <c r="P288" s="345"/>
      <c r="Q288" s="345"/>
      <c r="R288" s="345"/>
      <c r="S288" s="345"/>
      <c r="T288" s="345"/>
      <c r="U288" s="345"/>
      <c r="V288" s="345"/>
      <c r="W288" s="345"/>
      <c r="X288" s="345"/>
      <c r="Y288" s="345"/>
      <c r="Z288" s="345"/>
    </row>
    <row r="289">
      <c r="A289" s="345" t="s">
        <v>6709</v>
      </c>
      <c r="B289" s="1021">
        <v>44909.0</v>
      </c>
      <c r="C289" s="345"/>
      <c r="D289" s="1021">
        <v>44957.0</v>
      </c>
      <c r="E289" s="345" t="s">
        <v>6710</v>
      </c>
      <c r="F289" s="345" t="s">
        <v>5922</v>
      </c>
      <c r="G289" s="345" t="s">
        <v>5611</v>
      </c>
      <c r="H289" s="1020" t="s">
        <v>5611</v>
      </c>
      <c r="I289" s="345"/>
      <c r="J289" s="345"/>
      <c r="K289" s="345" t="s">
        <v>6383</v>
      </c>
      <c r="L289" s="345" t="s">
        <v>6711</v>
      </c>
      <c r="M289" s="345" t="s">
        <v>215</v>
      </c>
      <c r="N289" s="345"/>
      <c r="O289" s="345"/>
      <c r="P289" s="345"/>
      <c r="Q289" s="345"/>
      <c r="R289" s="345"/>
      <c r="S289" s="345"/>
      <c r="T289" s="345"/>
      <c r="U289" s="345"/>
      <c r="V289" s="345"/>
      <c r="W289" s="345"/>
      <c r="X289" s="345"/>
      <c r="Y289" s="345"/>
      <c r="Z289" s="345"/>
    </row>
    <row r="290">
      <c r="A290" s="345" t="s">
        <v>6712</v>
      </c>
      <c r="B290" s="1021">
        <v>44921.0</v>
      </c>
      <c r="C290" s="345"/>
      <c r="D290" s="1021">
        <v>44957.0</v>
      </c>
      <c r="E290" s="345" t="s">
        <v>6713</v>
      </c>
      <c r="F290" s="345" t="s">
        <v>5922</v>
      </c>
      <c r="G290" s="345" t="s">
        <v>5611</v>
      </c>
      <c r="H290" s="1020" t="s">
        <v>5611</v>
      </c>
      <c r="I290" s="345"/>
      <c r="J290" s="345"/>
      <c r="K290" s="345" t="s">
        <v>6110</v>
      </c>
      <c r="L290" s="345" t="s">
        <v>6714</v>
      </c>
      <c r="M290" s="345" t="s">
        <v>215</v>
      </c>
      <c r="N290" s="345"/>
      <c r="O290" s="345"/>
      <c r="P290" s="345"/>
      <c r="Q290" s="345"/>
      <c r="R290" s="345"/>
      <c r="S290" s="345"/>
      <c r="T290" s="345"/>
      <c r="U290" s="345"/>
      <c r="V290" s="345"/>
      <c r="W290" s="345"/>
      <c r="X290" s="345"/>
      <c r="Y290" s="345"/>
      <c r="Z290" s="345"/>
    </row>
    <row r="291">
      <c r="A291" s="345" t="s">
        <v>6715</v>
      </c>
      <c r="B291" s="1021">
        <v>44947.0</v>
      </c>
      <c r="C291" s="345"/>
      <c r="D291" s="1021">
        <v>44957.0</v>
      </c>
      <c r="E291" s="345" t="s">
        <v>6716</v>
      </c>
      <c r="F291" s="345" t="s">
        <v>5922</v>
      </c>
      <c r="G291" s="345" t="s">
        <v>6439</v>
      </c>
      <c r="H291" s="1020" t="s">
        <v>6439</v>
      </c>
      <c r="I291" s="345"/>
      <c r="J291" s="345"/>
      <c r="K291" s="345" t="s">
        <v>6050</v>
      </c>
      <c r="L291" s="345" t="s">
        <v>6718</v>
      </c>
      <c r="M291" s="345" t="s">
        <v>215</v>
      </c>
      <c r="N291" s="345"/>
      <c r="O291" s="345"/>
      <c r="P291" s="345"/>
      <c r="Q291" s="345"/>
      <c r="R291" s="345"/>
      <c r="S291" s="345"/>
      <c r="T291" s="345"/>
      <c r="U291" s="345"/>
      <c r="V291" s="345"/>
      <c r="W291" s="345"/>
      <c r="X291" s="345"/>
      <c r="Y291" s="345"/>
      <c r="Z291" s="345"/>
    </row>
    <row r="292">
      <c r="A292" s="345" t="s">
        <v>6719</v>
      </c>
      <c r="B292" s="1021">
        <v>44910.0</v>
      </c>
      <c r="C292" s="345"/>
      <c r="D292" s="1021">
        <v>44956.0</v>
      </c>
      <c r="E292" s="345" t="s">
        <v>6717</v>
      </c>
      <c r="F292" s="345" t="s">
        <v>5922</v>
      </c>
      <c r="G292" s="345" t="s">
        <v>6439</v>
      </c>
      <c r="H292" s="1020" t="s">
        <v>6439</v>
      </c>
      <c r="I292" s="345"/>
      <c r="J292" s="345"/>
      <c r="K292" s="345" t="s">
        <v>6482</v>
      </c>
      <c r="L292" s="345" t="s">
        <v>6721</v>
      </c>
      <c r="M292" s="345" t="s">
        <v>215</v>
      </c>
      <c r="N292" s="345"/>
      <c r="O292" s="345"/>
      <c r="P292" s="345"/>
      <c r="Q292" s="345"/>
      <c r="R292" s="345"/>
      <c r="S292" s="345"/>
      <c r="T292" s="345"/>
      <c r="U292" s="345"/>
      <c r="V292" s="345"/>
      <c r="W292" s="345"/>
      <c r="X292" s="345"/>
      <c r="Y292" s="345"/>
      <c r="Z292" s="345"/>
    </row>
    <row r="293">
      <c r="A293" s="345" t="s">
        <v>6724</v>
      </c>
      <c r="B293" s="1021">
        <v>44915.0</v>
      </c>
      <c r="C293" s="345"/>
      <c r="D293" s="1021">
        <v>44956.0</v>
      </c>
      <c r="E293" s="345" t="s">
        <v>6726</v>
      </c>
      <c r="F293" s="345" t="s">
        <v>5922</v>
      </c>
      <c r="G293" s="345" t="s">
        <v>6439</v>
      </c>
      <c r="H293" s="1020" t="s">
        <v>6439</v>
      </c>
      <c r="I293" s="345"/>
      <c r="J293" s="345"/>
      <c r="K293" s="345" t="s">
        <v>6369</v>
      </c>
      <c r="L293" s="345" t="s">
        <v>6728</v>
      </c>
      <c r="M293" s="345" t="s">
        <v>215</v>
      </c>
      <c r="N293" s="345"/>
      <c r="O293" s="345"/>
      <c r="P293" s="345"/>
      <c r="Q293" s="345"/>
      <c r="R293" s="345"/>
      <c r="S293" s="345"/>
      <c r="T293" s="345"/>
      <c r="U293" s="345"/>
      <c r="V293" s="345"/>
      <c r="W293" s="345"/>
      <c r="X293" s="345"/>
      <c r="Y293" s="345"/>
      <c r="Z293" s="345"/>
    </row>
    <row r="294">
      <c r="A294" s="345" t="s">
        <v>6730</v>
      </c>
      <c r="B294" s="1021">
        <v>44909.0</v>
      </c>
      <c r="C294" s="345"/>
      <c r="D294" s="1021">
        <v>44956.0</v>
      </c>
      <c r="E294" s="345" t="s">
        <v>6732</v>
      </c>
      <c r="F294" s="345" t="s">
        <v>5922</v>
      </c>
      <c r="G294" s="345" t="s">
        <v>5611</v>
      </c>
      <c r="H294" s="1020" t="s">
        <v>5611</v>
      </c>
      <c r="I294" s="345"/>
      <c r="J294" s="345"/>
      <c r="K294" s="345" t="s">
        <v>6383</v>
      </c>
      <c r="L294" s="345" t="s">
        <v>6735</v>
      </c>
      <c r="M294" s="345" t="s">
        <v>215</v>
      </c>
      <c r="N294" s="345"/>
      <c r="O294" s="345"/>
      <c r="P294" s="345"/>
      <c r="Q294" s="345"/>
      <c r="R294" s="345"/>
      <c r="S294" s="345"/>
      <c r="T294" s="345"/>
      <c r="U294" s="345"/>
      <c r="V294" s="345"/>
      <c r="W294" s="345"/>
      <c r="X294" s="345"/>
      <c r="Y294" s="345"/>
      <c r="Z294" s="345"/>
    </row>
    <row r="295">
      <c r="A295" s="345" t="s">
        <v>6739</v>
      </c>
      <c r="B295" s="1021">
        <v>44929.0</v>
      </c>
      <c r="C295" s="345"/>
      <c r="D295" s="1021">
        <v>44955.0</v>
      </c>
      <c r="E295" s="345" t="s">
        <v>6742</v>
      </c>
      <c r="F295" s="345" t="s">
        <v>5922</v>
      </c>
      <c r="G295" s="345" t="s">
        <v>6439</v>
      </c>
      <c r="H295" s="1020" t="s">
        <v>6439</v>
      </c>
      <c r="I295" s="345"/>
      <c r="J295" s="345"/>
      <c r="K295" s="345" t="s">
        <v>6173</v>
      </c>
      <c r="L295" s="345" t="s">
        <v>6744</v>
      </c>
      <c r="M295" s="345" t="s">
        <v>215</v>
      </c>
      <c r="N295" s="345"/>
      <c r="O295" s="345"/>
      <c r="P295" s="345"/>
      <c r="Q295" s="345"/>
      <c r="R295" s="345"/>
      <c r="S295" s="345"/>
      <c r="T295" s="345"/>
      <c r="U295" s="345"/>
      <c r="V295" s="345"/>
      <c r="W295" s="345"/>
      <c r="X295" s="345"/>
      <c r="Y295" s="345"/>
      <c r="Z295" s="345"/>
    </row>
    <row r="296">
      <c r="A296" s="345" t="s">
        <v>6747</v>
      </c>
      <c r="B296" s="1021">
        <v>44921.0</v>
      </c>
      <c r="C296" s="345"/>
      <c r="D296" s="1021">
        <v>44955.0</v>
      </c>
      <c r="E296" s="345" t="s">
        <v>6518</v>
      </c>
      <c r="F296" s="345" t="s">
        <v>5922</v>
      </c>
      <c r="G296" s="345" t="s">
        <v>6439</v>
      </c>
      <c r="H296" s="1020" t="s">
        <v>6439</v>
      </c>
      <c r="I296" s="345"/>
      <c r="J296" s="345"/>
      <c r="K296" s="345" t="s">
        <v>6561</v>
      </c>
      <c r="L296" s="345" t="s">
        <v>6750</v>
      </c>
      <c r="M296" s="345" t="s">
        <v>215</v>
      </c>
      <c r="N296" s="345"/>
      <c r="O296" s="345"/>
      <c r="P296" s="345"/>
      <c r="Q296" s="345"/>
      <c r="R296" s="345"/>
      <c r="S296" s="345"/>
      <c r="T296" s="345"/>
      <c r="U296" s="345"/>
      <c r="V296" s="345"/>
      <c r="W296" s="345"/>
      <c r="X296" s="345"/>
      <c r="Y296" s="345"/>
      <c r="Z296" s="345"/>
    </row>
    <row r="297">
      <c r="A297" s="345" t="s">
        <v>6753</v>
      </c>
      <c r="B297" s="1021">
        <v>44947.0</v>
      </c>
      <c r="C297" s="345"/>
      <c r="D297" s="1021">
        <v>44955.0</v>
      </c>
      <c r="E297" s="345" t="s">
        <v>6755</v>
      </c>
      <c r="F297" s="345" t="s">
        <v>5922</v>
      </c>
      <c r="G297" s="345" t="s">
        <v>6439</v>
      </c>
      <c r="H297" s="1020" t="s">
        <v>6439</v>
      </c>
      <c r="I297" s="345"/>
      <c r="J297" s="345"/>
      <c r="K297" s="345" t="s">
        <v>6050</v>
      </c>
      <c r="L297" s="345" t="s">
        <v>6759</v>
      </c>
      <c r="M297" s="345" t="s">
        <v>215</v>
      </c>
      <c r="N297" s="345"/>
      <c r="O297" s="345"/>
      <c r="P297" s="345"/>
      <c r="Q297" s="345"/>
      <c r="R297" s="345"/>
      <c r="S297" s="345"/>
      <c r="T297" s="345"/>
      <c r="U297" s="345"/>
      <c r="V297" s="345"/>
      <c r="W297" s="345"/>
      <c r="X297" s="345"/>
      <c r="Y297" s="345"/>
      <c r="Z297" s="345"/>
    </row>
    <row r="298">
      <c r="A298" s="345" t="s">
        <v>6762</v>
      </c>
      <c r="B298" s="1021">
        <v>44937.0</v>
      </c>
      <c r="C298" s="345"/>
      <c r="D298" s="1021">
        <v>44952.0</v>
      </c>
      <c r="E298" s="345" t="s">
        <v>6544</v>
      </c>
      <c r="F298" s="345" t="s">
        <v>5922</v>
      </c>
      <c r="G298" s="345" t="s">
        <v>6439</v>
      </c>
      <c r="H298" s="1020" t="s">
        <v>6439</v>
      </c>
      <c r="I298" s="345"/>
      <c r="J298" s="345"/>
      <c r="K298" s="345" t="s">
        <v>5872</v>
      </c>
      <c r="L298" s="345" t="s">
        <v>6767</v>
      </c>
      <c r="M298" s="345" t="s">
        <v>215</v>
      </c>
      <c r="N298" s="345"/>
      <c r="O298" s="345"/>
      <c r="P298" s="345"/>
      <c r="Q298" s="345"/>
      <c r="R298" s="345"/>
      <c r="S298" s="345"/>
      <c r="T298" s="345"/>
      <c r="U298" s="345"/>
      <c r="V298" s="345"/>
      <c r="W298" s="345"/>
      <c r="X298" s="345"/>
      <c r="Y298" s="345"/>
      <c r="Z298" s="345"/>
    </row>
    <row r="299">
      <c r="A299" s="1027">
        <v>1.20364271306288E15</v>
      </c>
      <c r="B299" s="1021">
        <v>44929.0</v>
      </c>
      <c r="C299" s="345"/>
      <c r="D299" s="1021">
        <v>44952.0</v>
      </c>
      <c r="E299" s="345" t="s">
        <v>6582</v>
      </c>
      <c r="F299" s="345" t="s">
        <v>5922</v>
      </c>
      <c r="G299" s="345" t="s">
        <v>6439</v>
      </c>
      <c r="H299" s="1020" t="s">
        <v>6439</v>
      </c>
      <c r="I299" s="345"/>
      <c r="J299" s="345"/>
      <c r="K299" s="345" t="s">
        <v>5894</v>
      </c>
      <c r="L299" s="345" t="s">
        <v>6774</v>
      </c>
      <c r="M299" s="345" t="s">
        <v>215</v>
      </c>
      <c r="N299" s="345"/>
      <c r="O299" s="345"/>
      <c r="P299" s="345"/>
      <c r="Q299" s="345"/>
      <c r="R299" s="345"/>
      <c r="S299" s="345"/>
      <c r="T299" s="345"/>
      <c r="U299" s="345"/>
      <c r="V299" s="345"/>
      <c r="W299" s="345"/>
      <c r="X299" s="345"/>
      <c r="Y299" s="345"/>
      <c r="Z299" s="345"/>
    </row>
    <row r="300">
      <c r="A300" s="345" t="s">
        <v>6778</v>
      </c>
      <c r="B300" s="1021">
        <v>44929.0</v>
      </c>
      <c r="C300" s="345"/>
      <c r="D300" s="1021">
        <v>44952.0</v>
      </c>
      <c r="E300" s="345" t="s">
        <v>6580</v>
      </c>
      <c r="F300" s="345" t="s">
        <v>5922</v>
      </c>
      <c r="G300" s="345" t="s">
        <v>6439</v>
      </c>
      <c r="H300" s="1020" t="s">
        <v>6439</v>
      </c>
      <c r="I300" s="345"/>
      <c r="J300" s="345"/>
      <c r="K300" s="345" t="s">
        <v>5894</v>
      </c>
      <c r="L300" s="345" t="s">
        <v>6781</v>
      </c>
      <c r="M300" s="345" t="s">
        <v>215</v>
      </c>
      <c r="N300" s="345"/>
      <c r="O300" s="345"/>
      <c r="P300" s="345"/>
      <c r="Q300" s="345"/>
      <c r="R300" s="345"/>
      <c r="S300" s="345"/>
      <c r="T300" s="345"/>
      <c r="U300" s="345"/>
      <c r="V300" s="345"/>
      <c r="W300" s="345"/>
      <c r="X300" s="345"/>
      <c r="Y300" s="345"/>
      <c r="Z300" s="345"/>
    </row>
    <row r="301">
      <c r="A301" s="345" t="s">
        <v>6785</v>
      </c>
      <c r="B301" s="1021">
        <v>44909.0</v>
      </c>
      <c r="C301" s="345"/>
      <c r="D301" s="1021">
        <v>44951.0</v>
      </c>
      <c r="E301" s="345" t="s">
        <v>6787</v>
      </c>
      <c r="F301" s="345" t="s">
        <v>5922</v>
      </c>
      <c r="G301" s="345" t="s">
        <v>5611</v>
      </c>
      <c r="H301" s="1020" t="s">
        <v>5611</v>
      </c>
      <c r="I301" s="345"/>
      <c r="J301" s="345"/>
      <c r="K301" s="345" t="s">
        <v>6383</v>
      </c>
      <c r="L301" s="345" t="s">
        <v>6791</v>
      </c>
      <c r="M301" s="345" t="s">
        <v>215</v>
      </c>
      <c r="N301" s="345"/>
      <c r="O301" s="345"/>
      <c r="P301" s="345"/>
      <c r="Q301" s="345"/>
      <c r="R301" s="345"/>
      <c r="S301" s="345"/>
      <c r="T301" s="345"/>
      <c r="U301" s="345"/>
      <c r="V301" s="345"/>
      <c r="W301" s="345"/>
      <c r="X301" s="345"/>
      <c r="Y301" s="345"/>
      <c r="Z301" s="345"/>
    </row>
    <row r="302">
      <c r="A302" s="345" t="s">
        <v>6797</v>
      </c>
      <c r="B302" s="1021">
        <v>44921.0</v>
      </c>
      <c r="C302" s="345"/>
      <c r="D302" s="1021">
        <v>44951.0</v>
      </c>
      <c r="E302" s="345" t="s">
        <v>6606</v>
      </c>
      <c r="F302" s="345" t="s">
        <v>5922</v>
      </c>
      <c r="G302" s="345" t="s">
        <v>6439</v>
      </c>
      <c r="H302" s="1020" t="s">
        <v>6439</v>
      </c>
      <c r="I302" s="345"/>
      <c r="J302" s="345"/>
      <c r="K302" s="345" t="s">
        <v>6561</v>
      </c>
      <c r="L302" s="345" t="s">
        <v>6801</v>
      </c>
      <c r="M302" s="345" t="s">
        <v>215</v>
      </c>
      <c r="N302" s="345"/>
      <c r="O302" s="345"/>
      <c r="P302" s="345"/>
      <c r="Q302" s="345"/>
      <c r="R302" s="345"/>
      <c r="S302" s="345"/>
      <c r="T302" s="345"/>
      <c r="U302" s="345"/>
      <c r="V302" s="345"/>
      <c r="W302" s="345"/>
      <c r="X302" s="345"/>
      <c r="Y302" s="345"/>
      <c r="Z302" s="345"/>
    </row>
    <row r="303">
      <c r="A303" s="345" t="s">
        <v>6805</v>
      </c>
      <c r="B303" s="1021">
        <v>44921.0</v>
      </c>
      <c r="C303" s="345"/>
      <c r="D303" s="1021">
        <v>44951.0</v>
      </c>
      <c r="E303" s="345" t="s">
        <v>6720</v>
      </c>
      <c r="F303" s="345" t="s">
        <v>5922</v>
      </c>
      <c r="G303" s="345" t="s">
        <v>6439</v>
      </c>
      <c r="H303" s="1020" t="s">
        <v>6439</v>
      </c>
      <c r="I303" s="345"/>
      <c r="J303" s="345"/>
      <c r="K303" s="345" t="s">
        <v>6561</v>
      </c>
      <c r="L303" s="345" t="s">
        <v>6808</v>
      </c>
      <c r="M303" s="345" t="s">
        <v>215</v>
      </c>
      <c r="N303" s="345"/>
      <c r="O303" s="345"/>
      <c r="P303" s="345"/>
      <c r="Q303" s="345"/>
      <c r="R303" s="345"/>
      <c r="S303" s="345"/>
      <c r="T303" s="345"/>
      <c r="U303" s="345"/>
      <c r="V303" s="345"/>
      <c r="W303" s="345"/>
      <c r="X303" s="345"/>
      <c r="Y303" s="345"/>
      <c r="Z303" s="345"/>
    </row>
    <row r="304">
      <c r="A304" s="345" t="s">
        <v>6812</v>
      </c>
      <c r="B304" s="1021">
        <v>44929.0</v>
      </c>
      <c r="C304" s="345"/>
      <c r="D304" s="1021">
        <v>44951.0</v>
      </c>
      <c r="E304" s="345" t="s">
        <v>6578</v>
      </c>
      <c r="F304" s="345" t="s">
        <v>5922</v>
      </c>
      <c r="G304" s="345" t="s">
        <v>6439</v>
      </c>
      <c r="H304" s="1020" t="s">
        <v>6439</v>
      </c>
      <c r="I304" s="345"/>
      <c r="J304" s="345"/>
      <c r="K304" s="345" t="s">
        <v>5894</v>
      </c>
      <c r="L304" s="345" t="s">
        <v>6816</v>
      </c>
      <c r="M304" s="345" t="s">
        <v>215</v>
      </c>
      <c r="N304" s="345"/>
      <c r="O304" s="345"/>
      <c r="P304" s="345"/>
      <c r="Q304" s="345"/>
      <c r="R304" s="345"/>
      <c r="S304" s="345"/>
      <c r="T304" s="345"/>
      <c r="U304" s="345"/>
      <c r="V304" s="345"/>
      <c r="W304" s="345"/>
      <c r="X304" s="345"/>
      <c r="Y304" s="345"/>
      <c r="Z304" s="345"/>
    </row>
    <row r="305">
      <c r="A305" s="345" t="s">
        <v>6818</v>
      </c>
      <c r="B305" s="1021">
        <v>44921.0</v>
      </c>
      <c r="C305" s="345"/>
      <c r="D305" s="1021">
        <v>44951.0</v>
      </c>
      <c r="E305" s="345" t="s">
        <v>6586</v>
      </c>
      <c r="F305" s="345" t="s">
        <v>5922</v>
      </c>
      <c r="G305" s="345" t="s">
        <v>6439</v>
      </c>
      <c r="H305" s="1020" t="s">
        <v>6439</v>
      </c>
      <c r="I305" s="345"/>
      <c r="J305" s="345"/>
      <c r="K305" s="345" t="s">
        <v>6561</v>
      </c>
      <c r="L305" s="345" t="s">
        <v>6819</v>
      </c>
      <c r="M305" s="345" t="s">
        <v>215</v>
      </c>
      <c r="N305" s="345"/>
      <c r="O305" s="345"/>
      <c r="P305" s="345"/>
      <c r="Q305" s="345"/>
      <c r="R305" s="345"/>
      <c r="S305" s="345"/>
      <c r="T305" s="345"/>
      <c r="U305" s="345"/>
      <c r="V305" s="345"/>
      <c r="W305" s="345"/>
      <c r="X305" s="345"/>
      <c r="Y305" s="345"/>
      <c r="Z305" s="345"/>
    </row>
    <row r="306">
      <c r="A306" s="1027">
        <v>1.20355876934961E15</v>
      </c>
      <c r="B306" s="1021">
        <v>44909.0</v>
      </c>
      <c r="C306" s="345"/>
      <c r="D306" s="1021">
        <v>44951.0</v>
      </c>
      <c r="E306" s="345" t="s">
        <v>6821</v>
      </c>
      <c r="F306" s="345" t="s">
        <v>5922</v>
      </c>
      <c r="G306" s="345" t="s">
        <v>5611</v>
      </c>
      <c r="H306" s="1020" t="s">
        <v>5611</v>
      </c>
      <c r="I306" s="345"/>
      <c r="J306" s="345"/>
      <c r="K306" s="345" t="s">
        <v>6383</v>
      </c>
      <c r="L306" s="345" t="s">
        <v>6822</v>
      </c>
      <c r="M306" s="345" t="s">
        <v>215</v>
      </c>
      <c r="N306" s="345"/>
      <c r="O306" s="345"/>
      <c r="P306" s="345"/>
      <c r="Q306" s="345"/>
      <c r="R306" s="345"/>
      <c r="S306" s="345"/>
      <c r="T306" s="345"/>
      <c r="U306" s="345"/>
      <c r="V306" s="345"/>
      <c r="W306" s="345"/>
      <c r="X306" s="345"/>
      <c r="Y306" s="345"/>
      <c r="Z306" s="345"/>
    </row>
    <row r="307">
      <c r="A307" s="345" t="s">
        <v>6825</v>
      </c>
      <c r="B307" s="1021">
        <v>44909.0</v>
      </c>
      <c r="C307" s="345"/>
      <c r="D307" s="1021">
        <v>44951.0</v>
      </c>
      <c r="E307" s="345" t="s">
        <v>6826</v>
      </c>
      <c r="F307" s="345" t="s">
        <v>5922</v>
      </c>
      <c r="G307" s="345" t="s">
        <v>5611</v>
      </c>
      <c r="H307" s="1020" t="s">
        <v>5611</v>
      </c>
      <c r="I307" s="345"/>
      <c r="J307" s="345"/>
      <c r="K307" s="345" t="s">
        <v>6383</v>
      </c>
      <c r="L307" s="345" t="s">
        <v>6827</v>
      </c>
      <c r="M307" s="345" t="s">
        <v>215</v>
      </c>
      <c r="N307" s="345"/>
      <c r="O307" s="345"/>
      <c r="P307" s="345"/>
      <c r="Q307" s="345"/>
      <c r="R307" s="345"/>
      <c r="S307" s="345"/>
      <c r="T307" s="345"/>
      <c r="U307" s="345"/>
      <c r="V307" s="345"/>
      <c r="W307" s="345"/>
      <c r="X307" s="345"/>
      <c r="Y307" s="345"/>
      <c r="Z307" s="345"/>
    </row>
    <row r="308">
      <c r="A308" s="345" t="s">
        <v>6828</v>
      </c>
      <c r="B308" s="1021">
        <v>44929.0</v>
      </c>
      <c r="C308" s="345"/>
      <c r="D308" s="1021">
        <v>44949.0</v>
      </c>
      <c r="E308" s="345" t="s">
        <v>6601</v>
      </c>
      <c r="F308" s="345" t="s">
        <v>5922</v>
      </c>
      <c r="G308" s="345" t="s">
        <v>6439</v>
      </c>
      <c r="H308" s="1020" t="s">
        <v>6439</v>
      </c>
      <c r="I308" s="345"/>
      <c r="J308" s="345"/>
      <c r="K308" s="345" t="s">
        <v>6100</v>
      </c>
      <c r="L308" s="345" t="s">
        <v>6829</v>
      </c>
      <c r="M308" s="345" t="s">
        <v>215</v>
      </c>
      <c r="N308" s="345"/>
      <c r="O308" s="345"/>
      <c r="P308" s="345"/>
      <c r="Q308" s="345"/>
      <c r="R308" s="345"/>
      <c r="S308" s="345"/>
      <c r="T308" s="345"/>
      <c r="U308" s="345"/>
      <c r="V308" s="345"/>
      <c r="W308" s="345"/>
      <c r="X308" s="345"/>
      <c r="Y308" s="345"/>
      <c r="Z308" s="345"/>
    </row>
    <row r="309">
      <c r="A309" s="1027">
        <v>1.20369575091259E15</v>
      </c>
      <c r="B309" s="1021">
        <v>44936.0</v>
      </c>
      <c r="C309" s="345"/>
      <c r="D309" s="1021">
        <v>44943.0</v>
      </c>
      <c r="E309" s="345" t="s">
        <v>5873</v>
      </c>
      <c r="F309" s="345" t="s">
        <v>5922</v>
      </c>
      <c r="G309" s="345" t="s">
        <v>6439</v>
      </c>
      <c r="H309" s="1020" t="s">
        <v>6439</v>
      </c>
      <c r="I309" s="345"/>
      <c r="J309" s="345"/>
      <c r="K309" s="345" t="s">
        <v>5858</v>
      </c>
      <c r="L309" s="345" t="s">
        <v>6830</v>
      </c>
      <c r="M309" s="345" t="s">
        <v>215</v>
      </c>
      <c r="N309" s="345"/>
      <c r="O309" s="345"/>
      <c r="P309" s="345"/>
      <c r="Q309" s="345"/>
      <c r="R309" s="345"/>
      <c r="S309" s="345"/>
      <c r="T309" s="345"/>
      <c r="U309" s="345"/>
      <c r="V309" s="345"/>
      <c r="W309" s="345"/>
      <c r="X309" s="345"/>
      <c r="Y309" s="345"/>
      <c r="Z309" s="345"/>
    </row>
    <row r="310">
      <c r="A310" s="345" t="s">
        <v>6831</v>
      </c>
      <c r="B310" s="1021">
        <v>44923.0</v>
      </c>
      <c r="C310" s="345"/>
      <c r="D310" s="1021">
        <v>44944.0</v>
      </c>
      <c r="E310" s="345" t="s">
        <v>6723</v>
      </c>
      <c r="F310" s="345" t="s">
        <v>5922</v>
      </c>
      <c r="G310" s="345" t="s">
        <v>6439</v>
      </c>
      <c r="H310" s="1020" t="s">
        <v>6439</v>
      </c>
      <c r="I310" s="345"/>
      <c r="J310" s="345"/>
      <c r="K310" s="345" t="s">
        <v>5863</v>
      </c>
      <c r="L310" s="1100" t="s">
        <v>6832</v>
      </c>
      <c r="M310" s="345" t="s">
        <v>215</v>
      </c>
      <c r="N310" s="345"/>
      <c r="O310" s="345"/>
      <c r="P310" s="345"/>
      <c r="Q310" s="345"/>
      <c r="R310" s="345"/>
      <c r="S310" s="345"/>
      <c r="T310" s="345"/>
      <c r="U310" s="345"/>
      <c r="V310" s="345"/>
      <c r="W310" s="345"/>
      <c r="X310" s="345"/>
      <c r="Y310" s="345"/>
      <c r="Z310" s="345"/>
    </row>
    <row r="311">
      <c r="A311" s="345" t="s">
        <v>6833</v>
      </c>
      <c r="B311" s="1021">
        <v>44936.0</v>
      </c>
      <c r="C311" s="345"/>
      <c r="D311" s="1021">
        <v>44943.0</v>
      </c>
      <c r="E311" s="345" t="s">
        <v>5860</v>
      </c>
      <c r="F311" s="345" t="s">
        <v>5922</v>
      </c>
      <c r="G311" s="345" t="s">
        <v>6439</v>
      </c>
      <c r="H311" s="1020" t="s">
        <v>6439</v>
      </c>
      <c r="I311" s="345"/>
      <c r="J311" s="345"/>
      <c r="K311" s="345" t="s">
        <v>5858</v>
      </c>
      <c r="L311" s="345" t="s">
        <v>6834</v>
      </c>
      <c r="M311" s="345" t="s">
        <v>215</v>
      </c>
      <c r="N311" s="345"/>
      <c r="O311" s="345"/>
      <c r="P311" s="345"/>
      <c r="Q311" s="345"/>
      <c r="R311" s="345"/>
      <c r="S311" s="345"/>
      <c r="T311" s="345"/>
      <c r="U311" s="345"/>
      <c r="V311" s="345"/>
      <c r="W311" s="345"/>
      <c r="X311" s="345"/>
      <c r="Y311" s="345"/>
      <c r="Z311" s="345"/>
    </row>
    <row r="312">
      <c r="A312" s="345" t="s">
        <v>6835</v>
      </c>
      <c r="B312" s="1021">
        <v>44910.0</v>
      </c>
      <c r="C312" s="345"/>
      <c r="D312" s="1021">
        <v>44942.0</v>
      </c>
      <c r="E312" s="345" t="s">
        <v>6836</v>
      </c>
      <c r="F312" s="345" t="s">
        <v>5922</v>
      </c>
      <c r="G312" s="345" t="s">
        <v>6439</v>
      </c>
      <c r="H312" s="1020" t="s">
        <v>6439</v>
      </c>
      <c r="I312" s="345"/>
      <c r="J312" s="345"/>
      <c r="K312" s="345" t="s">
        <v>6144</v>
      </c>
      <c r="L312" s="345" t="s">
        <v>6837</v>
      </c>
      <c r="M312" s="345" t="s">
        <v>215</v>
      </c>
      <c r="N312" s="345"/>
      <c r="O312" s="345"/>
      <c r="P312" s="345"/>
      <c r="Q312" s="345"/>
      <c r="R312" s="345"/>
      <c r="S312" s="345"/>
      <c r="T312" s="345"/>
      <c r="U312" s="345"/>
      <c r="V312" s="345"/>
      <c r="W312" s="345"/>
      <c r="X312" s="345"/>
      <c r="Y312" s="345"/>
      <c r="Z312" s="345"/>
    </row>
    <row r="313">
      <c r="A313" s="345" t="s">
        <v>6838</v>
      </c>
      <c r="B313" s="1021">
        <v>44915.0</v>
      </c>
      <c r="C313" s="345"/>
      <c r="D313" s="1021">
        <v>44942.0</v>
      </c>
      <c r="E313" s="345" t="s">
        <v>6839</v>
      </c>
      <c r="F313" s="345" t="s">
        <v>5922</v>
      </c>
      <c r="G313" s="345" t="s">
        <v>6439</v>
      </c>
      <c r="H313" s="1020" t="s">
        <v>6439</v>
      </c>
      <c r="I313" s="345"/>
      <c r="J313" s="345"/>
      <c r="K313" s="345" t="s">
        <v>6369</v>
      </c>
      <c r="L313" s="345" t="s">
        <v>6840</v>
      </c>
      <c r="M313" s="345" t="s">
        <v>215</v>
      </c>
      <c r="N313" s="345"/>
      <c r="O313" s="345"/>
      <c r="P313" s="345"/>
      <c r="Q313" s="345"/>
      <c r="R313" s="345"/>
      <c r="S313" s="345"/>
      <c r="T313" s="345"/>
      <c r="U313" s="345"/>
      <c r="V313" s="345"/>
      <c r="W313" s="345"/>
      <c r="X313" s="345"/>
      <c r="Y313" s="345"/>
      <c r="Z313" s="345"/>
    </row>
    <row r="314">
      <c r="A314" s="345" t="s">
        <v>6842</v>
      </c>
      <c r="B314" s="1021">
        <v>44921.0</v>
      </c>
      <c r="C314" s="345"/>
      <c r="D314" s="1021">
        <v>44942.0</v>
      </c>
      <c r="E314" s="345" t="s">
        <v>6843</v>
      </c>
      <c r="F314" s="345" t="s">
        <v>5922</v>
      </c>
      <c r="G314" s="345" t="s">
        <v>6439</v>
      </c>
      <c r="H314" s="1020" t="s">
        <v>6439</v>
      </c>
      <c r="I314" s="345"/>
      <c r="J314" s="345"/>
      <c r="K314" s="345" t="s">
        <v>6668</v>
      </c>
      <c r="L314" s="1100" t="s">
        <v>6844</v>
      </c>
      <c r="M314" s="345" t="s">
        <v>215</v>
      </c>
      <c r="N314" s="345"/>
      <c r="O314" s="345"/>
      <c r="P314" s="345"/>
      <c r="Q314" s="345"/>
      <c r="R314" s="345"/>
      <c r="S314" s="345"/>
      <c r="T314" s="345"/>
      <c r="U314" s="345"/>
      <c r="V314" s="345"/>
      <c r="W314" s="345"/>
      <c r="X314" s="345"/>
      <c r="Y314" s="345"/>
      <c r="Z314" s="345"/>
    </row>
    <row r="315">
      <c r="A315" s="345" t="s">
        <v>6845</v>
      </c>
      <c r="B315" s="1021">
        <v>44909.0</v>
      </c>
      <c r="C315" s="345"/>
      <c r="D315" s="1021">
        <v>44942.0</v>
      </c>
      <c r="E315" s="345" t="s">
        <v>6846</v>
      </c>
      <c r="F315" s="345" t="s">
        <v>5922</v>
      </c>
      <c r="G315" s="345" t="s">
        <v>6439</v>
      </c>
      <c r="H315" s="1020" t="s">
        <v>6439</v>
      </c>
      <c r="I315" s="345"/>
      <c r="J315" s="345"/>
      <c r="K315" s="345" t="s">
        <v>6383</v>
      </c>
      <c r="L315" s="345" t="s">
        <v>6847</v>
      </c>
      <c r="M315" s="345" t="s">
        <v>215</v>
      </c>
      <c r="N315" s="345"/>
      <c r="O315" s="345"/>
      <c r="P315" s="345"/>
      <c r="Q315" s="345"/>
      <c r="R315" s="345"/>
      <c r="S315" s="345"/>
      <c r="T315" s="345"/>
      <c r="U315" s="345"/>
      <c r="V315" s="345"/>
      <c r="W315" s="345"/>
      <c r="X315" s="345"/>
      <c r="Y315" s="345"/>
      <c r="Z315" s="345"/>
    </row>
    <row r="316">
      <c r="A316" s="345" t="s">
        <v>6848</v>
      </c>
      <c r="B316" s="1021">
        <v>44929.0</v>
      </c>
      <c r="C316" s="345"/>
      <c r="D316" s="1021">
        <v>45012.0</v>
      </c>
      <c r="E316" s="345" t="s">
        <v>6849</v>
      </c>
      <c r="F316" s="345" t="s">
        <v>5922</v>
      </c>
      <c r="G316" s="345" t="s">
        <v>6439</v>
      </c>
      <c r="H316" s="1020" t="s">
        <v>6439</v>
      </c>
      <c r="I316" s="345"/>
      <c r="J316" s="345"/>
      <c r="K316" s="345" t="s">
        <v>6851</v>
      </c>
      <c r="L316" s="345" t="s">
        <v>6852</v>
      </c>
      <c r="M316" s="345" t="s">
        <v>215</v>
      </c>
      <c r="N316" s="345"/>
      <c r="O316" s="345"/>
      <c r="P316" s="345"/>
      <c r="Q316" s="345"/>
      <c r="R316" s="345"/>
      <c r="S316" s="345"/>
      <c r="T316" s="345"/>
      <c r="U316" s="345"/>
      <c r="V316" s="345"/>
      <c r="W316" s="345"/>
      <c r="X316" s="345"/>
      <c r="Y316" s="345"/>
      <c r="Z316" s="345"/>
    </row>
    <row r="317">
      <c r="A317" s="345" t="s">
        <v>6853</v>
      </c>
      <c r="B317" s="1021">
        <v>44936.0</v>
      </c>
      <c r="C317" s="345"/>
      <c r="D317" s="1021">
        <v>44942.0</v>
      </c>
      <c r="E317" s="345" t="s">
        <v>5849</v>
      </c>
      <c r="F317" s="345" t="s">
        <v>5922</v>
      </c>
      <c r="G317" s="345" t="s">
        <v>6439</v>
      </c>
      <c r="H317" s="1020" t="s">
        <v>6439</v>
      </c>
      <c r="I317" s="345"/>
      <c r="J317" s="345"/>
      <c r="K317" s="345" t="s">
        <v>5858</v>
      </c>
      <c r="L317" s="345" t="s">
        <v>6856</v>
      </c>
      <c r="M317" s="345" t="s">
        <v>215</v>
      </c>
      <c r="N317" s="345"/>
      <c r="O317" s="345"/>
      <c r="P317" s="345"/>
      <c r="Q317" s="345"/>
      <c r="R317" s="345"/>
      <c r="S317" s="345"/>
      <c r="T317" s="345"/>
      <c r="U317" s="345"/>
      <c r="V317" s="345"/>
      <c r="W317" s="345"/>
      <c r="X317" s="345"/>
      <c r="Y317" s="345"/>
      <c r="Z317" s="345"/>
    </row>
    <row r="318">
      <c r="A318" s="345" t="s">
        <v>6858</v>
      </c>
      <c r="B318" s="1021">
        <v>44929.0</v>
      </c>
      <c r="C318" s="345"/>
      <c r="D318" s="1021">
        <v>44942.0</v>
      </c>
      <c r="E318" s="345" t="s">
        <v>6859</v>
      </c>
      <c r="F318" s="345" t="s">
        <v>5922</v>
      </c>
      <c r="G318" s="345" t="s">
        <v>6439</v>
      </c>
      <c r="H318" s="1020" t="s">
        <v>6439</v>
      </c>
      <c r="I318" s="345"/>
      <c r="J318" s="345"/>
      <c r="K318" s="345" t="s">
        <v>6632</v>
      </c>
      <c r="L318" s="345" t="s">
        <v>6860</v>
      </c>
      <c r="M318" s="345" t="s">
        <v>215</v>
      </c>
      <c r="N318" s="345"/>
      <c r="O318" s="345"/>
      <c r="P318" s="345"/>
      <c r="Q318" s="345"/>
      <c r="R318" s="345"/>
      <c r="S318" s="345"/>
      <c r="T318" s="345"/>
      <c r="U318" s="345"/>
      <c r="V318" s="345"/>
      <c r="W318" s="345"/>
      <c r="X318" s="345"/>
      <c r="Y318" s="345"/>
      <c r="Z318" s="345"/>
    </row>
    <row r="319">
      <c r="A319" s="345" t="s">
        <v>6862</v>
      </c>
      <c r="B319" s="1021">
        <v>44929.0</v>
      </c>
      <c r="C319" s="345"/>
      <c r="D319" s="1021">
        <v>44942.0</v>
      </c>
      <c r="E319" s="345" t="s">
        <v>6587</v>
      </c>
      <c r="F319" s="345" t="s">
        <v>5922</v>
      </c>
      <c r="G319" s="345" t="s">
        <v>6439</v>
      </c>
      <c r="H319" s="1020" t="s">
        <v>6439</v>
      </c>
      <c r="I319" s="345"/>
      <c r="J319" s="345"/>
      <c r="K319" s="345" t="s">
        <v>5894</v>
      </c>
      <c r="L319" s="345" t="s">
        <v>6863</v>
      </c>
      <c r="M319" s="345" t="s">
        <v>215</v>
      </c>
      <c r="N319" s="345"/>
      <c r="O319" s="345"/>
      <c r="P319" s="345"/>
      <c r="Q319" s="345"/>
      <c r="R319" s="345"/>
      <c r="S319" s="345"/>
      <c r="T319" s="345"/>
      <c r="U319" s="345"/>
      <c r="V319" s="345"/>
      <c r="W319" s="345"/>
      <c r="X319" s="345"/>
      <c r="Y319" s="345"/>
      <c r="Z319" s="345"/>
    </row>
    <row r="320">
      <c r="A320" s="345" t="s">
        <v>6864</v>
      </c>
      <c r="B320" s="1021">
        <v>44929.0</v>
      </c>
      <c r="C320" s="345"/>
      <c r="D320" s="1021">
        <v>44942.0</v>
      </c>
      <c r="E320" s="345" t="s">
        <v>6866</v>
      </c>
      <c r="F320" s="345" t="s">
        <v>5922</v>
      </c>
      <c r="G320" s="345" t="s">
        <v>6439</v>
      </c>
      <c r="H320" s="1020" t="s">
        <v>6439</v>
      </c>
      <c r="I320" s="345"/>
      <c r="J320" s="345"/>
      <c r="K320" s="345" t="s">
        <v>5899</v>
      </c>
      <c r="L320" s="345" t="s">
        <v>6867</v>
      </c>
      <c r="M320" s="345" t="s">
        <v>215</v>
      </c>
      <c r="N320" s="345"/>
      <c r="O320" s="345"/>
      <c r="P320" s="345"/>
      <c r="Q320" s="345"/>
      <c r="R320" s="345"/>
      <c r="S320" s="345"/>
      <c r="T320" s="345"/>
      <c r="U320" s="345"/>
      <c r="V320" s="345"/>
      <c r="W320" s="345"/>
      <c r="X320" s="345"/>
      <c r="Y320" s="345"/>
      <c r="Z320" s="345"/>
    </row>
    <row r="321">
      <c r="A321" s="345" t="s">
        <v>6868</v>
      </c>
      <c r="B321" s="1021">
        <v>44915.0</v>
      </c>
      <c r="C321" s="345"/>
      <c r="D321" s="1021">
        <v>44942.0</v>
      </c>
      <c r="E321" s="345" t="s">
        <v>6869</v>
      </c>
      <c r="F321" s="345" t="s">
        <v>5922</v>
      </c>
      <c r="G321" s="345" t="s">
        <v>6439</v>
      </c>
      <c r="H321" s="1020" t="s">
        <v>6439</v>
      </c>
      <c r="I321" s="345"/>
      <c r="J321" s="345"/>
      <c r="K321" s="345" t="s">
        <v>6690</v>
      </c>
      <c r="L321" s="345" t="s">
        <v>6870</v>
      </c>
      <c r="M321" s="345" t="s">
        <v>215</v>
      </c>
      <c r="N321" s="345"/>
      <c r="O321" s="345"/>
      <c r="P321" s="345"/>
      <c r="Q321" s="345"/>
      <c r="R321" s="345"/>
      <c r="S321" s="345"/>
      <c r="T321" s="345"/>
      <c r="U321" s="345"/>
      <c r="V321" s="345"/>
      <c r="W321" s="345"/>
      <c r="X321" s="345"/>
      <c r="Y321" s="345"/>
      <c r="Z321" s="345"/>
    </row>
  </sheetData>
  <autoFilter ref="$A$1:$Z$321"/>
  <hyperlinks>
    <hyperlink r:id="rId1" ref="L108"/>
    <hyperlink r:id="rId2" ref="L250"/>
    <hyperlink r:id="rId3" ref="L310"/>
    <hyperlink r:id="rId4" ref="L314"/>
  </hyperlinks>
  <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outlineLevelCol="1"/>
  <cols>
    <col customWidth="1" min="1" max="1" width="2.29"/>
    <col customWidth="1" min="2" max="2" width="13.57"/>
    <col customWidth="1" min="3" max="3" width="52.0"/>
    <col customWidth="1" min="5" max="5" width="17.57"/>
    <col customWidth="1" min="6" max="6" width="51.0"/>
    <col customWidth="1" min="7" max="7" width="31.57"/>
    <col customWidth="1" min="10" max="10" width="2.29"/>
  </cols>
  <sheetData>
    <row r="1">
      <c r="A1" s="693"/>
      <c r="B1" s="693"/>
      <c r="C1" s="693"/>
      <c r="D1" s="693"/>
      <c r="E1" s="693"/>
      <c r="F1" s="693"/>
      <c r="G1" s="693"/>
      <c r="H1" s="693"/>
      <c r="I1" s="693"/>
      <c r="J1" s="693"/>
    </row>
    <row r="2" ht="11.25" customHeight="1">
      <c r="A2" s="693"/>
      <c r="B2" s="1017" t="s">
        <v>6215</v>
      </c>
      <c r="H2" s="693"/>
      <c r="I2" s="693"/>
      <c r="J2" s="693"/>
    </row>
    <row r="3" ht="11.25" customHeight="1">
      <c r="A3" s="693"/>
      <c r="H3" s="693"/>
      <c r="I3" s="693"/>
      <c r="J3" s="693"/>
    </row>
    <row r="4" ht="11.25" customHeight="1">
      <c r="A4" s="693"/>
      <c r="H4" s="693"/>
      <c r="I4" s="693"/>
      <c r="J4" s="693"/>
    </row>
    <row r="5">
      <c r="A5" s="693"/>
      <c r="B5" s="693"/>
      <c r="C5" s="693"/>
      <c r="D5" s="693"/>
      <c r="E5" s="693"/>
      <c r="F5" s="693"/>
      <c r="G5" s="693"/>
      <c r="H5" s="693"/>
      <c r="I5" s="693"/>
      <c r="J5" s="693"/>
    </row>
    <row r="6">
      <c r="A6" s="699"/>
      <c r="B6" s="699"/>
      <c r="C6" s="699"/>
      <c r="D6" s="699"/>
      <c r="E6" s="699"/>
      <c r="F6" s="699"/>
      <c r="G6" s="699"/>
      <c r="H6" s="699"/>
      <c r="I6" s="699"/>
      <c r="J6" s="699"/>
    </row>
    <row r="7">
      <c r="A7" s="699"/>
      <c r="B7" s="1018" t="s">
        <v>5590</v>
      </c>
      <c r="C7" s="1018" t="s">
        <v>6228</v>
      </c>
      <c r="D7" s="1018" t="s">
        <v>0</v>
      </c>
      <c r="E7" s="1018" t="s">
        <v>6231</v>
      </c>
      <c r="F7" s="1018" t="s">
        <v>153</v>
      </c>
      <c r="G7" s="1018" t="s">
        <v>6232</v>
      </c>
      <c r="H7" s="1018" t="s">
        <v>164</v>
      </c>
      <c r="I7" s="1019" t="s">
        <v>6235</v>
      </c>
      <c r="J7" s="699"/>
    </row>
    <row r="8">
      <c r="A8" s="699"/>
      <c r="B8" s="1068" t="s">
        <v>6237</v>
      </c>
      <c r="C8" s="1029"/>
      <c r="D8" s="1028"/>
      <c r="E8" s="1029"/>
      <c r="F8" s="1029"/>
      <c r="G8" s="1029"/>
      <c r="H8" s="1069"/>
      <c r="I8" s="1070"/>
      <c r="J8" s="699"/>
    </row>
    <row r="9">
      <c r="A9" s="699"/>
      <c r="B9" s="1068" t="s">
        <v>6256</v>
      </c>
      <c r="C9" s="1071" t="s">
        <v>6257</v>
      </c>
      <c r="D9" s="1028" t="s">
        <v>176</v>
      </c>
      <c r="E9" s="1071" t="s">
        <v>267</v>
      </c>
      <c r="F9" s="1071" t="s">
        <v>6259</v>
      </c>
      <c r="G9" s="1071" t="s">
        <v>6261</v>
      </c>
      <c r="H9" s="1069"/>
      <c r="I9" s="1073" t="s">
        <v>6263</v>
      </c>
      <c r="J9" s="699"/>
    </row>
    <row r="10">
      <c r="A10" s="699"/>
      <c r="B10" s="1068" t="s">
        <v>6273</v>
      </c>
      <c r="C10" s="1028" t="s">
        <v>6274</v>
      </c>
      <c r="D10" s="1028" t="s">
        <v>1273</v>
      </c>
      <c r="E10" s="1071" t="s">
        <v>6276</v>
      </c>
      <c r="F10" s="1028" t="s">
        <v>6277</v>
      </c>
      <c r="G10" s="1028" t="s">
        <v>6279</v>
      </c>
      <c r="H10" s="1069"/>
      <c r="I10" s="1073" t="s">
        <v>6280</v>
      </c>
      <c r="J10" s="699"/>
    </row>
    <row r="11">
      <c r="A11" s="699"/>
      <c r="B11" s="1068" t="s">
        <v>6284</v>
      </c>
      <c r="C11" s="1028" t="s">
        <v>6286</v>
      </c>
      <c r="D11" s="1028" t="s">
        <v>176</v>
      </c>
      <c r="E11" s="1071" t="s">
        <v>6287</v>
      </c>
      <c r="F11" s="1028" t="s">
        <v>6288</v>
      </c>
      <c r="G11" s="1028" t="s">
        <v>6290</v>
      </c>
      <c r="H11" s="1069"/>
      <c r="I11" s="1073" t="s">
        <v>6291</v>
      </c>
      <c r="J11" s="699"/>
    </row>
    <row r="12">
      <c r="A12" s="699"/>
      <c r="B12" s="1068" t="s">
        <v>6295</v>
      </c>
      <c r="C12" s="1028" t="s">
        <v>6296</v>
      </c>
      <c r="D12" s="1028" t="s">
        <v>215</v>
      </c>
      <c r="E12" s="1028" t="s">
        <v>6299</v>
      </c>
      <c r="F12" s="1028" t="s">
        <v>1340</v>
      </c>
      <c r="G12" s="1028" t="s">
        <v>2651</v>
      </c>
      <c r="H12" s="1069"/>
      <c r="I12" s="1073" t="s">
        <v>6300</v>
      </c>
      <c r="J12" s="699"/>
    </row>
    <row r="13">
      <c r="A13" s="699"/>
      <c r="B13" s="1068" t="s">
        <v>6304</v>
      </c>
      <c r="C13" s="1028" t="s">
        <v>6305</v>
      </c>
      <c r="D13" s="1028" t="s">
        <v>215</v>
      </c>
      <c r="E13" s="1028" t="s">
        <v>6306</v>
      </c>
      <c r="F13" s="1028" t="s">
        <v>6307</v>
      </c>
      <c r="G13" s="1028" t="s">
        <v>6309</v>
      </c>
      <c r="H13" s="1069"/>
      <c r="I13" s="1070"/>
      <c r="J13" s="699"/>
    </row>
    <row r="14">
      <c r="A14" s="699"/>
      <c r="B14" s="1068" t="s">
        <v>6310</v>
      </c>
      <c r="C14" s="1029"/>
      <c r="D14" s="1028"/>
      <c r="E14" s="1029"/>
      <c r="F14" s="1029"/>
      <c r="G14" s="1029"/>
      <c r="H14" s="1069"/>
      <c r="I14" s="1070"/>
      <c r="J14" s="699"/>
    </row>
    <row r="15">
      <c r="A15" s="699"/>
      <c r="B15" s="1068" t="s">
        <v>6312</v>
      </c>
      <c r="C15" s="1029"/>
      <c r="D15" s="1028"/>
      <c r="E15" s="1028"/>
      <c r="F15" s="1074"/>
      <c r="G15" s="1075"/>
      <c r="H15" s="1069"/>
      <c r="I15" s="1070"/>
      <c r="J15" s="699"/>
    </row>
    <row r="16">
      <c r="A16" s="699"/>
      <c r="B16" s="1068" t="s">
        <v>6319</v>
      </c>
      <c r="C16" s="1029"/>
      <c r="D16" s="1028"/>
      <c r="E16" s="1029"/>
      <c r="F16" s="1029"/>
      <c r="G16" s="1029"/>
      <c r="H16" s="1069"/>
      <c r="I16" s="1070"/>
      <c r="J16" s="699"/>
    </row>
    <row r="17">
      <c r="A17" s="699"/>
      <c r="B17" s="1068" t="s">
        <v>6321</v>
      </c>
      <c r="C17" s="1029"/>
      <c r="D17" s="1028"/>
      <c r="E17" s="1029"/>
      <c r="F17" s="1029"/>
      <c r="G17" s="1078"/>
      <c r="H17" s="1069"/>
      <c r="I17" s="1070"/>
      <c r="J17" s="699"/>
    </row>
    <row r="18">
      <c r="A18" s="699"/>
      <c r="B18" s="1079"/>
      <c r="C18" s="1029"/>
      <c r="D18" s="1028"/>
      <c r="E18" s="1029"/>
      <c r="F18" s="1029"/>
      <c r="G18" s="1078"/>
      <c r="H18" s="1069"/>
      <c r="I18" s="1070"/>
      <c r="J18" s="699"/>
    </row>
    <row r="19">
      <c r="A19" s="699"/>
      <c r="B19" s="1079"/>
      <c r="C19" s="1029"/>
      <c r="D19" s="1028"/>
      <c r="E19" s="1029"/>
      <c r="F19" s="1029"/>
      <c r="G19" s="1078"/>
      <c r="H19" s="1069"/>
      <c r="I19" s="1070"/>
      <c r="J19" s="699"/>
    </row>
    <row r="20">
      <c r="A20" s="699"/>
      <c r="B20" s="1079"/>
      <c r="C20" s="1029"/>
      <c r="D20" s="1028"/>
      <c r="E20" s="1029"/>
      <c r="F20" s="1029"/>
      <c r="G20" s="1078"/>
      <c r="H20" s="1069"/>
      <c r="I20" s="1070"/>
      <c r="J20" s="699"/>
    </row>
    <row r="21">
      <c r="A21" s="699"/>
      <c r="B21" s="1079"/>
      <c r="C21" s="1029"/>
      <c r="D21" s="1028"/>
      <c r="E21" s="1029"/>
      <c r="F21" s="1029"/>
      <c r="G21" s="1029"/>
      <c r="H21" s="1069"/>
      <c r="I21" s="1070"/>
      <c r="J21" s="699"/>
    </row>
    <row r="22">
      <c r="A22" s="699"/>
      <c r="B22" s="1079"/>
      <c r="C22" s="1029"/>
      <c r="D22" s="1028"/>
      <c r="E22" s="1080"/>
      <c r="F22" s="1029"/>
      <c r="G22" s="1080"/>
      <c r="H22" s="1069"/>
      <c r="I22" s="1070"/>
      <c r="J22" s="699"/>
    </row>
    <row r="23">
      <c r="A23" s="699"/>
      <c r="B23" s="1079"/>
      <c r="C23" s="1029"/>
      <c r="D23" s="1028"/>
      <c r="E23" s="1029"/>
      <c r="F23" s="1074"/>
      <c r="G23" s="1074"/>
      <c r="H23" s="1069"/>
      <c r="I23" s="1070"/>
      <c r="J23" s="699"/>
    </row>
    <row r="24">
      <c r="A24" s="699"/>
      <c r="B24" s="1079"/>
      <c r="C24" s="1029"/>
      <c r="D24" s="1028"/>
      <c r="E24" s="1029"/>
      <c r="F24" s="1029"/>
      <c r="G24" s="1029"/>
      <c r="H24" s="1069"/>
      <c r="I24" s="1070"/>
      <c r="J24" s="699"/>
    </row>
    <row r="25">
      <c r="A25" s="699"/>
      <c r="B25" s="1079"/>
      <c r="C25" s="1029"/>
      <c r="D25" s="1028"/>
      <c r="E25" s="1029"/>
      <c r="F25" s="1029"/>
      <c r="G25" s="1029"/>
      <c r="H25" s="1069"/>
      <c r="I25" s="1070"/>
      <c r="J25" s="699"/>
    </row>
    <row r="26">
      <c r="A26" s="699"/>
      <c r="B26" s="1079"/>
      <c r="C26" s="1029"/>
      <c r="D26" s="1028"/>
      <c r="E26" s="1029"/>
      <c r="F26" s="1029"/>
      <c r="G26" s="1078"/>
      <c r="H26" s="1069"/>
      <c r="I26" s="1070"/>
      <c r="J26" s="699"/>
    </row>
    <row r="27">
      <c r="A27" s="699"/>
      <c r="B27" s="1079"/>
      <c r="C27" s="1029"/>
      <c r="D27" s="1028"/>
      <c r="E27" s="1029"/>
      <c r="F27" s="1078"/>
      <c r="G27" s="1078"/>
      <c r="H27" s="1069"/>
      <c r="I27" s="1070"/>
      <c r="J27" s="699"/>
    </row>
    <row r="28">
      <c r="A28" s="699"/>
      <c r="B28" s="1079"/>
      <c r="C28" s="1029"/>
      <c r="D28" s="1028"/>
      <c r="E28" s="1029"/>
      <c r="F28" s="1078"/>
      <c r="G28" s="1078"/>
      <c r="H28" s="1069"/>
      <c r="I28" s="1070"/>
      <c r="J28" s="699"/>
    </row>
    <row r="29">
      <c r="A29" s="699"/>
      <c r="B29" s="1079"/>
      <c r="C29" s="1029"/>
      <c r="D29" s="1028"/>
      <c r="E29" s="1029"/>
      <c r="F29" s="1078"/>
      <c r="G29" s="1078"/>
      <c r="H29" s="1069"/>
      <c r="I29" s="1070"/>
      <c r="J29" s="699"/>
    </row>
    <row r="30">
      <c r="A30" s="699"/>
      <c r="B30" s="1079"/>
      <c r="C30" s="1029"/>
      <c r="D30" s="1028"/>
      <c r="E30" s="1029"/>
      <c r="F30" s="1078"/>
      <c r="G30" s="1078"/>
      <c r="H30" s="1069"/>
      <c r="I30" s="1070"/>
      <c r="J30" s="699"/>
    </row>
    <row r="31">
      <c r="A31" s="699"/>
      <c r="B31" s="1079"/>
      <c r="C31" s="1029"/>
      <c r="D31" s="1028"/>
      <c r="E31" s="1029"/>
      <c r="F31" s="1078"/>
      <c r="G31" s="1078"/>
      <c r="H31" s="1069"/>
      <c r="I31" s="1070"/>
      <c r="J31" s="699"/>
    </row>
    <row r="32">
      <c r="A32" s="699"/>
      <c r="B32" s="1079"/>
      <c r="C32" s="1029"/>
      <c r="D32" s="1028"/>
      <c r="E32" s="1029"/>
      <c r="F32" s="1078"/>
      <c r="G32" s="1078"/>
      <c r="H32" s="1069"/>
      <c r="I32" s="1070"/>
      <c r="J32" s="699"/>
    </row>
    <row r="33">
      <c r="A33" s="699"/>
      <c r="B33" s="1079"/>
      <c r="C33" s="1029"/>
      <c r="D33" s="1028"/>
      <c r="E33" s="1029"/>
      <c r="F33" s="1078"/>
      <c r="G33" s="1078"/>
      <c r="H33" s="1069"/>
      <c r="I33" s="1070"/>
      <c r="J33" s="699"/>
    </row>
    <row r="34">
      <c r="A34" s="699"/>
      <c r="B34" s="1079"/>
      <c r="C34" s="1029"/>
      <c r="D34" s="1028"/>
      <c r="E34" s="1029"/>
      <c r="F34" s="1078"/>
      <c r="G34" s="1078"/>
      <c r="H34" s="1069"/>
      <c r="I34" s="1070"/>
      <c r="J34" s="699"/>
    </row>
    <row r="35">
      <c r="A35" s="699"/>
      <c r="B35" s="1079"/>
      <c r="C35" s="1029"/>
      <c r="D35" s="1028"/>
      <c r="E35" s="1029"/>
      <c r="F35" s="1029"/>
      <c r="G35" s="1029"/>
      <c r="H35" s="1069"/>
      <c r="I35" s="1070"/>
      <c r="J35" s="699"/>
    </row>
    <row r="36">
      <c r="A36" s="699"/>
      <c r="B36" s="1079"/>
      <c r="C36" s="1029"/>
      <c r="D36" s="1028"/>
      <c r="E36" s="1029"/>
      <c r="F36" s="1074"/>
      <c r="G36" s="1074"/>
      <c r="H36" s="1069"/>
      <c r="I36" s="1070"/>
      <c r="J36" s="699"/>
    </row>
    <row r="37">
      <c r="A37" s="699"/>
      <c r="B37" s="1079"/>
      <c r="C37" s="1029"/>
      <c r="D37" s="1028"/>
      <c r="E37" s="1029"/>
      <c r="F37" s="1078"/>
      <c r="G37" s="1078"/>
      <c r="H37" s="1069"/>
      <c r="I37" s="1070"/>
      <c r="J37" s="699"/>
    </row>
    <row r="38">
      <c r="A38" s="699"/>
      <c r="B38" s="1079"/>
      <c r="C38" s="1029"/>
      <c r="D38" s="1028"/>
      <c r="E38" s="1029"/>
      <c r="F38" s="1078"/>
      <c r="G38" s="1078"/>
      <c r="H38" s="1069"/>
      <c r="I38" s="1070"/>
      <c r="J38" s="699"/>
    </row>
    <row r="39">
      <c r="A39" s="699"/>
      <c r="B39" s="1079"/>
      <c r="C39" s="1029"/>
      <c r="D39" s="1028"/>
      <c r="E39" s="1029"/>
      <c r="F39" s="1029"/>
      <c r="G39" s="1029"/>
      <c r="H39" s="1069"/>
      <c r="I39" s="1070"/>
      <c r="J39" s="699"/>
    </row>
    <row r="40">
      <c r="A40" s="699"/>
      <c r="B40" s="1079"/>
      <c r="C40" s="1029"/>
      <c r="D40" s="1028"/>
      <c r="E40" s="1029"/>
      <c r="F40" s="1029"/>
      <c r="G40" s="1029"/>
      <c r="H40" s="1069"/>
      <c r="I40" s="1070"/>
      <c r="J40" s="699"/>
    </row>
    <row r="41">
      <c r="A41" s="699"/>
      <c r="B41" s="1079"/>
      <c r="C41" s="1029"/>
      <c r="D41" s="1028"/>
      <c r="E41" s="1029"/>
      <c r="F41" s="1078"/>
      <c r="G41" s="1078"/>
      <c r="H41" s="1069"/>
      <c r="I41" s="1070"/>
      <c r="J41" s="699"/>
    </row>
    <row r="42">
      <c r="A42" s="699"/>
      <c r="B42" s="1079"/>
      <c r="C42" s="1029"/>
      <c r="D42" s="1028"/>
      <c r="E42" s="1029"/>
      <c r="F42" s="1029"/>
      <c r="G42" s="1029"/>
      <c r="H42" s="1069"/>
      <c r="I42" s="1070"/>
      <c r="J42" s="699"/>
    </row>
    <row r="43">
      <c r="A43" s="699"/>
      <c r="B43" s="1079"/>
      <c r="C43" s="1029"/>
      <c r="D43" s="1028"/>
      <c r="E43" s="1029"/>
      <c r="F43" s="1078"/>
      <c r="G43" s="1078"/>
      <c r="H43" s="1069"/>
      <c r="I43" s="1070"/>
      <c r="J43" s="699"/>
    </row>
    <row r="44">
      <c r="A44" s="699"/>
      <c r="B44" s="1079"/>
      <c r="C44" s="1029"/>
      <c r="D44" s="1028"/>
      <c r="E44" s="1029"/>
      <c r="F44" s="1029"/>
      <c r="G44" s="1029"/>
      <c r="H44" s="1080"/>
      <c r="I44" s="1086"/>
      <c r="J44" s="699"/>
    </row>
    <row r="45">
      <c r="A45" s="699"/>
      <c r="B45" s="1079"/>
      <c r="C45" s="1029"/>
      <c r="D45" s="1028"/>
      <c r="E45" s="1029"/>
      <c r="F45" s="1029"/>
      <c r="G45" s="1078"/>
      <c r="H45" s="1080"/>
      <c r="I45" s="1086"/>
      <c r="J45" s="699"/>
    </row>
    <row r="46">
      <c r="A46" s="699"/>
      <c r="B46" s="1079"/>
      <c r="C46" s="1029"/>
      <c r="D46" s="1028"/>
      <c r="E46" s="1029"/>
      <c r="F46" s="1029"/>
      <c r="G46" s="1029"/>
      <c r="H46" s="1080"/>
      <c r="I46" s="1086"/>
      <c r="J46" s="699"/>
    </row>
    <row r="47">
      <c r="A47" s="699"/>
      <c r="B47" s="1079"/>
      <c r="C47" s="1029"/>
      <c r="D47" s="1028"/>
      <c r="E47" s="1029"/>
      <c r="F47" s="1078"/>
      <c r="G47" s="1078"/>
      <c r="H47" s="1080"/>
      <c r="I47" s="1086"/>
      <c r="J47" s="699"/>
    </row>
    <row r="48">
      <c r="A48" s="699"/>
      <c r="B48" s="1079"/>
      <c r="C48" s="1029"/>
      <c r="D48" s="1028"/>
      <c r="E48" s="1029"/>
      <c r="F48" s="1029"/>
      <c r="G48" s="1029"/>
      <c r="H48" s="1080"/>
      <c r="I48" s="1087"/>
      <c r="J48" s="699"/>
    </row>
    <row r="49">
      <c r="A49" s="699"/>
      <c r="B49" s="1079"/>
      <c r="C49" s="1029"/>
      <c r="D49" s="1028"/>
      <c r="E49" s="1029"/>
      <c r="F49" s="1029"/>
      <c r="G49" s="1029"/>
      <c r="H49" s="1080"/>
      <c r="I49" s="1087"/>
      <c r="J49" s="699"/>
    </row>
    <row r="50">
      <c r="A50" s="699"/>
      <c r="B50" s="1029"/>
      <c r="C50" s="1029"/>
      <c r="D50" s="1028"/>
      <c r="E50" s="1029"/>
      <c r="F50" s="1029"/>
      <c r="G50" s="1078"/>
      <c r="H50" s="1029"/>
      <c r="I50" s="1088"/>
      <c r="J50" s="699"/>
    </row>
    <row r="51">
      <c r="A51" s="699"/>
      <c r="B51" s="1079"/>
      <c r="C51" s="1029"/>
      <c r="D51" s="1028"/>
      <c r="E51" s="1029"/>
      <c r="F51" s="1029"/>
      <c r="G51" s="1078"/>
      <c r="H51" s="1029"/>
      <c r="I51" s="1088"/>
      <c r="J51" s="699"/>
    </row>
    <row r="52">
      <c r="A52" s="699"/>
      <c r="B52" s="1079"/>
      <c r="C52" s="1029"/>
      <c r="D52" s="1028"/>
      <c r="E52" s="1029"/>
      <c r="F52" s="1029"/>
      <c r="G52" s="1029"/>
      <c r="H52" s="1029"/>
      <c r="I52" s="1088"/>
      <c r="J52" s="699"/>
    </row>
    <row r="53">
      <c r="A53" s="699"/>
      <c r="B53" s="1079"/>
      <c r="C53" s="1029"/>
      <c r="D53" s="1028"/>
      <c r="E53" s="1029"/>
      <c r="F53" s="1029"/>
      <c r="G53" s="1029"/>
      <c r="H53" s="1029"/>
      <c r="I53" s="1088"/>
      <c r="J53" s="699"/>
    </row>
    <row r="54">
      <c r="A54" s="699"/>
      <c r="B54" s="1079"/>
      <c r="C54" s="1029"/>
      <c r="D54" s="1028"/>
      <c r="E54" s="1029"/>
      <c r="F54" s="1029"/>
      <c r="G54" s="1029"/>
      <c r="H54" s="1029"/>
      <c r="I54" s="1088"/>
      <c r="J54" s="699"/>
    </row>
    <row r="55">
      <c r="A55" s="699"/>
      <c r="B55" s="1079"/>
      <c r="C55" s="1029"/>
      <c r="D55" s="1028"/>
      <c r="E55" s="1029"/>
      <c r="F55" s="1029"/>
      <c r="G55" s="1029"/>
      <c r="H55" s="1029"/>
      <c r="I55" s="1088"/>
      <c r="J55" s="699"/>
    </row>
    <row r="56">
      <c r="A56" s="699"/>
      <c r="B56" s="1079"/>
      <c r="C56" s="1029"/>
      <c r="D56" s="1028"/>
      <c r="E56" s="1029"/>
      <c r="F56" s="1029"/>
      <c r="G56" s="1029"/>
      <c r="H56" s="1029"/>
      <c r="I56" s="1088"/>
      <c r="J56" s="699"/>
    </row>
    <row r="57">
      <c r="A57" s="699"/>
      <c r="B57" s="1079"/>
      <c r="C57" s="1029"/>
      <c r="D57" s="1028"/>
      <c r="E57" s="1029"/>
      <c r="F57" s="1074"/>
      <c r="G57" s="1074"/>
      <c r="H57" s="1029"/>
      <c r="I57" s="1088"/>
      <c r="J57" s="699"/>
    </row>
    <row r="58">
      <c r="A58" s="699"/>
      <c r="B58" s="1079"/>
      <c r="C58" s="1029"/>
      <c r="D58" s="1028"/>
      <c r="E58" s="1029"/>
      <c r="F58" s="1078"/>
      <c r="G58" s="1078"/>
      <c r="H58" s="1029"/>
      <c r="I58" s="1088"/>
      <c r="J58" s="699"/>
    </row>
    <row r="59">
      <c r="A59" s="699"/>
      <c r="B59" s="1079"/>
      <c r="C59" s="1029"/>
      <c r="D59" s="1028"/>
      <c r="E59" s="1029"/>
      <c r="F59" s="1029"/>
      <c r="G59" s="1029"/>
      <c r="H59" s="1029"/>
      <c r="I59" s="1088"/>
      <c r="J59" s="699"/>
    </row>
    <row r="60">
      <c r="A60" s="699"/>
      <c r="B60" s="1079"/>
      <c r="C60" s="1029"/>
      <c r="D60" s="1028"/>
      <c r="E60" s="1029"/>
      <c r="F60" s="1074"/>
      <c r="G60" s="1074"/>
      <c r="H60" s="1029"/>
      <c r="I60" s="1088"/>
      <c r="J60" s="699"/>
    </row>
    <row r="61">
      <c r="A61" s="699"/>
      <c r="B61" s="1079"/>
      <c r="C61" s="1029"/>
      <c r="D61" s="1028"/>
      <c r="E61" s="1029"/>
      <c r="F61" s="1029"/>
      <c r="G61" s="1029"/>
      <c r="H61" s="1029"/>
      <c r="I61" s="1088"/>
      <c r="J61" s="699"/>
    </row>
    <row r="62">
      <c r="A62" s="699"/>
      <c r="B62" s="1079"/>
      <c r="C62" s="1029"/>
      <c r="D62" s="1028"/>
      <c r="E62" s="1029"/>
      <c r="F62" s="1029"/>
      <c r="G62" s="1029"/>
      <c r="H62" s="1029"/>
      <c r="I62" s="1088"/>
      <c r="J62" s="699"/>
    </row>
    <row r="63">
      <c r="A63" s="699"/>
      <c r="B63" s="1079"/>
      <c r="C63" s="1029"/>
      <c r="D63" s="1028"/>
      <c r="E63" s="1029"/>
      <c r="F63" s="1078"/>
      <c r="G63" s="1078"/>
      <c r="H63" s="1029"/>
      <c r="I63" s="1088"/>
      <c r="J63" s="699"/>
    </row>
    <row r="64">
      <c r="A64" s="699"/>
      <c r="B64" s="1079"/>
      <c r="C64" s="1029"/>
      <c r="D64" s="1028"/>
      <c r="E64" s="1029"/>
      <c r="F64" s="1078"/>
      <c r="G64" s="1078"/>
      <c r="H64" s="1029"/>
      <c r="I64" s="1088"/>
      <c r="J64" s="699"/>
    </row>
    <row r="65">
      <c r="A65" s="699"/>
      <c r="B65" s="1079"/>
      <c r="C65" s="1029"/>
      <c r="D65" s="1028"/>
      <c r="E65" s="1029"/>
      <c r="F65" s="1078"/>
      <c r="G65" s="1078"/>
      <c r="H65" s="1029"/>
      <c r="I65" s="1088"/>
      <c r="J65" s="699"/>
    </row>
    <row r="66">
      <c r="A66" s="699"/>
      <c r="B66" s="1079"/>
      <c r="C66" s="1029"/>
      <c r="D66" s="1028"/>
      <c r="E66" s="1029"/>
      <c r="F66" s="1078"/>
      <c r="G66" s="1078"/>
      <c r="H66" s="1029"/>
      <c r="I66" s="1088"/>
      <c r="J66" s="699"/>
    </row>
    <row r="67">
      <c r="A67" s="699"/>
      <c r="B67" s="1079"/>
      <c r="C67" s="1029"/>
      <c r="D67" s="1028"/>
      <c r="E67" s="1029"/>
      <c r="F67" s="1078"/>
      <c r="G67" s="1078"/>
      <c r="H67" s="1029"/>
      <c r="I67" s="1088"/>
      <c r="J67" s="699"/>
    </row>
    <row r="68">
      <c r="A68" s="699"/>
      <c r="B68" s="1079"/>
      <c r="C68" s="1029"/>
      <c r="D68" s="1028"/>
      <c r="E68" s="1029"/>
      <c r="F68" s="1029"/>
      <c r="G68" s="1029"/>
      <c r="H68" s="1029"/>
      <c r="I68" s="1088"/>
      <c r="J68" s="699"/>
    </row>
    <row r="69">
      <c r="A69" s="699"/>
      <c r="B69" s="1079"/>
      <c r="C69" s="1029"/>
      <c r="D69" s="1028"/>
      <c r="E69" s="1029"/>
      <c r="F69" s="1029"/>
      <c r="G69" s="1029"/>
      <c r="H69" s="1029"/>
      <c r="I69" s="1088"/>
      <c r="J69" s="699"/>
    </row>
    <row r="70">
      <c r="A70" s="699"/>
      <c r="B70" s="1079"/>
      <c r="C70" s="1029"/>
      <c r="D70" s="1028"/>
      <c r="E70" s="1029"/>
      <c r="F70" s="1029"/>
      <c r="G70" s="1029"/>
      <c r="H70" s="1029"/>
      <c r="I70" s="1088"/>
      <c r="J70" s="699"/>
    </row>
    <row r="71">
      <c r="A71" s="699"/>
      <c r="B71" s="1079"/>
      <c r="C71" s="1029"/>
      <c r="D71" s="1028"/>
      <c r="E71" s="1029"/>
      <c r="F71" s="1074"/>
      <c r="G71" s="1074"/>
      <c r="H71" s="1029"/>
      <c r="I71" s="1088"/>
      <c r="J71" s="699"/>
    </row>
    <row r="72">
      <c r="A72" s="699"/>
      <c r="B72" s="1079"/>
      <c r="C72" s="1029"/>
      <c r="D72" s="1028"/>
      <c r="E72" s="1029"/>
      <c r="F72" s="1074"/>
      <c r="G72" s="1074"/>
      <c r="H72" s="1029"/>
      <c r="I72" s="1088"/>
      <c r="J72" s="699"/>
    </row>
    <row r="73">
      <c r="A73" s="699"/>
      <c r="B73" s="1079"/>
      <c r="C73" s="1029"/>
      <c r="D73" s="1028"/>
      <c r="E73" s="1029"/>
      <c r="F73" s="1078"/>
      <c r="G73" s="1078"/>
      <c r="H73" s="1029"/>
      <c r="I73" s="1088"/>
      <c r="J73" s="699"/>
    </row>
    <row r="74">
      <c r="A74" s="699"/>
      <c r="B74" s="1079"/>
      <c r="C74" s="1029"/>
      <c r="D74" s="1028"/>
      <c r="E74" s="1029"/>
      <c r="F74" s="1029"/>
      <c r="G74" s="1029"/>
      <c r="H74" s="1029"/>
      <c r="I74" s="1088"/>
      <c r="J74" s="699"/>
    </row>
    <row r="75">
      <c r="A75" s="699"/>
      <c r="B75" s="1079"/>
      <c r="C75" s="1029"/>
      <c r="D75" s="1028"/>
      <c r="E75" s="1029"/>
      <c r="F75" s="1029"/>
      <c r="G75" s="1029"/>
      <c r="H75" s="1029"/>
      <c r="I75" s="1088"/>
      <c r="J75" s="699"/>
    </row>
    <row r="76">
      <c r="A76" s="699"/>
      <c r="B76" s="1079"/>
      <c r="C76" s="1029"/>
      <c r="D76" s="1028"/>
      <c r="E76" s="1029"/>
      <c r="F76" s="1029"/>
      <c r="G76" s="1029"/>
      <c r="H76" s="1029"/>
      <c r="I76" s="1088"/>
      <c r="J76" s="699"/>
    </row>
    <row r="77">
      <c r="A77" s="699"/>
      <c r="B77" s="1079"/>
      <c r="C77" s="1029"/>
      <c r="D77" s="1028"/>
      <c r="E77" s="1029"/>
      <c r="F77" s="1029"/>
      <c r="G77" s="1029"/>
      <c r="H77" s="1029"/>
      <c r="I77" s="1088"/>
      <c r="J77" s="699"/>
    </row>
    <row r="78">
      <c r="A78" s="699"/>
      <c r="B78" s="1079"/>
      <c r="C78" s="1029"/>
      <c r="D78" s="1028"/>
      <c r="E78" s="1029"/>
      <c r="F78" s="1029"/>
      <c r="G78" s="1029"/>
      <c r="H78" s="1029"/>
      <c r="I78" s="1088"/>
      <c r="J78" s="699"/>
    </row>
    <row r="79">
      <c r="A79" s="699"/>
      <c r="B79" s="1079"/>
      <c r="C79" s="1029"/>
      <c r="D79" s="1028"/>
      <c r="E79" s="1029"/>
      <c r="F79" s="1029"/>
      <c r="G79" s="1029"/>
      <c r="H79" s="1029"/>
      <c r="I79" s="1088"/>
      <c r="J79" s="699"/>
    </row>
    <row r="80">
      <c r="A80" s="699"/>
      <c r="B80" s="1079"/>
      <c r="C80" s="1029"/>
      <c r="D80" s="1028"/>
      <c r="E80" s="1029"/>
      <c r="F80" s="1029"/>
      <c r="G80" s="1029"/>
      <c r="H80" s="1029"/>
      <c r="I80" s="1088"/>
      <c r="J80" s="699"/>
    </row>
    <row r="81">
      <c r="A81" s="699"/>
      <c r="B81" s="1079"/>
      <c r="C81" s="1029"/>
      <c r="D81" s="1028"/>
      <c r="E81" s="1029"/>
      <c r="F81" s="1029"/>
      <c r="G81" s="1029"/>
      <c r="H81" s="1029"/>
      <c r="I81" s="1088"/>
      <c r="J81" s="699"/>
    </row>
    <row r="82">
      <c r="A82" s="699"/>
      <c r="B82" s="1079"/>
      <c r="C82" s="1029"/>
      <c r="D82" s="1028"/>
      <c r="E82" s="1029"/>
      <c r="F82" s="1029"/>
      <c r="G82" s="1029"/>
      <c r="H82" s="1029"/>
      <c r="I82" s="1088"/>
      <c r="J82" s="699"/>
    </row>
    <row r="83">
      <c r="A83" s="699"/>
      <c r="B83" s="1079"/>
      <c r="C83" s="1029"/>
      <c r="D83" s="1028"/>
      <c r="E83" s="1029"/>
      <c r="F83" s="1029"/>
      <c r="G83" s="1029"/>
      <c r="H83" s="1029"/>
      <c r="I83" s="1088"/>
      <c r="J83" s="699"/>
    </row>
    <row r="84">
      <c r="A84" s="699"/>
      <c r="B84" s="1079"/>
      <c r="C84" s="1029"/>
      <c r="D84" s="1028"/>
      <c r="E84" s="1080"/>
      <c r="F84" s="1029"/>
      <c r="G84" s="1029"/>
      <c r="H84" s="1029"/>
      <c r="I84" s="1088"/>
      <c r="J84" s="699"/>
    </row>
    <row r="85">
      <c r="A85" s="699"/>
      <c r="B85" s="1079"/>
      <c r="C85" s="1029"/>
      <c r="D85" s="1028"/>
      <c r="E85" s="1080"/>
      <c r="F85" s="1029"/>
      <c r="G85" s="1029"/>
      <c r="H85" s="1029"/>
      <c r="I85" s="1088"/>
      <c r="J85" s="699"/>
    </row>
    <row r="86">
      <c r="A86" s="699"/>
      <c r="B86" s="1079"/>
      <c r="C86" s="1029"/>
      <c r="D86" s="1028"/>
      <c r="E86" s="1029"/>
      <c r="F86" s="1029"/>
      <c r="G86" s="1029"/>
      <c r="H86" s="1029"/>
      <c r="I86" s="1088"/>
      <c r="J86" s="699"/>
    </row>
    <row r="87">
      <c r="A87" s="699"/>
      <c r="B87" s="1079"/>
      <c r="C87" s="1029"/>
      <c r="D87" s="1028"/>
      <c r="E87" s="1029"/>
      <c r="F87" s="1029"/>
      <c r="G87" s="1029"/>
      <c r="H87" s="1029"/>
      <c r="I87" s="1088"/>
      <c r="J87" s="699"/>
    </row>
    <row r="88">
      <c r="A88" s="699"/>
      <c r="B88" s="1079"/>
      <c r="C88" s="1029"/>
      <c r="D88" s="1028"/>
      <c r="E88" s="1029"/>
      <c r="F88" s="1029"/>
      <c r="G88" s="1029"/>
      <c r="H88" s="1029"/>
      <c r="I88" s="1088"/>
      <c r="J88" s="699"/>
    </row>
    <row r="89">
      <c r="A89" s="699"/>
      <c r="B89" s="1079"/>
      <c r="C89" s="1029"/>
      <c r="D89" s="1028"/>
      <c r="E89" s="1029"/>
      <c r="F89" s="1029"/>
      <c r="G89" s="1029"/>
      <c r="H89" s="1029"/>
      <c r="I89" s="1088"/>
      <c r="J89" s="699"/>
    </row>
    <row r="90">
      <c r="A90" s="699"/>
      <c r="B90" s="1079"/>
      <c r="C90" s="1029"/>
      <c r="D90" s="1028"/>
      <c r="E90" s="1029"/>
      <c r="F90" s="1029"/>
      <c r="G90" s="1029"/>
      <c r="H90" s="1029"/>
      <c r="I90" s="1088"/>
      <c r="J90" s="699"/>
    </row>
    <row r="91">
      <c r="A91" s="699"/>
      <c r="B91" s="1079"/>
      <c r="C91" s="1029"/>
      <c r="D91" s="1028"/>
      <c r="E91" s="1029"/>
      <c r="F91" s="1029"/>
      <c r="G91" s="1029"/>
      <c r="H91" s="1029"/>
      <c r="I91" s="1088"/>
      <c r="J91" s="699"/>
    </row>
    <row r="92">
      <c r="A92" s="699"/>
      <c r="B92" s="1079"/>
      <c r="C92" s="1029"/>
      <c r="D92" s="1028"/>
      <c r="E92" s="1029"/>
      <c r="F92" s="1074"/>
      <c r="G92" s="1075"/>
      <c r="H92" s="1029"/>
      <c r="I92" s="1088"/>
      <c r="J92" s="699"/>
    </row>
    <row r="93">
      <c r="A93" s="699"/>
      <c r="B93" s="1079"/>
      <c r="C93" s="1029"/>
      <c r="D93" s="1028"/>
      <c r="E93" s="1029"/>
      <c r="F93" s="1074"/>
      <c r="G93" s="1075"/>
      <c r="H93" s="1029"/>
      <c r="I93" s="1088"/>
      <c r="J93" s="699"/>
    </row>
    <row r="94">
      <c r="A94" s="699"/>
      <c r="B94" s="1079"/>
      <c r="C94" s="1029"/>
      <c r="D94" s="1028"/>
      <c r="E94" s="1029"/>
      <c r="F94" s="1074"/>
      <c r="G94" s="1075"/>
      <c r="H94" s="1029"/>
      <c r="I94" s="1088"/>
      <c r="J94" s="699"/>
    </row>
    <row r="95">
      <c r="A95" s="699"/>
      <c r="B95" s="1079"/>
      <c r="C95" s="1029"/>
      <c r="D95" s="1028"/>
      <c r="E95" s="1029"/>
      <c r="F95" s="1075"/>
      <c r="G95" s="1075"/>
      <c r="H95" s="1029"/>
      <c r="I95" s="1088"/>
      <c r="J95" s="699"/>
    </row>
    <row r="96">
      <c r="A96" s="699"/>
      <c r="B96" s="1079"/>
      <c r="C96" s="1029"/>
      <c r="D96" s="1028"/>
      <c r="E96" s="1029"/>
      <c r="F96" s="1074"/>
      <c r="G96" s="1075"/>
      <c r="H96" s="1029"/>
      <c r="I96" s="1088"/>
      <c r="J96" s="699"/>
    </row>
    <row r="97">
      <c r="A97" s="699"/>
      <c r="B97" s="1079"/>
      <c r="C97" s="1029"/>
      <c r="D97" s="1028"/>
      <c r="E97" s="1029"/>
      <c r="F97" s="1091"/>
      <c r="G97" s="1091"/>
      <c r="H97" s="1029"/>
      <c r="I97" s="1088"/>
      <c r="J97" s="699"/>
    </row>
    <row r="98">
      <c r="A98" s="699"/>
      <c r="B98" s="1079"/>
      <c r="C98" s="1029"/>
      <c r="D98" s="1028"/>
      <c r="E98" s="1029"/>
      <c r="F98" s="1075"/>
      <c r="G98" s="1075"/>
      <c r="H98" s="1029"/>
      <c r="I98" s="1088"/>
      <c r="J98" s="699"/>
    </row>
    <row r="99">
      <c r="A99" s="699"/>
      <c r="B99" s="1029"/>
      <c r="C99" s="1029"/>
      <c r="D99" s="1028"/>
      <c r="E99" s="1029"/>
      <c r="F99" s="1075"/>
      <c r="G99" s="1075"/>
      <c r="H99" s="1029"/>
      <c r="I99" s="1088"/>
      <c r="J99" s="699"/>
    </row>
    <row r="100">
      <c r="A100" s="699"/>
      <c r="B100" s="1029"/>
      <c r="C100" s="1029"/>
      <c r="D100" s="1028"/>
      <c r="E100" s="1029"/>
      <c r="F100" s="1075"/>
      <c r="G100" s="1075"/>
      <c r="H100" s="1029"/>
      <c r="I100" s="1088"/>
      <c r="J100" s="699"/>
    </row>
    <row r="101">
      <c r="A101" s="699"/>
      <c r="B101" s="1029"/>
      <c r="C101" s="1029"/>
      <c r="D101" s="1028"/>
      <c r="E101" s="1029"/>
      <c r="F101" s="1075"/>
      <c r="G101" s="1075"/>
      <c r="H101" s="1029"/>
      <c r="I101" s="1088"/>
      <c r="J101" s="699"/>
    </row>
    <row r="102">
      <c r="A102" s="699"/>
      <c r="B102" s="1029"/>
      <c r="C102" s="1029"/>
      <c r="D102" s="1028"/>
      <c r="E102" s="1029"/>
      <c r="F102" s="1075"/>
      <c r="G102" s="1075"/>
      <c r="H102" s="1029"/>
      <c r="I102" s="1088"/>
      <c r="J102" s="699"/>
    </row>
    <row r="103">
      <c r="A103" s="699"/>
      <c r="B103" s="1029"/>
      <c r="C103" s="1029"/>
      <c r="D103" s="1028"/>
      <c r="E103" s="1029"/>
      <c r="F103" s="1075"/>
      <c r="G103" s="1075"/>
      <c r="H103" s="1029"/>
      <c r="I103" s="1088"/>
      <c r="J103" s="699"/>
    </row>
    <row r="104">
      <c r="A104" s="699"/>
      <c r="B104" s="1029"/>
      <c r="C104" s="1029"/>
      <c r="D104" s="1028"/>
      <c r="E104" s="1029"/>
      <c r="F104" s="1075"/>
      <c r="G104" s="1075"/>
      <c r="H104" s="1029"/>
      <c r="I104" s="1088"/>
      <c r="J104" s="699"/>
    </row>
    <row r="105">
      <c r="A105" s="699"/>
      <c r="B105" s="1029"/>
      <c r="C105" s="1029"/>
      <c r="D105" s="1028"/>
      <c r="E105" s="1029"/>
      <c r="F105" s="1075"/>
      <c r="G105" s="1075"/>
      <c r="H105" s="1029"/>
      <c r="I105" s="1088"/>
      <c r="J105" s="699"/>
    </row>
    <row r="106">
      <c r="A106" s="699"/>
      <c r="B106" s="1029"/>
      <c r="C106" s="1029"/>
      <c r="D106" s="1028"/>
      <c r="E106" s="1029"/>
      <c r="F106" s="1075"/>
      <c r="G106" s="1075"/>
      <c r="H106" s="1029"/>
      <c r="I106" s="1088"/>
      <c r="J106" s="699"/>
    </row>
    <row r="107">
      <c r="A107" s="699"/>
      <c r="B107" s="1029"/>
      <c r="C107" s="1029"/>
      <c r="D107" s="1028"/>
      <c r="E107" s="1029"/>
      <c r="F107" s="1075"/>
      <c r="G107" s="1075"/>
      <c r="H107" s="1029"/>
      <c r="I107" s="1088"/>
      <c r="J107" s="699"/>
    </row>
    <row r="108">
      <c r="A108" s="699"/>
      <c r="B108" s="1029"/>
      <c r="C108" s="1029"/>
      <c r="D108" s="1028"/>
      <c r="E108" s="1029"/>
      <c r="F108" s="1075"/>
      <c r="G108" s="1075"/>
      <c r="H108" s="1029"/>
      <c r="I108" s="1088"/>
      <c r="J108" s="699"/>
    </row>
    <row r="109">
      <c r="A109" s="699"/>
      <c r="B109" s="1029"/>
      <c r="C109" s="1029"/>
      <c r="D109" s="1028"/>
      <c r="E109" s="1029"/>
      <c r="F109" s="1075"/>
      <c r="G109" s="1075"/>
      <c r="H109" s="1029"/>
      <c r="I109" s="1088"/>
      <c r="J109" s="699"/>
    </row>
    <row r="110">
      <c r="A110" s="699"/>
      <c r="B110" s="1029"/>
      <c r="C110" s="1029"/>
      <c r="D110" s="1028"/>
      <c r="E110" s="1029"/>
      <c r="F110" s="1029"/>
      <c r="G110" s="1029"/>
      <c r="H110" s="1029"/>
      <c r="I110" s="1088"/>
      <c r="J110" s="699"/>
    </row>
    <row r="111">
      <c r="A111" s="699"/>
      <c r="B111" s="1029"/>
      <c r="C111" s="1029"/>
      <c r="D111" s="1028"/>
      <c r="E111" s="1029"/>
      <c r="F111" s="1091"/>
      <c r="G111" s="1091"/>
      <c r="H111" s="1029"/>
      <c r="I111" s="1088"/>
      <c r="J111" s="699"/>
    </row>
    <row r="112">
      <c r="A112" s="699"/>
      <c r="B112" s="1029"/>
      <c r="C112" s="1029"/>
      <c r="D112" s="1028"/>
      <c r="E112" s="1029"/>
      <c r="F112" s="1074"/>
      <c r="G112" s="1075"/>
      <c r="H112" s="1029"/>
      <c r="I112" s="1088"/>
      <c r="J112" s="699"/>
    </row>
    <row r="113">
      <c r="A113" s="699"/>
      <c r="B113" s="1029"/>
      <c r="C113" s="1029"/>
      <c r="D113" s="1028"/>
      <c r="E113" s="1029"/>
      <c r="F113" s="1091"/>
      <c r="G113" s="1091"/>
      <c r="H113" s="1029"/>
      <c r="I113" s="1088"/>
      <c r="J113" s="699"/>
    </row>
    <row r="114">
      <c r="A114" s="699"/>
      <c r="B114" s="1029"/>
      <c r="C114" s="1029"/>
      <c r="D114" s="1028"/>
      <c r="E114" s="1029"/>
      <c r="F114" s="1091"/>
      <c r="G114" s="1091"/>
      <c r="H114" s="1029"/>
      <c r="I114" s="1088"/>
      <c r="J114" s="699"/>
    </row>
    <row r="115">
      <c r="A115" s="699"/>
      <c r="B115" s="1029"/>
      <c r="C115" s="1029"/>
      <c r="D115" s="1028"/>
      <c r="E115" s="1029"/>
      <c r="F115" s="1091"/>
      <c r="G115" s="1091"/>
      <c r="H115" s="1029"/>
      <c r="I115" s="1088"/>
      <c r="J115" s="699"/>
    </row>
    <row r="116">
      <c r="A116" s="699"/>
      <c r="B116" s="1029"/>
      <c r="C116" s="1029"/>
      <c r="D116" s="1028"/>
      <c r="E116" s="1029"/>
      <c r="F116" s="1029"/>
      <c r="G116" s="1029"/>
      <c r="H116" s="1029"/>
      <c r="I116" s="1088"/>
      <c r="J116" s="699"/>
    </row>
    <row r="117">
      <c r="A117" s="699"/>
      <c r="B117" s="1029"/>
      <c r="C117" s="1029"/>
      <c r="D117" s="1028"/>
      <c r="E117" s="1029"/>
      <c r="F117" s="1075"/>
      <c r="G117" s="1075"/>
      <c r="H117" s="1029"/>
      <c r="I117" s="1088"/>
      <c r="J117" s="699"/>
    </row>
    <row r="118">
      <c r="A118" s="699"/>
      <c r="B118" s="1029"/>
      <c r="C118" s="1029"/>
      <c r="D118" s="1028"/>
      <c r="E118" s="1029"/>
      <c r="F118" s="1074"/>
      <c r="G118" s="1075"/>
      <c r="H118" s="1029"/>
      <c r="I118" s="1088"/>
      <c r="J118" s="699"/>
    </row>
    <row r="119">
      <c r="A119" s="699"/>
      <c r="B119" s="1079"/>
      <c r="C119" s="1029"/>
      <c r="D119" s="1028"/>
      <c r="E119" s="1029"/>
      <c r="F119" s="1078"/>
      <c r="G119" s="1078"/>
      <c r="H119" s="1029"/>
      <c r="I119" s="1088"/>
      <c r="J119" s="699"/>
    </row>
    <row r="120">
      <c r="A120" s="699"/>
      <c r="B120" s="1079"/>
      <c r="C120" s="1029"/>
      <c r="D120" s="1028"/>
      <c r="E120" s="1029"/>
      <c r="F120" s="1078"/>
      <c r="G120" s="1078"/>
      <c r="H120" s="1029"/>
      <c r="I120" s="1088"/>
      <c r="J120" s="699"/>
    </row>
    <row r="121">
      <c r="A121" s="699"/>
      <c r="B121" s="1079"/>
      <c r="C121" s="1029"/>
      <c r="D121" s="1028"/>
      <c r="E121" s="1029"/>
      <c r="F121" s="1078"/>
      <c r="G121" s="1078"/>
      <c r="H121" s="1029"/>
      <c r="I121" s="1088"/>
      <c r="J121" s="699"/>
    </row>
    <row r="122">
      <c r="A122" s="699"/>
      <c r="B122" s="1079"/>
      <c r="C122" s="1029"/>
      <c r="D122" s="1028"/>
      <c r="E122" s="1029"/>
      <c r="F122" s="1078"/>
      <c r="G122" s="1029"/>
      <c r="H122" s="1029"/>
      <c r="I122" s="1088"/>
      <c r="J122" s="699"/>
    </row>
    <row r="123">
      <c r="A123" s="699"/>
      <c r="B123" s="1079"/>
      <c r="C123" s="1029"/>
      <c r="D123" s="1028"/>
      <c r="E123" s="1080"/>
      <c r="F123" s="1029"/>
      <c r="G123" s="1029"/>
      <c r="H123" s="1029"/>
      <c r="I123" s="1088"/>
      <c r="J123" s="699"/>
    </row>
    <row r="124">
      <c r="A124" s="699"/>
      <c r="B124" s="1079"/>
      <c r="C124" s="1029"/>
      <c r="D124" s="1028"/>
      <c r="E124" s="1080"/>
      <c r="F124" s="1029"/>
      <c r="G124" s="1029"/>
      <c r="H124" s="1029"/>
      <c r="I124" s="1088"/>
      <c r="J124" s="699"/>
    </row>
    <row r="125">
      <c r="A125" s="699"/>
      <c r="B125" s="1079"/>
      <c r="C125" s="1029"/>
      <c r="D125" s="1028"/>
      <c r="E125" s="1029"/>
      <c r="F125" s="1029"/>
      <c r="G125" s="1029"/>
      <c r="H125" s="1029"/>
      <c r="I125" s="1088"/>
      <c r="J125" s="699"/>
    </row>
    <row r="126">
      <c r="A126" s="699"/>
      <c r="B126" s="1079"/>
      <c r="C126" s="1029"/>
      <c r="D126" s="1028"/>
      <c r="E126" s="1029"/>
      <c r="F126" s="1029"/>
      <c r="G126" s="1029"/>
      <c r="H126" s="1029"/>
      <c r="I126" s="1088"/>
      <c r="J126" s="699"/>
    </row>
    <row r="127">
      <c r="A127" s="699"/>
      <c r="B127" s="1079"/>
      <c r="C127" s="1029"/>
      <c r="D127" s="1028"/>
      <c r="E127" s="1029"/>
      <c r="F127" s="1029"/>
      <c r="G127" s="1029"/>
      <c r="H127" s="1029"/>
      <c r="I127" s="1088"/>
      <c r="J127" s="699"/>
    </row>
    <row r="128">
      <c r="A128" s="699"/>
      <c r="B128" s="1079"/>
      <c r="C128" s="1029"/>
      <c r="D128" s="1028"/>
      <c r="E128" s="1029"/>
      <c r="F128" s="1080"/>
      <c r="G128" s="1029"/>
      <c r="H128" s="1029"/>
      <c r="I128" s="1088"/>
      <c r="J128" s="699"/>
    </row>
    <row r="129">
      <c r="A129" s="699"/>
      <c r="B129" s="1079"/>
      <c r="C129" s="1029"/>
      <c r="D129" s="1028"/>
      <c r="E129" s="1029"/>
      <c r="F129" s="1029"/>
      <c r="G129" s="1029"/>
      <c r="H129" s="1029"/>
      <c r="I129" s="1088"/>
      <c r="J129" s="699"/>
    </row>
    <row r="130">
      <c r="A130" s="699"/>
      <c r="B130" s="1079"/>
      <c r="C130" s="1029"/>
      <c r="D130" s="1028"/>
      <c r="E130" s="1029"/>
      <c r="F130" s="1078"/>
      <c r="G130" s="1029"/>
      <c r="H130" s="1029"/>
      <c r="I130" s="1088"/>
      <c r="J130" s="699"/>
    </row>
    <row r="131">
      <c r="A131" s="699"/>
      <c r="B131" s="1079"/>
      <c r="C131" s="1029"/>
      <c r="D131" s="1028"/>
      <c r="E131" s="1029"/>
      <c r="F131" s="1078"/>
      <c r="G131" s="1029"/>
      <c r="H131" s="1029"/>
      <c r="I131" s="1088"/>
      <c r="J131" s="699"/>
    </row>
    <row r="132">
      <c r="A132" s="699"/>
      <c r="B132" s="1079"/>
      <c r="C132" s="1029"/>
      <c r="D132" s="1028"/>
      <c r="E132" s="1029"/>
      <c r="F132" s="1074"/>
      <c r="G132" s="1075"/>
      <c r="H132" s="1029"/>
      <c r="I132" s="1088"/>
      <c r="J132" s="699"/>
    </row>
    <row r="133">
      <c r="A133" s="699"/>
      <c r="B133" s="1079"/>
      <c r="C133" s="1029"/>
      <c r="D133" s="1028"/>
      <c r="E133" s="1029"/>
      <c r="F133" s="1029"/>
      <c r="G133" s="1029"/>
      <c r="H133" s="1029"/>
      <c r="I133" s="1088"/>
      <c r="J133" s="699"/>
    </row>
    <row r="134">
      <c r="A134" s="699"/>
      <c r="B134" s="1079"/>
      <c r="C134" s="1029"/>
      <c r="D134" s="1028"/>
      <c r="E134" s="1029"/>
      <c r="F134" s="1078"/>
      <c r="G134" s="1029"/>
      <c r="H134" s="1029"/>
      <c r="I134" s="1088"/>
      <c r="J134" s="699"/>
    </row>
    <row r="135">
      <c r="A135" s="699"/>
      <c r="B135" s="1079"/>
      <c r="C135" s="1029"/>
      <c r="D135" s="1028"/>
      <c r="E135" s="1029"/>
      <c r="F135" s="1078"/>
      <c r="G135" s="1029"/>
      <c r="H135" s="1029"/>
      <c r="I135" s="1088"/>
      <c r="J135" s="699"/>
    </row>
    <row r="136">
      <c r="A136" s="699"/>
      <c r="B136" s="1079"/>
      <c r="C136" s="1029"/>
      <c r="D136" s="1028"/>
      <c r="E136" s="1029"/>
      <c r="F136" s="1029"/>
      <c r="G136" s="1029"/>
      <c r="H136" s="1029"/>
      <c r="I136" s="1088"/>
      <c r="J136" s="699"/>
    </row>
    <row r="137">
      <c r="A137" s="699"/>
      <c r="B137" s="1079"/>
      <c r="C137" s="1029"/>
      <c r="D137" s="1028"/>
      <c r="E137" s="1029"/>
      <c r="F137" s="1029"/>
      <c r="G137" s="1029"/>
      <c r="H137" s="1029"/>
      <c r="I137" s="1088"/>
      <c r="J137" s="699"/>
    </row>
    <row r="138">
      <c r="A138" s="699"/>
      <c r="B138" s="1079"/>
      <c r="C138" s="1029"/>
      <c r="D138" s="1028"/>
      <c r="E138" s="1029"/>
      <c r="F138" s="1075"/>
      <c r="G138" s="1075"/>
      <c r="H138" s="1029"/>
      <c r="I138" s="1088"/>
      <c r="J138" s="699"/>
    </row>
    <row r="139">
      <c r="A139" s="699"/>
      <c r="B139" s="1079"/>
      <c r="C139" s="1029"/>
      <c r="D139" s="1028"/>
      <c r="E139" s="1029"/>
      <c r="F139" s="1029"/>
      <c r="G139" s="1029"/>
      <c r="H139" s="1029"/>
      <c r="I139" s="1088"/>
      <c r="J139" s="699"/>
    </row>
    <row r="140">
      <c r="A140" s="699"/>
      <c r="B140" s="1029"/>
      <c r="C140" s="1029"/>
      <c r="D140" s="1028"/>
      <c r="E140" s="1029"/>
      <c r="F140" s="1091"/>
      <c r="G140" s="1091"/>
      <c r="H140" s="1029"/>
      <c r="I140" s="1088"/>
      <c r="J140" s="699"/>
    </row>
    <row r="141">
      <c r="A141" s="699"/>
      <c r="B141" s="1029"/>
      <c r="C141" s="1029"/>
      <c r="D141" s="1028"/>
      <c r="E141" s="1029"/>
      <c r="F141" s="1078"/>
      <c r="G141" s="1029"/>
      <c r="H141" s="1029"/>
      <c r="I141" s="1088"/>
      <c r="J141" s="699"/>
    </row>
    <row r="142">
      <c r="A142" s="699"/>
      <c r="B142" s="1029"/>
      <c r="C142" s="1029"/>
      <c r="D142" s="1028"/>
      <c r="E142" s="1029"/>
      <c r="F142" s="1091"/>
      <c r="G142" s="1091"/>
      <c r="H142" s="1029"/>
      <c r="I142" s="1088"/>
      <c r="J142" s="699"/>
    </row>
    <row r="143">
      <c r="A143" s="699"/>
      <c r="B143" s="1029"/>
      <c r="C143" s="1029"/>
      <c r="D143" s="1028"/>
      <c r="E143" s="1029"/>
      <c r="F143" s="1091"/>
      <c r="G143" s="1091"/>
      <c r="H143" s="1029"/>
      <c r="I143" s="1088"/>
      <c r="J143" s="699"/>
    </row>
    <row r="144">
      <c r="A144" s="699"/>
      <c r="B144" s="1029"/>
      <c r="C144" s="1029"/>
      <c r="D144" s="1028"/>
      <c r="E144" s="1029"/>
      <c r="F144" s="1078"/>
      <c r="G144" s="1029"/>
      <c r="H144" s="1029"/>
      <c r="I144" s="1088"/>
      <c r="J144" s="699"/>
    </row>
    <row r="145">
      <c r="A145" s="699"/>
      <c r="B145" s="1029"/>
      <c r="C145" s="1029"/>
      <c r="D145" s="1028"/>
      <c r="E145" s="1029"/>
      <c r="F145" s="1078"/>
      <c r="G145" s="1029"/>
      <c r="H145" s="1029"/>
      <c r="I145" s="1088"/>
      <c r="J145" s="699"/>
    </row>
    <row r="146">
      <c r="A146" s="699"/>
      <c r="B146" s="1079"/>
      <c r="C146" s="1029"/>
      <c r="D146" s="1028"/>
      <c r="E146" s="1029"/>
      <c r="F146" s="1029"/>
      <c r="G146" s="1029"/>
      <c r="H146" s="1029"/>
      <c r="I146" s="1088"/>
      <c r="J146" s="699"/>
    </row>
    <row r="147">
      <c r="A147" s="699"/>
      <c r="B147" s="1029"/>
      <c r="C147" s="1029"/>
      <c r="D147" s="1028"/>
      <c r="E147" s="1029"/>
      <c r="F147" s="1091"/>
      <c r="G147" s="1091"/>
      <c r="H147" s="1029"/>
      <c r="I147" s="1088"/>
      <c r="J147" s="699"/>
    </row>
    <row r="148">
      <c r="A148" s="699"/>
      <c r="B148" s="1029"/>
      <c r="C148" s="1029"/>
      <c r="D148" s="1028"/>
      <c r="E148" s="1029"/>
      <c r="F148" s="1029"/>
      <c r="G148" s="1029"/>
      <c r="H148" s="1029"/>
      <c r="I148" s="1088"/>
      <c r="J148" s="699"/>
    </row>
    <row r="149">
      <c r="A149" s="699"/>
      <c r="B149" s="1079"/>
      <c r="C149" s="1029"/>
      <c r="D149" s="1028"/>
      <c r="E149" s="1029"/>
      <c r="F149" s="1029"/>
      <c r="G149" s="1029"/>
      <c r="H149" s="1029"/>
      <c r="I149" s="1088"/>
      <c r="J149" s="699"/>
    </row>
    <row r="150">
      <c r="A150" s="699"/>
      <c r="B150" s="1029"/>
      <c r="C150" s="1029"/>
      <c r="D150" s="1028"/>
      <c r="E150" s="1029"/>
      <c r="F150" s="1029"/>
      <c r="G150" s="1029"/>
      <c r="H150" s="1029"/>
      <c r="I150" s="1088"/>
      <c r="J150" s="699"/>
    </row>
    <row r="151">
      <c r="A151" s="699"/>
      <c r="B151" s="1029"/>
      <c r="C151" s="1029"/>
      <c r="D151" s="1028"/>
      <c r="E151" s="1029"/>
      <c r="F151" s="1075"/>
      <c r="G151" s="1075"/>
      <c r="H151" s="1029"/>
      <c r="I151" s="1088"/>
      <c r="J151" s="699"/>
    </row>
    <row r="152">
      <c r="A152" s="699"/>
      <c r="B152" s="1029"/>
      <c r="C152" s="1029"/>
      <c r="D152" s="1028"/>
      <c r="E152" s="1029"/>
      <c r="F152" s="1029"/>
      <c r="G152" s="1029"/>
      <c r="H152" s="1029"/>
      <c r="I152" s="1088"/>
      <c r="J152" s="699"/>
    </row>
    <row r="153">
      <c r="A153" s="699"/>
      <c r="B153" s="1029"/>
      <c r="C153" s="1029"/>
      <c r="D153" s="1028"/>
      <c r="E153" s="1029"/>
      <c r="F153" s="1029"/>
      <c r="G153" s="1029"/>
      <c r="H153" s="1029"/>
      <c r="I153" s="1088"/>
      <c r="J153" s="699"/>
    </row>
    <row r="154">
      <c r="A154" s="699"/>
      <c r="B154" s="1029"/>
      <c r="C154" s="1029"/>
      <c r="D154" s="1028"/>
      <c r="E154" s="1029"/>
      <c r="F154" s="1029"/>
      <c r="G154" s="1029"/>
      <c r="H154" s="1029"/>
      <c r="I154" s="1088"/>
      <c r="J154" s="699"/>
    </row>
    <row r="155">
      <c r="A155" s="699"/>
      <c r="B155" s="1029"/>
      <c r="C155" s="1029"/>
      <c r="D155" s="1028"/>
      <c r="E155" s="1029"/>
      <c r="F155" s="1075"/>
      <c r="G155" s="1075"/>
      <c r="H155" s="1029"/>
      <c r="I155" s="1088"/>
      <c r="J155" s="699"/>
    </row>
    <row r="156">
      <c r="A156" s="699"/>
      <c r="B156" s="1029"/>
      <c r="C156" s="1029"/>
      <c r="D156" s="1028"/>
      <c r="E156" s="1029"/>
      <c r="F156" s="1078"/>
      <c r="G156" s="1029"/>
      <c r="H156" s="1029"/>
      <c r="I156" s="1088"/>
      <c r="J156" s="699"/>
    </row>
    <row r="157">
      <c r="A157" s="699"/>
      <c r="B157" s="1029"/>
      <c r="C157" s="1029"/>
      <c r="D157" s="1028"/>
      <c r="E157" s="1029"/>
      <c r="F157" s="1091"/>
      <c r="G157" s="1091"/>
      <c r="H157" s="1029"/>
      <c r="I157" s="1088"/>
      <c r="J157" s="699"/>
    </row>
    <row r="158">
      <c r="A158" s="699"/>
      <c r="B158" s="1029"/>
      <c r="C158" s="1029"/>
      <c r="D158" s="1028"/>
      <c r="E158" s="1029"/>
      <c r="F158" s="1075"/>
      <c r="G158" s="1075"/>
      <c r="H158" s="1029"/>
      <c r="I158" s="1088"/>
      <c r="J158" s="699"/>
    </row>
    <row r="159">
      <c r="A159" s="699"/>
      <c r="B159" s="1079"/>
      <c r="C159" s="1029"/>
      <c r="D159" s="1028"/>
      <c r="E159" s="1029"/>
      <c r="F159" s="1029"/>
      <c r="G159" s="1029"/>
      <c r="H159" s="1029"/>
      <c r="I159" s="1088"/>
      <c r="J159" s="699"/>
    </row>
    <row r="160">
      <c r="A160" s="699"/>
      <c r="B160" s="1079"/>
      <c r="C160" s="1029"/>
      <c r="D160" s="1028"/>
      <c r="E160" s="1029"/>
      <c r="F160" s="1029"/>
      <c r="G160" s="1029"/>
      <c r="H160" s="1029"/>
      <c r="I160" s="1088"/>
      <c r="J160" s="699"/>
    </row>
    <row r="161">
      <c r="A161" s="699"/>
      <c r="B161" s="1029"/>
      <c r="C161" s="1029"/>
      <c r="D161" s="1028"/>
      <c r="E161" s="1029"/>
      <c r="F161" s="1075"/>
      <c r="G161" s="1075"/>
      <c r="H161" s="1029"/>
      <c r="I161" s="1088"/>
      <c r="J161" s="699"/>
    </row>
    <row r="162">
      <c r="A162" s="699"/>
      <c r="B162" s="1029"/>
      <c r="C162" s="1029"/>
      <c r="D162" s="1028"/>
      <c r="E162" s="1029"/>
      <c r="F162" s="1029"/>
      <c r="G162" s="1029"/>
      <c r="H162" s="1029"/>
      <c r="I162" s="1088"/>
      <c r="J162" s="699"/>
    </row>
    <row r="163">
      <c r="A163" s="699"/>
      <c r="B163" s="1029"/>
      <c r="C163" s="1029"/>
      <c r="D163" s="1028"/>
      <c r="E163" s="1029"/>
      <c r="F163" s="1029"/>
      <c r="G163" s="1029"/>
      <c r="H163" s="1029"/>
      <c r="I163" s="1088"/>
      <c r="J163" s="699"/>
    </row>
    <row r="164">
      <c r="A164" s="699"/>
      <c r="B164" s="1029"/>
      <c r="C164" s="1029"/>
      <c r="D164" s="1028"/>
      <c r="E164" s="1029"/>
      <c r="F164" s="1091"/>
      <c r="G164" s="1091"/>
      <c r="H164" s="1029"/>
      <c r="I164" s="1088"/>
      <c r="J164" s="699"/>
    </row>
    <row r="165">
      <c r="A165" s="699"/>
      <c r="B165" s="1029"/>
      <c r="C165" s="1029"/>
      <c r="D165" s="1028"/>
      <c r="E165" s="1029"/>
      <c r="F165" s="1029"/>
      <c r="G165" s="1029"/>
      <c r="H165" s="1029"/>
      <c r="I165" s="1088"/>
      <c r="J165" s="699"/>
    </row>
    <row r="166">
      <c r="A166" s="699"/>
      <c r="B166" s="1029"/>
      <c r="C166" s="1029"/>
      <c r="D166" s="1028"/>
      <c r="E166" s="1029"/>
      <c r="F166" s="1029"/>
      <c r="G166" s="1029"/>
      <c r="H166" s="1029"/>
      <c r="I166" s="1088"/>
      <c r="J166" s="699"/>
    </row>
    <row r="167">
      <c r="A167" s="699"/>
      <c r="B167" s="1079"/>
      <c r="C167" s="1029"/>
      <c r="D167" s="1028"/>
      <c r="E167" s="1029"/>
      <c r="F167" s="1078"/>
      <c r="G167" s="1029"/>
      <c r="H167" s="1029"/>
      <c r="I167" s="1088"/>
      <c r="J167" s="699"/>
    </row>
    <row r="168">
      <c r="A168" s="699"/>
      <c r="B168" s="1029"/>
      <c r="C168" s="1029"/>
      <c r="D168" s="1028"/>
      <c r="E168" s="1029"/>
      <c r="F168" s="1075"/>
      <c r="G168" s="1075"/>
      <c r="H168" s="1029"/>
      <c r="I168" s="1088"/>
      <c r="J168" s="699"/>
    </row>
    <row r="169">
      <c r="A169" s="699"/>
      <c r="B169" s="1029"/>
      <c r="C169" s="1029"/>
      <c r="D169" s="1028"/>
      <c r="E169" s="1029"/>
      <c r="F169" s="1075"/>
      <c r="G169" s="1075"/>
      <c r="H169" s="1029"/>
      <c r="I169" s="1088"/>
      <c r="J169" s="699"/>
    </row>
    <row r="170">
      <c r="A170" s="699"/>
      <c r="B170" s="1029"/>
      <c r="C170" s="1029"/>
      <c r="D170" s="1028"/>
      <c r="E170" s="1029"/>
      <c r="F170" s="1029"/>
      <c r="G170" s="1029"/>
      <c r="H170" s="1029"/>
      <c r="I170" s="1088"/>
      <c r="J170" s="699"/>
    </row>
    <row r="171">
      <c r="A171" s="699"/>
      <c r="B171" s="1079"/>
      <c r="C171" s="1029"/>
      <c r="D171" s="1028"/>
      <c r="E171" s="1029"/>
      <c r="F171" s="1080"/>
      <c r="G171" s="1029"/>
      <c r="H171" s="1029"/>
      <c r="I171" s="1088"/>
      <c r="J171" s="699"/>
    </row>
    <row r="172">
      <c r="A172" s="699"/>
      <c r="B172" s="1029"/>
      <c r="C172" s="1029"/>
      <c r="D172" s="1028"/>
      <c r="E172" s="1029"/>
      <c r="F172" s="1029"/>
      <c r="G172" s="1029"/>
      <c r="H172" s="1029"/>
      <c r="I172" s="1088"/>
      <c r="J172" s="699"/>
    </row>
    <row r="173">
      <c r="A173" s="699"/>
      <c r="B173" s="1029"/>
      <c r="C173" s="1029"/>
      <c r="D173" s="1028"/>
      <c r="E173" s="1029"/>
      <c r="F173" s="1029"/>
      <c r="G173" s="1029"/>
      <c r="H173" s="1029"/>
      <c r="I173" s="1088"/>
      <c r="J173" s="699"/>
    </row>
    <row r="174">
      <c r="A174" s="699"/>
      <c r="B174" s="1029"/>
      <c r="C174" s="1029"/>
      <c r="D174" s="1028"/>
      <c r="E174" s="1029"/>
      <c r="F174" s="1075"/>
      <c r="G174" s="1075"/>
      <c r="H174" s="1029"/>
      <c r="I174" s="1088"/>
      <c r="J174" s="699"/>
    </row>
    <row r="175">
      <c r="A175" s="699"/>
      <c r="B175" s="1029"/>
      <c r="C175" s="1029"/>
      <c r="D175" s="1028"/>
      <c r="E175" s="1029"/>
      <c r="F175" s="1029"/>
      <c r="G175" s="1029"/>
      <c r="H175" s="1029"/>
      <c r="I175" s="1088"/>
      <c r="J175" s="699"/>
    </row>
    <row r="176">
      <c r="A176" s="699"/>
      <c r="B176" s="1029"/>
      <c r="C176" s="1029"/>
      <c r="D176" s="1028"/>
      <c r="E176" s="1029"/>
      <c r="F176" s="1029"/>
      <c r="G176" s="1029"/>
      <c r="H176" s="1029"/>
      <c r="I176" s="1088"/>
      <c r="J176" s="699"/>
    </row>
    <row r="177">
      <c r="A177" s="699"/>
      <c r="B177" s="1079"/>
      <c r="C177" s="1029"/>
      <c r="D177" s="1028"/>
      <c r="E177" s="1029"/>
      <c r="F177" s="1080"/>
      <c r="G177" s="1029"/>
      <c r="H177" s="1029"/>
      <c r="I177" s="1088"/>
      <c r="J177" s="699"/>
    </row>
    <row r="178">
      <c r="A178" s="699"/>
      <c r="B178" s="1079"/>
      <c r="C178" s="1029"/>
      <c r="D178" s="1028"/>
      <c r="E178" s="1029"/>
      <c r="F178" s="1029"/>
      <c r="G178" s="1029"/>
      <c r="H178" s="1029"/>
      <c r="I178" s="1088"/>
      <c r="J178" s="699"/>
    </row>
    <row r="179">
      <c r="A179" s="699"/>
      <c r="B179" s="1079"/>
      <c r="C179" s="1029"/>
      <c r="D179" s="1028"/>
      <c r="E179" s="1029"/>
      <c r="F179" s="1029"/>
      <c r="G179" s="1029"/>
      <c r="H179" s="1029"/>
      <c r="I179" s="1088"/>
      <c r="J179" s="699"/>
    </row>
    <row r="180">
      <c r="A180" s="699"/>
      <c r="B180" s="1079"/>
      <c r="C180" s="1029"/>
      <c r="D180" s="1028"/>
      <c r="E180" s="1029"/>
      <c r="F180" s="1029"/>
      <c r="G180" s="1029"/>
      <c r="H180" s="1029"/>
      <c r="I180" s="1088"/>
      <c r="J180" s="699"/>
    </row>
    <row r="181">
      <c r="A181" s="699"/>
      <c r="B181" s="1079"/>
      <c r="C181" s="1029"/>
      <c r="D181" s="1028"/>
      <c r="E181" s="1029"/>
      <c r="F181" s="1029"/>
      <c r="G181" s="1029"/>
      <c r="H181" s="1029"/>
      <c r="I181" s="1088"/>
      <c r="J181" s="699"/>
    </row>
    <row r="182">
      <c r="A182" s="699"/>
      <c r="B182" s="1079"/>
      <c r="C182" s="1029"/>
      <c r="D182" s="1028"/>
      <c r="E182" s="1029"/>
      <c r="F182" s="1029"/>
      <c r="G182" s="1029"/>
      <c r="H182" s="1029"/>
      <c r="I182" s="1088"/>
      <c r="J182" s="699"/>
    </row>
    <row r="183">
      <c r="A183" s="699"/>
      <c r="B183" s="1079"/>
      <c r="C183" s="1029"/>
      <c r="D183" s="1028"/>
      <c r="E183" s="1029"/>
      <c r="F183" s="1029"/>
      <c r="G183" s="1029"/>
      <c r="H183" s="1029"/>
      <c r="I183" s="1088"/>
      <c r="J183" s="699"/>
    </row>
    <row r="184">
      <c r="A184" s="699"/>
      <c r="B184" s="1079"/>
      <c r="C184" s="1029"/>
      <c r="D184" s="1028"/>
      <c r="E184" s="1029"/>
      <c r="F184" s="1080"/>
      <c r="G184" s="1029"/>
      <c r="H184" s="1029"/>
      <c r="I184" s="1088"/>
      <c r="J184" s="699"/>
    </row>
    <row r="185">
      <c r="A185" s="699"/>
      <c r="B185" s="1029"/>
      <c r="C185" s="1029"/>
      <c r="D185" s="1028"/>
      <c r="E185" s="1029"/>
      <c r="F185" s="1075"/>
      <c r="G185" s="1075"/>
      <c r="H185" s="1029"/>
      <c r="I185" s="1088"/>
      <c r="J185" s="699"/>
    </row>
    <row r="186">
      <c r="A186" s="699"/>
      <c r="B186" s="1029"/>
      <c r="C186" s="1029"/>
      <c r="D186" s="1028"/>
      <c r="E186" s="1029"/>
      <c r="F186" s="1075"/>
      <c r="G186" s="1075"/>
      <c r="H186" s="1029"/>
      <c r="I186" s="1088"/>
      <c r="J186" s="699"/>
    </row>
    <row r="187">
      <c r="A187" s="699"/>
      <c r="B187" s="1079"/>
      <c r="C187" s="1029"/>
      <c r="D187" s="1028"/>
      <c r="E187" s="1029"/>
      <c r="F187" s="1029"/>
      <c r="G187" s="1029"/>
      <c r="H187" s="1029"/>
      <c r="I187" s="1088"/>
      <c r="J187" s="699"/>
    </row>
    <row r="188">
      <c r="A188" s="699"/>
      <c r="B188" s="1079"/>
      <c r="C188" s="1029"/>
      <c r="D188" s="1028"/>
      <c r="E188" s="1029"/>
      <c r="F188" s="1029"/>
      <c r="G188" s="1029"/>
      <c r="H188" s="1029"/>
      <c r="I188" s="1088"/>
      <c r="J188" s="699"/>
    </row>
    <row r="189">
      <c r="A189" s="699"/>
      <c r="B189" s="1079"/>
      <c r="C189" s="1029"/>
      <c r="D189" s="1028"/>
      <c r="E189" s="1029"/>
      <c r="F189" s="1078"/>
      <c r="G189" s="1029"/>
      <c r="H189" s="1029"/>
      <c r="I189" s="1088"/>
      <c r="J189" s="699"/>
    </row>
    <row r="190">
      <c r="A190" s="699"/>
      <c r="B190" s="1079"/>
      <c r="C190" s="1029"/>
      <c r="D190" s="1028"/>
      <c r="E190" s="1029"/>
      <c r="F190" s="1029"/>
      <c r="G190" s="1029"/>
      <c r="H190" s="1029"/>
      <c r="I190" s="1088"/>
      <c r="J190" s="699"/>
    </row>
    <row r="191">
      <c r="A191" s="699"/>
      <c r="B191" s="1029"/>
      <c r="C191" s="1029"/>
      <c r="D191" s="1028"/>
      <c r="E191" s="1029"/>
      <c r="F191" s="1029"/>
      <c r="G191" s="1029"/>
      <c r="H191" s="1029"/>
      <c r="I191" s="1088"/>
      <c r="J191" s="699"/>
    </row>
    <row r="192">
      <c r="A192" s="699"/>
      <c r="B192" s="1079"/>
      <c r="C192" s="1029"/>
      <c r="D192" s="1028"/>
      <c r="E192" s="1029"/>
      <c r="F192" s="1078"/>
      <c r="G192" s="1029"/>
      <c r="H192" s="1029"/>
      <c r="I192" s="1088"/>
      <c r="J192" s="699"/>
    </row>
    <row r="193">
      <c r="A193" s="699"/>
      <c r="B193" s="1079"/>
      <c r="C193" s="1029"/>
      <c r="D193" s="1028"/>
      <c r="E193" s="1029"/>
      <c r="F193" s="1078"/>
      <c r="G193" s="1029"/>
      <c r="H193" s="1029"/>
      <c r="I193" s="1088"/>
      <c r="J193" s="699"/>
    </row>
    <row r="194">
      <c r="A194" s="699"/>
      <c r="B194" s="1079"/>
      <c r="C194" s="1029"/>
      <c r="D194" s="1028"/>
      <c r="E194" s="1029"/>
      <c r="F194" s="1078"/>
      <c r="G194" s="1029"/>
      <c r="H194" s="1029"/>
      <c r="I194" s="1088"/>
      <c r="J194" s="699"/>
    </row>
    <row r="195">
      <c r="A195" s="699"/>
      <c r="B195" s="1029"/>
      <c r="C195" s="1029"/>
      <c r="D195" s="1028"/>
      <c r="E195" s="1029"/>
      <c r="F195" s="1029"/>
      <c r="G195" s="1029"/>
      <c r="H195" s="1029"/>
      <c r="I195" s="1088"/>
      <c r="J195" s="699"/>
    </row>
    <row r="196">
      <c r="A196" s="699"/>
      <c r="B196" s="1079"/>
      <c r="C196" s="1029"/>
      <c r="D196" s="1028"/>
      <c r="E196" s="1029"/>
      <c r="F196" s="1078"/>
      <c r="G196" s="1029"/>
      <c r="H196" s="1029"/>
      <c r="I196" s="1088"/>
      <c r="J196" s="699"/>
    </row>
    <row r="197">
      <c r="A197" s="699"/>
      <c r="B197" s="1079"/>
      <c r="C197" s="1029"/>
      <c r="D197" s="1028"/>
      <c r="E197" s="1080"/>
      <c r="F197" s="1029"/>
      <c r="G197" s="1029"/>
      <c r="H197" s="1029"/>
      <c r="I197" s="1088"/>
      <c r="J197" s="699"/>
    </row>
    <row r="198">
      <c r="A198" s="699"/>
      <c r="B198" s="1079"/>
      <c r="C198" s="1029"/>
      <c r="D198" s="1028"/>
      <c r="E198" s="1080"/>
      <c r="F198" s="1029"/>
      <c r="G198" s="1029"/>
      <c r="H198" s="1029"/>
      <c r="I198" s="1088"/>
      <c r="J198" s="699"/>
    </row>
    <row r="199">
      <c r="A199" s="699"/>
      <c r="B199" s="1079"/>
      <c r="C199" s="1029"/>
      <c r="D199" s="1028"/>
      <c r="E199" s="1080"/>
      <c r="F199" s="1029"/>
      <c r="G199" s="1029"/>
      <c r="H199" s="1029"/>
      <c r="I199" s="1088"/>
      <c r="J199" s="699"/>
    </row>
    <row r="200">
      <c r="A200" s="699"/>
      <c r="B200" s="1079"/>
      <c r="C200" s="1029"/>
      <c r="D200" s="1028"/>
      <c r="E200" s="1080"/>
      <c r="F200" s="1029"/>
      <c r="G200" s="1029"/>
      <c r="H200" s="1029"/>
      <c r="I200" s="1088"/>
      <c r="J200" s="699"/>
    </row>
    <row r="201">
      <c r="A201" s="699"/>
      <c r="B201" s="1079"/>
      <c r="C201" s="1029"/>
      <c r="D201" s="1028"/>
      <c r="E201" s="1080"/>
      <c r="F201" s="1029"/>
      <c r="G201" s="1029"/>
      <c r="H201" s="1029"/>
      <c r="I201" s="1088"/>
      <c r="J201" s="699"/>
    </row>
    <row r="202">
      <c r="A202" s="699"/>
      <c r="B202" s="1079"/>
      <c r="C202" s="1029"/>
      <c r="D202" s="1028"/>
      <c r="E202" s="1029"/>
      <c r="F202" s="1029"/>
      <c r="G202" s="1029"/>
      <c r="H202" s="1029"/>
      <c r="I202" s="1088"/>
      <c r="J202" s="699"/>
    </row>
    <row r="203">
      <c r="A203" s="699"/>
      <c r="B203" s="1079"/>
      <c r="C203" s="1029"/>
      <c r="D203" s="1028"/>
      <c r="E203" s="1029"/>
      <c r="F203" s="1029"/>
      <c r="G203" s="1029"/>
      <c r="H203" s="1029"/>
      <c r="I203" s="1088"/>
      <c r="J203" s="699"/>
    </row>
    <row r="204">
      <c r="A204" s="699"/>
      <c r="B204" s="1079"/>
      <c r="C204" s="1029"/>
      <c r="D204" s="1028"/>
      <c r="E204" s="1029"/>
      <c r="F204" s="1029"/>
      <c r="G204" s="1029"/>
      <c r="H204" s="1029"/>
      <c r="I204" s="1088"/>
      <c r="J204" s="699"/>
    </row>
    <row r="205">
      <c r="A205" s="699"/>
      <c r="B205" s="1079"/>
      <c r="C205" s="1029"/>
      <c r="D205" s="1028"/>
      <c r="E205" s="1029"/>
      <c r="F205" s="1029"/>
      <c r="G205" s="1029"/>
      <c r="H205" s="1029"/>
      <c r="I205" s="1088"/>
      <c r="J205" s="699"/>
    </row>
    <row r="206">
      <c r="A206" s="699"/>
      <c r="B206" s="1079"/>
      <c r="C206" s="1029"/>
      <c r="D206" s="1028"/>
      <c r="E206" s="1029"/>
      <c r="F206" s="1029"/>
      <c r="G206" s="1029"/>
      <c r="H206" s="1029"/>
      <c r="I206" s="1088"/>
      <c r="J206" s="699"/>
    </row>
    <row r="207">
      <c r="A207" s="699"/>
      <c r="B207" s="1079"/>
      <c r="C207" s="1029"/>
      <c r="D207" s="1028"/>
      <c r="E207" s="1080"/>
      <c r="F207" s="1029"/>
      <c r="G207" s="1029"/>
      <c r="H207" s="1029"/>
      <c r="I207" s="1088"/>
      <c r="J207" s="699"/>
    </row>
    <row r="208">
      <c r="A208" s="699"/>
      <c r="B208" s="1079"/>
      <c r="C208" s="1029"/>
      <c r="D208" s="1028"/>
      <c r="E208" s="1080"/>
      <c r="F208" s="1029"/>
      <c r="G208" s="1029"/>
      <c r="H208" s="1029"/>
      <c r="I208" s="1088"/>
      <c r="J208" s="699"/>
    </row>
    <row r="209">
      <c r="A209" s="699"/>
      <c r="B209" s="1079"/>
      <c r="C209" s="1029"/>
      <c r="D209" s="1028"/>
      <c r="E209" s="1080"/>
      <c r="F209" s="1029"/>
      <c r="G209" s="1029"/>
      <c r="H209" s="1029"/>
      <c r="I209" s="1088"/>
      <c r="J209" s="699"/>
    </row>
    <row r="210">
      <c r="A210" s="699"/>
      <c r="B210" s="1079"/>
      <c r="C210" s="1029"/>
      <c r="D210" s="1028"/>
      <c r="E210" s="1080"/>
      <c r="F210" s="1029"/>
      <c r="G210" s="1029"/>
      <c r="H210" s="1029"/>
      <c r="I210" s="1088"/>
      <c r="J210" s="699"/>
    </row>
    <row r="211">
      <c r="A211" s="699"/>
      <c r="B211" s="1079"/>
      <c r="C211" s="1029"/>
      <c r="D211" s="1028"/>
      <c r="E211" s="1080"/>
      <c r="F211" s="1029"/>
      <c r="G211" s="1029"/>
      <c r="H211" s="1029"/>
      <c r="I211" s="1088"/>
      <c r="J211" s="699"/>
    </row>
    <row r="212">
      <c r="A212" s="699"/>
      <c r="B212" s="1079"/>
      <c r="C212" s="1029"/>
      <c r="D212" s="1028"/>
      <c r="E212" s="1080"/>
      <c r="F212" s="1029"/>
      <c r="G212" s="1029"/>
      <c r="H212" s="1029"/>
      <c r="I212" s="1088"/>
      <c r="J212" s="699"/>
    </row>
    <row r="213">
      <c r="A213" s="699"/>
      <c r="B213" s="1079"/>
      <c r="C213" s="1029"/>
      <c r="D213" s="1028"/>
      <c r="E213" s="1080"/>
      <c r="F213" s="1029"/>
      <c r="G213" s="1029"/>
      <c r="H213" s="1029"/>
      <c r="I213" s="1088"/>
      <c r="J213" s="699"/>
    </row>
    <row r="214">
      <c r="A214" s="699"/>
      <c r="B214" s="1079"/>
      <c r="C214" s="1029"/>
      <c r="D214" s="1028"/>
      <c r="E214" s="1080"/>
      <c r="F214" s="1029"/>
      <c r="G214" s="1029"/>
      <c r="H214" s="1029"/>
      <c r="I214" s="1088"/>
      <c r="J214" s="699"/>
    </row>
    <row r="215">
      <c r="A215" s="699"/>
      <c r="B215" s="1079"/>
      <c r="C215" s="1029"/>
      <c r="D215" s="1028"/>
      <c r="E215" s="1080"/>
      <c r="F215" s="1029"/>
      <c r="G215" s="1029"/>
      <c r="H215" s="1029"/>
      <c r="I215" s="1088"/>
      <c r="J215" s="699"/>
    </row>
    <row r="216">
      <c r="A216" s="699"/>
      <c r="B216" s="1079"/>
      <c r="C216" s="1029"/>
      <c r="D216" s="1028"/>
      <c r="E216" s="1080"/>
      <c r="F216" s="1029"/>
      <c r="G216" s="1029"/>
      <c r="H216" s="1029"/>
      <c r="I216" s="1088"/>
      <c r="J216" s="699"/>
    </row>
    <row r="217">
      <c r="A217" s="699"/>
      <c r="B217" s="1079"/>
      <c r="C217" s="1029"/>
      <c r="D217" s="1028"/>
      <c r="E217" s="1029"/>
      <c r="F217" s="1029"/>
      <c r="G217" s="1029"/>
      <c r="H217" s="1029"/>
      <c r="I217" s="1088"/>
      <c r="J217" s="699"/>
    </row>
    <row r="218">
      <c r="A218" s="699"/>
      <c r="B218" s="1079"/>
      <c r="C218" s="1029"/>
      <c r="D218" s="1028"/>
      <c r="E218" s="1029"/>
      <c r="F218" s="1029"/>
      <c r="G218" s="1029"/>
      <c r="H218" s="1029"/>
      <c r="I218" s="1088"/>
      <c r="J218" s="699"/>
    </row>
    <row r="219">
      <c r="A219" s="699"/>
      <c r="B219" s="1079"/>
      <c r="C219" s="1029"/>
      <c r="D219" s="1028"/>
      <c r="E219" s="1029"/>
      <c r="F219" s="1029"/>
      <c r="G219" s="1029"/>
      <c r="H219" s="1029"/>
      <c r="I219" s="1088"/>
      <c r="J219" s="699"/>
    </row>
    <row r="220">
      <c r="A220" s="699"/>
      <c r="B220" s="1079"/>
      <c r="C220" s="1029"/>
      <c r="D220" s="1028"/>
      <c r="E220" s="1029"/>
      <c r="F220" s="1029"/>
      <c r="G220" s="1029"/>
      <c r="H220" s="1029"/>
      <c r="I220" s="1088"/>
      <c r="J220" s="699"/>
    </row>
    <row r="221">
      <c r="A221" s="699"/>
      <c r="B221" s="1079"/>
      <c r="C221" s="1029"/>
      <c r="D221" s="1028"/>
      <c r="E221" s="1029"/>
      <c r="F221" s="1029"/>
      <c r="G221" s="1029"/>
      <c r="H221" s="1029"/>
      <c r="I221" s="1088"/>
      <c r="J221" s="699"/>
    </row>
    <row r="222">
      <c r="A222" s="699"/>
      <c r="B222" s="1079"/>
      <c r="C222" s="1029"/>
      <c r="D222" s="1028"/>
      <c r="E222" s="1029"/>
      <c r="F222" s="1029"/>
      <c r="G222" s="1029"/>
      <c r="H222" s="1029"/>
      <c r="I222" s="1088"/>
      <c r="J222" s="699"/>
    </row>
    <row r="223">
      <c r="A223" s="699"/>
      <c r="B223" s="1079"/>
      <c r="C223" s="1029"/>
      <c r="D223" s="1028"/>
      <c r="E223" s="1029"/>
      <c r="F223" s="1029"/>
      <c r="G223" s="1029"/>
      <c r="H223" s="1029"/>
      <c r="I223" s="1088"/>
      <c r="J223" s="699"/>
    </row>
    <row r="224">
      <c r="A224" s="699"/>
      <c r="B224" s="1079"/>
      <c r="C224" s="1029"/>
      <c r="D224" s="1028"/>
      <c r="E224" s="1029"/>
      <c r="F224" s="1029"/>
      <c r="G224" s="1029"/>
      <c r="H224" s="1029"/>
      <c r="I224" s="1088"/>
      <c r="J224" s="699"/>
    </row>
    <row r="225">
      <c r="A225" s="699"/>
      <c r="B225" s="1079"/>
      <c r="C225" s="1029"/>
      <c r="D225" s="1028"/>
      <c r="E225" s="1029"/>
      <c r="F225" s="1029"/>
      <c r="G225" s="1029"/>
      <c r="H225" s="1029"/>
      <c r="I225" s="1088"/>
      <c r="J225" s="699"/>
    </row>
    <row r="226">
      <c r="A226" s="699"/>
      <c r="B226" s="1079"/>
      <c r="C226" s="1029"/>
      <c r="D226" s="1028"/>
      <c r="E226" s="1029"/>
      <c r="F226" s="1029"/>
      <c r="G226" s="1029"/>
      <c r="H226" s="1029"/>
      <c r="I226" s="1088"/>
      <c r="J226" s="699"/>
    </row>
    <row r="227">
      <c r="A227" s="699"/>
      <c r="B227" s="1079"/>
      <c r="C227" s="1029"/>
      <c r="D227" s="1028"/>
      <c r="E227" s="1029"/>
      <c r="F227" s="1029"/>
      <c r="G227" s="1029"/>
      <c r="H227" s="1029"/>
      <c r="I227" s="1088"/>
      <c r="J227" s="699"/>
    </row>
    <row r="228">
      <c r="A228" s="699"/>
      <c r="B228" s="1079"/>
      <c r="C228" s="1029"/>
      <c r="D228" s="1028"/>
      <c r="E228" s="1029"/>
      <c r="F228" s="1029"/>
      <c r="G228" s="1029"/>
      <c r="H228" s="1029"/>
      <c r="I228" s="1088"/>
      <c r="J228" s="699"/>
    </row>
    <row r="229">
      <c r="A229" s="699"/>
      <c r="B229" s="1079"/>
      <c r="C229" s="1029"/>
      <c r="D229" s="1028"/>
      <c r="E229" s="1029"/>
      <c r="F229" s="1029"/>
      <c r="G229" s="1029"/>
      <c r="H229" s="1029"/>
      <c r="I229" s="1088"/>
      <c r="J229" s="699"/>
    </row>
    <row r="230">
      <c r="A230" s="699"/>
      <c r="B230" s="1079"/>
      <c r="C230" s="1029"/>
      <c r="D230" s="1028"/>
      <c r="E230" s="1029"/>
      <c r="F230" s="1029"/>
      <c r="G230" s="1029"/>
      <c r="H230" s="1029"/>
      <c r="I230" s="1088"/>
      <c r="J230" s="699"/>
    </row>
    <row r="231">
      <c r="A231" s="699"/>
      <c r="B231" s="1079"/>
      <c r="C231" s="1029"/>
      <c r="D231" s="1028"/>
      <c r="E231" s="1029"/>
      <c r="F231" s="1029"/>
      <c r="G231" s="1029"/>
      <c r="H231" s="1029"/>
      <c r="I231" s="1088"/>
      <c r="J231" s="699"/>
    </row>
    <row r="232">
      <c r="A232" s="699"/>
      <c r="B232" s="1079"/>
      <c r="C232" s="1029"/>
      <c r="D232" s="1028"/>
      <c r="E232" s="1029"/>
      <c r="F232" s="1029"/>
      <c r="G232" s="1029"/>
      <c r="H232" s="1029"/>
      <c r="I232" s="1088"/>
      <c r="J232" s="699"/>
    </row>
    <row r="233">
      <c r="A233" s="699"/>
      <c r="B233" s="1079"/>
      <c r="C233" s="1029"/>
      <c r="D233" s="1028"/>
      <c r="E233" s="1029"/>
      <c r="F233" s="1029"/>
      <c r="G233" s="1029"/>
      <c r="H233" s="1029"/>
      <c r="I233" s="1088"/>
      <c r="J233" s="699"/>
    </row>
    <row r="234">
      <c r="A234" s="699"/>
      <c r="B234" s="1079"/>
      <c r="C234" s="1029"/>
      <c r="D234" s="1028"/>
      <c r="E234" s="1029"/>
      <c r="F234" s="1080"/>
      <c r="G234" s="1080"/>
      <c r="H234" s="1029"/>
      <c r="I234" s="1088"/>
      <c r="J234" s="699"/>
    </row>
    <row r="235">
      <c r="A235" s="699"/>
      <c r="B235" s="1079"/>
      <c r="C235" s="1029"/>
      <c r="D235" s="1028"/>
      <c r="E235" s="1029"/>
      <c r="F235" s="1029"/>
      <c r="G235" s="1029"/>
      <c r="H235" s="1029"/>
      <c r="I235" s="1088"/>
      <c r="J235" s="699"/>
    </row>
    <row r="236">
      <c r="A236" s="699"/>
      <c r="B236" s="1079"/>
      <c r="C236" s="1029"/>
      <c r="D236" s="1028"/>
      <c r="E236" s="1029"/>
      <c r="F236" s="1029"/>
      <c r="G236" s="1029"/>
      <c r="H236" s="1029"/>
      <c r="I236" s="1088"/>
      <c r="J236" s="699"/>
    </row>
    <row r="237">
      <c r="A237" s="699"/>
      <c r="B237" s="1079"/>
      <c r="C237" s="1029"/>
      <c r="D237" s="1028"/>
      <c r="E237" s="1029"/>
      <c r="F237" s="1078"/>
      <c r="G237" s="1029"/>
      <c r="H237" s="1029"/>
      <c r="I237" s="1088"/>
      <c r="J237" s="699"/>
    </row>
    <row r="238">
      <c r="A238" s="699"/>
      <c r="B238" s="1079"/>
      <c r="C238" s="1029"/>
      <c r="D238" s="1028"/>
      <c r="E238" s="1029"/>
      <c r="F238" s="1078"/>
      <c r="G238" s="1029"/>
      <c r="H238" s="1029"/>
      <c r="I238" s="1088"/>
      <c r="J238" s="699"/>
    </row>
    <row r="239">
      <c r="A239" s="699"/>
      <c r="B239" s="1079"/>
      <c r="C239" s="1029"/>
      <c r="D239" s="1028"/>
      <c r="E239" s="1029"/>
      <c r="F239" s="1029"/>
      <c r="G239" s="1029"/>
      <c r="H239" s="1029"/>
      <c r="I239" s="1088"/>
      <c r="J239" s="699"/>
    </row>
    <row r="240">
      <c r="A240" s="699"/>
      <c r="B240" s="1079"/>
      <c r="C240" s="1029"/>
      <c r="D240" s="1028"/>
      <c r="E240" s="1029"/>
      <c r="F240" s="1078"/>
      <c r="G240" s="1029"/>
      <c r="H240" s="1029"/>
      <c r="I240" s="1088"/>
      <c r="J240" s="699"/>
    </row>
    <row r="241">
      <c r="A241" s="699"/>
      <c r="B241" s="1079"/>
      <c r="C241" s="1029"/>
      <c r="D241" s="1028"/>
      <c r="E241" s="1029"/>
      <c r="F241" s="1029"/>
      <c r="G241" s="1029"/>
      <c r="H241" s="1029"/>
      <c r="I241" s="1088"/>
      <c r="J241" s="699"/>
    </row>
    <row r="242">
      <c r="A242" s="699"/>
      <c r="B242" s="1079"/>
      <c r="C242" s="1029"/>
      <c r="D242" s="1028"/>
      <c r="E242" s="1029"/>
      <c r="F242" s="1029"/>
      <c r="G242" s="1029"/>
      <c r="H242" s="1029"/>
      <c r="I242" s="1088"/>
      <c r="J242" s="699"/>
    </row>
    <row r="243">
      <c r="A243" s="699"/>
      <c r="B243" s="1029"/>
      <c r="C243" s="1029"/>
      <c r="D243" s="1028"/>
      <c r="E243" s="1029"/>
      <c r="F243" s="1029"/>
      <c r="G243" s="1029"/>
      <c r="H243" s="1029"/>
      <c r="I243" s="1088"/>
      <c r="J243" s="699"/>
    </row>
    <row r="244">
      <c r="A244" s="699"/>
      <c r="B244" s="1029"/>
      <c r="C244" s="1029"/>
      <c r="D244" s="1028"/>
      <c r="E244" s="1029"/>
      <c r="F244" s="1029"/>
      <c r="G244" s="1029"/>
      <c r="H244" s="1029"/>
      <c r="I244" s="1088"/>
      <c r="J244" s="699"/>
    </row>
    <row r="245">
      <c r="A245" s="699"/>
      <c r="B245" s="1029"/>
      <c r="C245" s="1029"/>
      <c r="D245" s="1028"/>
      <c r="E245" s="1029"/>
      <c r="F245" s="1029"/>
      <c r="G245" s="1029"/>
      <c r="H245" s="1029"/>
      <c r="I245" s="1088"/>
      <c r="J245" s="699"/>
    </row>
    <row r="246">
      <c r="A246" s="699"/>
      <c r="B246" s="1029"/>
      <c r="C246" s="1029"/>
      <c r="D246" s="1028"/>
      <c r="E246" s="1029"/>
      <c r="F246" s="1029"/>
      <c r="G246" s="1029"/>
      <c r="H246" s="1029"/>
      <c r="I246" s="1088"/>
      <c r="J246" s="699"/>
    </row>
    <row r="247">
      <c r="A247" s="699"/>
      <c r="B247" s="1029"/>
      <c r="C247" s="1029"/>
      <c r="D247" s="1028"/>
      <c r="E247" s="1029"/>
      <c r="F247" s="1029"/>
      <c r="G247" s="1029"/>
      <c r="H247" s="1029"/>
      <c r="I247" s="1088"/>
      <c r="J247" s="699"/>
    </row>
    <row r="248">
      <c r="A248" s="699"/>
      <c r="B248" s="1029"/>
      <c r="C248" s="1029"/>
      <c r="D248" s="1028"/>
      <c r="E248" s="1029"/>
      <c r="F248" s="1029"/>
      <c r="G248" s="1029"/>
      <c r="H248" s="1029"/>
      <c r="I248" s="1088"/>
      <c r="J248" s="699"/>
    </row>
    <row r="249">
      <c r="A249" s="699"/>
      <c r="B249" s="1029"/>
      <c r="C249" s="1029"/>
      <c r="D249" s="1028"/>
      <c r="E249" s="1029"/>
      <c r="F249" s="1029"/>
      <c r="G249" s="1029"/>
      <c r="H249" s="1029"/>
      <c r="I249" s="1088"/>
      <c r="J249" s="699"/>
    </row>
    <row r="250">
      <c r="A250" s="699"/>
      <c r="B250" s="1029"/>
      <c r="C250" s="1029"/>
      <c r="D250" s="1028"/>
      <c r="E250" s="1029"/>
      <c r="F250" s="1029"/>
      <c r="G250" s="1029"/>
      <c r="H250" s="1029"/>
      <c r="I250" s="1088"/>
      <c r="J250" s="699"/>
    </row>
    <row r="251">
      <c r="A251" s="699"/>
      <c r="B251" s="1029"/>
      <c r="C251" s="1029"/>
      <c r="D251" s="1028"/>
      <c r="E251" s="1029"/>
      <c r="F251" s="1029"/>
      <c r="G251" s="1029"/>
      <c r="H251" s="1029"/>
      <c r="I251" s="1088"/>
      <c r="J251" s="699"/>
    </row>
    <row r="252">
      <c r="A252" s="699"/>
      <c r="B252" s="1029"/>
      <c r="C252" s="1029"/>
      <c r="D252" s="1028"/>
      <c r="E252" s="1029"/>
      <c r="F252" s="1029"/>
      <c r="G252" s="1029"/>
      <c r="H252" s="1029"/>
      <c r="I252" s="1088"/>
      <c r="J252" s="699"/>
    </row>
    <row r="253">
      <c r="A253" s="699"/>
      <c r="B253" s="1029"/>
      <c r="C253" s="1029"/>
      <c r="D253" s="1028"/>
      <c r="E253" s="1029"/>
      <c r="F253" s="1029"/>
      <c r="G253" s="1029"/>
      <c r="H253" s="1029"/>
      <c r="I253" s="1088"/>
      <c r="J253" s="699"/>
    </row>
    <row r="254">
      <c r="A254" s="699"/>
      <c r="B254" s="1029"/>
      <c r="C254" s="1029"/>
      <c r="D254" s="1028"/>
      <c r="E254" s="1029"/>
      <c r="F254" s="1029"/>
      <c r="G254" s="1029"/>
      <c r="H254" s="1029"/>
      <c r="I254" s="1088"/>
      <c r="J254" s="699"/>
    </row>
    <row r="255">
      <c r="A255" s="699"/>
      <c r="B255" s="1029"/>
      <c r="C255" s="1029"/>
      <c r="D255" s="1028"/>
      <c r="E255" s="1029"/>
      <c r="F255" s="1029"/>
      <c r="G255" s="1029"/>
      <c r="H255" s="1029"/>
      <c r="I255" s="1088"/>
      <c r="J255" s="699"/>
    </row>
    <row r="256">
      <c r="A256" s="699"/>
      <c r="B256" s="1029"/>
      <c r="C256" s="1029"/>
      <c r="D256" s="1028"/>
      <c r="E256" s="1029"/>
      <c r="F256" s="1029"/>
      <c r="G256" s="1029"/>
      <c r="H256" s="1029"/>
      <c r="I256" s="1088"/>
      <c r="J256" s="699"/>
    </row>
    <row r="257">
      <c r="A257" s="699"/>
      <c r="B257" s="1029"/>
      <c r="C257" s="1029"/>
      <c r="D257" s="1028"/>
      <c r="E257" s="1029"/>
      <c r="F257" s="1029"/>
      <c r="G257" s="1029"/>
      <c r="H257" s="1029"/>
      <c r="I257" s="1088"/>
      <c r="J257" s="699"/>
    </row>
    <row r="258">
      <c r="A258" s="699"/>
      <c r="B258" s="1029"/>
      <c r="C258" s="1029"/>
      <c r="D258" s="1028"/>
      <c r="E258" s="1029"/>
      <c r="F258" s="1029"/>
      <c r="G258" s="1029"/>
      <c r="H258" s="1029"/>
      <c r="I258" s="1088"/>
      <c r="J258" s="699"/>
    </row>
    <row r="259">
      <c r="A259" s="699"/>
      <c r="B259" s="1029"/>
      <c r="C259" s="1029"/>
      <c r="D259" s="1028"/>
      <c r="E259" s="1029"/>
      <c r="F259" s="1029"/>
      <c r="G259" s="1029"/>
      <c r="H259" s="1029"/>
      <c r="I259" s="1088"/>
      <c r="J259" s="699"/>
    </row>
    <row r="260">
      <c r="A260" s="699"/>
      <c r="B260" s="1029"/>
      <c r="C260" s="1029"/>
      <c r="D260" s="1028"/>
      <c r="E260" s="1029"/>
      <c r="F260" s="1029"/>
      <c r="G260" s="1029"/>
      <c r="H260" s="1029"/>
      <c r="I260" s="1088"/>
      <c r="J260" s="699"/>
    </row>
    <row r="261">
      <c r="A261" s="699"/>
      <c r="B261" s="1029"/>
      <c r="C261" s="1029"/>
      <c r="D261" s="1028"/>
      <c r="E261" s="1029"/>
      <c r="F261" s="1078"/>
      <c r="G261" s="1029"/>
      <c r="H261" s="1029"/>
      <c r="I261" s="1088"/>
      <c r="J261" s="699"/>
    </row>
    <row r="262">
      <c r="A262" s="699"/>
      <c r="B262" s="1029"/>
      <c r="C262" s="1029"/>
      <c r="D262" s="1028"/>
      <c r="E262" s="1029"/>
      <c r="F262" s="1078"/>
      <c r="G262" s="1029"/>
      <c r="H262" s="1029"/>
      <c r="I262" s="1088"/>
      <c r="J262" s="699"/>
    </row>
    <row r="263">
      <c r="A263" s="699"/>
      <c r="B263" s="1029"/>
      <c r="C263" s="1029"/>
      <c r="D263" s="1028"/>
      <c r="E263" s="1029"/>
      <c r="F263" s="1078"/>
      <c r="G263" s="1029"/>
      <c r="H263" s="1029"/>
      <c r="I263" s="1088"/>
      <c r="J263" s="699"/>
    </row>
    <row r="264">
      <c r="A264" s="699"/>
      <c r="B264" s="1029"/>
      <c r="C264" s="1029"/>
      <c r="D264" s="1028"/>
      <c r="E264" s="1029"/>
      <c r="F264" s="1078"/>
      <c r="G264" s="1029"/>
      <c r="H264" s="1029"/>
      <c r="I264" s="1088"/>
      <c r="J264" s="699"/>
    </row>
    <row r="265">
      <c r="A265" s="699"/>
      <c r="B265" s="1029"/>
      <c r="C265" s="1029"/>
      <c r="D265" s="1028"/>
      <c r="E265" s="1029"/>
      <c r="F265" s="1029"/>
      <c r="G265" s="1029"/>
      <c r="H265" s="1029"/>
      <c r="I265" s="1088"/>
      <c r="J265" s="699"/>
    </row>
    <row r="266">
      <c r="A266" s="699"/>
      <c r="B266" s="1029"/>
      <c r="C266" s="1029"/>
      <c r="D266" s="1028"/>
      <c r="E266" s="1029"/>
      <c r="F266" s="1029"/>
      <c r="G266" s="1029"/>
      <c r="H266" s="1029"/>
      <c r="I266" s="1088"/>
      <c r="J266" s="699"/>
    </row>
    <row r="267">
      <c r="A267" s="699"/>
      <c r="B267" s="1029"/>
      <c r="C267" s="1029"/>
      <c r="D267" s="1028"/>
      <c r="E267" s="1029"/>
      <c r="F267" s="1029"/>
      <c r="G267" s="1029"/>
      <c r="H267" s="1029"/>
      <c r="I267" s="1088"/>
      <c r="J267" s="699"/>
    </row>
    <row r="268">
      <c r="A268" s="699"/>
      <c r="B268" s="1029"/>
      <c r="C268" s="1029"/>
      <c r="D268" s="1028"/>
      <c r="E268" s="1029"/>
      <c r="F268" s="1029"/>
      <c r="G268" s="1029"/>
      <c r="H268" s="1029"/>
      <c r="I268" s="1088"/>
      <c r="J268" s="699"/>
    </row>
    <row r="269">
      <c r="A269" s="699"/>
      <c r="B269" s="1029"/>
      <c r="C269" s="1029"/>
      <c r="D269" s="1028"/>
      <c r="E269" s="1029"/>
      <c r="F269" s="1029"/>
      <c r="G269" s="1029"/>
      <c r="H269" s="1029"/>
      <c r="I269" s="1088"/>
      <c r="J269" s="699"/>
    </row>
    <row r="270">
      <c r="A270" s="699"/>
      <c r="B270" s="1029"/>
      <c r="C270" s="1029"/>
      <c r="D270" s="1028"/>
      <c r="E270" s="1029"/>
      <c r="F270" s="1029"/>
      <c r="G270" s="1029"/>
      <c r="H270" s="1029"/>
      <c r="I270" s="1088"/>
      <c r="J270" s="699"/>
    </row>
    <row r="271">
      <c r="A271" s="699"/>
      <c r="B271" s="1029"/>
      <c r="C271" s="1029"/>
      <c r="D271" s="1028"/>
      <c r="E271" s="1029"/>
      <c r="F271" s="1029"/>
      <c r="G271" s="1029"/>
      <c r="H271" s="1029"/>
      <c r="I271" s="1088"/>
      <c r="J271" s="699"/>
    </row>
    <row r="272">
      <c r="A272" s="699"/>
      <c r="B272" s="1029"/>
      <c r="C272" s="1029"/>
      <c r="D272" s="1028"/>
      <c r="E272" s="1029"/>
      <c r="F272" s="1029"/>
      <c r="G272" s="1029"/>
      <c r="H272" s="1029"/>
      <c r="I272" s="1088"/>
      <c r="J272" s="699"/>
    </row>
    <row r="273">
      <c r="A273" s="699"/>
      <c r="B273" s="1029"/>
      <c r="C273" s="1029"/>
      <c r="D273" s="1028"/>
      <c r="E273" s="1029"/>
      <c r="F273" s="1029"/>
      <c r="G273" s="1029"/>
      <c r="H273" s="1029"/>
      <c r="I273" s="1088"/>
      <c r="J273" s="699"/>
    </row>
    <row r="274">
      <c r="A274" s="699"/>
      <c r="B274" s="1029"/>
      <c r="C274" s="1029"/>
      <c r="D274" s="1028"/>
      <c r="E274" s="1029"/>
      <c r="F274" s="1029"/>
      <c r="G274" s="1029"/>
      <c r="H274" s="1029"/>
      <c r="I274" s="1088"/>
      <c r="J274" s="699"/>
    </row>
    <row r="275">
      <c r="A275" s="699"/>
      <c r="B275" s="1029"/>
      <c r="C275" s="1029"/>
      <c r="D275" s="1028"/>
      <c r="E275" s="1029"/>
      <c r="F275" s="1078"/>
      <c r="G275" s="1029"/>
      <c r="H275" s="1029"/>
      <c r="I275" s="1088"/>
      <c r="J275" s="699"/>
    </row>
    <row r="276">
      <c r="A276" s="699"/>
      <c r="B276" s="1029"/>
      <c r="C276" s="1029"/>
      <c r="D276" s="1028"/>
      <c r="E276" s="1029"/>
      <c r="F276" s="1029"/>
      <c r="G276" s="1029"/>
      <c r="H276" s="1029"/>
      <c r="I276" s="1088"/>
      <c r="J276" s="699"/>
    </row>
    <row r="277">
      <c r="A277" s="699"/>
      <c r="B277" s="1029"/>
      <c r="C277" s="1029"/>
      <c r="D277" s="1028"/>
      <c r="E277" s="1029"/>
      <c r="F277" s="1029"/>
      <c r="G277" s="1029"/>
      <c r="H277" s="1029"/>
      <c r="I277" s="1088"/>
      <c r="J277" s="699"/>
    </row>
    <row r="278">
      <c r="A278" s="699"/>
      <c r="B278" s="1029"/>
      <c r="C278" s="1029"/>
      <c r="D278" s="1028"/>
      <c r="E278" s="1029"/>
      <c r="F278" s="1078"/>
      <c r="G278" s="1029"/>
      <c r="H278" s="1029"/>
      <c r="I278" s="1088"/>
      <c r="J278" s="699"/>
    </row>
    <row r="279">
      <c r="A279" s="699"/>
      <c r="B279" s="1029"/>
      <c r="C279" s="1029"/>
      <c r="D279" s="1028"/>
      <c r="E279" s="1029"/>
      <c r="F279" s="1078"/>
      <c r="G279" s="1029"/>
      <c r="H279" s="1029"/>
      <c r="I279" s="1088"/>
      <c r="J279" s="699"/>
    </row>
    <row r="280">
      <c r="A280" s="699"/>
      <c r="B280" s="1029"/>
      <c r="C280" s="1029"/>
      <c r="D280" s="1028"/>
      <c r="E280" s="1029"/>
      <c r="F280" s="1029"/>
      <c r="G280" s="1029"/>
      <c r="H280" s="1029"/>
      <c r="I280" s="1088"/>
      <c r="J280" s="699"/>
    </row>
    <row r="281">
      <c r="A281" s="699"/>
      <c r="B281" s="1029"/>
      <c r="C281" s="1029"/>
      <c r="D281" s="1028"/>
      <c r="E281" s="1029"/>
      <c r="F281" s="1078"/>
      <c r="G281" s="1029"/>
      <c r="H281" s="1029"/>
      <c r="I281" s="1088"/>
      <c r="J281" s="699"/>
    </row>
    <row r="282">
      <c r="A282" s="699"/>
      <c r="B282" s="1029"/>
      <c r="C282" s="1029"/>
      <c r="D282" s="1028"/>
      <c r="E282" s="1029"/>
      <c r="F282" s="1078"/>
      <c r="G282" s="1029"/>
      <c r="H282" s="1029"/>
      <c r="I282" s="1088"/>
      <c r="J282" s="699"/>
    </row>
  </sheetData>
  <mergeCells count="1">
    <mergeCell ref="B2:G4"/>
  </mergeCells>
  <dataValidations>
    <dataValidation type="list" allowBlank="1" showErrorMessage="1" sqref="D8:D270 D272 D274:D282">
      <formula1>Listas!$B$3:$B$20</formula1>
    </dataValidation>
  </dataValidations>
  <hyperlinks>
    <hyperlink r:id="rId1" ref="I9"/>
    <hyperlink r:id="rId2" ref="I10"/>
    <hyperlink r:id="rId3" ref="I11"/>
    <hyperlink r:id="rId4" ref="I12"/>
  </hyperlinks>
  <drawing r:id="rId5"/>
  <tableParts count="1">
    <tablePart r:id="rId7"/>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outlineLevelCol="1"/>
  <cols>
    <col customWidth="1" min="1" max="1" width="5.0"/>
    <col customWidth="1" min="2" max="2" width="24.29"/>
    <col customWidth="1" min="3" max="3" width="35.14"/>
    <col customWidth="1" min="4" max="4" width="66.29"/>
  </cols>
  <sheetData>
    <row r="1">
      <c r="B1" s="1110"/>
      <c r="C1" s="1110"/>
      <c r="D1" s="1111"/>
      <c r="E1" s="1110"/>
      <c r="F1" s="1110"/>
    </row>
    <row r="2">
      <c r="B2" s="1019" t="s">
        <v>6722</v>
      </c>
      <c r="C2" s="1019" t="s">
        <v>5605</v>
      </c>
      <c r="D2" s="1112" t="s">
        <v>6725</v>
      </c>
      <c r="E2" s="1019" t="s">
        <v>6727</v>
      </c>
      <c r="F2" s="1019" t="s">
        <v>5602</v>
      </c>
    </row>
    <row r="3">
      <c r="B3" s="368" t="s">
        <v>1273</v>
      </c>
      <c r="C3" s="400" t="s">
        <v>4827</v>
      </c>
      <c r="D3" s="1114" t="s">
        <v>6729</v>
      </c>
      <c r="E3" s="368" t="s">
        <v>6731</v>
      </c>
      <c r="F3" s="368">
        <v>1.0</v>
      </c>
    </row>
    <row r="4">
      <c r="B4" s="368" t="s">
        <v>904</v>
      </c>
      <c r="C4" s="400" t="s">
        <v>530</v>
      </c>
      <c r="D4" s="1114" t="s">
        <v>6733</v>
      </c>
      <c r="E4" s="368" t="s">
        <v>6734</v>
      </c>
      <c r="F4" s="368">
        <v>2.0</v>
      </c>
    </row>
    <row r="5">
      <c r="B5" s="368" t="s">
        <v>176</v>
      </c>
      <c r="C5" s="400" t="s">
        <v>6736</v>
      </c>
      <c r="D5" s="1114" t="s">
        <v>6737</v>
      </c>
      <c r="E5" s="368"/>
      <c r="F5" s="368">
        <v>3.0</v>
      </c>
    </row>
    <row r="6">
      <c r="B6" s="368" t="s">
        <v>257</v>
      </c>
      <c r="C6" s="400" t="s">
        <v>195</v>
      </c>
      <c r="D6" s="1114" t="s">
        <v>6738</v>
      </c>
      <c r="E6" s="1110"/>
      <c r="F6" s="368">
        <v>4.0</v>
      </c>
    </row>
    <row r="7">
      <c r="B7" s="368" t="s">
        <v>595</v>
      </c>
      <c r="C7" s="400" t="s">
        <v>6740</v>
      </c>
      <c r="D7" s="1114" t="s">
        <v>6741</v>
      </c>
      <c r="E7" s="1110"/>
      <c r="F7" s="368">
        <v>5.0</v>
      </c>
    </row>
    <row r="8">
      <c r="B8" s="368" t="s">
        <v>215</v>
      </c>
      <c r="C8" s="400" t="s">
        <v>3798</v>
      </c>
      <c r="D8" s="1114" t="s">
        <v>6743</v>
      </c>
      <c r="E8" s="1110"/>
      <c r="F8" s="368">
        <v>30.0</v>
      </c>
    </row>
    <row r="9">
      <c r="B9" s="368" t="s">
        <v>208</v>
      </c>
      <c r="C9" s="400" t="s">
        <v>462</v>
      </c>
      <c r="D9" s="1114" t="s">
        <v>6745</v>
      </c>
      <c r="E9" s="1110"/>
      <c r="F9" s="368">
        <v>45.0</v>
      </c>
    </row>
    <row r="10">
      <c r="B10" s="1110"/>
      <c r="C10" s="400" t="s">
        <v>350</v>
      </c>
      <c r="D10" s="1114" t="s">
        <v>6746</v>
      </c>
      <c r="E10" s="1110"/>
      <c r="F10" s="368">
        <v>60.0</v>
      </c>
    </row>
    <row r="11">
      <c r="B11" s="1110"/>
      <c r="C11" s="400" t="s">
        <v>276</v>
      </c>
      <c r="D11" s="1114" t="s">
        <v>6748</v>
      </c>
      <c r="E11" s="1110"/>
      <c r="F11" s="368">
        <v>90.0</v>
      </c>
    </row>
    <row r="12">
      <c r="B12" s="1110"/>
      <c r="C12" s="400" t="s">
        <v>486</v>
      </c>
      <c r="D12" s="1114" t="s">
        <v>6749</v>
      </c>
      <c r="E12" s="1110"/>
      <c r="F12" s="1110"/>
    </row>
    <row r="13">
      <c r="B13" s="1110"/>
      <c r="C13" s="1110"/>
      <c r="D13" s="1114" t="s">
        <v>6751</v>
      </c>
      <c r="E13" s="1110"/>
      <c r="F13" s="1110"/>
    </row>
    <row r="14">
      <c r="B14" s="1110"/>
      <c r="C14" s="1110"/>
      <c r="D14" s="1114" t="s">
        <v>6752</v>
      </c>
      <c r="E14" s="1110"/>
      <c r="F14" s="1110"/>
    </row>
    <row r="15">
      <c r="B15" s="1110"/>
      <c r="C15" s="1110"/>
      <c r="D15" s="1114" t="s">
        <v>6754</v>
      </c>
      <c r="E15" s="1110"/>
      <c r="F15" s="1110"/>
    </row>
    <row r="16">
      <c r="B16" s="1110"/>
      <c r="C16" s="1110"/>
      <c r="D16" s="1114" t="s">
        <v>6756</v>
      </c>
      <c r="E16" s="1110"/>
      <c r="F16" s="1110"/>
    </row>
    <row r="17">
      <c r="B17" s="1110"/>
      <c r="C17" s="1110"/>
      <c r="D17" s="1114" t="s">
        <v>6757</v>
      </c>
      <c r="E17" s="1110"/>
      <c r="F17" s="1110"/>
    </row>
    <row r="18">
      <c r="B18" s="1110"/>
      <c r="C18" s="1110"/>
      <c r="D18" s="1114" t="s">
        <v>6758</v>
      </c>
      <c r="E18" s="1110"/>
      <c r="F18" s="1110"/>
    </row>
    <row r="19">
      <c r="B19" s="1110"/>
      <c r="C19" s="1110"/>
      <c r="D19" s="1114" t="s">
        <v>6760</v>
      </c>
      <c r="E19" s="1110"/>
      <c r="F19" s="1110"/>
    </row>
    <row r="20">
      <c r="B20" s="1110"/>
      <c r="C20" s="1110"/>
      <c r="D20" s="1114" t="s">
        <v>6761</v>
      </c>
      <c r="E20" s="1110"/>
      <c r="F20" s="1110"/>
    </row>
    <row r="21">
      <c r="B21" s="1110"/>
      <c r="C21" s="1110"/>
      <c r="D21" s="1114" t="s">
        <v>6763</v>
      </c>
      <c r="E21" s="1110"/>
      <c r="F21" s="1110"/>
    </row>
    <row r="22">
      <c r="B22" s="1110"/>
      <c r="C22" s="1110"/>
      <c r="D22" s="1114" t="s">
        <v>6764</v>
      </c>
      <c r="E22" s="1110"/>
      <c r="F22" s="1110"/>
    </row>
    <row r="23">
      <c r="B23" s="1110"/>
      <c r="C23" s="1110"/>
      <c r="D23" s="1114" t="s">
        <v>6765</v>
      </c>
      <c r="E23" s="1110"/>
      <c r="F23" s="1110"/>
    </row>
    <row r="24">
      <c r="B24" s="1110"/>
      <c r="C24" s="1110"/>
      <c r="D24" s="1114" t="s">
        <v>6766</v>
      </c>
      <c r="E24" s="1110"/>
      <c r="F24" s="1110"/>
    </row>
    <row r="25">
      <c r="B25" s="1110"/>
      <c r="C25" s="1110"/>
      <c r="D25" s="1114" t="s">
        <v>6769</v>
      </c>
      <c r="E25" s="1110"/>
      <c r="F25" s="1110"/>
    </row>
    <row r="26">
      <c r="B26" s="1110"/>
      <c r="C26" s="1110"/>
      <c r="D26" s="1114" t="s">
        <v>6770</v>
      </c>
      <c r="E26" s="1110"/>
      <c r="F26" s="1110"/>
    </row>
    <row r="27">
      <c r="B27" s="1110"/>
      <c r="C27" s="1110"/>
      <c r="D27" s="1114" t="s">
        <v>6771</v>
      </c>
      <c r="E27" s="1110"/>
      <c r="F27" s="1110"/>
    </row>
    <row r="28">
      <c r="B28" s="1110"/>
      <c r="C28" s="1110"/>
      <c r="D28" s="1114" t="s">
        <v>6772</v>
      </c>
      <c r="E28" s="1110"/>
      <c r="F28" s="1110"/>
    </row>
    <row r="29">
      <c r="B29" s="1110"/>
      <c r="C29" s="1110"/>
      <c r="D29" s="1114" t="s">
        <v>6773</v>
      </c>
      <c r="E29" s="1110"/>
      <c r="F29" s="1110"/>
    </row>
    <row r="30">
      <c r="B30" s="1110"/>
      <c r="C30" s="1110"/>
      <c r="D30" s="1114" t="s">
        <v>6775</v>
      </c>
      <c r="E30" s="1110"/>
      <c r="F30" s="1110"/>
    </row>
    <row r="31">
      <c r="B31" s="1110"/>
      <c r="C31" s="1110"/>
      <c r="D31" s="1114" t="s">
        <v>6776</v>
      </c>
      <c r="E31" s="1110"/>
      <c r="F31" s="1110"/>
    </row>
    <row r="32">
      <c r="B32" s="1110"/>
      <c r="C32" s="1110"/>
      <c r="D32" s="1114" t="s">
        <v>6777</v>
      </c>
      <c r="E32" s="1110"/>
      <c r="F32" s="1110"/>
    </row>
    <row r="33">
      <c r="B33" s="1110"/>
      <c r="C33" s="1110"/>
      <c r="D33" s="1114" t="s">
        <v>6779</v>
      </c>
      <c r="E33" s="1110"/>
      <c r="F33" s="1110"/>
    </row>
    <row r="34">
      <c r="B34" s="1110"/>
      <c r="C34" s="1110"/>
      <c r="D34" s="1114" t="s">
        <v>6780</v>
      </c>
      <c r="E34" s="1110"/>
      <c r="F34" s="1110"/>
    </row>
    <row r="35">
      <c r="B35" s="1110"/>
      <c r="C35" s="1110"/>
      <c r="D35" s="1114" t="s">
        <v>6782</v>
      </c>
      <c r="E35" s="1110"/>
      <c r="F35" s="1110"/>
    </row>
    <row r="36">
      <c r="B36" s="1110"/>
      <c r="C36" s="1110"/>
      <c r="D36" s="1114" t="s">
        <v>6783</v>
      </c>
      <c r="E36" s="1110"/>
      <c r="F36" s="1110"/>
    </row>
    <row r="37">
      <c r="B37" s="1110"/>
      <c r="C37" s="1110"/>
      <c r="D37" s="1114" t="s">
        <v>6784</v>
      </c>
      <c r="E37" s="1110"/>
      <c r="F37" s="1110"/>
    </row>
    <row r="38">
      <c r="B38" s="1110"/>
      <c r="C38" s="1110"/>
      <c r="D38" s="1114" t="s">
        <v>6786</v>
      </c>
      <c r="E38" s="1110"/>
      <c r="F38" s="1110"/>
    </row>
    <row r="39">
      <c r="B39" s="1110"/>
      <c r="C39" s="1110"/>
      <c r="D39" s="1114" t="s">
        <v>6788</v>
      </c>
      <c r="E39" s="1110"/>
      <c r="F39" s="1110"/>
    </row>
    <row r="40">
      <c r="B40" s="1110"/>
      <c r="C40" s="1110"/>
      <c r="D40" s="1114" t="s">
        <v>6789</v>
      </c>
      <c r="E40" s="1110"/>
      <c r="F40" s="1110"/>
    </row>
    <row r="41">
      <c r="B41" s="1110"/>
      <c r="C41" s="1110"/>
      <c r="D41" s="1114" t="s">
        <v>6790</v>
      </c>
      <c r="E41" s="1110"/>
      <c r="F41" s="1110"/>
    </row>
    <row r="42">
      <c r="B42" s="1110"/>
      <c r="C42" s="1110"/>
      <c r="D42" s="1114" t="s">
        <v>6792</v>
      </c>
      <c r="E42" s="1110"/>
      <c r="F42" s="1110"/>
    </row>
    <row r="43">
      <c r="B43" s="1110"/>
      <c r="C43" s="1110"/>
      <c r="D43" s="1114" t="s">
        <v>6794</v>
      </c>
      <c r="E43" s="1110"/>
      <c r="F43" s="1110"/>
    </row>
    <row r="44">
      <c r="B44" s="1110"/>
      <c r="C44" s="1110"/>
      <c r="D44" s="1114" t="s">
        <v>257</v>
      </c>
      <c r="E44" s="1110"/>
      <c r="F44" s="1110"/>
    </row>
    <row r="45">
      <c r="B45" s="1110"/>
      <c r="C45" s="1110"/>
      <c r="D45" s="1114" t="s">
        <v>6798</v>
      </c>
      <c r="E45" s="1110"/>
      <c r="F45" s="1110"/>
    </row>
    <row r="46">
      <c r="B46" s="1110"/>
      <c r="C46" s="1110"/>
      <c r="D46" s="1114" t="s">
        <v>6799</v>
      </c>
      <c r="E46" s="1110"/>
      <c r="F46" s="1110"/>
    </row>
    <row r="47">
      <c r="B47" s="1110"/>
      <c r="C47" s="1110"/>
      <c r="D47" s="1114" t="s">
        <v>6800</v>
      </c>
      <c r="E47" s="1110"/>
      <c r="F47" s="1110"/>
    </row>
    <row r="48">
      <c r="B48" s="1110"/>
      <c r="C48" s="1110"/>
      <c r="D48" s="1114" t="s">
        <v>6802</v>
      </c>
      <c r="E48" s="1110"/>
      <c r="F48" s="1110"/>
    </row>
    <row r="49">
      <c r="B49" s="1110"/>
      <c r="C49" s="1110"/>
      <c r="D49" s="1114" t="s">
        <v>6803</v>
      </c>
      <c r="E49" s="1110"/>
      <c r="F49" s="1110"/>
    </row>
    <row r="50">
      <c r="B50" s="1110"/>
      <c r="C50" s="1110"/>
      <c r="D50" s="1114" t="s">
        <v>6804</v>
      </c>
      <c r="E50" s="1110"/>
      <c r="F50" s="1110"/>
    </row>
    <row r="51">
      <c r="B51" s="1110"/>
      <c r="C51" s="1110"/>
      <c r="D51" s="1114" t="s">
        <v>6806</v>
      </c>
      <c r="E51" s="1110"/>
      <c r="F51" s="1110"/>
    </row>
    <row r="52">
      <c r="B52" s="1110"/>
      <c r="C52" s="1110"/>
      <c r="D52" s="1114" t="s">
        <v>660</v>
      </c>
      <c r="E52" s="1110"/>
      <c r="F52" s="1110"/>
    </row>
    <row r="53">
      <c r="B53" s="1110"/>
      <c r="C53" s="1110"/>
      <c r="D53" s="1114" t="s">
        <v>6807</v>
      </c>
      <c r="E53" s="1110"/>
      <c r="F53" s="1110"/>
    </row>
    <row r="54">
      <c r="B54" s="1110"/>
      <c r="C54" s="1110"/>
      <c r="D54" s="1114" t="s">
        <v>6809</v>
      </c>
      <c r="E54" s="1110"/>
      <c r="F54" s="1110"/>
    </row>
    <row r="55">
      <c r="B55" s="1110"/>
      <c r="C55" s="1110"/>
      <c r="D55" s="1114" t="s">
        <v>6810</v>
      </c>
      <c r="E55" s="1110"/>
      <c r="F55" s="1110"/>
    </row>
    <row r="56">
      <c r="B56" s="1110"/>
      <c r="C56" s="1110"/>
      <c r="D56" s="1114" t="s">
        <v>6811</v>
      </c>
      <c r="E56" s="1110"/>
      <c r="F56" s="1110"/>
    </row>
    <row r="57">
      <c r="B57" s="1110"/>
      <c r="C57" s="1110"/>
      <c r="D57" s="1114" t="s">
        <v>6813</v>
      </c>
      <c r="E57" s="1110"/>
      <c r="F57" s="1110"/>
    </row>
    <row r="58">
      <c r="B58" s="1110"/>
      <c r="C58" s="1110"/>
      <c r="D58" s="1114" t="s">
        <v>6814</v>
      </c>
      <c r="E58" s="1110"/>
      <c r="F58" s="1110"/>
    </row>
    <row r="59">
      <c r="B59" s="1110"/>
      <c r="C59" s="1110"/>
      <c r="D59" s="1114" t="s">
        <v>6815</v>
      </c>
      <c r="E59" s="1110"/>
      <c r="F59" s="1110"/>
    </row>
    <row r="60">
      <c r="B60" s="1110"/>
      <c r="C60" s="1110"/>
      <c r="E60" s="1110"/>
      <c r="F60" s="1110"/>
    </row>
    <row r="61">
      <c r="B61" s="1110"/>
      <c r="C61" s="1110"/>
      <c r="E61" s="1110"/>
      <c r="F61" s="1110"/>
    </row>
    <row r="62">
      <c r="B62" s="1110"/>
      <c r="C62" s="1110"/>
      <c r="D62" s="1114"/>
      <c r="E62" s="1110"/>
      <c r="F62" s="1110"/>
    </row>
    <row r="63">
      <c r="B63" s="1110"/>
      <c r="C63" s="1110"/>
      <c r="D63" s="1114"/>
      <c r="E63" s="1110"/>
      <c r="F63" s="1110"/>
    </row>
    <row r="64">
      <c r="B64" s="1110"/>
      <c r="C64" s="1110"/>
      <c r="D64" s="1111"/>
      <c r="E64" s="1110"/>
      <c r="F64" s="1110"/>
    </row>
    <row r="65">
      <c r="B65" s="1110"/>
      <c r="C65" s="1110"/>
      <c r="D65" s="1111"/>
      <c r="E65" s="1110"/>
      <c r="F65" s="1110"/>
    </row>
    <row r="66">
      <c r="B66" s="1110"/>
      <c r="C66" s="1110"/>
      <c r="D66" s="1111"/>
      <c r="E66" s="1110"/>
      <c r="F66" s="1110"/>
    </row>
    <row r="67">
      <c r="B67" s="1110"/>
      <c r="C67" s="1110"/>
      <c r="D67" s="1111"/>
      <c r="E67" s="1110"/>
      <c r="F67" s="1110"/>
    </row>
    <row r="68">
      <c r="B68" s="1110"/>
      <c r="C68" s="1110"/>
      <c r="D68" s="1111"/>
      <c r="E68" s="1110"/>
      <c r="F68" s="1110"/>
    </row>
    <row r="69">
      <c r="B69" s="1110"/>
      <c r="C69" s="1110"/>
      <c r="D69" s="1111"/>
      <c r="E69" s="1110"/>
      <c r="F69" s="1110"/>
    </row>
    <row r="70">
      <c r="B70" s="1110"/>
      <c r="C70" s="1110"/>
      <c r="D70" s="1111"/>
      <c r="E70" s="1110"/>
      <c r="F70" s="1110"/>
    </row>
    <row r="71">
      <c r="B71" s="1110"/>
      <c r="C71" s="1110"/>
      <c r="D71" s="1111"/>
      <c r="E71" s="1110"/>
      <c r="F71" s="1110"/>
    </row>
    <row r="72">
      <c r="B72" s="1110"/>
      <c r="C72" s="1110"/>
      <c r="D72" s="1111"/>
      <c r="E72" s="1110"/>
      <c r="F72" s="1110"/>
    </row>
    <row r="73">
      <c r="B73" s="1110"/>
      <c r="C73" s="1110"/>
      <c r="D73" s="1111"/>
      <c r="E73" s="1110"/>
      <c r="F73" s="1110"/>
    </row>
    <row r="74">
      <c r="B74" s="1110"/>
      <c r="C74" s="1110"/>
      <c r="D74" s="1111"/>
      <c r="E74" s="1110"/>
      <c r="F74" s="1110"/>
    </row>
    <row r="75">
      <c r="B75" s="1110"/>
      <c r="C75" s="1110"/>
      <c r="D75" s="1111"/>
      <c r="E75" s="1110"/>
      <c r="F75" s="1110"/>
    </row>
    <row r="76">
      <c r="B76" s="1110"/>
      <c r="C76" s="1110"/>
      <c r="D76" s="1111"/>
      <c r="E76" s="1110"/>
      <c r="F76" s="1110"/>
    </row>
    <row r="77">
      <c r="B77" s="1110"/>
      <c r="C77" s="1110"/>
      <c r="D77" s="1111"/>
      <c r="E77" s="1110"/>
      <c r="F77" s="1110"/>
    </row>
    <row r="78">
      <c r="B78" s="1110"/>
      <c r="C78" s="1110"/>
      <c r="D78" s="1111"/>
      <c r="E78" s="1110"/>
      <c r="F78" s="1110"/>
    </row>
    <row r="79">
      <c r="B79" s="1110"/>
      <c r="C79" s="1110"/>
      <c r="D79" s="1111"/>
      <c r="E79" s="1110"/>
      <c r="F79" s="1110"/>
    </row>
    <row r="80">
      <c r="B80" s="1110"/>
      <c r="C80" s="1110"/>
      <c r="D80" s="1111"/>
      <c r="E80" s="1110"/>
      <c r="F80" s="1110"/>
    </row>
    <row r="81">
      <c r="B81" s="1110"/>
      <c r="C81" s="1110"/>
      <c r="D81" s="1111"/>
      <c r="E81" s="1110"/>
      <c r="F81" s="1110"/>
    </row>
    <row r="82">
      <c r="B82" s="1110"/>
      <c r="C82" s="1110"/>
      <c r="D82" s="1111"/>
      <c r="E82" s="1110"/>
      <c r="F82" s="1110"/>
    </row>
    <row r="83">
      <c r="B83" s="1110"/>
      <c r="C83" s="1110"/>
      <c r="D83" s="1111"/>
      <c r="E83" s="1110"/>
      <c r="F83" s="1110"/>
    </row>
    <row r="84">
      <c r="B84" s="1110"/>
      <c r="C84" s="1110"/>
      <c r="D84" s="1111"/>
      <c r="E84" s="1110"/>
      <c r="F84" s="1110"/>
    </row>
    <row r="85">
      <c r="B85" s="1110"/>
      <c r="C85" s="1110"/>
      <c r="D85" s="1111"/>
      <c r="E85" s="1110"/>
      <c r="F85" s="1110"/>
    </row>
    <row r="86">
      <c r="B86" s="1110"/>
      <c r="C86" s="1110"/>
      <c r="D86" s="1111"/>
      <c r="E86" s="1110"/>
      <c r="F86" s="1110"/>
    </row>
    <row r="87">
      <c r="B87" s="1110"/>
      <c r="C87" s="1110"/>
      <c r="D87" s="1111"/>
      <c r="E87" s="1110"/>
      <c r="F87" s="1110"/>
    </row>
    <row r="88">
      <c r="B88" s="1110"/>
      <c r="C88" s="1110"/>
      <c r="D88" s="1111"/>
      <c r="E88" s="1110"/>
      <c r="F88" s="1110"/>
    </row>
    <row r="89">
      <c r="B89" s="1110"/>
      <c r="C89" s="1110"/>
      <c r="D89" s="1111"/>
      <c r="E89" s="1110"/>
      <c r="F89" s="1110"/>
    </row>
    <row r="90">
      <c r="B90" s="1110"/>
      <c r="C90" s="1110"/>
      <c r="D90" s="1111"/>
      <c r="E90" s="1110"/>
      <c r="F90" s="1110"/>
    </row>
    <row r="91">
      <c r="B91" s="1110"/>
      <c r="C91" s="1110"/>
      <c r="D91" s="1111"/>
      <c r="E91" s="1110"/>
      <c r="F91" s="1110"/>
    </row>
    <row r="92">
      <c r="B92" s="1110"/>
      <c r="C92" s="1110"/>
      <c r="D92" s="1111"/>
      <c r="E92" s="1110"/>
      <c r="F92" s="1110"/>
    </row>
    <row r="93">
      <c r="B93" s="1110"/>
      <c r="C93" s="1110"/>
      <c r="D93" s="1111"/>
      <c r="E93" s="1110"/>
      <c r="F93" s="1110"/>
    </row>
    <row r="94">
      <c r="B94" s="1110"/>
      <c r="C94" s="1110"/>
      <c r="D94" s="1111"/>
      <c r="E94" s="1110"/>
      <c r="F94" s="1110"/>
    </row>
    <row r="95">
      <c r="B95" s="1110"/>
      <c r="C95" s="1110"/>
      <c r="D95" s="1111"/>
      <c r="E95" s="1110"/>
      <c r="F95" s="1110"/>
    </row>
    <row r="96">
      <c r="B96" s="1110"/>
      <c r="C96" s="1110"/>
      <c r="D96" s="1111"/>
      <c r="E96" s="1110"/>
      <c r="F96" s="1110"/>
    </row>
    <row r="97">
      <c r="B97" s="1110"/>
      <c r="C97" s="1110"/>
      <c r="D97" s="1111"/>
      <c r="E97" s="1110"/>
      <c r="F97" s="1110"/>
    </row>
    <row r="98">
      <c r="B98" s="1110"/>
      <c r="C98" s="1110"/>
      <c r="D98" s="1111"/>
      <c r="E98" s="1110"/>
      <c r="F98" s="1110"/>
    </row>
    <row r="99">
      <c r="B99" s="1110"/>
      <c r="C99" s="1110"/>
      <c r="D99" s="1111"/>
      <c r="E99" s="1110"/>
      <c r="F99" s="1110"/>
    </row>
    <row r="100">
      <c r="B100" s="1110"/>
      <c r="C100" s="1110"/>
      <c r="D100" s="1111"/>
      <c r="E100" s="1110"/>
      <c r="F100" s="1110"/>
    </row>
    <row r="101">
      <c r="B101" s="1110"/>
      <c r="C101" s="1110"/>
      <c r="D101" s="1111"/>
      <c r="E101" s="1110"/>
      <c r="F101" s="1110"/>
    </row>
    <row r="102">
      <c r="B102" s="1110"/>
      <c r="C102" s="1110"/>
      <c r="D102" s="1111"/>
      <c r="E102" s="1110"/>
      <c r="F102" s="1110"/>
    </row>
    <row r="103">
      <c r="B103" s="1110"/>
      <c r="C103" s="1110"/>
      <c r="D103" s="1111"/>
      <c r="E103" s="1110"/>
      <c r="F103" s="1110"/>
    </row>
    <row r="104">
      <c r="B104" s="1110"/>
      <c r="C104" s="1110"/>
      <c r="D104" s="1111"/>
      <c r="E104" s="1110"/>
      <c r="F104" s="1110"/>
    </row>
    <row r="105">
      <c r="B105" s="1110"/>
      <c r="C105" s="1110"/>
      <c r="D105" s="1111"/>
      <c r="E105" s="1110"/>
      <c r="F105" s="1110"/>
    </row>
    <row r="106">
      <c r="B106" s="1110"/>
      <c r="C106" s="1110"/>
      <c r="D106" s="1111"/>
      <c r="E106" s="1110"/>
      <c r="F106" s="1110"/>
    </row>
    <row r="107">
      <c r="B107" s="1110"/>
      <c r="C107" s="1110"/>
      <c r="D107" s="1111"/>
      <c r="E107" s="1110"/>
      <c r="F107" s="1110"/>
    </row>
    <row r="108">
      <c r="B108" s="1110"/>
      <c r="C108" s="1110"/>
      <c r="D108" s="1111"/>
      <c r="E108" s="1110"/>
      <c r="F108" s="1110"/>
    </row>
    <row r="109">
      <c r="B109" s="1110"/>
      <c r="C109" s="1110"/>
      <c r="D109" s="1111"/>
      <c r="E109" s="1110"/>
      <c r="F109" s="1110"/>
    </row>
    <row r="110">
      <c r="B110" s="1110"/>
      <c r="C110" s="1110"/>
      <c r="D110" s="1111"/>
      <c r="E110" s="1110"/>
      <c r="F110" s="1110"/>
    </row>
    <row r="111">
      <c r="B111" s="1110"/>
      <c r="C111" s="1110"/>
      <c r="D111" s="1111"/>
      <c r="E111" s="1110"/>
      <c r="F111" s="1110"/>
    </row>
    <row r="112">
      <c r="B112" s="1110"/>
      <c r="C112" s="1110"/>
      <c r="D112" s="1111"/>
      <c r="E112" s="1110"/>
      <c r="F112" s="1110"/>
    </row>
    <row r="113">
      <c r="B113" s="1110"/>
      <c r="C113" s="1110"/>
      <c r="D113" s="1111"/>
      <c r="E113" s="1110"/>
      <c r="F113" s="1110"/>
    </row>
    <row r="114">
      <c r="B114" s="1110"/>
      <c r="C114" s="1110"/>
      <c r="D114" s="1111"/>
      <c r="E114" s="1110"/>
      <c r="F114" s="1110"/>
    </row>
    <row r="115">
      <c r="B115" s="1110"/>
      <c r="C115" s="1110"/>
      <c r="D115" s="1111"/>
      <c r="E115" s="1110"/>
      <c r="F115" s="1110"/>
    </row>
    <row r="116">
      <c r="B116" s="1110"/>
      <c r="C116" s="1110"/>
      <c r="D116" s="1111"/>
      <c r="E116" s="1110"/>
      <c r="F116" s="1110"/>
    </row>
    <row r="117">
      <c r="B117" s="1110"/>
      <c r="C117" s="1110"/>
      <c r="D117" s="1111"/>
      <c r="E117" s="1110"/>
      <c r="F117" s="1110"/>
    </row>
    <row r="118">
      <c r="B118" s="1110"/>
      <c r="C118" s="1110"/>
      <c r="D118" s="1111"/>
      <c r="E118" s="1110"/>
      <c r="F118" s="1110"/>
    </row>
    <row r="119">
      <c r="B119" s="1110"/>
      <c r="C119" s="1110"/>
      <c r="D119" s="1111"/>
      <c r="E119" s="1110"/>
      <c r="F119" s="1110"/>
    </row>
    <row r="120">
      <c r="B120" s="1110"/>
      <c r="C120" s="1110"/>
      <c r="D120" s="1111"/>
      <c r="E120" s="1110"/>
      <c r="F120" s="1110"/>
    </row>
    <row r="121">
      <c r="B121" s="1110"/>
      <c r="C121" s="1110"/>
      <c r="D121" s="1111"/>
      <c r="E121" s="1110"/>
      <c r="F121" s="1110"/>
    </row>
    <row r="122">
      <c r="B122" s="1110"/>
      <c r="C122" s="1110"/>
      <c r="D122" s="1111"/>
      <c r="E122" s="1110"/>
      <c r="F122" s="1110"/>
    </row>
    <row r="123">
      <c r="B123" s="1110"/>
      <c r="C123" s="1110"/>
      <c r="D123" s="1111"/>
      <c r="E123" s="1110"/>
      <c r="F123" s="1110"/>
    </row>
    <row r="124">
      <c r="B124" s="1110"/>
      <c r="C124" s="1110"/>
      <c r="D124" s="1111"/>
      <c r="E124" s="1110"/>
      <c r="F124" s="1110"/>
    </row>
    <row r="125">
      <c r="B125" s="1110"/>
      <c r="C125" s="1110"/>
      <c r="D125" s="1111"/>
      <c r="E125" s="1110"/>
      <c r="F125" s="1110"/>
    </row>
    <row r="126">
      <c r="B126" s="1110"/>
      <c r="C126" s="1110"/>
      <c r="D126" s="1111"/>
      <c r="E126" s="1110"/>
      <c r="F126" s="1110"/>
    </row>
    <row r="127">
      <c r="B127" s="1110"/>
      <c r="C127" s="1110"/>
      <c r="D127" s="1111"/>
      <c r="E127" s="1110"/>
      <c r="F127" s="1110"/>
    </row>
    <row r="128">
      <c r="B128" s="1110"/>
      <c r="C128" s="1110"/>
      <c r="D128" s="1111"/>
      <c r="E128" s="1110"/>
      <c r="F128" s="1110"/>
    </row>
    <row r="129">
      <c r="B129" s="1110"/>
      <c r="C129" s="1110"/>
      <c r="D129" s="1111"/>
      <c r="E129" s="1110"/>
      <c r="F129" s="1110"/>
    </row>
    <row r="130">
      <c r="B130" s="1110"/>
      <c r="C130" s="1110"/>
      <c r="D130" s="1111"/>
      <c r="E130" s="1110"/>
      <c r="F130" s="1110"/>
    </row>
    <row r="131">
      <c r="B131" s="1110"/>
      <c r="C131" s="1110"/>
      <c r="D131" s="1111"/>
      <c r="E131" s="1110"/>
      <c r="F131" s="1110"/>
    </row>
    <row r="132">
      <c r="B132" s="1110"/>
      <c r="C132" s="1110"/>
      <c r="D132" s="1111"/>
      <c r="E132" s="1110"/>
      <c r="F132" s="1110"/>
    </row>
    <row r="133">
      <c r="B133" s="1110"/>
      <c r="C133" s="1110"/>
      <c r="D133" s="1111"/>
      <c r="E133" s="1110"/>
      <c r="F133" s="1110"/>
    </row>
    <row r="134">
      <c r="B134" s="1110"/>
      <c r="C134" s="1110"/>
      <c r="D134" s="1111"/>
      <c r="E134" s="1110"/>
      <c r="F134" s="1110"/>
    </row>
    <row r="135">
      <c r="B135" s="1110"/>
      <c r="C135" s="1110"/>
      <c r="D135" s="1111"/>
      <c r="E135" s="1110"/>
      <c r="F135" s="1110"/>
    </row>
    <row r="136">
      <c r="B136" s="1110"/>
      <c r="C136" s="1110"/>
      <c r="D136" s="1111"/>
      <c r="E136" s="1110"/>
      <c r="F136" s="1110"/>
    </row>
    <row r="137">
      <c r="B137" s="1110"/>
      <c r="C137" s="1110"/>
      <c r="D137" s="1111"/>
      <c r="E137" s="1110"/>
      <c r="F137" s="1110"/>
    </row>
    <row r="138">
      <c r="B138" s="1110"/>
      <c r="C138" s="1110"/>
      <c r="D138" s="1111"/>
      <c r="E138" s="1110"/>
      <c r="F138" s="1110"/>
    </row>
    <row r="139">
      <c r="B139" s="1110"/>
      <c r="C139" s="1110"/>
      <c r="D139" s="1111"/>
      <c r="E139" s="1110"/>
      <c r="F139" s="1110"/>
    </row>
    <row r="140">
      <c r="B140" s="1110"/>
      <c r="C140" s="1110"/>
      <c r="D140" s="1111"/>
      <c r="E140" s="1110"/>
      <c r="F140" s="1110"/>
    </row>
    <row r="141">
      <c r="B141" s="1110"/>
      <c r="C141" s="1110"/>
      <c r="D141" s="1111"/>
      <c r="E141" s="1110"/>
      <c r="F141" s="1110"/>
    </row>
    <row r="142">
      <c r="B142" s="1110"/>
      <c r="C142" s="1110"/>
      <c r="D142" s="1111"/>
      <c r="E142" s="1110"/>
      <c r="F142" s="1110"/>
    </row>
    <row r="143">
      <c r="B143" s="1110"/>
      <c r="C143" s="1110"/>
      <c r="D143" s="1111"/>
      <c r="E143" s="1110"/>
      <c r="F143" s="1110"/>
    </row>
    <row r="144">
      <c r="B144" s="1110"/>
      <c r="C144" s="1110"/>
      <c r="D144" s="1111"/>
      <c r="E144" s="1110"/>
      <c r="F144" s="1110"/>
    </row>
    <row r="145">
      <c r="B145" s="1110"/>
      <c r="C145" s="1110"/>
      <c r="D145" s="1111"/>
      <c r="E145" s="1110"/>
      <c r="F145" s="1110"/>
    </row>
    <row r="146">
      <c r="B146" s="1110"/>
      <c r="C146" s="1110"/>
      <c r="D146" s="1111"/>
      <c r="E146" s="1110"/>
      <c r="F146" s="1110"/>
    </row>
    <row r="147">
      <c r="B147" s="1110"/>
      <c r="C147" s="1110"/>
      <c r="D147" s="1111"/>
      <c r="E147" s="1110"/>
      <c r="F147" s="1110"/>
    </row>
    <row r="148">
      <c r="B148" s="1110"/>
      <c r="C148" s="1110"/>
      <c r="D148" s="1111"/>
      <c r="E148" s="1110"/>
      <c r="F148" s="1110"/>
    </row>
    <row r="149">
      <c r="B149" s="1110"/>
      <c r="C149" s="1110"/>
      <c r="D149" s="1111"/>
      <c r="E149" s="1110"/>
      <c r="F149" s="1110"/>
    </row>
    <row r="150">
      <c r="B150" s="1110"/>
      <c r="C150" s="1110"/>
      <c r="D150" s="1111"/>
      <c r="E150" s="1110"/>
      <c r="F150" s="1110"/>
    </row>
    <row r="151">
      <c r="B151" s="1110"/>
      <c r="C151" s="1110"/>
      <c r="D151" s="1111"/>
      <c r="E151" s="1110"/>
      <c r="F151" s="1110"/>
    </row>
    <row r="152">
      <c r="B152" s="1110"/>
      <c r="C152" s="1110"/>
      <c r="D152" s="1111"/>
      <c r="E152" s="1110"/>
      <c r="F152" s="1110"/>
    </row>
    <row r="153">
      <c r="B153" s="1110"/>
      <c r="C153" s="1110"/>
      <c r="D153" s="1111"/>
      <c r="E153" s="1110"/>
      <c r="F153" s="1110"/>
    </row>
    <row r="154">
      <c r="B154" s="1110"/>
      <c r="C154" s="1110"/>
      <c r="D154" s="1111"/>
      <c r="E154" s="1110"/>
      <c r="F154" s="1110"/>
    </row>
    <row r="155">
      <c r="B155" s="1110"/>
      <c r="C155" s="1110"/>
      <c r="D155" s="1111"/>
      <c r="E155" s="1110"/>
      <c r="F155" s="1110"/>
    </row>
    <row r="156">
      <c r="B156" s="1110"/>
      <c r="C156" s="1110"/>
      <c r="D156" s="1111"/>
      <c r="E156" s="1110"/>
      <c r="F156" s="1110"/>
    </row>
    <row r="157">
      <c r="B157" s="1110"/>
      <c r="C157" s="1110"/>
      <c r="D157" s="1111"/>
      <c r="E157" s="1110"/>
      <c r="F157" s="1110"/>
    </row>
    <row r="158">
      <c r="B158" s="1110"/>
      <c r="C158" s="1110"/>
      <c r="D158" s="1111"/>
      <c r="E158" s="1110"/>
      <c r="F158" s="1110"/>
    </row>
    <row r="159">
      <c r="B159" s="1110"/>
      <c r="C159" s="1110"/>
      <c r="D159" s="1111"/>
      <c r="E159" s="1110"/>
      <c r="F159" s="1110"/>
    </row>
    <row r="160">
      <c r="B160" s="1110"/>
      <c r="C160" s="1110"/>
      <c r="D160" s="1111"/>
      <c r="E160" s="1110"/>
      <c r="F160" s="1110"/>
    </row>
    <row r="161">
      <c r="B161" s="1110"/>
      <c r="C161" s="1110"/>
      <c r="D161" s="1111"/>
      <c r="E161" s="1110"/>
      <c r="F161" s="1110"/>
    </row>
    <row r="162">
      <c r="B162" s="1110"/>
      <c r="C162" s="1110"/>
      <c r="D162" s="1111"/>
      <c r="E162" s="1110"/>
      <c r="F162" s="1110"/>
    </row>
    <row r="163">
      <c r="B163" s="1110"/>
      <c r="C163" s="1110"/>
      <c r="D163" s="1111"/>
      <c r="E163" s="1110"/>
      <c r="F163" s="1110"/>
    </row>
    <row r="164">
      <c r="B164" s="1110"/>
      <c r="C164" s="1110"/>
      <c r="D164" s="1111"/>
      <c r="E164" s="1110"/>
      <c r="F164" s="1110"/>
    </row>
    <row r="165">
      <c r="B165" s="1110"/>
      <c r="C165" s="1110"/>
      <c r="D165" s="1111"/>
      <c r="E165" s="1110"/>
      <c r="F165" s="1110"/>
    </row>
    <row r="166">
      <c r="B166" s="1110"/>
      <c r="C166" s="1110"/>
      <c r="D166" s="1111"/>
      <c r="E166" s="1110"/>
      <c r="F166" s="1110"/>
    </row>
    <row r="167">
      <c r="B167" s="1110"/>
      <c r="C167" s="1110"/>
      <c r="D167" s="1111"/>
      <c r="E167" s="1110"/>
      <c r="F167" s="1110"/>
    </row>
    <row r="168">
      <c r="B168" s="1110"/>
      <c r="C168" s="1110"/>
      <c r="D168" s="1111"/>
      <c r="E168" s="1110"/>
      <c r="F168" s="1110"/>
    </row>
    <row r="169">
      <c r="B169" s="1110"/>
      <c r="C169" s="1110"/>
      <c r="D169" s="1111"/>
      <c r="E169" s="1110"/>
      <c r="F169" s="1110"/>
    </row>
    <row r="170">
      <c r="B170" s="1110"/>
      <c r="C170" s="1110"/>
      <c r="D170" s="1111"/>
      <c r="E170" s="1110"/>
      <c r="F170" s="1110"/>
    </row>
    <row r="171">
      <c r="B171" s="1110"/>
      <c r="C171" s="1110"/>
      <c r="D171" s="1111"/>
      <c r="E171" s="1110"/>
      <c r="F171" s="1110"/>
    </row>
    <row r="172">
      <c r="B172" s="1110"/>
      <c r="C172" s="1110"/>
      <c r="D172" s="1111"/>
      <c r="E172" s="1110"/>
      <c r="F172" s="1110"/>
    </row>
    <row r="173">
      <c r="B173" s="1110"/>
      <c r="C173" s="1110"/>
      <c r="D173" s="1111"/>
      <c r="E173" s="1110"/>
      <c r="F173" s="1110"/>
    </row>
    <row r="174">
      <c r="B174" s="1110"/>
      <c r="C174" s="1110"/>
      <c r="D174" s="1111"/>
      <c r="E174" s="1110"/>
      <c r="F174" s="1110"/>
    </row>
    <row r="175">
      <c r="B175" s="1110"/>
      <c r="C175" s="1110"/>
      <c r="D175" s="1111"/>
      <c r="E175" s="1110"/>
      <c r="F175" s="1110"/>
    </row>
    <row r="176">
      <c r="B176" s="1110"/>
      <c r="C176" s="1110"/>
      <c r="D176" s="1111"/>
      <c r="E176" s="1110"/>
      <c r="F176" s="1110"/>
    </row>
    <row r="177">
      <c r="B177" s="1110"/>
      <c r="C177" s="1110"/>
      <c r="D177" s="1111"/>
      <c r="E177" s="1110"/>
      <c r="F177" s="1110"/>
    </row>
    <row r="178">
      <c r="B178" s="1110"/>
      <c r="C178" s="1110"/>
      <c r="D178" s="1111"/>
      <c r="E178" s="1110"/>
      <c r="F178" s="1110"/>
    </row>
    <row r="179">
      <c r="B179" s="1110"/>
      <c r="C179" s="1110"/>
      <c r="D179" s="1111"/>
      <c r="E179" s="1110"/>
      <c r="F179" s="1110"/>
    </row>
    <row r="180">
      <c r="B180" s="1110"/>
      <c r="C180" s="1110"/>
      <c r="D180" s="1111"/>
      <c r="E180" s="1110"/>
      <c r="F180" s="1110"/>
    </row>
    <row r="181">
      <c r="B181" s="1110"/>
      <c r="C181" s="1110"/>
      <c r="D181" s="1111"/>
      <c r="E181" s="1110"/>
      <c r="F181" s="1110"/>
    </row>
    <row r="182">
      <c r="B182" s="1110"/>
      <c r="C182" s="1110"/>
      <c r="D182" s="1111"/>
      <c r="E182" s="1110"/>
      <c r="F182" s="1110"/>
    </row>
    <row r="183">
      <c r="B183" s="1110"/>
      <c r="C183" s="1110"/>
      <c r="D183" s="1111"/>
      <c r="E183" s="1110"/>
      <c r="F183" s="1110"/>
    </row>
    <row r="184">
      <c r="B184" s="1110"/>
      <c r="C184" s="1110"/>
      <c r="D184" s="1111"/>
      <c r="E184" s="1110"/>
      <c r="F184" s="1110"/>
    </row>
    <row r="185">
      <c r="B185" s="1110"/>
      <c r="C185" s="1110"/>
      <c r="D185" s="1111"/>
      <c r="E185" s="1110"/>
      <c r="F185" s="1110"/>
    </row>
    <row r="186">
      <c r="B186" s="1110"/>
      <c r="C186" s="1110"/>
      <c r="D186" s="1111"/>
      <c r="E186" s="1110"/>
      <c r="F186" s="1110"/>
    </row>
    <row r="187">
      <c r="B187" s="1110"/>
      <c r="C187" s="1110"/>
      <c r="D187" s="1111"/>
      <c r="E187" s="1110"/>
      <c r="F187" s="1110"/>
    </row>
    <row r="188">
      <c r="B188" s="1110"/>
      <c r="C188" s="1110"/>
      <c r="D188" s="1111"/>
      <c r="E188" s="1110"/>
      <c r="F188" s="1110"/>
    </row>
    <row r="189">
      <c r="B189" s="1110"/>
      <c r="C189" s="1110"/>
      <c r="D189" s="1111"/>
      <c r="E189" s="1110"/>
      <c r="F189" s="1110"/>
    </row>
    <row r="190">
      <c r="B190" s="1110"/>
      <c r="C190" s="1110"/>
      <c r="D190" s="1111"/>
      <c r="E190" s="1110"/>
      <c r="F190" s="1110"/>
    </row>
    <row r="191">
      <c r="B191" s="1110"/>
      <c r="C191" s="1110"/>
      <c r="D191" s="1111"/>
      <c r="E191" s="1110"/>
      <c r="F191" s="1110"/>
    </row>
    <row r="192">
      <c r="B192" s="1110"/>
      <c r="C192" s="1110"/>
      <c r="D192" s="1111"/>
      <c r="E192" s="1110"/>
      <c r="F192" s="1110"/>
    </row>
    <row r="193">
      <c r="B193" s="1110"/>
      <c r="C193" s="1110"/>
      <c r="D193" s="1111"/>
      <c r="E193" s="1110"/>
      <c r="F193" s="1110"/>
    </row>
    <row r="194">
      <c r="B194" s="1110"/>
      <c r="C194" s="1110"/>
      <c r="D194" s="1111"/>
      <c r="E194" s="1110"/>
      <c r="F194" s="1110"/>
    </row>
    <row r="195">
      <c r="B195" s="1110"/>
      <c r="C195" s="1110"/>
      <c r="D195" s="1111"/>
      <c r="E195" s="1110"/>
      <c r="F195" s="1110"/>
    </row>
    <row r="196">
      <c r="B196" s="1110"/>
      <c r="C196" s="1110"/>
      <c r="D196" s="1111"/>
      <c r="E196" s="1110"/>
      <c r="F196" s="1110"/>
    </row>
    <row r="197">
      <c r="B197" s="1110"/>
      <c r="C197" s="1110"/>
      <c r="D197" s="1111"/>
      <c r="E197" s="1110"/>
      <c r="F197" s="1110"/>
    </row>
    <row r="198">
      <c r="B198" s="1110"/>
      <c r="C198" s="1110"/>
      <c r="D198" s="1111"/>
      <c r="E198" s="1110"/>
      <c r="F198" s="1110"/>
    </row>
    <row r="199">
      <c r="B199" s="1110"/>
      <c r="C199" s="1110"/>
      <c r="D199" s="1111"/>
      <c r="E199" s="1110"/>
      <c r="F199" s="1110"/>
    </row>
    <row r="200">
      <c r="B200" s="1110"/>
      <c r="C200" s="1110"/>
      <c r="D200" s="1111"/>
      <c r="E200" s="1110"/>
      <c r="F200" s="1110"/>
    </row>
    <row r="201">
      <c r="B201" s="1110"/>
      <c r="C201" s="1110"/>
      <c r="D201" s="1111"/>
      <c r="E201" s="1110"/>
      <c r="F201" s="1110"/>
    </row>
    <row r="202">
      <c r="B202" s="1110"/>
      <c r="C202" s="1110"/>
      <c r="D202" s="1111"/>
      <c r="E202" s="1110"/>
      <c r="F202" s="1110"/>
    </row>
    <row r="203">
      <c r="B203" s="1110"/>
      <c r="C203" s="1110"/>
      <c r="D203" s="1111"/>
      <c r="E203" s="1110"/>
      <c r="F203" s="1110"/>
    </row>
    <row r="204">
      <c r="B204" s="1110"/>
      <c r="C204" s="1110"/>
      <c r="D204" s="1111"/>
      <c r="E204" s="1110"/>
      <c r="F204" s="1110"/>
    </row>
    <row r="205">
      <c r="B205" s="1110"/>
      <c r="C205" s="1110"/>
      <c r="D205" s="1111"/>
      <c r="E205" s="1110"/>
      <c r="F205" s="1110"/>
    </row>
    <row r="206">
      <c r="B206" s="1110"/>
      <c r="C206" s="1110"/>
      <c r="D206" s="1111"/>
      <c r="E206" s="1110"/>
      <c r="F206" s="1110"/>
    </row>
    <row r="207">
      <c r="B207" s="1110"/>
      <c r="C207" s="1110"/>
      <c r="D207" s="1111"/>
      <c r="E207" s="1110"/>
      <c r="F207" s="1110"/>
    </row>
    <row r="208">
      <c r="B208" s="1110"/>
      <c r="C208" s="1110"/>
      <c r="D208" s="1111"/>
      <c r="E208" s="1110"/>
      <c r="F208" s="1110"/>
    </row>
    <row r="209">
      <c r="B209" s="1110"/>
      <c r="C209" s="1110"/>
      <c r="D209" s="1111"/>
      <c r="E209" s="1110"/>
      <c r="F209" s="1110"/>
    </row>
    <row r="210">
      <c r="B210" s="1110"/>
      <c r="C210" s="1110"/>
      <c r="D210" s="1111"/>
      <c r="E210" s="1110"/>
      <c r="F210" s="1110"/>
    </row>
    <row r="211">
      <c r="B211" s="1110"/>
      <c r="C211" s="1110"/>
      <c r="D211" s="1111"/>
      <c r="E211" s="1110"/>
      <c r="F211" s="1110"/>
    </row>
    <row r="212">
      <c r="B212" s="1110"/>
      <c r="C212" s="1110"/>
      <c r="D212" s="1111"/>
      <c r="E212" s="1110"/>
      <c r="F212" s="1110"/>
    </row>
    <row r="213">
      <c r="B213" s="1110"/>
      <c r="C213" s="1110"/>
      <c r="D213" s="1111"/>
      <c r="E213" s="1110"/>
      <c r="F213" s="1110"/>
    </row>
    <row r="214">
      <c r="B214" s="1110"/>
      <c r="C214" s="1110"/>
      <c r="D214" s="1111"/>
      <c r="E214" s="1110"/>
      <c r="F214" s="1110"/>
    </row>
    <row r="215">
      <c r="B215" s="1110"/>
      <c r="C215" s="1110"/>
      <c r="D215" s="1111"/>
      <c r="E215" s="1110"/>
      <c r="F215" s="1110"/>
    </row>
    <row r="216">
      <c r="B216" s="1110"/>
      <c r="C216" s="1110"/>
      <c r="D216" s="1111"/>
      <c r="E216" s="1110"/>
      <c r="F216" s="1110"/>
    </row>
    <row r="217">
      <c r="B217" s="1110"/>
      <c r="C217" s="1110"/>
      <c r="D217" s="1111"/>
      <c r="E217" s="1110"/>
      <c r="F217" s="1110"/>
    </row>
    <row r="218">
      <c r="B218" s="1110"/>
      <c r="C218" s="1110"/>
      <c r="D218" s="1111"/>
      <c r="E218" s="1110"/>
      <c r="F218" s="1110"/>
    </row>
    <row r="219">
      <c r="B219" s="1110"/>
      <c r="C219" s="1110"/>
      <c r="D219" s="1111"/>
      <c r="E219" s="1110"/>
      <c r="F219" s="1110"/>
    </row>
    <row r="220">
      <c r="B220" s="1110"/>
      <c r="C220" s="1110"/>
      <c r="D220" s="1111"/>
      <c r="E220" s="1110"/>
      <c r="F220" s="1110"/>
    </row>
    <row r="221">
      <c r="B221" s="1110"/>
      <c r="C221" s="1110"/>
      <c r="D221" s="1111"/>
      <c r="E221" s="1110"/>
      <c r="F221" s="1110"/>
    </row>
    <row r="222">
      <c r="B222" s="1110"/>
      <c r="C222" s="1110"/>
      <c r="D222" s="1111"/>
      <c r="E222" s="1110"/>
      <c r="F222" s="1110"/>
    </row>
    <row r="223">
      <c r="B223" s="1110"/>
      <c r="C223" s="1110"/>
      <c r="D223" s="1111"/>
      <c r="E223" s="1110"/>
      <c r="F223" s="1110"/>
    </row>
    <row r="224">
      <c r="B224" s="1110"/>
      <c r="C224" s="1110"/>
      <c r="D224" s="1111"/>
      <c r="E224" s="1110"/>
      <c r="F224" s="1110"/>
    </row>
    <row r="225">
      <c r="B225" s="1110"/>
      <c r="C225" s="1110"/>
      <c r="D225" s="1111"/>
      <c r="E225" s="1110"/>
      <c r="F225" s="1110"/>
    </row>
    <row r="226">
      <c r="B226" s="1110"/>
      <c r="C226" s="1110"/>
      <c r="D226" s="1111"/>
      <c r="E226" s="1110"/>
      <c r="F226" s="1110"/>
    </row>
    <row r="227">
      <c r="B227" s="1110"/>
      <c r="C227" s="1110"/>
      <c r="D227" s="1111"/>
      <c r="E227" s="1110"/>
      <c r="F227" s="1110"/>
    </row>
    <row r="228">
      <c r="B228" s="1110"/>
      <c r="C228" s="1110"/>
      <c r="D228" s="1111"/>
      <c r="E228" s="1110"/>
      <c r="F228" s="1110"/>
    </row>
    <row r="229">
      <c r="B229" s="1110"/>
      <c r="C229" s="1110"/>
      <c r="D229" s="1111"/>
      <c r="E229" s="1110"/>
      <c r="F229" s="1110"/>
    </row>
    <row r="230">
      <c r="B230" s="1110"/>
      <c r="C230" s="1110"/>
      <c r="D230" s="1111"/>
      <c r="E230" s="1110"/>
      <c r="F230" s="1110"/>
    </row>
    <row r="231">
      <c r="B231" s="1110"/>
      <c r="C231" s="1110"/>
      <c r="D231" s="1111"/>
      <c r="E231" s="1110"/>
      <c r="F231" s="1110"/>
    </row>
    <row r="232">
      <c r="B232" s="1110"/>
      <c r="C232" s="1110"/>
      <c r="D232" s="1111"/>
      <c r="E232" s="1110"/>
      <c r="F232" s="1110"/>
    </row>
    <row r="233">
      <c r="B233" s="1110"/>
      <c r="C233" s="1110"/>
      <c r="D233" s="1111"/>
      <c r="E233" s="1110"/>
      <c r="F233" s="1110"/>
    </row>
    <row r="234">
      <c r="B234" s="1110"/>
      <c r="C234" s="1110"/>
      <c r="D234" s="1111"/>
      <c r="E234" s="1110"/>
      <c r="F234" s="1110"/>
    </row>
    <row r="235">
      <c r="B235" s="1110"/>
      <c r="C235" s="1110"/>
      <c r="D235" s="1111"/>
      <c r="E235" s="1110"/>
      <c r="F235" s="1110"/>
    </row>
    <row r="236">
      <c r="B236" s="1110"/>
      <c r="C236" s="1110"/>
      <c r="D236" s="1111"/>
      <c r="E236" s="1110"/>
      <c r="F236" s="1110"/>
    </row>
    <row r="237">
      <c r="B237" s="1110"/>
      <c r="C237" s="1110"/>
      <c r="D237" s="1111"/>
      <c r="E237" s="1110"/>
      <c r="F237" s="1110"/>
    </row>
    <row r="238">
      <c r="B238" s="1110"/>
      <c r="C238" s="1110"/>
      <c r="D238" s="1111"/>
      <c r="E238" s="1110"/>
      <c r="F238" s="1110"/>
    </row>
    <row r="239">
      <c r="B239" s="1110"/>
      <c r="C239" s="1110"/>
      <c r="D239" s="1111"/>
      <c r="E239" s="1110"/>
      <c r="F239" s="1110"/>
    </row>
    <row r="240">
      <c r="B240" s="1110"/>
      <c r="C240" s="1110"/>
      <c r="D240" s="1111"/>
      <c r="E240" s="1110"/>
      <c r="F240" s="1110"/>
    </row>
    <row r="241">
      <c r="B241" s="1110"/>
      <c r="C241" s="1110"/>
      <c r="D241" s="1111"/>
      <c r="E241" s="1110"/>
      <c r="F241" s="1110"/>
    </row>
    <row r="242">
      <c r="B242" s="1110"/>
      <c r="C242" s="1110"/>
      <c r="D242" s="1111"/>
      <c r="E242" s="1110"/>
      <c r="F242" s="1110"/>
    </row>
    <row r="243">
      <c r="B243" s="1110"/>
      <c r="C243" s="1110"/>
      <c r="D243" s="1111"/>
      <c r="E243" s="1110"/>
      <c r="F243" s="1110"/>
    </row>
    <row r="244">
      <c r="B244" s="1110"/>
      <c r="C244" s="1110"/>
      <c r="D244" s="1111"/>
      <c r="E244" s="1110"/>
      <c r="F244" s="1110"/>
    </row>
    <row r="245">
      <c r="B245" s="1110"/>
      <c r="C245" s="1110"/>
      <c r="D245" s="1111"/>
      <c r="E245" s="1110"/>
      <c r="F245" s="1110"/>
    </row>
    <row r="246">
      <c r="B246" s="1110"/>
      <c r="C246" s="1110"/>
      <c r="D246" s="1111"/>
      <c r="E246" s="1110"/>
      <c r="F246" s="1110"/>
    </row>
    <row r="247">
      <c r="B247" s="1110"/>
      <c r="C247" s="1110"/>
      <c r="D247" s="1111"/>
      <c r="E247" s="1110"/>
      <c r="F247" s="1110"/>
    </row>
    <row r="248">
      <c r="B248" s="1110"/>
      <c r="C248" s="1110"/>
      <c r="D248" s="1111"/>
      <c r="E248" s="1110"/>
      <c r="F248" s="1110"/>
    </row>
    <row r="249">
      <c r="B249" s="1110"/>
      <c r="C249" s="1110"/>
      <c r="D249" s="1111"/>
      <c r="E249" s="1110"/>
      <c r="F249" s="1110"/>
    </row>
    <row r="250">
      <c r="B250" s="1110"/>
      <c r="C250" s="1110"/>
      <c r="D250" s="1111"/>
      <c r="E250" s="1110"/>
      <c r="F250" s="1110"/>
    </row>
    <row r="251">
      <c r="B251" s="1110"/>
      <c r="C251" s="1110"/>
      <c r="D251" s="1111"/>
      <c r="E251" s="1110"/>
      <c r="F251" s="1110"/>
    </row>
    <row r="252">
      <c r="B252" s="1110"/>
      <c r="C252" s="1110"/>
      <c r="D252" s="1111"/>
      <c r="E252" s="1110"/>
      <c r="F252" s="1110"/>
    </row>
    <row r="253">
      <c r="B253" s="1110"/>
      <c r="C253" s="1110"/>
      <c r="D253" s="1111"/>
      <c r="E253" s="1110"/>
      <c r="F253" s="1110"/>
    </row>
    <row r="254">
      <c r="B254" s="1110"/>
      <c r="C254" s="1110"/>
      <c r="D254" s="1111"/>
      <c r="E254" s="1110"/>
      <c r="F254" s="1110"/>
    </row>
    <row r="255">
      <c r="B255" s="1110"/>
      <c r="C255" s="1110"/>
      <c r="D255" s="1111"/>
      <c r="E255" s="1110"/>
      <c r="F255" s="1110"/>
    </row>
    <row r="256">
      <c r="B256" s="1110"/>
      <c r="C256" s="1110"/>
      <c r="D256" s="1111"/>
      <c r="E256" s="1110"/>
      <c r="F256" s="1110"/>
    </row>
    <row r="257">
      <c r="B257" s="1110"/>
      <c r="C257" s="1110"/>
      <c r="D257" s="1111"/>
      <c r="E257" s="1110"/>
      <c r="F257" s="1110"/>
    </row>
    <row r="258">
      <c r="B258" s="1110"/>
      <c r="C258" s="1110"/>
      <c r="D258" s="1111"/>
      <c r="E258" s="1110"/>
      <c r="F258" s="1110"/>
    </row>
    <row r="259">
      <c r="B259" s="1110"/>
      <c r="C259" s="1110"/>
      <c r="D259" s="1111"/>
      <c r="E259" s="1110"/>
      <c r="F259" s="1110"/>
    </row>
    <row r="260">
      <c r="B260" s="1110"/>
      <c r="C260" s="1110"/>
      <c r="D260" s="1111"/>
      <c r="E260" s="1110"/>
      <c r="F260" s="1110"/>
    </row>
    <row r="261">
      <c r="B261" s="1110"/>
      <c r="C261" s="1110"/>
      <c r="D261" s="1111"/>
      <c r="E261" s="1110"/>
      <c r="F261" s="1110"/>
    </row>
    <row r="262">
      <c r="B262" s="1110"/>
      <c r="C262" s="1110"/>
      <c r="D262" s="1111"/>
      <c r="E262" s="1110"/>
      <c r="F262" s="1110"/>
    </row>
    <row r="263">
      <c r="B263" s="1110"/>
      <c r="C263" s="1110"/>
      <c r="D263" s="1111"/>
      <c r="E263" s="1110"/>
      <c r="F263" s="1110"/>
    </row>
    <row r="264">
      <c r="B264" s="1110"/>
      <c r="C264" s="1110"/>
      <c r="D264" s="1111"/>
      <c r="E264" s="1110"/>
      <c r="F264" s="1110"/>
    </row>
    <row r="265">
      <c r="B265" s="1110"/>
      <c r="C265" s="1110"/>
      <c r="D265" s="1111"/>
      <c r="E265" s="1110"/>
      <c r="F265" s="1110"/>
    </row>
    <row r="266">
      <c r="B266" s="1110"/>
      <c r="C266" s="1110"/>
      <c r="D266" s="1111"/>
      <c r="E266" s="1110"/>
      <c r="F266" s="1110"/>
    </row>
    <row r="267">
      <c r="B267" s="1110"/>
      <c r="C267" s="1110"/>
      <c r="D267" s="1111"/>
      <c r="E267" s="1110"/>
      <c r="F267" s="1110"/>
    </row>
    <row r="268">
      <c r="B268" s="1110"/>
      <c r="C268" s="1110"/>
      <c r="D268" s="1111"/>
      <c r="E268" s="1110"/>
      <c r="F268" s="1110"/>
    </row>
    <row r="269">
      <c r="B269" s="1110"/>
      <c r="C269" s="1110"/>
      <c r="D269" s="1111"/>
      <c r="E269" s="1110"/>
      <c r="F269" s="1110"/>
    </row>
    <row r="270">
      <c r="B270" s="1110"/>
      <c r="C270" s="1110"/>
      <c r="D270" s="1111"/>
      <c r="E270" s="1110"/>
      <c r="F270" s="1110"/>
    </row>
    <row r="271">
      <c r="B271" s="1110"/>
      <c r="C271" s="1110"/>
      <c r="D271" s="1111"/>
      <c r="E271" s="1110"/>
      <c r="F271" s="1110"/>
    </row>
    <row r="272">
      <c r="B272" s="1110"/>
      <c r="C272" s="1110"/>
      <c r="D272" s="1111"/>
      <c r="E272" s="1110"/>
      <c r="F272" s="1110"/>
    </row>
    <row r="273">
      <c r="B273" s="1110"/>
      <c r="C273" s="1110"/>
      <c r="D273" s="1111"/>
      <c r="E273" s="1110"/>
      <c r="F273" s="1110"/>
    </row>
    <row r="274">
      <c r="B274" s="1110"/>
      <c r="C274" s="1110"/>
      <c r="D274" s="1111"/>
      <c r="E274" s="1110"/>
      <c r="F274" s="1110"/>
    </row>
    <row r="275">
      <c r="B275" s="1110"/>
      <c r="C275" s="1110"/>
      <c r="D275" s="1111"/>
      <c r="E275" s="1110"/>
      <c r="F275" s="1110"/>
    </row>
    <row r="276">
      <c r="B276" s="1110"/>
      <c r="C276" s="1110"/>
      <c r="D276" s="1111"/>
      <c r="E276" s="1110"/>
      <c r="F276" s="1110"/>
    </row>
    <row r="277">
      <c r="B277" s="1110"/>
      <c r="C277" s="1110"/>
      <c r="D277" s="1111"/>
      <c r="E277" s="1110"/>
      <c r="F277" s="1110"/>
    </row>
    <row r="278">
      <c r="B278" s="1110"/>
      <c r="C278" s="1110"/>
      <c r="D278" s="1111"/>
      <c r="E278" s="1110"/>
      <c r="F278" s="1110"/>
    </row>
    <row r="279">
      <c r="B279" s="1110"/>
      <c r="C279" s="1110"/>
      <c r="D279" s="1111"/>
      <c r="E279" s="1110"/>
      <c r="F279" s="1110"/>
    </row>
    <row r="280">
      <c r="B280" s="1110"/>
      <c r="C280" s="1110"/>
      <c r="D280" s="1111"/>
      <c r="E280" s="1110"/>
      <c r="F280" s="1110"/>
    </row>
    <row r="281">
      <c r="B281" s="1110"/>
      <c r="C281" s="1110"/>
      <c r="D281" s="1111"/>
      <c r="E281" s="1110"/>
      <c r="F281" s="1110"/>
    </row>
    <row r="282">
      <c r="B282" s="1110"/>
      <c r="C282" s="1110"/>
      <c r="D282" s="1111"/>
      <c r="E282" s="1110"/>
      <c r="F282" s="1110"/>
    </row>
    <row r="283">
      <c r="B283" s="1110"/>
      <c r="C283" s="1110"/>
      <c r="D283" s="1111"/>
      <c r="E283" s="1110"/>
      <c r="F283" s="1110"/>
    </row>
    <row r="284">
      <c r="B284" s="1110"/>
      <c r="C284" s="1110"/>
      <c r="D284" s="1111"/>
      <c r="E284" s="1110"/>
      <c r="F284" s="1110"/>
    </row>
    <row r="285">
      <c r="B285" s="1110"/>
      <c r="C285" s="1110"/>
      <c r="D285" s="1111"/>
      <c r="E285" s="1110"/>
      <c r="F285" s="1110"/>
    </row>
    <row r="286">
      <c r="B286" s="1110"/>
      <c r="C286" s="1110"/>
      <c r="D286" s="1111"/>
      <c r="E286" s="1110"/>
      <c r="F286" s="1110"/>
    </row>
    <row r="287">
      <c r="B287" s="1110"/>
      <c r="C287" s="1110"/>
      <c r="D287" s="1111"/>
      <c r="E287" s="1110"/>
      <c r="F287" s="1110"/>
    </row>
    <row r="288">
      <c r="B288" s="1110"/>
      <c r="C288" s="1110"/>
      <c r="D288" s="1111"/>
      <c r="E288" s="1110"/>
      <c r="F288" s="1110"/>
    </row>
    <row r="289">
      <c r="B289" s="1110"/>
      <c r="C289" s="1110"/>
      <c r="D289" s="1111"/>
      <c r="E289" s="1110"/>
      <c r="F289" s="1110"/>
    </row>
    <row r="290">
      <c r="B290" s="1110"/>
      <c r="C290" s="1110"/>
      <c r="D290" s="1111"/>
      <c r="E290" s="1110"/>
      <c r="F290" s="1110"/>
    </row>
    <row r="291">
      <c r="B291" s="1110"/>
      <c r="C291" s="1110"/>
      <c r="D291" s="1111"/>
      <c r="E291" s="1110"/>
      <c r="F291" s="1110"/>
    </row>
    <row r="292">
      <c r="B292" s="1110"/>
      <c r="C292" s="1110"/>
      <c r="D292" s="1111"/>
      <c r="E292" s="1110"/>
      <c r="F292" s="1110"/>
    </row>
    <row r="293">
      <c r="B293" s="1110"/>
      <c r="C293" s="1110"/>
      <c r="D293" s="1111"/>
      <c r="E293" s="1110"/>
      <c r="F293" s="1110"/>
    </row>
    <row r="294">
      <c r="B294" s="1110"/>
      <c r="C294" s="1110"/>
      <c r="D294" s="1111"/>
      <c r="E294" s="1110"/>
      <c r="F294" s="1110"/>
    </row>
    <row r="295">
      <c r="B295" s="1110"/>
      <c r="C295" s="1110"/>
      <c r="D295" s="1111"/>
      <c r="E295" s="1110"/>
      <c r="F295" s="1110"/>
    </row>
    <row r="296">
      <c r="B296" s="1110"/>
      <c r="C296" s="1110"/>
      <c r="D296" s="1111"/>
      <c r="E296" s="1110"/>
      <c r="F296" s="1110"/>
    </row>
    <row r="297">
      <c r="B297" s="1110"/>
      <c r="C297" s="1110"/>
      <c r="D297" s="1111"/>
      <c r="E297" s="1110"/>
      <c r="F297" s="1110"/>
    </row>
    <row r="298">
      <c r="B298" s="1110"/>
      <c r="C298" s="1110"/>
      <c r="D298" s="1111"/>
      <c r="E298" s="1110"/>
      <c r="F298" s="1110"/>
    </row>
    <row r="299">
      <c r="B299" s="1110"/>
      <c r="C299" s="1110"/>
      <c r="D299" s="1111"/>
      <c r="E299" s="1110"/>
      <c r="F299" s="1110"/>
    </row>
    <row r="300">
      <c r="B300" s="1110"/>
      <c r="C300" s="1110"/>
      <c r="D300" s="1111"/>
      <c r="E300" s="1110"/>
      <c r="F300" s="1110"/>
    </row>
    <row r="301">
      <c r="B301" s="1110"/>
      <c r="C301" s="1110"/>
      <c r="D301" s="1111"/>
      <c r="E301" s="1110"/>
      <c r="F301" s="1110"/>
    </row>
    <row r="302">
      <c r="B302" s="1110"/>
      <c r="C302" s="1110"/>
      <c r="D302" s="1111"/>
      <c r="E302" s="1110"/>
      <c r="F302" s="1110"/>
    </row>
    <row r="303">
      <c r="B303" s="1110"/>
      <c r="C303" s="1110"/>
      <c r="D303" s="1111"/>
      <c r="E303" s="1110"/>
      <c r="F303" s="1110"/>
    </row>
    <row r="304">
      <c r="B304" s="1110"/>
      <c r="C304" s="1110"/>
      <c r="D304" s="1111"/>
      <c r="E304" s="1110"/>
      <c r="F304" s="1110"/>
    </row>
    <row r="305">
      <c r="B305" s="1110"/>
      <c r="C305" s="1110"/>
      <c r="D305" s="1111"/>
      <c r="E305" s="1110"/>
      <c r="F305" s="1110"/>
    </row>
    <row r="306">
      <c r="B306" s="1110"/>
      <c r="C306" s="1110"/>
      <c r="D306" s="1111"/>
      <c r="E306" s="1110"/>
      <c r="F306" s="1110"/>
    </row>
    <row r="307">
      <c r="B307" s="1110"/>
      <c r="C307" s="1110"/>
      <c r="D307" s="1111"/>
      <c r="E307" s="1110"/>
      <c r="F307" s="1110"/>
    </row>
    <row r="308">
      <c r="B308" s="1110"/>
      <c r="C308" s="1110"/>
      <c r="D308" s="1111"/>
      <c r="E308" s="1110"/>
      <c r="F308" s="1110"/>
    </row>
    <row r="309">
      <c r="B309" s="1110"/>
      <c r="C309" s="1110"/>
      <c r="D309" s="1111"/>
      <c r="E309" s="1110"/>
      <c r="F309" s="1110"/>
    </row>
    <row r="310">
      <c r="B310" s="1110"/>
      <c r="C310" s="1110"/>
      <c r="D310" s="1111"/>
      <c r="E310" s="1110"/>
      <c r="F310" s="1110"/>
    </row>
    <row r="311">
      <c r="B311" s="1110"/>
      <c r="C311" s="1110"/>
      <c r="D311" s="1111"/>
      <c r="E311" s="1110"/>
      <c r="F311" s="1110"/>
    </row>
    <row r="312">
      <c r="B312" s="1110"/>
      <c r="C312" s="1110"/>
      <c r="D312" s="1111"/>
      <c r="E312" s="1110"/>
      <c r="F312" s="1110"/>
    </row>
    <row r="313">
      <c r="B313" s="1110"/>
      <c r="C313" s="1110"/>
      <c r="D313" s="1111"/>
      <c r="E313" s="1110"/>
      <c r="F313" s="1110"/>
    </row>
    <row r="314">
      <c r="B314" s="1110"/>
      <c r="C314" s="1110"/>
      <c r="D314" s="1111"/>
      <c r="E314" s="1110"/>
      <c r="F314" s="1110"/>
    </row>
    <row r="315">
      <c r="B315" s="1110"/>
      <c r="C315" s="1110"/>
      <c r="D315" s="1111"/>
      <c r="E315" s="1110"/>
      <c r="F315" s="1110"/>
    </row>
    <row r="316">
      <c r="B316" s="1110"/>
      <c r="C316" s="1110"/>
      <c r="D316" s="1111"/>
      <c r="E316" s="1110"/>
      <c r="F316" s="1110"/>
    </row>
    <row r="317">
      <c r="B317" s="1110"/>
      <c r="C317" s="1110"/>
      <c r="D317" s="1111"/>
      <c r="E317" s="1110"/>
      <c r="F317" s="1110"/>
    </row>
    <row r="318">
      <c r="B318" s="1110"/>
      <c r="C318" s="1110"/>
      <c r="D318" s="1111"/>
      <c r="E318" s="1110"/>
      <c r="F318" s="1110"/>
    </row>
    <row r="319">
      <c r="B319" s="1110"/>
      <c r="C319" s="1110"/>
      <c r="D319" s="1111"/>
      <c r="E319" s="1110"/>
      <c r="F319" s="1110"/>
    </row>
    <row r="320">
      <c r="B320" s="1110"/>
      <c r="C320" s="1110"/>
      <c r="D320" s="1111"/>
      <c r="E320" s="1110"/>
      <c r="F320" s="1110"/>
    </row>
    <row r="321">
      <c r="B321" s="1110"/>
      <c r="C321" s="1110"/>
      <c r="D321" s="1111"/>
      <c r="E321" s="1110"/>
      <c r="F321" s="1110"/>
    </row>
    <row r="322">
      <c r="B322" s="1110"/>
      <c r="C322" s="1110"/>
      <c r="D322" s="1111"/>
      <c r="E322" s="1110"/>
      <c r="F322" s="1110"/>
    </row>
    <row r="323">
      <c r="B323" s="1110"/>
      <c r="C323" s="1110"/>
      <c r="D323" s="1111"/>
      <c r="E323" s="1110"/>
      <c r="F323" s="1110"/>
    </row>
    <row r="324">
      <c r="B324" s="1110"/>
      <c r="C324" s="1110"/>
      <c r="D324" s="1111"/>
      <c r="E324" s="1110"/>
      <c r="F324" s="1110"/>
    </row>
    <row r="325">
      <c r="B325" s="1110"/>
      <c r="C325" s="1110"/>
      <c r="D325" s="1111"/>
      <c r="E325" s="1110"/>
      <c r="F325" s="1110"/>
    </row>
    <row r="326">
      <c r="B326" s="1110"/>
      <c r="C326" s="1110"/>
      <c r="D326" s="1111"/>
      <c r="E326" s="1110"/>
      <c r="F326" s="1110"/>
    </row>
    <row r="327">
      <c r="B327" s="1110"/>
      <c r="C327" s="1110"/>
      <c r="D327" s="1111"/>
      <c r="E327" s="1110"/>
      <c r="F327" s="1110"/>
    </row>
    <row r="328">
      <c r="B328" s="1110"/>
      <c r="C328" s="1110"/>
      <c r="D328" s="1111"/>
      <c r="E328" s="1110"/>
      <c r="F328" s="1110"/>
    </row>
    <row r="329">
      <c r="B329" s="1110"/>
      <c r="C329" s="1110"/>
      <c r="D329" s="1111"/>
      <c r="E329" s="1110"/>
      <c r="F329" s="1110"/>
    </row>
    <row r="330">
      <c r="B330" s="1110"/>
      <c r="C330" s="1110"/>
      <c r="D330" s="1111"/>
      <c r="E330" s="1110"/>
      <c r="F330" s="1110"/>
    </row>
    <row r="331">
      <c r="B331" s="1110"/>
      <c r="C331" s="1110"/>
      <c r="D331" s="1111"/>
      <c r="E331" s="1110"/>
      <c r="F331" s="1110"/>
    </row>
    <row r="332">
      <c r="B332" s="1110"/>
      <c r="C332" s="1110"/>
      <c r="D332" s="1111"/>
      <c r="E332" s="1110"/>
      <c r="F332" s="1110"/>
    </row>
    <row r="333">
      <c r="B333" s="1110"/>
      <c r="C333" s="1110"/>
      <c r="D333" s="1111"/>
      <c r="E333" s="1110"/>
      <c r="F333" s="1110"/>
    </row>
    <row r="334">
      <c r="B334" s="1110"/>
      <c r="C334" s="1110"/>
      <c r="D334" s="1111"/>
      <c r="E334" s="1110"/>
      <c r="F334" s="1110"/>
    </row>
    <row r="335">
      <c r="B335" s="1110"/>
      <c r="C335" s="1110"/>
      <c r="D335" s="1111"/>
      <c r="E335" s="1110"/>
      <c r="F335" s="1110"/>
    </row>
    <row r="336">
      <c r="B336" s="1110"/>
      <c r="C336" s="1110"/>
      <c r="D336" s="1111"/>
      <c r="E336" s="1110"/>
      <c r="F336" s="1110"/>
    </row>
    <row r="337">
      <c r="B337" s="1110"/>
      <c r="C337" s="1110"/>
      <c r="D337" s="1111"/>
      <c r="E337" s="1110"/>
      <c r="F337" s="1110"/>
    </row>
    <row r="338">
      <c r="B338" s="1110"/>
      <c r="C338" s="1110"/>
      <c r="D338" s="1111"/>
      <c r="E338" s="1110"/>
      <c r="F338" s="1110"/>
    </row>
    <row r="339">
      <c r="B339" s="1110"/>
      <c r="C339" s="1110"/>
      <c r="D339" s="1111"/>
      <c r="E339" s="1110"/>
      <c r="F339" s="1110"/>
    </row>
    <row r="340">
      <c r="B340" s="1110"/>
      <c r="C340" s="1110"/>
      <c r="D340" s="1111"/>
      <c r="E340" s="1110"/>
      <c r="F340" s="1110"/>
    </row>
    <row r="341">
      <c r="B341" s="1110"/>
      <c r="C341" s="1110"/>
      <c r="D341" s="1111"/>
      <c r="E341" s="1110"/>
      <c r="F341" s="1110"/>
    </row>
    <row r="342">
      <c r="B342" s="1110"/>
      <c r="C342" s="1110"/>
      <c r="D342" s="1111"/>
      <c r="E342" s="1110"/>
      <c r="F342" s="1110"/>
    </row>
    <row r="343">
      <c r="B343" s="1110"/>
      <c r="C343" s="1110"/>
      <c r="D343" s="1111"/>
      <c r="E343" s="1110"/>
      <c r="F343" s="1110"/>
    </row>
    <row r="344">
      <c r="B344" s="1110"/>
      <c r="C344" s="1110"/>
      <c r="D344" s="1111"/>
      <c r="E344" s="1110"/>
      <c r="F344" s="1110"/>
    </row>
    <row r="345">
      <c r="B345" s="1110"/>
      <c r="C345" s="1110"/>
      <c r="D345" s="1111"/>
      <c r="E345" s="1110"/>
      <c r="F345" s="1110"/>
    </row>
    <row r="346">
      <c r="B346" s="1110"/>
      <c r="C346" s="1110"/>
      <c r="D346" s="1111"/>
      <c r="E346" s="1110"/>
      <c r="F346" s="1110"/>
    </row>
    <row r="347">
      <c r="B347" s="1110"/>
      <c r="C347" s="1110"/>
      <c r="D347" s="1111"/>
      <c r="E347" s="1110"/>
      <c r="F347" s="1110"/>
    </row>
    <row r="348">
      <c r="B348" s="1110"/>
      <c r="C348" s="1110"/>
      <c r="D348" s="1111"/>
      <c r="E348" s="1110"/>
      <c r="F348" s="1110"/>
    </row>
    <row r="349">
      <c r="B349" s="1110"/>
      <c r="C349" s="1110"/>
      <c r="D349" s="1111"/>
      <c r="E349" s="1110"/>
      <c r="F349" s="1110"/>
    </row>
    <row r="350">
      <c r="B350" s="1110"/>
      <c r="C350" s="1110"/>
      <c r="D350" s="1111"/>
      <c r="E350" s="1110"/>
      <c r="F350" s="1110"/>
    </row>
    <row r="351">
      <c r="B351" s="1110"/>
      <c r="C351" s="1110"/>
      <c r="D351" s="1111"/>
      <c r="E351" s="1110"/>
      <c r="F351" s="1110"/>
    </row>
    <row r="352">
      <c r="B352" s="1110"/>
      <c r="C352" s="1110"/>
      <c r="D352" s="1111"/>
      <c r="E352" s="1110"/>
      <c r="F352" s="1110"/>
    </row>
    <row r="353">
      <c r="B353" s="1110"/>
      <c r="C353" s="1110"/>
      <c r="D353" s="1111"/>
      <c r="E353" s="1110"/>
      <c r="F353" s="1110"/>
    </row>
    <row r="354">
      <c r="B354" s="1110"/>
      <c r="C354" s="1110"/>
      <c r="D354" s="1111"/>
      <c r="E354" s="1110"/>
      <c r="F354" s="1110"/>
    </row>
    <row r="355">
      <c r="B355" s="1110"/>
      <c r="C355" s="1110"/>
      <c r="D355" s="1111"/>
      <c r="E355" s="1110"/>
      <c r="F355" s="1110"/>
    </row>
    <row r="356">
      <c r="B356" s="1110"/>
      <c r="C356" s="1110"/>
      <c r="D356" s="1111"/>
      <c r="E356" s="1110"/>
      <c r="F356" s="1110"/>
    </row>
    <row r="357">
      <c r="B357" s="1110"/>
      <c r="C357" s="1110"/>
      <c r="D357" s="1111"/>
      <c r="E357" s="1110"/>
      <c r="F357" s="1110"/>
    </row>
    <row r="358">
      <c r="B358" s="1110"/>
      <c r="C358" s="1110"/>
      <c r="D358" s="1111"/>
      <c r="E358" s="1110"/>
      <c r="F358" s="1110"/>
    </row>
    <row r="359">
      <c r="B359" s="1110"/>
      <c r="C359" s="1110"/>
      <c r="D359" s="1111"/>
      <c r="E359" s="1110"/>
      <c r="F359" s="1110"/>
    </row>
    <row r="360">
      <c r="B360" s="1110"/>
      <c r="C360" s="1110"/>
      <c r="D360" s="1111"/>
      <c r="E360" s="1110"/>
      <c r="F360" s="1110"/>
    </row>
    <row r="361">
      <c r="B361" s="1110"/>
      <c r="C361" s="1110"/>
      <c r="D361" s="1111"/>
      <c r="E361" s="1110"/>
      <c r="F361" s="1110"/>
    </row>
    <row r="362">
      <c r="B362" s="1110"/>
      <c r="C362" s="1110"/>
      <c r="D362" s="1111"/>
      <c r="E362" s="1110"/>
      <c r="F362" s="1110"/>
    </row>
    <row r="363">
      <c r="B363" s="1110"/>
      <c r="C363" s="1110"/>
      <c r="D363" s="1111"/>
      <c r="E363" s="1110"/>
      <c r="F363" s="1110"/>
    </row>
    <row r="364">
      <c r="B364" s="1110"/>
      <c r="C364" s="1110"/>
      <c r="D364" s="1111"/>
      <c r="E364" s="1110"/>
      <c r="F364" s="1110"/>
    </row>
    <row r="365">
      <c r="B365" s="1110"/>
      <c r="C365" s="1110"/>
      <c r="D365" s="1111"/>
      <c r="E365" s="1110"/>
      <c r="F365" s="1110"/>
    </row>
    <row r="366">
      <c r="B366" s="1110"/>
      <c r="C366" s="1110"/>
      <c r="D366" s="1111"/>
      <c r="E366" s="1110"/>
      <c r="F366" s="1110"/>
    </row>
    <row r="367">
      <c r="B367" s="1110"/>
      <c r="C367" s="1110"/>
      <c r="D367" s="1111"/>
      <c r="E367" s="1110"/>
      <c r="F367" s="1110"/>
    </row>
    <row r="368">
      <c r="B368" s="1110"/>
      <c r="C368" s="1110"/>
      <c r="D368" s="1111"/>
      <c r="E368" s="1110"/>
      <c r="F368" s="1110"/>
    </row>
    <row r="369">
      <c r="B369" s="1110"/>
      <c r="C369" s="1110"/>
      <c r="D369" s="1111"/>
      <c r="E369" s="1110"/>
      <c r="F369" s="1110"/>
    </row>
    <row r="370">
      <c r="B370" s="1110"/>
      <c r="C370" s="1110"/>
      <c r="D370" s="1111"/>
      <c r="E370" s="1110"/>
      <c r="F370" s="1110"/>
    </row>
    <row r="371">
      <c r="B371" s="1110"/>
      <c r="C371" s="1110"/>
      <c r="D371" s="1111"/>
      <c r="E371" s="1110"/>
      <c r="F371" s="1110"/>
    </row>
    <row r="372">
      <c r="B372" s="1110"/>
      <c r="C372" s="1110"/>
      <c r="D372" s="1111"/>
      <c r="E372" s="1110"/>
      <c r="F372" s="1110"/>
    </row>
    <row r="373">
      <c r="B373" s="1110"/>
      <c r="C373" s="1110"/>
      <c r="D373" s="1111"/>
      <c r="E373" s="1110"/>
      <c r="F373" s="1110"/>
    </row>
    <row r="374">
      <c r="B374" s="1110"/>
      <c r="C374" s="1110"/>
      <c r="D374" s="1111"/>
      <c r="E374" s="1110"/>
      <c r="F374" s="1110"/>
    </row>
    <row r="375">
      <c r="B375" s="1110"/>
      <c r="C375" s="1110"/>
      <c r="D375" s="1111"/>
      <c r="E375" s="1110"/>
      <c r="F375" s="1110"/>
    </row>
    <row r="376">
      <c r="B376" s="1110"/>
      <c r="C376" s="1110"/>
      <c r="D376" s="1111"/>
      <c r="E376" s="1110"/>
      <c r="F376" s="1110"/>
    </row>
    <row r="377">
      <c r="B377" s="1110"/>
      <c r="C377" s="1110"/>
      <c r="D377" s="1111"/>
      <c r="E377" s="1110"/>
      <c r="F377" s="1110"/>
    </row>
    <row r="378">
      <c r="B378" s="1110"/>
      <c r="C378" s="1110"/>
      <c r="D378" s="1111"/>
      <c r="E378" s="1110"/>
      <c r="F378" s="1110"/>
    </row>
    <row r="379">
      <c r="B379" s="1110"/>
      <c r="C379" s="1110"/>
      <c r="D379" s="1111"/>
      <c r="E379" s="1110"/>
      <c r="F379" s="1110"/>
    </row>
    <row r="380">
      <c r="B380" s="1110"/>
      <c r="C380" s="1110"/>
      <c r="D380" s="1111"/>
      <c r="E380" s="1110"/>
      <c r="F380" s="1110"/>
    </row>
    <row r="381">
      <c r="B381" s="1110"/>
      <c r="C381" s="1110"/>
      <c r="D381" s="1111"/>
      <c r="E381" s="1110"/>
      <c r="F381" s="1110"/>
    </row>
    <row r="382">
      <c r="B382" s="1110"/>
      <c r="C382" s="1110"/>
      <c r="D382" s="1111"/>
      <c r="E382" s="1110"/>
      <c r="F382" s="1110"/>
    </row>
    <row r="383">
      <c r="B383" s="1110"/>
      <c r="C383" s="1110"/>
      <c r="D383" s="1111"/>
      <c r="E383" s="1110"/>
      <c r="F383" s="1110"/>
    </row>
    <row r="384">
      <c r="B384" s="1110"/>
      <c r="C384" s="1110"/>
      <c r="D384" s="1111"/>
      <c r="E384" s="1110"/>
      <c r="F384" s="1110"/>
    </row>
    <row r="385">
      <c r="B385" s="1110"/>
      <c r="C385" s="1110"/>
      <c r="D385" s="1111"/>
      <c r="E385" s="1110"/>
      <c r="F385" s="1110"/>
    </row>
    <row r="386">
      <c r="B386" s="1110"/>
      <c r="C386" s="1110"/>
      <c r="D386" s="1111"/>
      <c r="E386" s="1110"/>
      <c r="F386" s="1110"/>
    </row>
    <row r="387">
      <c r="B387" s="1110"/>
      <c r="C387" s="1110"/>
      <c r="D387" s="1111"/>
      <c r="E387" s="1110"/>
      <c r="F387" s="1110"/>
    </row>
    <row r="388">
      <c r="B388" s="1110"/>
      <c r="C388" s="1110"/>
      <c r="D388" s="1111"/>
      <c r="E388" s="1110"/>
      <c r="F388" s="1110"/>
    </row>
    <row r="389">
      <c r="B389" s="1110"/>
      <c r="C389" s="1110"/>
      <c r="D389" s="1111"/>
      <c r="E389" s="1110"/>
      <c r="F389" s="1110"/>
    </row>
    <row r="390">
      <c r="B390" s="1110"/>
      <c r="C390" s="1110"/>
      <c r="D390" s="1111"/>
      <c r="E390" s="1110"/>
      <c r="F390" s="1110"/>
    </row>
    <row r="391">
      <c r="B391" s="1110"/>
      <c r="C391" s="1110"/>
      <c r="D391" s="1111"/>
      <c r="E391" s="1110"/>
      <c r="F391" s="1110"/>
    </row>
    <row r="392">
      <c r="B392" s="1110"/>
      <c r="C392" s="1110"/>
      <c r="D392" s="1111"/>
      <c r="E392" s="1110"/>
      <c r="F392" s="1110"/>
    </row>
    <row r="393">
      <c r="B393" s="1110"/>
      <c r="C393" s="1110"/>
      <c r="D393" s="1111"/>
      <c r="E393" s="1110"/>
      <c r="F393" s="1110"/>
    </row>
    <row r="394">
      <c r="B394" s="1110"/>
      <c r="C394" s="1110"/>
      <c r="D394" s="1111"/>
      <c r="E394" s="1110"/>
      <c r="F394" s="1110"/>
    </row>
    <row r="395">
      <c r="B395" s="1110"/>
      <c r="C395" s="1110"/>
      <c r="D395" s="1111"/>
      <c r="E395" s="1110"/>
      <c r="F395" s="1110"/>
    </row>
    <row r="396">
      <c r="B396" s="1110"/>
      <c r="C396" s="1110"/>
      <c r="D396" s="1111"/>
      <c r="E396" s="1110"/>
      <c r="F396" s="1110"/>
    </row>
    <row r="397">
      <c r="B397" s="1110"/>
      <c r="C397" s="1110"/>
      <c r="D397" s="1111"/>
      <c r="E397" s="1110"/>
      <c r="F397" s="1110"/>
    </row>
    <row r="398">
      <c r="B398" s="1110"/>
      <c r="C398" s="1110"/>
      <c r="D398" s="1111"/>
      <c r="E398" s="1110"/>
      <c r="F398" s="1110"/>
    </row>
    <row r="399">
      <c r="B399" s="1110"/>
      <c r="C399" s="1110"/>
      <c r="D399" s="1111"/>
      <c r="E399" s="1110"/>
      <c r="F399" s="1110"/>
    </row>
    <row r="400">
      <c r="B400" s="1110"/>
      <c r="C400" s="1110"/>
      <c r="D400" s="1111"/>
      <c r="E400" s="1110"/>
      <c r="F400" s="1110"/>
    </row>
    <row r="401">
      <c r="B401" s="1110"/>
      <c r="C401" s="1110"/>
      <c r="D401" s="1111"/>
      <c r="E401" s="1110"/>
      <c r="F401" s="1110"/>
    </row>
    <row r="402">
      <c r="B402" s="1110"/>
      <c r="C402" s="1110"/>
      <c r="D402" s="1111"/>
      <c r="E402" s="1110"/>
      <c r="F402" s="1110"/>
    </row>
    <row r="403">
      <c r="B403" s="1110"/>
      <c r="C403" s="1110"/>
      <c r="D403" s="1111"/>
      <c r="E403" s="1110"/>
      <c r="F403" s="1110"/>
    </row>
    <row r="404">
      <c r="B404" s="1110"/>
      <c r="C404" s="1110"/>
      <c r="D404" s="1111"/>
      <c r="E404" s="1110"/>
      <c r="F404" s="1110"/>
    </row>
    <row r="405">
      <c r="B405" s="1110"/>
      <c r="C405" s="1110"/>
      <c r="D405" s="1111"/>
      <c r="E405" s="1110"/>
      <c r="F405" s="1110"/>
    </row>
    <row r="406">
      <c r="B406" s="1110"/>
      <c r="C406" s="1110"/>
      <c r="D406" s="1111"/>
      <c r="E406" s="1110"/>
      <c r="F406" s="1110"/>
    </row>
    <row r="407">
      <c r="B407" s="1110"/>
      <c r="C407" s="1110"/>
      <c r="D407" s="1111"/>
      <c r="E407" s="1110"/>
      <c r="F407" s="1110"/>
    </row>
    <row r="408">
      <c r="B408" s="1110"/>
      <c r="C408" s="1110"/>
      <c r="D408" s="1111"/>
      <c r="E408" s="1110"/>
      <c r="F408" s="1110"/>
    </row>
    <row r="409">
      <c r="B409" s="1110"/>
      <c r="C409" s="1110"/>
      <c r="D409" s="1111"/>
      <c r="E409" s="1110"/>
      <c r="F409" s="1110"/>
    </row>
    <row r="410">
      <c r="B410" s="1110"/>
      <c r="C410" s="1110"/>
      <c r="D410" s="1111"/>
      <c r="E410" s="1110"/>
      <c r="F410" s="1110"/>
    </row>
    <row r="411">
      <c r="B411" s="1110"/>
      <c r="C411" s="1110"/>
      <c r="D411" s="1111"/>
      <c r="E411" s="1110"/>
      <c r="F411" s="1110"/>
    </row>
    <row r="412">
      <c r="B412" s="1110"/>
      <c r="C412" s="1110"/>
      <c r="D412" s="1111"/>
      <c r="E412" s="1110"/>
      <c r="F412" s="1110"/>
    </row>
    <row r="413">
      <c r="B413" s="1110"/>
      <c r="C413" s="1110"/>
      <c r="D413" s="1111"/>
      <c r="E413" s="1110"/>
      <c r="F413" s="1110"/>
    </row>
    <row r="414">
      <c r="B414" s="1110"/>
      <c r="C414" s="1110"/>
      <c r="D414" s="1111"/>
      <c r="E414" s="1110"/>
      <c r="F414" s="1110"/>
    </row>
    <row r="415">
      <c r="B415" s="1110"/>
      <c r="C415" s="1110"/>
      <c r="D415" s="1111"/>
      <c r="E415" s="1110"/>
      <c r="F415" s="1110"/>
    </row>
    <row r="416">
      <c r="B416" s="1110"/>
      <c r="C416" s="1110"/>
      <c r="D416" s="1111"/>
      <c r="E416" s="1110"/>
      <c r="F416" s="1110"/>
    </row>
    <row r="417">
      <c r="B417" s="1110"/>
      <c r="C417" s="1110"/>
      <c r="D417" s="1111"/>
      <c r="E417" s="1110"/>
      <c r="F417" s="1110"/>
    </row>
    <row r="418">
      <c r="B418" s="1110"/>
      <c r="C418" s="1110"/>
      <c r="D418" s="1111"/>
      <c r="E418" s="1110"/>
      <c r="F418" s="1110"/>
    </row>
    <row r="419">
      <c r="B419" s="1110"/>
      <c r="C419" s="1110"/>
      <c r="D419" s="1111"/>
      <c r="E419" s="1110"/>
      <c r="F419" s="1110"/>
    </row>
    <row r="420">
      <c r="B420" s="1110"/>
      <c r="C420" s="1110"/>
      <c r="D420" s="1111"/>
      <c r="E420" s="1110"/>
      <c r="F420" s="1110"/>
    </row>
    <row r="421">
      <c r="B421" s="1110"/>
      <c r="C421" s="1110"/>
      <c r="D421" s="1111"/>
      <c r="E421" s="1110"/>
      <c r="F421" s="1110"/>
    </row>
    <row r="422">
      <c r="B422" s="1110"/>
      <c r="C422" s="1110"/>
      <c r="D422" s="1111"/>
      <c r="E422" s="1110"/>
      <c r="F422" s="1110"/>
    </row>
    <row r="423">
      <c r="B423" s="1110"/>
      <c r="C423" s="1110"/>
      <c r="D423" s="1111"/>
      <c r="E423" s="1110"/>
      <c r="F423" s="1110"/>
    </row>
    <row r="424">
      <c r="B424" s="1110"/>
      <c r="C424" s="1110"/>
      <c r="D424" s="1111"/>
      <c r="E424" s="1110"/>
      <c r="F424" s="1110"/>
    </row>
    <row r="425">
      <c r="B425" s="1110"/>
      <c r="C425" s="1110"/>
      <c r="D425" s="1111"/>
      <c r="E425" s="1110"/>
      <c r="F425" s="1110"/>
    </row>
    <row r="426">
      <c r="B426" s="1110"/>
      <c r="C426" s="1110"/>
      <c r="D426" s="1111"/>
      <c r="E426" s="1110"/>
      <c r="F426" s="1110"/>
    </row>
    <row r="427">
      <c r="B427" s="1110"/>
      <c r="C427" s="1110"/>
      <c r="D427" s="1111"/>
      <c r="E427" s="1110"/>
      <c r="F427" s="1110"/>
    </row>
    <row r="428">
      <c r="B428" s="1110"/>
      <c r="C428" s="1110"/>
      <c r="D428" s="1111"/>
      <c r="E428" s="1110"/>
      <c r="F428" s="1110"/>
    </row>
    <row r="429">
      <c r="B429" s="1110"/>
      <c r="C429" s="1110"/>
      <c r="D429" s="1111"/>
      <c r="E429" s="1110"/>
      <c r="F429" s="1110"/>
    </row>
    <row r="430">
      <c r="B430" s="1110"/>
      <c r="C430" s="1110"/>
      <c r="D430" s="1111"/>
      <c r="E430" s="1110"/>
      <c r="F430" s="1110"/>
    </row>
    <row r="431">
      <c r="B431" s="1110"/>
      <c r="C431" s="1110"/>
      <c r="D431" s="1111"/>
      <c r="E431" s="1110"/>
      <c r="F431" s="1110"/>
    </row>
    <row r="432">
      <c r="B432" s="1110"/>
      <c r="C432" s="1110"/>
      <c r="D432" s="1111"/>
      <c r="E432" s="1110"/>
      <c r="F432" s="1110"/>
    </row>
    <row r="433">
      <c r="B433" s="1110"/>
      <c r="C433" s="1110"/>
      <c r="D433" s="1111"/>
      <c r="E433" s="1110"/>
      <c r="F433" s="1110"/>
    </row>
    <row r="434">
      <c r="B434" s="1110"/>
      <c r="C434" s="1110"/>
      <c r="D434" s="1111"/>
      <c r="E434" s="1110"/>
      <c r="F434" s="1110"/>
    </row>
    <row r="435">
      <c r="B435" s="1110"/>
      <c r="C435" s="1110"/>
      <c r="D435" s="1111"/>
      <c r="E435" s="1110"/>
      <c r="F435" s="1110"/>
    </row>
    <row r="436">
      <c r="B436" s="1110"/>
      <c r="C436" s="1110"/>
      <c r="D436" s="1111"/>
      <c r="E436" s="1110"/>
      <c r="F436" s="1110"/>
    </row>
    <row r="437">
      <c r="B437" s="1110"/>
      <c r="C437" s="1110"/>
      <c r="D437" s="1111"/>
      <c r="E437" s="1110"/>
      <c r="F437" s="1110"/>
    </row>
    <row r="438">
      <c r="B438" s="1110"/>
      <c r="C438" s="1110"/>
      <c r="D438" s="1111"/>
      <c r="E438" s="1110"/>
      <c r="F438" s="1110"/>
    </row>
    <row r="439">
      <c r="B439" s="1110"/>
      <c r="C439" s="1110"/>
      <c r="D439" s="1111"/>
      <c r="E439" s="1110"/>
      <c r="F439" s="1110"/>
    </row>
    <row r="440">
      <c r="B440" s="1110"/>
      <c r="C440" s="1110"/>
      <c r="D440" s="1111"/>
      <c r="E440" s="1110"/>
      <c r="F440" s="1110"/>
    </row>
    <row r="441">
      <c r="B441" s="1110"/>
      <c r="C441" s="1110"/>
      <c r="D441" s="1111"/>
      <c r="E441" s="1110"/>
      <c r="F441" s="1110"/>
    </row>
    <row r="442">
      <c r="B442" s="1110"/>
      <c r="C442" s="1110"/>
      <c r="D442" s="1111"/>
      <c r="E442" s="1110"/>
      <c r="F442" s="1110"/>
    </row>
    <row r="443">
      <c r="B443" s="1110"/>
      <c r="C443" s="1110"/>
      <c r="D443" s="1111"/>
      <c r="E443" s="1110"/>
      <c r="F443" s="1110"/>
    </row>
    <row r="444">
      <c r="B444" s="1110"/>
      <c r="C444" s="1110"/>
      <c r="D444" s="1111"/>
      <c r="E444" s="1110"/>
      <c r="F444" s="1110"/>
    </row>
    <row r="445">
      <c r="B445" s="1110"/>
      <c r="C445" s="1110"/>
      <c r="D445" s="1111"/>
      <c r="E445" s="1110"/>
      <c r="F445" s="1110"/>
    </row>
    <row r="446">
      <c r="B446" s="1110"/>
      <c r="C446" s="1110"/>
      <c r="D446" s="1111"/>
      <c r="E446" s="1110"/>
      <c r="F446" s="1110"/>
    </row>
    <row r="447">
      <c r="B447" s="1110"/>
      <c r="C447" s="1110"/>
      <c r="D447" s="1111"/>
      <c r="E447" s="1110"/>
      <c r="F447" s="1110"/>
    </row>
    <row r="448">
      <c r="B448" s="1110"/>
      <c r="C448" s="1110"/>
      <c r="D448" s="1111"/>
      <c r="E448" s="1110"/>
      <c r="F448" s="1110"/>
    </row>
    <row r="449">
      <c r="B449" s="1110"/>
      <c r="C449" s="1110"/>
      <c r="D449" s="1111"/>
      <c r="E449" s="1110"/>
      <c r="F449" s="1110"/>
    </row>
    <row r="450">
      <c r="B450" s="1110"/>
      <c r="C450" s="1110"/>
      <c r="D450" s="1111"/>
      <c r="E450" s="1110"/>
      <c r="F450" s="1110"/>
    </row>
    <row r="451">
      <c r="B451" s="1110"/>
      <c r="C451" s="1110"/>
      <c r="D451" s="1111"/>
      <c r="E451" s="1110"/>
      <c r="F451" s="1110"/>
    </row>
    <row r="452">
      <c r="B452" s="1110"/>
      <c r="C452" s="1110"/>
      <c r="D452" s="1111"/>
      <c r="E452" s="1110"/>
      <c r="F452" s="1110"/>
    </row>
    <row r="453">
      <c r="B453" s="1110"/>
      <c r="C453" s="1110"/>
      <c r="D453" s="1111"/>
      <c r="E453" s="1110"/>
      <c r="F453" s="1110"/>
    </row>
    <row r="454">
      <c r="B454" s="1110"/>
      <c r="C454" s="1110"/>
      <c r="D454" s="1111"/>
      <c r="E454" s="1110"/>
      <c r="F454" s="1110"/>
    </row>
    <row r="455">
      <c r="B455" s="1110"/>
      <c r="C455" s="1110"/>
      <c r="D455" s="1111"/>
      <c r="E455" s="1110"/>
      <c r="F455" s="1110"/>
    </row>
    <row r="456">
      <c r="B456" s="1110"/>
      <c r="C456" s="1110"/>
      <c r="D456" s="1111"/>
      <c r="E456" s="1110"/>
      <c r="F456" s="1110"/>
    </row>
    <row r="457">
      <c r="B457" s="1110"/>
      <c r="C457" s="1110"/>
      <c r="D457" s="1111"/>
      <c r="E457" s="1110"/>
      <c r="F457" s="1110"/>
    </row>
    <row r="458">
      <c r="B458" s="1110"/>
      <c r="C458" s="1110"/>
      <c r="D458" s="1111"/>
      <c r="E458" s="1110"/>
      <c r="F458" s="1110"/>
    </row>
    <row r="459">
      <c r="B459" s="1110"/>
      <c r="C459" s="1110"/>
      <c r="D459" s="1111"/>
      <c r="E459" s="1110"/>
      <c r="F459" s="1110"/>
    </row>
    <row r="460">
      <c r="B460" s="1110"/>
      <c r="C460" s="1110"/>
      <c r="D460" s="1111"/>
      <c r="E460" s="1110"/>
      <c r="F460" s="1110"/>
    </row>
    <row r="461">
      <c r="B461" s="1110"/>
      <c r="C461" s="1110"/>
      <c r="D461" s="1111"/>
      <c r="E461" s="1110"/>
      <c r="F461" s="1110"/>
    </row>
    <row r="462">
      <c r="B462" s="1110"/>
      <c r="C462" s="1110"/>
      <c r="D462" s="1111"/>
      <c r="E462" s="1110"/>
      <c r="F462" s="1110"/>
    </row>
    <row r="463">
      <c r="B463" s="1110"/>
      <c r="C463" s="1110"/>
      <c r="D463" s="1111"/>
      <c r="E463" s="1110"/>
      <c r="F463" s="1110"/>
    </row>
    <row r="464">
      <c r="B464" s="1110"/>
      <c r="C464" s="1110"/>
      <c r="D464" s="1111"/>
      <c r="E464" s="1110"/>
      <c r="F464" s="1110"/>
    </row>
    <row r="465">
      <c r="B465" s="1110"/>
      <c r="C465" s="1110"/>
      <c r="D465" s="1111"/>
      <c r="E465" s="1110"/>
      <c r="F465" s="1110"/>
    </row>
    <row r="466">
      <c r="B466" s="1110"/>
      <c r="C466" s="1110"/>
      <c r="D466" s="1111"/>
      <c r="E466" s="1110"/>
      <c r="F466" s="1110"/>
    </row>
    <row r="467">
      <c r="B467" s="1110"/>
      <c r="C467" s="1110"/>
      <c r="D467" s="1111"/>
      <c r="E467" s="1110"/>
      <c r="F467" s="1110"/>
    </row>
    <row r="468">
      <c r="B468" s="1110"/>
      <c r="C468" s="1110"/>
      <c r="D468" s="1111"/>
      <c r="E468" s="1110"/>
      <c r="F468" s="1110"/>
    </row>
    <row r="469">
      <c r="B469" s="1110"/>
      <c r="C469" s="1110"/>
      <c r="D469" s="1111"/>
      <c r="E469" s="1110"/>
      <c r="F469" s="1110"/>
    </row>
    <row r="470">
      <c r="B470" s="1110"/>
      <c r="C470" s="1110"/>
      <c r="D470" s="1111"/>
      <c r="E470" s="1110"/>
      <c r="F470" s="1110"/>
    </row>
    <row r="471">
      <c r="B471" s="1110"/>
      <c r="C471" s="1110"/>
      <c r="D471" s="1111"/>
      <c r="E471" s="1110"/>
      <c r="F471" s="1110"/>
    </row>
    <row r="472">
      <c r="B472" s="1110"/>
      <c r="C472" s="1110"/>
      <c r="D472" s="1111"/>
      <c r="E472" s="1110"/>
      <c r="F472" s="1110"/>
    </row>
    <row r="473">
      <c r="B473" s="1110"/>
      <c r="C473" s="1110"/>
      <c r="D473" s="1111"/>
      <c r="E473" s="1110"/>
      <c r="F473" s="1110"/>
    </row>
    <row r="474">
      <c r="B474" s="1110"/>
      <c r="C474" s="1110"/>
      <c r="D474" s="1111"/>
      <c r="E474" s="1110"/>
      <c r="F474" s="1110"/>
    </row>
    <row r="475">
      <c r="B475" s="1110"/>
      <c r="C475" s="1110"/>
      <c r="D475" s="1111"/>
      <c r="E475" s="1110"/>
      <c r="F475" s="1110"/>
    </row>
    <row r="476">
      <c r="B476" s="1110"/>
      <c r="C476" s="1110"/>
      <c r="D476" s="1111"/>
      <c r="E476" s="1110"/>
      <c r="F476" s="1110"/>
    </row>
    <row r="477">
      <c r="B477" s="1110"/>
      <c r="C477" s="1110"/>
      <c r="D477" s="1111"/>
      <c r="E477" s="1110"/>
      <c r="F477" s="1110"/>
    </row>
    <row r="478">
      <c r="B478" s="1110"/>
      <c r="C478" s="1110"/>
      <c r="D478" s="1111"/>
      <c r="E478" s="1110"/>
      <c r="F478" s="1110"/>
    </row>
    <row r="479">
      <c r="B479" s="1110"/>
      <c r="C479" s="1110"/>
      <c r="D479" s="1111"/>
      <c r="E479" s="1110"/>
      <c r="F479" s="1110"/>
    </row>
    <row r="480">
      <c r="B480" s="1110"/>
      <c r="C480" s="1110"/>
      <c r="D480" s="1111"/>
      <c r="E480" s="1110"/>
      <c r="F480" s="1110"/>
    </row>
    <row r="481">
      <c r="B481" s="1110"/>
      <c r="C481" s="1110"/>
      <c r="D481" s="1111"/>
      <c r="E481" s="1110"/>
      <c r="F481" s="1110"/>
    </row>
    <row r="482">
      <c r="B482" s="1110"/>
      <c r="C482" s="1110"/>
      <c r="D482" s="1111"/>
      <c r="E482" s="1110"/>
      <c r="F482" s="1110"/>
    </row>
    <row r="483">
      <c r="B483" s="1110"/>
      <c r="C483" s="1110"/>
      <c r="D483" s="1111"/>
      <c r="E483" s="1110"/>
      <c r="F483" s="1110"/>
    </row>
    <row r="484">
      <c r="B484" s="1110"/>
      <c r="C484" s="1110"/>
      <c r="D484" s="1111"/>
      <c r="E484" s="1110"/>
      <c r="F484" s="1110"/>
    </row>
    <row r="485">
      <c r="B485" s="1110"/>
      <c r="C485" s="1110"/>
      <c r="D485" s="1111"/>
      <c r="E485" s="1110"/>
      <c r="F485" s="1110"/>
    </row>
    <row r="486">
      <c r="B486" s="1110"/>
      <c r="C486" s="1110"/>
      <c r="D486" s="1111"/>
      <c r="E486" s="1110"/>
      <c r="F486" s="1110"/>
    </row>
    <row r="487">
      <c r="B487" s="1110"/>
      <c r="C487" s="1110"/>
      <c r="D487" s="1111"/>
      <c r="E487" s="1110"/>
      <c r="F487" s="1110"/>
    </row>
    <row r="488">
      <c r="B488" s="1110"/>
      <c r="C488" s="1110"/>
      <c r="D488" s="1111"/>
      <c r="E488" s="1110"/>
      <c r="F488" s="1110"/>
    </row>
    <row r="489">
      <c r="B489" s="1110"/>
      <c r="C489" s="1110"/>
      <c r="D489" s="1111"/>
      <c r="E489" s="1110"/>
      <c r="F489" s="1110"/>
    </row>
    <row r="490">
      <c r="B490" s="1110"/>
      <c r="C490" s="1110"/>
      <c r="D490" s="1111"/>
      <c r="E490" s="1110"/>
      <c r="F490" s="1110"/>
    </row>
    <row r="491">
      <c r="B491" s="1110"/>
      <c r="C491" s="1110"/>
      <c r="D491" s="1111"/>
      <c r="E491" s="1110"/>
      <c r="F491" s="1110"/>
    </row>
    <row r="492">
      <c r="B492" s="1110"/>
      <c r="C492" s="1110"/>
      <c r="D492" s="1111"/>
      <c r="E492" s="1110"/>
      <c r="F492" s="1110"/>
    </row>
    <row r="493">
      <c r="B493" s="1110"/>
      <c r="C493" s="1110"/>
      <c r="D493" s="1111"/>
      <c r="E493" s="1110"/>
      <c r="F493" s="1110"/>
    </row>
    <row r="494">
      <c r="B494" s="1110"/>
      <c r="C494" s="1110"/>
      <c r="D494" s="1111"/>
      <c r="E494" s="1110"/>
      <c r="F494" s="1110"/>
    </row>
    <row r="495">
      <c r="B495" s="1110"/>
      <c r="C495" s="1110"/>
      <c r="D495" s="1111"/>
      <c r="E495" s="1110"/>
      <c r="F495" s="1110"/>
    </row>
    <row r="496">
      <c r="B496" s="1110"/>
      <c r="C496" s="1110"/>
      <c r="D496" s="1111"/>
      <c r="E496" s="1110"/>
      <c r="F496" s="1110"/>
    </row>
    <row r="497">
      <c r="B497" s="1110"/>
      <c r="C497" s="1110"/>
      <c r="D497" s="1111"/>
      <c r="E497" s="1110"/>
      <c r="F497" s="1110"/>
    </row>
    <row r="498">
      <c r="B498" s="1110"/>
      <c r="C498" s="1110"/>
      <c r="D498" s="1111"/>
      <c r="E498" s="1110"/>
      <c r="F498" s="1110"/>
    </row>
    <row r="499">
      <c r="B499" s="1110"/>
      <c r="C499" s="1110"/>
      <c r="D499" s="1111"/>
      <c r="E499" s="1110"/>
      <c r="F499" s="1110"/>
    </row>
    <row r="500">
      <c r="B500" s="1110"/>
      <c r="C500" s="1110"/>
      <c r="D500" s="1111"/>
      <c r="E500" s="1110"/>
      <c r="F500" s="1110"/>
    </row>
    <row r="501">
      <c r="B501" s="1110"/>
      <c r="C501" s="1110"/>
      <c r="D501" s="1111"/>
      <c r="E501" s="1110"/>
      <c r="F501" s="1110"/>
    </row>
    <row r="502">
      <c r="B502" s="1110"/>
      <c r="C502" s="1110"/>
      <c r="D502" s="1111"/>
      <c r="E502" s="1110"/>
      <c r="F502" s="1110"/>
    </row>
    <row r="503">
      <c r="B503" s="1110"/>
      <c r="C503" s="1110"/>
      <c r="D503" s="1111"/>
      <c r="E503" s="1110"/>
      <c r="F503" s="1110"/>
    </row>
    <row r="504">
      <c r="B504" s="1110"/>
      <c r="C504" s="1110"/>
      <c r="D504" s="1111"/>
      <c r="E504" s="1110"/>
      <c r="F504" s="1110"/>
    </row>
    <row r="505">
      <c r="B505" s="1110"/>
      <c r="C505" s="1110"/>
      <c r="D505" s="1111"/>
      <c r="E505" s="1110"/>
      <c r="F505" s="1110"/>
    </row>
    <row r="506">
      <c r="B506" s="1110"/>
      <c r="C506" s="1110"/>
      <c r="D506" s="1111"/>
      <c r="E506" s="1110"/>
      <c r="F506" s="1110"/>
    </row>
    <row r="507">
      <c r="B507" s="1110"/>
      <c r="C507" s="1110"/>
      <c r="D507" s="1111"/>
      <c r="E507" s="1110"/>
      <c r="F507" s="1110"/>
    </row>
    <row r="508">
      <c r="B508" s="1110"/>
      <c r="C508" s="1110"/>
      <c r="D508" s="1111"/>
      <c r="E508" s="1110"/>
      <c r="F508" s="1110"/>
    </row>
    <row r="509">
      <c r="B509" s="1110"/>
      <c r="C509" s="1110"/>
      <c r="D509" s="1111"/>
      <c r="E509" s="1110"/>
      <c r="F509" s="1110"/>
    </row>
    <row r="510">
      <c r="B510" s="1110"/>
      <c r="C510" s="1110"/>
      <c r="D510" s="1111"/>
      <c r="E510" s="1110"/>
      <c r="F510" s="1110"/>
    </row>
    <row r="511">
      <c r="B511" s="1110"/>
      <c r="C511" s="1110"/>
      <c r="D511" s="1111"/>
      <c r="E511" s="1110"/>
      <c r="F511" s="1110"/>
    </row>
    <row r="512">
      <c r="B512" s="1110"/>
      <c r="C512" s="1110"/>
      <c r="D512" s="1111"/>
      <c r="E512" s="1110"/>
      <c r="F512" s="1110"/>
    </row>
    <row r="513">
      <c r="B513" s="1110"/>
      <c r="C513" s="1110"/>
      <c r="D513" s="1111"/>
      <c r="E513" s="1110"/>
      <c r="F513" s="1110"/>
    </row>
    <row r="514">
      <c r="B514" s="1110"/>
      <c r="C514" s="1110"/>
      <c r="D514" s="1111"/>
      <c r="E514" s="1110"/>
      <c r="F514" s="1110"/>
    </row>
    <row r="515">
      <c r="B515" s="1110"/>
      <c r="C515" s="1110"/>
      <c r="D515" s="1111"/>
      <c r="E515" s="1110"/>
      <c r="F515" s="1110"/>
    </row>
    <row r="516">
      <c r="B516" s="1110"/>
      <c r="C516" s="1110"/>
      <c r="D516" s="1111"/>
      <c r="E516" s="1110"/>
      <c r="F516" s="1110"/>
    </row>
    <row r="517">
      <c r="B517" s="1110"/>
      <c r="C517" s="1110"/>
      <c r="D517" s="1111"/>
      <c r="E517" s="1110"/>
      <c r="F517" s="1110"/>
    </row>
    <row r="518">
      <c r="B518" s="1110"/>
      <c r="C518" s="1110"/>
      <c r="D518" s="1111"/>
      <c r="E518" s="1110"/>
      <c r="F518" s="1110"/>
    </row>
    <row r="519">
      <c r="B519" s="1110"/>
      <c r="C519" s="1110"/>
      <c r="D519" s="1111"/>
      <c r="E519" s="1110"/>
      <c r="F519" s="1110"/>
    </row>
    <row r="520">
      <c r="B520" s="1110"/>
      <c r="C520" s="1110"/>
      <c r="D520" s="1111"/>
      <c r="E520" s="1110"/>
      <c r="F520" s="1110"/>
    </row>
    <row r="521">
      <c r="B521" s="1110"/>
      <c r="C521" s="1110"/>
      <c r="D521" s="1111"/>
      <c r="E521" s="1110"/>
      <c r="F521" s="1110"/>
    </row>
    <row r="522">
      <c r="B522" s="1110"/>
      <c r="C522" s="1110"/>
      <c r="D522" s="1111"/>
      <c r="E522" s="1110"/>
      <c r="F522" s="1110"/>
    </row>
    <row r="523">
      <c r="B523" s="1110"/>
      <c r="C523" s="1110"/>
      <c r="D523" s="1111"/>
      <c r="E523" s="1110"/>
      <c r="F523" s="1110"/>
    </row>
    <row r="524">
      <c r="B524" s="1110"/>
      <c r="C524" s="1110"/>
      <c r="D524" s="1111"/>
      <c r="E524" s="1110"/>
      <c r="F524" s="1110"/>
    </row>
    <row r="525">
      <c r="B525" s="1110"/>
      <c r="C525" s="1110"/>
      <c r="D525" s="1111"/>
      <c r="E525" s="1110"/>
      <c r="F525" s="1110"/>
    </row>
    <row r="526">
      <c r="B526" s="1110"/>
      <c r="C526" s="1110"/>
      <c r="D526" s="1111"/>
      <c r="E526" s="1110"/>
      <c r="F526" s="1110"/>
    </row>
    <row r="527">
      <c r="B527" s="1110"/>
      <c r="C527" s="1110"/>
      <c r="D527" s="1111"/>
      <c r="E527" s="1110"/>
      <c r="F527" s="1110"/>
    </row>
    <row r="528">
      <c r="B528" s="1110"/>
      <c r="C528" s="1110"/>
      <c r="D528" s="1111"/>
      <c r="E528" s="1110"/>
      <c r="F528" s="1110"/>
    </row>
    <row r="529">
      <c r="B529" s="1110"/>
      <c r="C529" s="1110"/>
      <c r="D529" s="1111"/>
      <c r="E529" s="1110"/>
      <c r="F529" s="1110"/>
    </row>
    <row r="530">
      <c r="B530" s="1110"/>
      <c r="C530" s="1110"/>
      <c r="D530" s="1111"/>
      <c r="E530" s="1110"/>
      <c r="F530" s="1110"/>
    </row>
    <row r="531">
      <c r="B531" s="1110"/>
      <c r="C531" s="1110"/>
      <c r="D531" s="1111"/>
      <c r="E531" s="1110"/>
      <c r="F531" s="1110"/>
    </row>
    <row r="532">
      <c r="B532" s="1110"/>
      <c r="C532" s="1110"/>
      <c r="D532" s="1111"/>
      <c r="E532" s="1110"/>
      <c r="F532" s="1110"/>
    </row>
    <row r="533">
      <c r="B533" s="1110"/>
      <c r="C533" s="1110"/>
      <c r="D533" s="1111"/>
      <c r="E533" s="1110"/>
      <c r="F533" s="1110"/>
    </row>
    <row r="534">
      <c r="B534" s="1110"/>
      <c r="C534" s="1110"/>
      <c r="D534" s="1111"/>
      <c r="E534" s="1110"/>
      <c r="F534" s="1110"/>
    </row>
    <row r="535">
      <c r="B535" s="1110"/>
      <c r="C535" s="1110"/>
      <c r="D535" s="1111"/>
      <c r="E535" s="1110"/>
      <c r="F535" s="1110"/>
    </row>
    <row r="536">
      <c r="B536" s="1110"/>
      <c r="C536" s="1110"/>
      <c r="D536" s="1111"/>
      <c r="E536" s="1110"/>
      <c r="F536" s="1110"/>
    </row>
    <row r="537">
      <c r="B537" s="1110"/>
      <c r="C537" s="1110"/>
      <c r="D537" s="1111"/>
      <c r="E537" s="1110"/>
      <c r="F537" s="1110"/>
    </row>
    <row r="538">
      <c r="B538" s="1110"/>
      <c r="C538" s="1110"/>
      <c r="D538" s="1111"/>
      <c r="E538" s="1110"/>
      <c r="F538" s="1110"/>
    </row>
    <row r="539">
      <c r="B539" s="1110"/>
      <c r="C539" s="1110"/>
      <c r="D539" s="1111"/>
      <c r="E539" s="1110"/>
      <c r="F539" s="1110"/>
    </row>
    <row r="540">
      <c r="B540" s="1110"/>
      <c r="C540" s="1110"/>
      <c r="D540" s="1111"/>
      <c r="E540" s="1110"/>
      <c r="F540" s="1110"/>
    </row>
    <row r="541">
      <c r="B541" s="1110"/>
      <c r="C541" s="1110"/>
      <c r="D541" s="1111"/>
      <c r="E541" s="1110"/>
      <c r="F541" s="1110"/>
    </row>
    <row r="542">
      <c r="B542" s="1110"/>
      <c r="C542" s="1110"/>
      <c r="D542" s="1111"/>
      <c r="E542" s="1110"/>
      <c r="F542" s="1110"/>
    </row>
    <row r="543">
      <c r="B543" s="1110"/>
      <c r="C543" s="1110"/>
      <c r="D543" s="1111"/>
      <c r="E543" s="1110"/>
      <c r="F543" s="1110"/>
    </row>
    <row r="544">
      <c r="B544" s="1110"/>
      <c r="C544" s="1110"/>
      <c r="D544" s="1111"/>
      <c r="E544" s="1110"/>
      <c r="F544" s="1110"/>
    </row>
    <row r="545">
      <c r="B545" s="1110"/>
      <c r="C545" s="1110"/>
      <c r="D545" s="1111"/>
      <c r="E545" s="1110"/>
      <c r="F545" s="1110"/>
    </row>
    <row r="546">
      <c r="B546" s="1110"/>
      <c r="C546" s="1110"/>
      <c r="D546" s="1111"/>
      <c r="E546" s="1110"/>
      <c r="F546" s="1110"/>
    </row>
    <row r="547">
      <c r="B547" s="1110"/>
      <c r="C547" s="1110"/>
      <c r="D547" s="1111"/>
      <c r="E547" s="1110"/>
      <c r="F547" s="1110"/>
    </row>
    <row r="548">
      <c r="B548" s="1110"/>
      <c r="C548" s="1110"/>
      <c r="D548" s="1111"/>
      <c r="E548" s="1110"/>
      <c r="F548" s="1110"/>
    </row>
    <row r="549">
      <c r="B549" s="1110"/>
      <c r="C549" s="1110"/>
      <c r="D549" s="1111"/>
      <c r="E549" s="1110"/>
      <c r="F549" s="1110"/>
    </row>
    <row r="550">
      <c r="B550" s="1110"/>
      <c r="C550" s="1110"/>
      <c r="D550" s="1111"/>
      <c r="E550" s="1110"/>
      <c r="F550" s="1110"/>
    </row>
    <row r="551">
      <c r="B551" s="1110"/>
      <c r="C551" s="1110"/>
      <c r="D551" s="1111"/>
      <c r="E551" s="1110"/>
      <c r="F551" s="1110"/>
    </row>
    <row r="552">
      <c r="B552" s="1110"/>
      <c r="C552" s="1110"/>
      <c r="D552" s="1111"/>
      <c r="E552" s="1110"/>
      <c r="F552" s="1110"/>
    </row>
    <row r="553">
      <c r="B553" s="1110"/>
      <c r="C553" s="1110"/>
      <c r="D553" s="1111"/>
      <c r="E553" s="1110"/>
      <c r="F553" s="1110"/>
    </row>
    <row r="554">
      <c r="B554" s="1110"/>
      <c r="C554" s="1110"/>
      <c r="D554" s="1111"/>
      <c r="E554" s="1110"/>
      <c r="F554" s="1110"/>
    </row>
    <row r="555">
      <c r="B555" s="1110"/>
      <c r="C555" s="1110"/>
      <c r="D555" s="1111"/>
      <c r="E555" s="1110"/>
      <c r="F555" s="1110"/>
    </row>
    <row r="556">
      <c r="B556" s="1110"/>
      <c r="C556" s="1110"/>
      <c r="D556" s="1111"/>
      <c r="E556" s="1110"/>
      <c r="F556" s="1110"/>
    </row>
    <row r="557">
      <c r="B557" s="1110"/>
      <c r="C557" s="1110"/>
      <c r="D557" s="1111"/>
      <c r="E557" s="1110"/>
      <c r="F557" s="1110"/>
    </row>
    <row r="558">
      <c r="B558" s="1110"/>
      <c r="C558" s="1110"/>
      <c r="D558" s="1111"/>
      <c r="E558" s="1110"/>
      <c r="F558" s="1110"/>
    </row>
    <row r="559">
      <c r="B559" s="1110"/>
      <c r="C559" s="1110"/>
      <c r="D559" s="1111"/>
      <c r="E559" s="1110"/>
      <c r="F559" s="1110"/>
    </row>
    <row r="560">
      <c r="B560" s="1110"/>
      <c r="C560" s="1110"/>
      <c r="D560" s="1111"/>
      <c r="E560" s="1110"/>
      <c r="F560" s="1110"/>
    </row>
    <row r="561">
      <c r="B561" s="1110"/>
      <c r="C561" s="1110"/>
      <c r="D561" s="1111"/>
      <c r="E561" s="1110"/>
      <c r="F561" s="1110"/>
    </row>
    <row r="562">
      <c r="B562" s="1110"/>
      <c r="C562" s="1110"/>
      <c r="D562" s="1111"/>
      <c r="E562" s="1110"/>
      <c r="F562" s="1110"/>
    </row>
    <row r="563">
      <c r="B563" s="1110"/>
      <c r="C563" s="1110"/>
      <c r="D563" s="1111"/>
      <c r="E563" s="1110"/>
      <c r="F563" s="1110"/>
    </row>
    <row r="564">
      <c r="B564" s="1110"/>
      <c r="C564" s="1110"/>
      <c r="D564" s="1111"/>
      <c r="E564" s="1110"/>
      <c r="F564" s="1110"/>
    </row>
    <row r="565">
      <c r="B565" s="1110"/>
      <c r="C565" s="1110"/>
      <c r="D565" s="1111"/>
      <c r="E565" s="1110"/>
      <c r="F565" s="1110"/>
    </row>
    <row r="566">
      <c r="B566" s="1110"/>
      <c r="C566" s="1110"/>
      <c r="D566" s="1111"/>
      <c r="E566" s="1110"/>
      <c r="F566" s="1110"/>
    </row>
    <row r="567">
      <c r="B567" s="1110"/>
      <c r="C567" s="1110"/>
      <c r="D567" s="1111"/>
      <c r="E567" s="1110"/>
      <c r="F567" s="1110"/>
    </row>
    <row r="568">
      <c r="B568" s="1110"/>
      <c r="C568" s="1110"/>
      <c r="D568" s="1111"/>
      <c r="E568" s="1110"/>
      <c r="F568" s="1110"/>
    </row>
    <row r="569">
      <c r="B569" s="1110"/>
      <c r="C569" s="1110"/>
      <c r="D569" s="1111"/>
      <c r="E569" s="1110"/>
      <c r="F569" s="1110"/>
    </row>
    <row r="570">
      <c r="B570" s="1110"/>
      <c r="C570" s="1110"/>
      <c r="D570" s="1111"/>
      <c r="E570" s="1110"/>
      <c r="F570" s="1110"/>
    </row>
    <row r="571">
      <c r="B571" s="1110"/>
      <c r="C571" s="1110"/>
      <c r="D571" s="1111"/>
      <c r="E571" s="1110"/>
      <c r="F571" s="1110"/>
    </row>
    <row r="572">
      <c r="B572" s="1110"/>
      <c r="C572" s="1110"/>
      <c r="D572" s="1111"/>
      <c r="E572" s="1110"/>
      <c r="F572" s="1110"/>
    </row>
    <row r="573">
      <c r="B573" s="1110"/>
      <c r="C573" s="1110"/>
      <c r="D573" s="1111"/>
      <c r="E573" s="1110"/>
      <c r="F573" s="1110"/>
    </row>
    <row r="574">
      <c r="B574" s="1110"/>
      <c r="C574" s="1110"/>
      <c r="D574" s="1111"/>
      <c r="E574" s="1110"/>
      <c r="F574" s="1110"/>
    </row>
    <row r="575">
      <c r="B575" s="1110"/>
      <c r="C575" s="1110"/>
      <c r="D575" s="1111"/>
      <c r="E575" s="1110"/>
      <c r="F575" s="1110"/>
    </row>
    <row r="576">
      <c r="B576" s="1110"/>
      <c r="C576" s="1110"/>
      <c r="D576" s="1111"/>
      <c r="E576" s="1110"/>
      <c r="F576" s="1110"/>
    </row>
    <row r="577">
      <c r="B577" s="1110"/>
      <c r="C577" s="1110"/>
      <c r="D577" s="1111"/>
      <c r="E577" s="1110"/>
      <c r="F577" s="1110"/>
    </row>
    <row r="578">
      <c r="B578" s="1110"/>
      <c r="C578" s="1110"/>
      <c r="D578" s="1111"/>
      <c r="E578" s="1110"/>
      <c r="F578" s="1110"/>
    </row>
    <row r="579">
      <c r="B579" s="1110"/>
      <c r="C579" s="1110"/>
      <c r="D579" s="1111"/>
      <c r="E579" s="1110"/>
      <c r="F579" s="1110"/>
    </row>
    <row r="580">
      <c r="B580" s="1110"/>
      <c r="C580" s="1110"/>
      <c r="D580" s="1111"/>
      <c r="E580" s="1110"/>
      <c r="F580" s="1110"/>
    </row>
    <row r="581">
      <c r="B581" s="1110"/>
      <c r="C581" s="1110"/>
      <c r="D581" s="1111"/>
      <c r="E581" s="1110"/>
      <c r="F581" s="1110"/>
    </row>
    <row r="582">
      <c r="B582" s="1110"/>
      <c r="C582" s="1110"/>
      <c r="D582" s="1111"/>
      <c r="E582" s="1110"/>
      <c r="F582" s="1110"/>
    </row>
    <row r="583">
      <c r="B583" s="1110"/>
      <c r="C583" s="1110"/>
      <c r="D583" s="1111"/>
      <c r="E583" s="1110"/>
      <c r="F583" s="1110"/>
    </row>
    <row r="584">
      <c r="B584" s="1110"/>
      <c r="C584" s="1110"/>
      <c r="D584" s="1111"/>
      <c r="E584" s="1110"/>
      <c r="F584" s="1110"/>
    </row>
    <row r="585">
      <c r="B585" s="1110"/>
      <c r="C585" s="1110"/>
      <c r="D585" s="1111"/>
      <c r="E585" s="1110"/>
      <c r="F585" s="1110"/>
    </row>
    <row r="586">
      <c r="B586" s="1110"/>
      <c r="C586" s="1110"/>
      <c r="D586" s="1111"/>
      <c r="E586" s="1110"/>
      <c r="F586" s="1110"/>
    </row>
    <row r="587">
      <c r="B587" s="1110"/>
      <c r="C587" s="1110"/>
      <c r="D587" s="1111"/>
      <c r="E587" s="1110"/>
      <c r="F587" s="1110"/>
    </row>
    <row r="588">
      <c r="B588" s="1110"/>
      <c r="C588" s="1110"/>
      <c r="D588" s="1111"/>
      <c r="E588" s="1110"/>
      <c r="F588" s="1110"/>
    </row>
    <row r="589">
      <c r="B589" s="1110"/>
      <c r="C589" s="1110"/>
      <c r="D589" s="1111"/>
      <c r="E589" s="1110"/>
      <c r="F589" s="1110"/>
    </row>
    <row r="590">
      <c r="B590" s="1110"/>
      <c r="C590" s="1110"/>
      <c r="D590" s="1111"/>
      <c r="E590" s="1110"/>
      <c r="F590" s="1110"/>
    </row>
    <row r="591">
      <c r="B591" s="1110"/>
      <c r="C591" s="1110"/>
      <c r="D591" s="1111"/>
      <c r="E591" s="1110"/>
      <c r="F591" s="1110"/>
    </row>
    <row r="592">
      <c r="B592" s="1110"/>
      <c r="C592" s="1110"/>
      <c r="D592" s="1111"/>
      <c r="E592" s="1110"/>
      <c r="F592" s="1110"/>
    </row>
    <row r="593">
      <c r="B593" s="1110"/>
      <c r="C593" s="1110"/>
      <c r="D593" s="1111"/>
      <c r="E593" s="1110"/>
      <c r="F593" s="1110"/>
    </row>
    <row r="594">
      <c r="B594" s="1110"/>
      <c r="C594" s="1110"/>
      <c r="D594" s="1111"/>
      <c r="E594" s="1110"/>
      <c r="F594" s="1110"/>
    </row>
    <row r="595">
      <c r="B595" s="1110"/>
      <c r="C595" s="1110"/>
      <c r="D595" s="1111"/>
      <c r="E595" s="1110"/>
      <c r="F595" s="1110"/>
    </row>
    <row r="596">
      <c r="B596" s="1110"/>
      <c r="C596" s="1110"/>
      <c r="D596" s="1111"/>
      <c r="E596" s="1110"/>
      <c r="F596" s="1110"/>
    </row>
    <row r="597">
      <c r="B597" s="1110"/>
      <c r="C597" s="1110"/>
      <c r="D597" s="1111"/>
      <c r="E597" s="1110"/>
      <c r="F597" s="1110"/>
    </row>
    <row r="598">
      <c r="B598" s="1110"/>
      <c r="C598" s="1110"/>
      <c r="D598" s="1111"/>
      <c r="E598" s="1110"/>
      <c r="F598" s="1110"/>
    </row>
    <row r="599">
      <c r="B599" s="1110"/>
      <c r="C599" s="1110"/>
      <c r="D599" s="1111"/>
      <c r="E599" s="1110"/>
      <c r="F599" s="1110"/>
    </row>
    <row r="600">
      <c r="B600" s="1110"/>
      <c r="C600" s="1110"/>
      <c r="D600" s="1111"/>
      <c r="E600" s="1110"/>
      <c r="F600" s="1110"/>
    </row>
    <row r="601">
      <c r="B601" s="1110"/>
      <c r="C601" s="1110"/>
      <c r="D601" s="1111"/>
      <c r="E601" s="1110"/>
      <c r="F601" s="1110"/>
    </row>
    <row r="602">
      <c r="B602" s="1110"/>
      <c r="C602" s="1110"/>
      <c r="D602" s="1111"/>
      <c r="E602" s="1110"/>
      <c r="F602" s="1110"/>
    </row>
    <row r="603">
      <c r="B603" s="1110"/>
      <c r="C603" s="1110"/>
      <c r="D603" s="1111"/>
      <c r="E603" s="1110"/>
      <c r="F603" s="1110"/>
    </row>
    <row r="604">
      <c r="B604" s="1110"/>
      <c r="C604" s="1110"/>
      <c r="D604" s="1111"/>
      <c r="E604" s="1110"/>
      <c r="F604" s="1110"/>
    </row>
    <row r="605">
      <c r="B605" s="1110"/>
      <c r="C605" s="1110"/>
      <c r="D605" s="1111"/>
      <c r="E605" s="1110"/>
      <c r="F605" s="1110"/>
    </row>
    <row r="606">
      <c r="B606" s="1110"/>
      <c r="C606" s="1110"/>
      <c r="D606" s="1111"/>
      <c r="E606" s="1110"/>
      <c r="F606" s="1110"/>
    </row>
    <row r="607">
      <c r="B607" s="1110"/>
      <c r="C607" s="1110"/>
      <c r="D607" s="1111"/>
      <c r="E607" s="1110"/>
      <c r="F607" s="1110"/>
    </row>
    <row r="608">
      <c r="B608" s="1110"/>
      <c r="C608" s="1110"/>
      <c r="D608" s="1111"/>
      <c r="E608" s="1110"/>
      <c r="F608" s="1110"/>
    </row>
    <row r="609">
      <c r="B609" s="1110"/>
      <c r="C609" s="1110"/>
      <c r="D609" s="1111"/>
      <c r="E609" s="1110"/>
      <c r="F609" s="1110"/>
    </row>
    <row r="610">
      <c r="B610" s="1110"/>
      <c r="C610" s="1110"/>
      <c r="D610" s="1111"/>
      <c r="E610" s="1110"/>
      <c r="F610" s="1110"/>
    </row>
    <row r="611">
      <c r="B611" s="1110"/>
      <c r="C611" s="1110"/>
      <c r="D611" s="1111"/>
      <c r="E611" s="1110"/>
      <c r="F611" s="1110"/>
    </row>
    <row r="612">
      <c r="B612" s="1110"/>
      <c r="C612" s="1110"/>
      <c r="D612" s="1111"/>
      <c r="E612" s="1110"/>
      <c r="F612" s="1110"/>
    </row>
    <row r="613">
      <c r="B613" s="1110"/>
      <c r="C613" s="1110"/>
      <c r="D613" s="1111"/>
      <c r="E613" s="1110"/>
      <c r="F613" s="1110"/>
    </row>
    <row r="614">
      <c r="B614" s="1110"/>
      <c r="C614" s="1110"/>
      <c r="D614" s="1111"/>
      <c r="E614" s="1110"/>
      <c r="F614" s="1110"/>
    </row>
    <row r="615">
      <c r="B615" s="1110"/>
      <c r="C615" s="1110"/>
      <c r="D615" s="1111"/>
      <c r="E615" s="1110"/>
      <c r="F615" s="1110"/>
    </row>
    <row r="616">
      <c r="B616" s="1110"/>
      <c r="C616" s="1110"/>
      <c r="D616" s="1111"/>
      <c r="E616" s="1110"/>
      <c r="F616" s="1110"/>
    </row>
    <row r="617">
      <c r="B617" s="1110"/>
      <c r="C617" s="1110"/>
      <c r="D617" s="1111"/>
      <c r="E617" s="1110"/>
      <c r="F617" s="1110"/>
    </row>
    <row r="618">
      <c r="B618" s="1110"/>
      <c r="C618" s="1110"/>
      <c r="D618" s="1111"/>
      <c r="E618" s="1110"/>
      <c r="F618" s="1110"/>
    </row>
    <row r="619">
      <c r="B619" s="1110"/>
      <c r="C619" s="1110"/>
      <c r="D619" s="1111"/>
      <c r="E619" s="1110"/>
      <c r="F619" s="1110"/>
    </row>
    <row r="620">
      <c r="B620" s="1110"/>
      <c r="C620" s="1110"/>
      <c r="D620" s="1111"/>
      <c r="E620" s="1110"/>
      <c r="F620" s="1110"/>
    </row>
    <row r="621">
      <c r="B621" s="1110"/>
      <c r="C621" s="1110"/>
      <c r="D621" s="1111"/>
      <c r="E621" s="1110"/>
      <c r="F621" s="1110"/>
    </row>
    <row r="622">
      <c r="B622" s="1110"/>
      <c r="C622" s="1110"/>
      <c r="D622" s="1111"/>
      <c r="E622" s="1110"/>
      <c r="F622" s="1110"/>
    </row>
    <row r="623">
      <c r="B623" s="1110"/>
      <c r="C623" s="1110"/>
      <c r="D623" s="1111"/>
      <c r="E623" s="1110"/>
      <c r="F623" s="1110"/>
    </row>
    <row r="624">
      <c r="B624" s="1110"/>
      <c r="C624" s="1110"/>
      <c r="D624" s="1111"/>
      <c r="E624" s="1110"/>
      <c r="F624" s="1110"/>
    </row>
    <row r="625">
      <c r="B625" s="1110"/>
      <c r="C625" s="1110"/>
      <c r="D625" s="1111"/>
      <c r="E625" s="1110"/>
      <c r="F625" s="1110"/>
    </row>
    <row r="626">
      <c r="B626" s="1110"/>
      <c r="C626" s="1110"/>
      <c r="D626" s="1111"/>
      <c r="E626" s="1110"/>
      <c r="F626" s="1110"/>
    </row>
    <row r="627">
      <c r="B627" s="1110"/>
      <c r="C627" s="1110"/>
      <c r="D627" s="1111"/>
      <c r="E627" s="1110"/>
      <c r="F627" s="1110"/>
    </row>
    <row r="628">
      <c r="B628" s="1110"/>
      <c r="C628" s="1110"/>
      <c r="D628" s="1111"/>
      <c r="E628" s="1110"/>
      <c r="F628" s="1110"/>
    </row>
    <row r="629">
      <c r="B629" s="1110"/>
      <c r="C629" s="1110"/>
      <c r="D629" s="1111"/>
      <c r="E629" s="1110"/>
      <c r="F629" s="1110"/>
    </row>
    <row r="630">
      <c r="B630" s="1110"/>
      <c r="C630" s="1110"/>
      <c r="D630" s="1111"/>
      <c r="E630" s="1110"/>
      <c r="F630" s="1110"/>
    </row>
    <row r="631">
      <c r="B631" s="1110"/>
      <c r="C631" s="1110"/>
      <c r="D631" s="1111"/>
      <c r="E631" s="1110"/>
      <c r="F631" s="1110"/>
    </row>
    <row r="632">
      <c r="B632" s="1110"/>
      <c r="C632" s="1110"/>
      <c r="D632" s="1111"/>
      <c r="E632" s="1110"/>
      <c r="F632" s="1110"/>
    </row>
    <row r="633">
      <c r="B633" s="1110"/>
      <c r="C633" s="1110"/>
      <c r="D633" s="1111"/>
      <c r="E633" s="1110"/>
      <c r="F633" s="1110"/>
    </row>
    <row r="634">
      <c r="B634" s="1110"/>
      <c r="C634" s="1110"/>
      <c r="D634" s="1111"/>
      <c r="E634" s="1110"/>
      <c r="F634" s="1110"/>
    </row>
    <row r="635">
      <c r="B635" s="1110"/>
      <c r="C635" s="1110"/>
      <c r="D635" s="1111"/>
      <c r="E635" s="1110"/>
      <c r="F635" s="1110"/>
    </row>
    <row r="636">
      <c r="B636" s="1110"/>
      <c r="C636" s="1110"/>
      <c r="D636" s="1111"/>
      <c r="E636" s="1110"/>
      <c r="F636" s="1110"/>
    </row>
    <row r="637">
      <c r="B637" s="1110"/>
      <c r="C637" s="1110"/>
      <c r="D637" s="1111"/>
      <c r="E637" s="1110"/>
      <c r="F637" s="1110"/>
    </row>
    <row r="638">
      <c r="B638" s="1110"/>
      <c r="C638" s="1110"/>
      <c r="D638" s="1111"/>
      <c r="E638" s="1110"/>
      <c r="F638" s="1110"/>
    </row>
    <row r="639">
      <c r="B639" s="1110"/>
      <c r="C639" s="1110"/>
      <c r="D639" s="1111"/>
      <c r="E639" s="1110"/>
      <c r="F639" s="1110"/>
    </row>
    <row r="640">
      <c r="B640" s="1110"/>
      <c r="C640" s="1110"/>
      <c r="D640" s="1111"/>
      <c r="E640" s="1110"/>
      <c r="F640" s="1110"/>
    </row>
    <row r="641">
      <c r="B641" s="1110"/>
      <c r="C641" s="1110"/>
      <c r="D641" s="1111"/>
      <c r="E641" s="1110"/>
      <c r="F641" s="1110"/>
    </row>
    <row r="642">
      <c r="B642" s="1110"/>
      <c r="C642" s="1110"/>
      <c r="D642" s="1111"/>
      <c r="E642" s="1110"/>
      <c r="F642" s="1110"/>
    </row>
    <row r="643">
      <c r="B643" s="1110"/>
      <c r="C643" s="1110"/>
      <c r="D643" s="1111"/>
      <c r="E643" s="1110"/>
      <c r="F643" s="1110"/>
    </row>
    <row r="644">
      <c r="B644" s="1110"/>
      <c r="C644" s="1110"/>
      <c r="D644" s="1111"/>
      <c r="E644" s="1110"/>
      <c r="F644" s="1110"/>
    </row>
    <row r="645">
      <c r="B645" s="1110"/>
      <c r="C645" s="1110"/>
      <c r="D645" s="1111"/>
      <c r="E645" s="1110"/>
      <c r="F645" s="1110"/>
    </row>
    <row r="646">
      <c r="B646" s="1110"/>
      <c r="C646" s="1110"/>
      <c r="D646" s="1111"/>
      <c r="E646" s="1110"/>
      <c r="F646" s="1110"/>
    </row>
    <row r="647">
      <c r="B647" s="1110"/>
      <c r="C647" s="1110"/>
      <c r="D647" s="1111"/>
      <c r="E647" s="1110"/>
      <c r="F647" s="1110"/>
    </row>
    <row r="648">
      <c r="B648" s="1110"/>
      <c r="C648" s="1110"/>
      <c r="D648" s="1111"/>
      <c r="E648" s="1110"/>
      <c r="F648" s="1110"/>
    </row>
    <row r="649">
      <c r="B649" s="1110"/>
      <c r="C649" s="1110"/>
      <c r="D649" s="1111"/>
      <c r="E649" s="1110"/>
      <c r="F649" s="1110"/>
    </row>
    <row r="650">
      <c r="B650" s="1110"/>
      <c r="C650" s="1110"/>
      <c r="D650" s="1111"/>
      <c r="E650" s="1110"/>
      <c r="F650" s="1110"/>
    </row>
    <row r="651">
      <c r="B651" s="1110"/>
      <c r="C651" s="1110"/>
      <c r="D651" s="1111"/>
      <c r="E651" s="1110"/>
      <c r="F651" s="1110"/>
    </row>
    <row r="652">
      <c r="B652" s="1110"/>
      <c r="C652" s="1110"/>
      <c r="D652" s="1111"/>
      <c r="E652" s="1110"/>
      <c r="F652" s="1110"/>
    </row>
    <row r="653">
      <c r="B653" s="1110"/>
      <c r="C653" s="1110"/>
      <c r="D653" s="1111"/>
      <c r="E653" s="1110"/>
      <c r="F653" s="1110"/>
    </row>
    <row r="654">
      <c r="B654" s="1110"/>
      <c r="C654" s="1110"/>
      <c r="D654" s="1111"/>
      <c r="E654" s="1110"/>
      <c r="F654" s="1110"/>
    </row>
    <row r="655">
      <c r="B655" s="1110"/>
      <c r="C655" s="1110"/>
      <c r="D655" s="1111"/>
      <c r="E655" s="1110"/>
      <c r="F655" s="1110"/>
    </row>
    <row r="656">
      <c r="B656" s="1110"/>
      <c r="C656" s="1110"/>
      <c r="D656" s="1111"/>
      <c r="E656" s="1110"/>
      <c r="F656" s="1110"/>
    </row>
    <row r="657">
      <c r="B657" s="1110"/>
      <c r="C657" s="1110"/>
      <c r="D657" s="1111"/>
      <c r="E657" s="1110"/>
      <c r="F657" s="1110"/>
    </row>
    <row r="658">
      <c r="B658" s="1110"/>
      <c r="C658" s="1110"/>
      <c r="D658" s="1111"/>
      <c r="E658" s="1110"/>
      <c r="F658" s="1110"/>
    </row>
    <row r="659">
      <c r="B659" s="1110"/>
      <c r="C659" s="1110"/>
      <c r="D659" s="1111"/>
      <c r="E659" s="1110"/>
      <c r="F659" s="1110"/>
    </row>
    <row r="660">
      <c r="B660" s="1110"/>
      <c r="C660" s="1110"/>
      <c r="D660" s="1111"/>
      <c r="E660" s="1110"/>
      <c r="F660" s="1110"/>
    </row>
    <row r="661">
      <c r="B661" s="1110"/>
      <c r="C661" s="1110"/>
      <c r="D661" s="1111"/>
      <c r="E661" s="1110"/>
      <c r="F661" s="1110"/>
    </row>
    <row r="662">
      <c r="B662" s="1110"/>
      <c r="C662" s="1110"/>
      <c r="D662" s="1111"/>
      <c r="E662" s="1110"/>
      <c r="F662" s="1110"/>
    </row>
    <row r="663">
      <c r="B663" s="1110"/>
      <c r="C663" s="1110"/>
      <c r="D663" s="1111"/>
      <c r="E663" s="1110"/>
      <c r="F663" s="1110"/>
    </row>
    <row r="664">
      <c r="B664" s="1110"/>
      <c r="C664" s="1110"/>
      <c r="D664" s="1111"/>
      <c r="E664" s="1110"/>
      <c r="F664" s="1110"/>
    </row>
    <row r="665">
      <c r="B665" s="1110"/>
      <c r="C665" s="1110"/>
      <c r="D665" s="1111"/>
      <c r="E665" s="1110"/>
      <c r="F665" s="1110"/>
    </row>
    <row r="666">
      <c r="B666" s="1110"/>
      <c r="C666" s="1110"/>
      <c r="D666" s="1111"/>
      <c r="E666" s="1110"/>
      <c r="F666" s="1110"/>
    </row>
    <row r="667">
      <c r="B667" s="1110"/>
      <c r="C667" s="1110"/>
      <c r="D667" s="1111"/>
      <c r="E667" s="1110"/>
      <c r="F667" s="1110"/>
    </row>
    <row r="668">
      <c r="B668" s="1110"/>
      <c r="C668" s="1110"/>
      <c r="D668" s="1111"/>
      <c r="E668" s="1110"/>
      <c r="F668" s="1110"/>
    </row>
    <row r="669">
      <c r="B669" s="1110"/>
      <c r="C669" s="1110"/>
      <c r="D669" s="1111"/>
      <c r="E669" s="1110"/>
      <c r="F669" s="1110"/>
    </row>
    <row r="670">
      <c r="B670" s="1110"/>
      <c r="C670" s="1110"/>
      <c r="D670" s="1111"/>
      <c r="E670" s="1110"/>
      <c r="F670" s="1110"/>
    </row>
    <row r="671">
      <c r="B671" s="1110"/>
      <c r="C671" s="1110"/>
      <c r="D671" s="1111"/>
      <c r="E671" s="1110"/>
      <c r="F671" s="1110"/>
    </row>
    <row r="672">
      <c r="B672" s="1110"/>
      <c r="C672" s="1110"/>
      <c r="D672" s="1111"/>
      <c r="E672" s="1110"/>
      <c r="F672" s="1110"/>
    </row>
    <row r="673">
      <c r="B673" s="1110"/>
      <c r="C673" s="1110"/>
      <c r="D673" s="1111"/>
      <c r="E673" s="1110"/>
      <c r="F673" s="1110"/>
    </row>
    <row r="674">
      <c r="B674" s="1110"/>
      <c r="C674" s="1110"/>
      <c r="D674" s="1111"/>
      <c r="E674" s="1110"/>
      <c r="F674" s="1110"/>
    </row>
    <row r="675">
      <c r="B675" s="1110"/>
      <c r="C675" s="1110"/>
      <c r="D675" s="1111"/>
      <c r="E675" s="1110"/>
      <c r="F675" s="1110"/>
    </row>
    <row r="676">
      <c r="B676" s="1110"/>
      <c r="C676" s="1110"/>
      <c r="D676" s="1111"/>
      <c r="E676" s="1110"/>
      <c r="F676" s="1110"/>
    </row>
    <row r="677">
      <c r="B677" s="1110"/>
      <c r="C677" s="1110"/>
      <c r="D677" s="1111"/>
      <c r="E677" s="1110"/>
      <c r="F677" s="1110"/>
    </row>
    <row r="678">
      <c r="B678" s="1110"/>
      <c r="C678" s="1110"/>
      <c r="D678" s="1111"/>
      <c r="E678" s="1110"/>
      <c r="F678" s="1110"/>
    </row>
    <row r="679">
      <c r="B679" s="1110"/>
      <c r="C679" s="1110"/>
      <c r="D679" s="1111"/>
      <c r="E679" s="1110"/>
      <c r="F679" s="1110"/>
    </row>
    <row r="680">
      <c r="B680" s="1110"/>
      <c r="C680" s="1110"/>
      <c r="D680" s="1111"/>
      <c r="E680" s="1110"/>
      <c r="F680" s="1110"/>
    </row>
    <row r="681">
      <c r="B681" s="1110"/>
      <c r="C681" s="1110"/>
      <c r="D681" s="1111"/>
      <c r="E681" s="1110"/>
      <c r="F681" s="1110"/>
    </row>
    <row r="682">
      <c r="B682" s="1110"/>
      <c r="C682" s="1110"/>
      <c r="D682" s="1111"/>
      <c r="E682" s="1110"/>
      <c r="F682" s="1110"/>
    </row>
    <row r="683">
      <c r="B683" s="1110"/>
      <c r="C683" s="1110"/>
      <c r="D683" s="1111"/>
      <c r="E683" s="1110"/>
      <c r="F683" s="1110"/>
    </row>
    <row r="684">
      <c r="B684" s="1110"/>
      <c r="C684" s="1110"/>
      <c r="D684" s="1111"/>
      <c r="E684" s="1110"/>
      <c r="F684" s="1110"/>
    </row>
    <row r="685">
      <c r="B685" s="1110"/>
      <c r="C685" s="1110"/>
      <c r="D685" s="1111"/>
      <c r="E685" s="1110"/>
      <c r="F685" s="1110"/>
    </row>
    <row r="686">
      <c r="B686" s="1110"/>
      <c r="C686" s="1110"/>
      <c r="D686" s="1111"/>
      <c r="E686" s="1110"/>
      <c r="F686" s="1110"/>
    </row>
    <row r="687">
      <c r="B687" s="1110"/>
      <c r="C687" s="1110"/>
      <c r="D687" s="1111"/>
      <c r="E687" s="1110"/>
      <c r="F687" s="1110"/>
    </row>
    <row r="688">
      <c r="B688" s="1110"/>
      <c r="C688" s="1110"/>
      <c r="D688" s="1111"/>
      <c r="E688" s="1110"/>
      <c r="F688" s="1110"/>
    </row>
    <row r="689">
      <c r="B689" s="1110"/>
      <c r="C689" s="1110"/>
      <c r="D689" s="1111"/>
      <c r="E689" s="1110"/>
      <c r="F689" s="1110"/>
    </row>
    <row r="690">
      <c r="B690" s="1110"/>
      <c r="C690" s="1110"/>
      <c r="D690" s="1111"/>
      <c r="E690" s="1110"/>
      <c r="F690" s="1110"/>
    </row>
    <row r="691">
      <c r="B691" s="1110"/>
      <c r="C691" s="1110"/>
      <c r="D691" s="1111"/>
      <c r="E691" s="1110"/>
      <c r="F691" s="1110"/>
    </row>
    <row r="692">
      <c r="B692" s="1110"/>
      <c r="C692" s="1110"/>
      <c r="D692" s="1111"/>
      <c r="E692" s="1110"/>
      <c r="F692" s="1110"/>
    </row>
    <row r="693">
      <c r="B693" s="1110"/>
      <c r="C693" s="1110"/>
      <c r="D693" s="1111"/>
      <c r="E693" s="1110"/>
      <c r="F693" s="1110"/>
    </row>
    <row r="694">
      <c r="B694" s="1110"/>
      <c r="C694" s="1110"/>
      <c r="D694" s="1111"/>
      <c r="E694" s="1110"/>
      <c r="F694" s="1110"/>
    </row>
    <row r="695">
      <c r="B695" s="1110"/>
      <c r="C695" s="1110"/>
      <c r="D695" s="1111"/>
      <c r="E695" s="1110"/>
      <c r="F695" s="1110"/>
    </row>
    <row r="696">
      <c r="B696" s="1110"/>
      <c r="C696" s="1110"/>
      <c r="D696" s="1111"/>
      <c r="E696" s="1110"/>
      <c r="F696" s="1110"/>
    </row>
    <row r="697">
      <c r="B697" s="1110"/>
      <c r="C697" s="1110"/>
      <c r="D697" s="1111"/>
      <c r="E697" s="1110"/>
      <c r="F697" s="1110"/>
    </row>
    <row r="698">
      <c r="B698" s="1110"/>
      <c r="C698" s="1110"/>
      <c r="D698" s="1111"/>
      <c r="E698" s="1110"/>
      <c r="F698" s="1110"/>
    </row>
    <row r="699">
      <c r="B699" s="1110"/>
      <c r="C699" s="1110"/>
      <c r="D699" s="1111"/>
      <c r="E699" s="1110"/>
      <c r="F699" s="1110"/>
    </row>
    <row r="700">
      <c r="B700" s="1110"/>
      <c r="C700" s="1110"/>
      <c r="D700" s="1111"/>
      <c r="E700" s="1110"/>
      <c r="F700" s="1110"/>
    </row>
    <row r="701">
      <c r="B701" s="1110"/>
      <c r="C701" s="1110"/>
      <c r="D701" s="1111"/>
      <c r="E701" s="1110"/>
      <c r="F701" s="1110"/>
    </row>
    <row r="702">
      <c r="B702" s="1110"/>
      <c r="C702" s="1110"/>
      <c r="D702" s="1111"/>
      <c r="E702" s="1110"/>
      <c r="F702" s="1110"/>
    </row>
    <row r="703">
      <c r="B703" s="1110"/>
      <c r="C703" s="1110"/>
      <c r="D703" s="1111"/>
      <c r="E703" s="1110"/>
      <c r="F703" s="1110"/>
    </row>
    <row r="704">
      <c r="B704" s="1110"/>
      <c r="C704" s="1110"/>
      <c r="D704" s="1111"/>
      <c r="E704" s="1110"/>
      <c r="F704" s="1110"/>
    </row>
    <row r="705">
      <c r="B705" s="1110"/>
      <c r="C705" s="1110"/>
      <c r="D705" s="1111"/>
      <c r="E705" s="1110"/>
      <c r="F705" s="1110"/>
    </row>
    <row r="706">
      <c r="B706" s="1110"/>
      <c r="C706" s="1110"/>
      <c r="D706" s="1111"/>
      <c r="E706" s="1110"/>
      <c r="F706" s="1110"/>
    </row>
    <row r="707">
      <c r="B707" s="1110"/>
      <c r="C707" s="1110"/>
      <c r="D707" s="1111"/>
      <c r="E707" s="1110"/>
      <c r="F707" s="1110"/>
    </row>
    <row r="708">
      <c r="B708" s="1110"/>
      <c r="C708" s="1110"/>
      <c r="D708" s="1111"/>
      <c r="E708" s="1110"/>
      <c r="F708" s="1110"/>
    </row>
    <row r="709">
      <c r="B709" s="1110"/>
      <c r="C709" s="1110"/>
      <c r="D709" s="1111"/>
      <c r="E709" s="1110"/>
      <c r="F709" s="1110"/>
    </row>
    <row r="710">
      <c r="B710" s="1110"/>
      <c r="C710" s="1110"/>
      <c r="D710" s="1111"/>
      <c r="E710" s="1110"/>
      <c r="F710" s="1110"/>
    </row>
    <row r="711">
      <c r="B711" s="1110"/>
      <c r="C711" s="1110"/>
      <c r="D711" s="1111"/>
      <c r="E711" s="1110"/>
      <c r="F711" s="1110"/>
    </row>
    <row r="712">
      <c r="B712" s="1110"/>
      <c r="C712" s="1110"/>
      <c r="D712" s="1111"/>
      <c r="E712" s="1110"/>
      <c r="F712" s="1110"/>
    </row>
    <row r="713">
      <c r="B713" s="1110"/>
      <c r="C713" s="1110"/>
      <c r="D713" s="1111"/>
      <c r="E713" s="1110"/>
      <c r="F713" s="1110"/>
    </row>
    <row r="714">
      <c r="B714" s="1110"/>
      <c r="C714" s="1110"/>
      <c r="D714" s="1111"/>
      <c r="E714" s="1110"/>
      <c r="F714" s="1110"/>
    </row>
    <row r="715">
      <c r="B715" s="1110"/>
      <c r="C715" s="1110"/>
      <c r="D715" s="1111"/>
      <c r="E715" s="1110"/>
      <c r="F715" s="1110"/>
    </row>
    <row r="716">
      <c r="B716" s="1110"/>
      <c r="C716" s="1110"/>
      <c r="D716" s="1111"/>
      <c r="E716" s="1110"/>
      <c r="F716" s="1110"/>
    </row>
    <row r="717">
      <c r="B717" s="1110"/>
      <c r="C717" s="1110"/>
      <c r="D717" s="1111"/>
      <c r="E717" s="1110"/>
      <c r="F717" s="1110"/>
    </row>
    <row r="718">
      <c r="B718" s="1110"/>
      <c r="C718" s="1110"/>
      <c r="D718" s="1111"/>
      <c r="E718" s="1110"/>
      <c r="F718" s="1110"/>
    </row>
    <row r="719">
      <c r="B719" s="1110"/>
      <c r="C719" s="1110"/>
      <c r="D719" s="1111"/>
      <c r="E719" s="1110"/>
      <c r="F719" s="1110"/>
    </row>
    <row r="720">
      <c r="B720" s="1110"/>
      <c r="C720" s="1110"/>
      <c r="D720" s="1111"/>
      <c r="E720" s="1110"/>
      <c r="F720" s="1110"/>
    </row>
    <row r="721">
      <c r="B721" s="1110"/>
      <c r="C721" s="1110"/>
      <c r="D721" s="1111"/>
      <c r="E721" s="1110"/>
      <c r="F721" s="1110"/>
    </row>
    <row r="722">
      <c r="B722" s="1110"/>
      <c r="C722" s="1110"/>
      <c r="D722" s="1111"/>
      <c r="E722" s="1110"/>
      <c r="F722" s="1110"/>
    </row>
    <row r="723">
      <c r="B723" s="1110"/>
      <c r="C723" s="1110"/>
      <c r="D723" s="1111"/>
      <c r="E723" s="1110"/>
      <c r="F723" s="1110"/>
    </row>
    <row r="724">
      <c r="B724" s="1110"/>
      <c r="C724" s="1110"/>
      <c r="D724" s="1111"/>
      <c r="E724" s="1110"/>
      <c r="F724" s="1110"/>
    </row>
    <row r="725">
      <c r="B725" s="1110"/>
      <c r="C725" s="1110"/>
      <c r="D725" s="1111"/>
      <c r="E725" s="1110"/>
      <c r="F725" s="1110"/>
    </row>
    <row r="726">
      <c r="B726" s="1110"/>
      <c r="C726" s="1110"/>
      <c r="D726" s="1111"/>
      <c r="E726" s="1110"/>
      <c r="F726" s="1110"/>
    </row>
    <row r="727">
      <c r="B727" s="1110"/>
      <c r="C727" s="1110"/>
      <c r="D727" s="1111"/>
      <c r="E727" s="1110"/>
      <c r="F727" s="1110"/>
    </row>
    <row r="728">
      <c r="B728" s="1110"/>
      <c r="C728" s="1110"/>
      <c r="D728" s="1111"/>
      <c r="E728" s="1110"/>
      <c r="F728" s="1110"/>
    </row>
    <row r="729">
      <c r="B729" s="1110"/>
      <c r="C729" s="1110"/>
      <c r="D729" s="1111"/>
      <c r="E729" s="1110"/>
      <c r="F729" s="1110"/>
    </row>
    <row r="730">
      <c r="B730" s="1110"/>
      <c r="C730" s="1110"/>
      <c r="D730" s="1111"/>
      <c r="E730" s="1110"/>
      <c r="F730" s="1110"/>
    </row>
    <row r="731">
      <c r="B731" s="1110"/>
      <c r="C731" s="1110"/>
      <c r="D731" s="1111"/>
      <c r="E731" s="1110"/>
      <c r="F731" s="1110"/>
    </row>
    <row r="732">
      <c r="B732" s="1110"/>
      <c r="C732" s="1110"/>
      <c r="D732" s="1111"/>
      <c r="E732" s="1110"/>
      <c r="F732" s="1110"/>
    </row>
    <row r="733">
      <c r="B733" s="1110"/>
      <c r="C733" s="1110"/>
      <c r="D733" s="1111"/>
      <c r="E733" s="1110"/>
      <c r="F733" s="1110"/>
    </row>
    <row r="734">
      <c r="B734" s="1110"/>
      <c r="C734" s="1110"/>
      <c r="D734" s="1111"/>
      <c r="E734" s="1110"/>
      <c r="F734" s="1110"/>
    </row>
    <row r="735">
      <c r="B735" s="1110"/>
      <c r="C735" s="1110"/>
      <c r="D735" s="1111"/>
      <c r="E735" s="1110"/>
      <c r="F735" s="1110"/>
    </row>
    <row r="736">
      <c r="B736" s="1110"/>
      <c r="C736" s="1110"/>
      <c r="D736" s="1111"/>
      <c r="E736" s="1110"/>
      <c r="F736" s="1110"/>
    </row>
    <row r="737">
      <c r="B737" s="1110"/>
      <c r="C737" s="1110"/>
      <c r="D737" s="1111"/>
      <c r="E737" s="1110"/>
      <c r="F737" s="1110"/>
    </row>
    <row r="738">
      <c r="B738" s="1110"/>
      <c r="C738" s="1110"/>
      <c r="D738" s="1111"/>
      <c r="E738" s="1110"/>
      <c r="F738" s="1110"/>
    </row>
    <row r="739">
      <c r="B739" s="1110"/>
      <c r="C739" s="1110"/>
      <c r="D739" s="1111"/>
      <c r="E739" s="1110"/>
      <c r="F739" s="1110"/>
    </row>
    <row r="740">
      <c r="B740" s="1110"/>
      <c r="C740" s="1110"/>
      <c r="D740" s="1111"/>
      <c r="E740" s="1110"/>
      <c r="F740" s="1110"/>
    </row>
    <row r="741">
      <c r="B741" s="1110"/>
      <c r="C741" s="1110"/>
      <c r="D741" s="1111"/>
      <c r="E741" s="1110"/>
      <c r="F741" s="1110"/>
    </row>
    <row r="742">
      <c r="B742" s="1110"/>
      <c r="C742" s="1110"/>
      <c r="D742" s="1111"/>
      <c r="E742" s="1110"/>
      <c r="F742" s="1110"/>
    </row>
    <row r="743">
      <c r="B743" s="1110"/>
      <c r="C743" s="1110"/>
      <c r="D743" s="1111"/>
      <c r="E743" s="1110"/>
      <c r="F743" s="1110"/>
    </row>
    <row r="744">
      <c r="B744" s="1110"/>
      <c r="C744" s="1110"/>
      <c r="D744" s="1111"/>
      <c r="E744" s="1110"/>
      <c r="F744" s="1110"/>
    </row>
    <row r="745">
      <c r="B745" s="1110"/>
      <c r="C745" s="1110"/>
      <c r="D745" s="1111"/>
      <c r="E745" s="1110"/>
      <c r="F745" s="1110"/>
    </row>
    <row r="746">
      <c r="B746" s="1110"/>
      <c r="C746" s="1110"/>
      <c r="D746" s="1111"/>
      <c r="E746" s="1110"/>
      <c r="F746" s="1110"/>
    </row>
    <row r="747">
      <c r="B747" s="1110"/>
      <c r="C747" s="1110"/>
      <c r="D747" s="1111"/>
      <c r="E747" s="1110"/>
      <c r="F747" s="1110"/>
    </row>
    <row r="748">
      <c r="B748" s="1110"/>
      <c r="C748" s="1110"/>
      <c r="D748" s="1111"/>
      <c r="E748" s="1110"/>
      <c r="F748" s="1110"/>
    </row>
    <row r="749">
      <c r="B749" s="1110"/>
      <c r="C749" s="1110"/>
      <c r="D749" s="1111"/>
      <c r="E749" s="1110"/>
      <c r="F749" s="1110"/>
    </row>
    <row r="750">
      <c r="B750" s="1110"/>
      <c r="C750" s="1110"/>
      <c r="D750" s="1111"/>
      <c r="E750" s="1110"/>
      <c r="F750" s="1110"/>
    </row>
    <row r="751">
      <c r="B751" s="1110"/>
      <c r="C751" s="1110"/>
      <c r="D751" s="1111"/>
      <c r="E751" s="1110"/>
      <c r="F751" s="1110"/>
    </row>
    <row r="752">
      <c r="B752" s="1110"/>
      <c r="C752" s="1110"/>
      <c r="D752" s="1111"/>
      <c r="E752" s="1110"/>
      <c r="F752" s="1110"/>
    </row>
    <row r="753">
      <c r="B753" s="1110"/>
      <c r="C753" s="1110"/>
      <c r="D753" s="1111"/>
      <c r="E753" s="1110"/>
      <c r="F753" s="1110"/>
    </row>
    <row r="754">
      <c r="B754" s="1110"/>
      <c r="C754" s="1110"/>
      <c r="D754" s="1111"/>
      <c r="E754" s="1110"/>
      <c r="F754" s="1110"/>
    </row>
    <row r="755">
      <c r="B755" s="1110"/>
      <c r="C755" s="1110"/>
      <c r="D755" s="1111"/>
      <c r="E755" s="1110"/>
      <c r="F755" s="1110"/>
    </row>
    <row r="756">
      <c r="B756" s="1110"/>
      <c r="C756" s="1110"/>
      <c r="D756" s="1111"/>
      <c r="E756" s="1110"/>
      <c r="F756" s="1110"/>
    </row>
    <row r="757">
      <c r="B757" s="1110"/>
      <c r="C757" s="1110"/>
      <c r="D757" s="1111"/>
      <c r="E757" s="1110"/>
      <c r="F757" s="1110"/>
    </row>
    <row r="758">
      <c r="B758" s="1110"/>
      <c r="C758" s="1110"/>
      <c r="D758" s="1111"/>
      <c r="E758" s="1110"/>
      <c r="F758" s="1110"/>
    </row>
    <row r="759">
      <c r="B759" s="1110"/>
      <c r="C759" s="1110"/>
      <c r="D759" s="1111"/>
      <c r="E759" s="1110"/>
      <c r="F759" s="1110"/>
    </row>
    <row r="760">
      <c r="B760" s="1110"/>
      <c r="C760" s="1110"/>
      <c r="D760" s="1111"/>
      <c r="E760" s="1110"/>
      <c r="F760" s="1110"/>
    </row>
    <row r="761">
      <c r="B761" s="1110"/>
      <c r="C761" s="1110"/>
      <c r="D761" s="1111"/>
      <c r="E761" s="1110"/>
      <c r="F761" s="1110"/>
    </row>
    <row r="762">
      <c r="B762" s="1110"/>
      <c r="C762" s="1110"/>
      <c r="D762" s="1111"/>
      <c r="E762" s="1110"/>
      <c r="F762" s="1110"/>
    </row>
    <row r="763">
      <c r="B763" s="1110"/>
      <c r="C763" s="1110"/>
      <c r="D763" s="1111"/>
      <c r="E763" s="1110"/>
      <c r="F763" s="1110"/>
    </row>
    <row r="764">
      <c r="B764" s="1110"/>
      <c r="C764" s="1110"/>
      <c r="D764" s="1111"/>
      <c r="E764" s="1110"/>
      <c r="F764" s="1110"/>
    </row>
    <row r="765">
      <c r="B765" s="1110"/>
      <c r="C765" s="1110"/>
      <c r="D765" s="1111"/>
      <c r="E765" s="1110"/>
      <c r="F765" s="1110"/>
    </row>
    <row r="766">
      <c r="B766" s="1110"/>
      <c r="C766" s="1110"/>
      <c r="D766" s="1111"/>
      <c r="E766" s="1110"/>
      <c r="F766" s="1110"/>
    </row>
    <row r="767">
      <c r="B767" s="1110"/>
      <c r="C767" s="1110"/>
      <c r="D767" s="1111"/>
      <c r="E767" s="1110"/>
      <c r="F767" s="1110"/>
    </row>
    <row r="768">
      <c r="B768" s="1110"/>
      <c r="C768" s="1110"/>
      <c r="D768" s="1111"/>
      <c r="E768" s="1110"/>
      <c r="F768" s="1110"/>
    </row>
    <row r="769">
      <c r="B769" s="1110"/>
      <c r="C769" s="1110"/>
      <c r="D769" s="1111"/>
      <c r="E769" s="1110"/>
      <c r="F769" s="1110"/>
    </row>
    <row r="770">
      <c r="B770" s="1110"/>
      <c r="C770" s="1110"/>
      <c r="D770" s="1111"/>
      <c r="E770" s="1110"/>
      <c r="F770" s="1110"/>
    </row>
    <row r="771">
      <c r="B771" s="1110"/>
      <c r="C771" s="1110"/>
      <c r="D771" s="1111"/>
      <c r="E771" s="1110"/>
      <c r="F771" s="1110"/>
    </row>
    <row r="772">
      <c r="B772" s="1110"/>
      <c r="C772" s="1110"/>
      <c r="D772" s="1111"/>
      <c r="E772" s="1110"/>
      <c r="F772" s="1110"/>
    </row>
    <row r="773">
      <c r="B773" s="1110"/>
      <c r="C773" s="1110"/>
      <c r="D773" s="1111"/>
      <c r="E773" s="1110"/>
      <c r="F773" s="1110"/>
    </row>
    <row r="774">
      <c r="B774" s="1110"/>
      <c r="C774" s="1110"/>
      <c r="D774" s="1111"/>
      <c r="E774" s="1110"/>
      <c r="F774" s="1110"/>
    </row>
    <row r="775">
      <c r="B775" s="1110"/>
      <c r="C775" s="1110"/>
      <c r="D775" s="1111"/>
      <c r="E775" s="1110"/>
      <c r="F775" s="1110"/>
    </row>
    <row r="776">
      <c r="B776" s="1110"/>
      <c r="C776" s="1110"/>
      <c r="D776" s="1111"/>
      <c r="E776" s="1110"/>
      <c r="F776" s="1110"/>
    </row>
    <row r="777">
      <c r="B777" s="1110"/>
      <c r="C777" s="1110"/>
      <c r="D777" s="1111"/>
      <c r="E777" s="1110"/>
      <c r="F777" s="1110"/>
    </row>
    <row r="778">
      <c r="B778" s="1110"/>
      <c r="C778" s="1110"/>
      <c r="D778" s="1111"/>
      <c r="E778" s="1110"/>
      <c r="F778" s="1110"/>
    </row>
    <row r="779">
      <c r="B779" s="1110"/>
      <c r="C779" s="1110"/>
      <c r="D779" s="1111"/>
      <c r="E779" s="1110"/>
      <c r="F779" s="1110"/>
    </row>
    <row r="780">
      <c r="B780" s="1110"/>
      <c r="C780" s="1110"/>
      <c r="D780" s="1111"/>
      <c r="E780" s="1110"/>
      <c r="F780" s="1110"/>
    </row>
    <row r="781">
      <c r="B781" s="1110"/>
      <c r="C781" s="1110"/>
      <c r="D781" s="1111"/>
      <c r="E781" s="1110"/>
      <c r="F781" s="1110"/>
    </row>
    <row r="782">
      <c r="B782" s="1110"/>
      <c r="C782" s="1110"/>
      <c r="D782" s="1111"/>
      <c r="E782" s="1110"/>
      <c r="F782" s="1110"/>
    </row>
    <row r="783">
      <c r="B783" s="1110"/>
      <c r="C783" s="1110"/>
      <c r="D783" s="1111"/>
      <c r="E783" s="1110"/>
      <c r="F783" s="1110"/>
    </row>
    <row r="784">
      <c r="B784" s="1110"/>
      <c r="C784" s="1110"/>
      <c r="D784" s="1111"/>
      <c r="E784" s="1110"/>
      <c r="F784" s="1110"/>
    </row>
    <row r="785">
      <c r="B785" s="1110"/>
      <c r="C785" s="1110"/>
      <c r="D785" s="1111"/>
      <c r="E785" s="1110"/>
      <c r="F785" s="1110"/>
    </row>
    <row r="786">
      <c r="B786" s="1110"/>
      <c r="C786" s="1110"/>
      <c r="D786" s="1111"/>
      <c r="E786" s="1110"/>
      <c r="F786" s="1110"/>
    </row>
    <row r="787">
      <c r="B787" s="1110"/>
      <c r="C787" s="1110"/>
      <c r="D787" s="1111"/>
      <c r="E787" s="1110"/>
      <c r="F787" s="1110"/>
    </row>
    <row r="788">
      <c r="B788" s="1110"/>
      <c r="C788" s="1110"/>
      <c r="D788" s="1111"/>
      <c r="E788" s="1110"/>
      <c r="F788" s="1110"/>
    </row>
    <row r="789">
      <c r="B789" s="1110"/>
      <c r="C789" s="1110"/>
      <c r="D789" s="1111"/>
      <c r="E789" s="1110"/>
      <c r="F789" s="1110"/>
    </row>
    <row r="790">
      <c r="B790" s="1110"/>
      <c r="C790" s="1110"/>
      <c r="D790" s="1111"/>
      <c r="E790" s="1110"/>
      <c r="F790" s="1110"/>
    </row>
    <row r="791">
      <c r="B791" s="1110"/>
      <c r="C791" s="1110"/>
      <c r="D791" s="1111"/>
      <c r="E791" s="1110"/>
      <c r="F791" s="1110"/>
    </row>
    <row r="792">
      <c r="B792" s="1110"/>
      <c r="C792" s="1110"/>
      <c r="D792" s="1111"/>
      <c r="E792" s="1110"/>
      <c r="F792" s="1110"/>
    </row>
    <row r="793">
      <c r="B793" s="1110"/>
      <c r="C793" s="1110"/>
      <c r="D793" s="1111"/>
      <c r="E793" s="1110"/>
      <c r="F793" s="1110"/>
    </row>
    <row r="794">
      <c r="B794" s="1110"/>
      <c r="C794" s="1110"/>
      <c r="D794" s="1111"/>
      <c r="E794" s="1110"/>
      <c r="F794" s="1110"/>
    </row>
    <row r="795">
      <c r="B795" s="1110"/>
      <c r="C795" s="1110"/>
      <c r="D795" s="1111"/>
      <c r="E795" s="1110"/>
      <c r="F795" s="1110"/>
    </row>
    <row r="796">
      <c r="B796" s="1110"/>
      <c r="C796" s="1110"/>
      <c r="D796" s="1111"/>
      <c r="E796" s="1110"/>
      <c r="F796" s="1110"/>
    </row>
    <row r="797">
      <c r="B797" s="1110"/>
      <c r="C797" s="1110"/>
      <c r="D797" s="1111"/>
      <c r="E797" s="1110"/>
      <c r="F797" s="1110"/>
    </row>
    <row r="798">
      <c r="B798" s="1110"/>
      <c r="C798" s="1110"/>
      <c r="D798" s="1111"/>
      <c r="E798" s="1110"/>
      <c r="F798" s="1110"/>
    </row>
    <row r="799">
      <c r="B799" s="1110"/>
      <c r="C799" s="1110"/>
      <c r="D799" s="1111"/>
      <c r="E799" s="1110"/>
      <c r="F799" s="1110"/>
    </row>
    <row r="800">
      <c r="B800" s="1110"/>
      <c r="C800" s="1110"/>
      <c r="D800" s="1111"/>
      <c r="E800" s="1110"/>
      <c r="F800" s="1110"/>
    </row>
    <row r="801">
      <c r="B801" s="1110"/>
      <c r="C801" s="1110"/>
      <c r="D801" s="1111"/>
      <c r="E801" s="1110"/>
      <c r="F801" s="1110"/>
    </row>
    <row r="802">
      <c r="B802" s="1110"/>
      <c r="C802" s="1110"/>
      <c r="D802" s="1111"/>
      <c r="E802" s="1110"/>
      <c r="F802" s="1110"/>
    </row>
    <row r="803">
      <c r="B803" s="1110"/>
      <c r="C803" s="1110"/>
      <c r="D803" s="1111"/>
      <c r="E803" s="1110"/>
      <c r="F803" s="1110"/>
    </row>
    <row r="804">
      <c r="B804" s="1110"/>
      <c r="C804" s="1110"/>
      <c r="D804" s="1111"/>
      <c r="E804" s="1110"/>
      <c r="F804" s="1110"/>
    </row>
    <row r="805">
      <c r="B805" s="1110"/>
      <c r="C805" s="1110"/>
      <c r="D805" s="1111"/>
      <c r="E805" s="1110"/>
      <c r="F805" s="1110"/>
    </row>
    <row r="806">
      <c r="B806" s="1110"/>
      <c r="C806" s="1110"/>
      <c r="D806" s="1111"/>
      <c r="E806" s="1110"/>
      <c r="F806" s="1110"/>
    </row>
    <row r="807">
      <c r="B807" s="1110"/>
      <c r="C807" s="1110"/>
      <c r="D807" s="1111"/>
      <c r="E807" s="1110"/>
      <c r="F807" s="1110"/>
    </row>
    <row r="808">
      <c r="B808" s="1110"/>
      <c r="C808" s="1110"/>
      <c r="D808" s="1111"/>
      <c r="E808" s="1110"/>
      <c r="F808" s="1110"/>
    </row>
    <row r="809">
      <c r="B809" s="1110"/>
      <c r="C809" s="1110"/>
      <c r="D809" s="1111"/>
      <c r="E809" s="1110"/>
      <c r="F809" s="1110"/>
    </row>
    <row r="810">
      <c r="B810" s="1110"/>
      <c r="C810" s="1110"/>
      <c r="D810" s="1111"/>
      <c r="E810" s="1110"/>
      <c r="F810" s="1110"/>
    </row>
    <row r="811">
      <c r="B811" s="1110"/>
      <c r="C811" s="1110"/>
      <c r="D811" s="1111"/>
      <c r="E811" s="1110"/>
      <c r="F811" s="1110"/>
    </row>
    <row r="812">
      <c r="B812" s="1110"/>
      <c r="C812" s="1110"/>
      <c r="D812" s="1111"/>
      <c r="E812" s="1110"/>
      <c r="F812" s="1110"/>
    </row>
    <row r="813">
      <c r="B813" s="1110"/>
      <c r="C813" s="1110"/>
      <c r="D813" s="1111"/>
      <c r="E813" s="1110"/>
      <c r="F813" s="1110"/>
    </row>
    <row r="814">
      <c r="B814" s="1110"/>
      <c r="C814" s="1110"/>
      <c r="D814" s="1111"/>
      <c r="E814" s="1110"/>
      <c r="F814" s="1110"/>
    </row>
    <row r="815">
      <c r="B815" s="1110"/>
      <c r="C815" s="1110"/>
      <c r="D815" s="1111"/>
      <c r="E815" s="1110"/>
      <c r="F815" s="1110"/>
    </row>
    <row r="816">
      <c r="B816" s="1110"/>
      <c r="C816" s="1110"/>
      <c r="D816" s="1111"/>
      <c r="E816" s="1110"/>
      <c r="F816" s="1110"/>
    </row>
    <row r="817">
      <c r="B817" s="1110"/>
      <c r="C817" s="1110"/>
      <c r="D817" s="1111"/>
      <c r="E817" s="1110"/>
      <c r="F817" s="1110"/>
    </row>
    <row r="818">
      <c r="B818" s="1110"/>
      <c r="C818" s="1110"/>
      <c r="D818" s="1111"/>
      <c r="E818" s="1110"/>
      <c r="F818" s="1110"/>
    </row>
    <row r="819">
      <c r="B819" s="1110"/>
      <c r="C819" s="1110"/>
      <c r="D819" s="1111"/>
      <c r="E819" s="1110"/>
      <c r="F819" s="1110"/>
    </row>
    <row r="820">
      <c r="B820" s="1110"/>
      <c r="C820" s="1110"/>
      <c r="D820" s="1111"/>
      <c r="E820" s="1110"/>
      <c r="F820" s="1110"/>
    </row>
    <row r="821">
      <c r="B821" s="1110"/>
      <c r="C821" s="1110"/>
      <c r="D821" s="1111"/>
      <c r="E821" s="1110"/>
      <c r="F821" s="1110"/>
    </row>
    <row r="822">
      <c r="B822" s="1110"/>
      <c r="C822" s="1110"/>
      <c r="D822" s="1111"/>
      <c r="E822" s="1110"/>
      <c r="F822" s="1110"/>
    </row>
    <row r="823">
      <c r="B823" s="1110"/>
      <c r="C823" s="1110"/>
      <c r="D823" s="1111"/>
      <c r="E823" s="1110"/>
      <c r="F823" s="1110"/>
    </row>
    <row r="824">
      <c r="B824" s="1110"/>
      <c r="C824" s="1110"/>
      <c r="D824" s="1111"/>
      <c r="E824" s="1110"/>
      <c r="F824" s="1110"/>
    </row>
    <row r="825">
      <c r="B825" s="1110"/>
      <c r="C825" s="1110"/>
      <c r="D825" s="1111"/>
      <c r="E825" s="1110"/>
      <c r="F825" s="1110"/>
    </row>
    <row r="826">
      <c r="B826" s="1110"/>
      <c r="C826" s="1110"/>
      <c r="D826" s="1111"/>
      <c r="E826" s="1110"/>
      <c r="F826" s="1110"/>
    </row>
    <row r="827">
      <c r="B827" s="1110"/>
      <c r="C827" s="1110"/>
      <c r="D827" s="1111"/>
      <c r="E827" s="1110"/>
      <c r="F827" s="1110"/>
    </row>
    <row r="828">
      <c r="B828" s="1110"/>
      <c r="C828" s="1110"/>
      <c r="D828" s="1111"/>
      <c r="E828" s="1110"/>
      <c r="F828" s="1110"/>
    </row>
    <row r="829">
      <c r="B829" s="1110"/>
      <c r="C829" s="1110"/>
      <c r="D829" s="1111"/>
      <c r="E829" s="1110"/>
      <c r="F829" s="1110"/>
    </row>
    <row r="830">
      <c r="B830" s="1110"/>
      <c r="C830" s="1110"/>
      <c r="D830" s="1111"/>
      <c r="E830" s="1110"/>
      <c r="F830" s="1110"/>
    </row>
    <row r="831">
      <c r="B831" s="1110"/>
      <c r="C831" s="1110"/>
      <c r="D831" s="1111"/>
      <c r="E831" s="1110"/>
      <c r="F831" s="1110"/>
    </row>
    <row r="832">
      <c r="B832" s="1110"/>
      <c r="C832" s="1110"/>
      <c r="D832" s="1111"/>
      <c r="E832" s="1110"/>
      <c r="F832" s="1110"/>
    </row>
    <row r="833">
      <c r="B833" s="1110"/>
      <c r="C833" s="1110"/>
      <c r="D833" s="1111"/>
      <c r="E833" s="1110"/>
      <c r="F833" s="1110"/>
    </row>
    <row r="834">
      <c r="B834" s="1110"/>
      <c r="C834" s="1110"/>
      <c r="D834" s="1111"/>
      <c r="E834" s="1110"/>
      <c r="F834" s="1110"/>
    </row>
    <row r="835">
      <c r="B835" s="1110"/>
      <c r="C835" s="1110"/>
      <c r="D835" s="1111"/>
      <c r="E835" s="1110"/>
      <c r="F835" s="1110"/>
    </row>
    <row r="836">
      <c r="B836" s="1110"/>
      <c r="C836" s="1110"/>
      <c r="D836" s="1111"/>
      <c r="E836" s="1110"/>
      <c r="F836" s="1110"/>
    </row>
    <row r="837">
      <c r="B837" s="1110"/>
      <c r="C837" s="1110"/>
      <c r="D837" s="1111"/>
      <c r="E837" s="1110"/>
      <c r="F837" s="1110"/>
    </row>
    <row r="838">
      <c r="B838" s="1110"/>
      <c r="C838" s="1110"/>
      <c r="D838" s="1111"/>
      <c r="E838" s="1110"/>
      <c r="F838" s="1110"/>
    </row>
    <row r="839">
      <c r="B839" s="1110"/>
      <c r="C839" s="1110"/>
      <c r="D839" s="1111"/>
      <c r="E839" s="1110"/>
      <c r="F839" s="1110"/>
    </row>
    <row r="840">
      <c r="B840" s="1110"/>
      <c r="C840" s="1110"/>
      <c r="D840" s="1111"/>
      <c r="E840" s="1110"/>
      <c r="F840" s="1110"/>
    </row>
    <row r="841">
      <c r="B841" s="1110"/>
      <c r="C841" s="1110"/>
      <c r="D841" s="1111"/>
      <c r="E841" s="1110"/>
      <c r="F841" s="1110"/>
    </row>
    <row r="842">
      <c r="B842" s="1110"/>
      <c r="C842" s="1110"/>
      <c r="D842" s="1111"/>
      <c r="E842" s="1110"/>
      <c r="F842" s="1110"/>
    </row>
    <row r="843">
      <c r="B843" s="1110"/>
      <c r="C843" s="1110"/>
      <c r="D843" s="1111"/>
      <c r="E843" s="1110"/>
      <c r="F843" s="1110"/>
    </row>
    <row r="844">
      <c r="B844" s="1110"/>
      <c r="C844" s="1110"/>
      <c r="D844" s="1111"/>
      <c r="E844" s="1110"/>
      <c r="F844" s="1110"/>
    </row>
    <row r="845">
      <c r="B845" s="1110"/>
      <c r="C845" s="1110"/>
      <c r="D845" s="1111"/>
      <c r="E845" s="1110"/>
      <c r="F845" s="1110"/>
    </row>
    <row r="846">
      <c r="B846" s="1110"/>
      <c r="C846" s="1110"/>
      <c r="D846" s="1111"/>
      <c r="E846" s="1110"/>
      <c r="F846" s="1110"/>
    </row>
    <row r="847">
      <c r="B847" s="1110"/>
      <c r="C847" s="1110"/>
      <c r="D847" s="1111"/>
      <c r="E847" s="1110"/>
      <c r="F847" s="1110"/>
    </row>
    <row r="848">
      <c r="B848" s="1110"/>
      <c r="C848" s="1110"/>
      <c r="D848" s="1111"/>
      <c r="E848" s="1110"/>
      <c r="F848" s="1110"/>
    </row>
    <row r="849">
      <c r="B849" s="1110"/>
      <c r="C849" s="1110"/>
      <c r="D849" s="1111"/>
      <c r="E849" s="1110"/>
      <c r="F849" s="1110"/>
    </row>
    <row r="850">
      <c r="B850" s="1110"/>
      <c r="C850" s="1110"/>
      <c r="D850" s="1111"/>
      <c r="E850" s="1110"/>
      <c r="F850" s="1110"/>
    </row>
    <row r="851">
      <c r="B851" s="1110"/>
      <c r="C851" s="1110"/>
      <c r="D851" s="1111"/>
      <c r="E851" s="1110"/>
      <c r="F851" s="1110"/>
    </row>
    <row r="852">
      <c r="B852" s="1110"/>
      <c r="C852" s="1110"/>
      <c r="D852" s="1111"/>
      <c r="E852" s="1110"/>
      <c r="F852" s="1110"/>
    </row>
    <row r="853">
      <c r="B853" s="1110"/>
      <c r="C853" s="1110"/>
      <c r="D853" s="1111"/>
      <c r="E853" s="1110"/>
      <c r="F853" s="1110"/>
    </row>
    <row r="854">
      <c r="B854" s="1110"/>
      <c r="C854" s="1110"/>
      <c r="D854" s="1111"/>
      <c r="E854" s="1110"/>
      <c r="F854" s="1110"/>
    </row>
    <row r="855">
      <c r="B855" s="1110"/>
      <c r="C855" s="1110"/>
      <c r="D855" s="1111"/>
      <c r="E855" s="1110"/>
      <c r="F855" s="1110"/>
    </row>
    <row r="856">
      <c r="B856" s="1110"/>
      <c r="C856" s="1110"/>
      <c r="D856" s="1111"/>
      <c r="E856" s="1110"/>
      <c r="F856" s="1110"/>
    </row>
    <row r="857">
      <c r="B857" s="1110"/>
      <c r="C857" s="1110"/>
      <c r="D857" s="1111"/>
      <c r="E857" s="1110"/>
      <c r="F857" s="1110"/>
    </row>
    <row r="858">
      <c r="B858" s="1110"/>
      <c r="C858" s="1110"/>
      <c r="D858" s="1111"/>
      <c r="E858" s="1110"/>
      <c r="F858" s="1110"/>
    </row>
    <row r="859">
      <c r="B859" s="1110"/>
      <c r="C859" s="1110"/>
      <c r="D859" s="1111"/>
      <c r="E859" s="1110"/>
      <c r="F859" s="1110"/>
    </row>
    <row r="860">
      <c r="B860" s="1110"/>
      <c r="C860" s="1110"/>
      <c r="D860" s="1111"/>
      <c r="E860" s="1110"/>
      <c r="F860" s="1110"/>
    </row>
    <row r="861">
      <c r="B861" s="1110"/>
      <c r="C861" s="1110"/>
      <c r="D861" s="1111"/>
      <c r="E861" s="1110"/>
      <c r="F861" s="1110"/>
    </row>
    <row r="862">
      <c r="B862" s="1110"/>
      <c r="C862" s="1110"/>
      <c r="D862" s="1111"/>
      <c r="E862" s="1110"/>
      <c r="F862" s="1110"/>
    </row>
    <row r="863">
      <c r="B863" s="1110"/>
      <c r="C863" s="1110"/>
      <c r="D863" s="1111"/>
      <c r="E863" s="1110"/>
      <c r="F863" s="1110"/>
    </row>
    <row r="864">
      <c r="B864" s="1110"/>
      <c r="C864" s="1110"/>
      <c r="D864" s="1111"/>
      <c r="E864" s="1110"/>
      <c r="F864" s="1110"/>
    </row>
    <row r="865">
      <c r="B865" s="1110"/>
      <c r="C865" s="1110"/>
      <c r="D865" s="1111"/>
      <c r="E865" s="1110"/>
      <c r="F865" s="1110"/>
    </row>
    <row r="866">
      <c r="B866" s="1110"/>
      <c r="C866" s="1110"/>
      <c r="D866" s="1111"/>
      <c r="E866" s="1110"/>
      <c r="F866" s="1110"/>
    </row>
    <row r="867">
      <c r="B867" s="1110"/>
      <c r="C867" s="1110"/>
      <c r="D867" s="1111"/>
      <c r="E867" s="1110"/>
      <c r="F867" s="1110"/>
    </row>
    <row r="868">
      <c r="B868" s="1110"/>
      <c r="C868" s="1110"/>
      <c r="D868" s="1111"/>
      <c r="E868" s="1110"/>
      <c r="F868" s="1110"/>
    </row>
    <row r="869">
      <c r="B869" s="1110"/>
      <c r="C869" s="1110"/>
      <c r="D869" s="1111"/>
      <c r="E869" s="1110"/>
      <c r="F869" s="1110"/>
    </row>
    <row r="870">
      <c r="B870" s="1110"/>
      <c r="C870" s="1110"/>
      <c r="D870" s="1111"/>
      <c r="E870" s="1110"/>
      <c r="F870" s="1110"/>
    </row>
    <row r="871">
      <c r="B871" s="1110"/>
      <c r="C871" s="1110"/>
      <c r="D871" s="1111"/>
      <c r="E871" s="1110"/>
      <c r="F871" s="1110"/>
    </row>
    <row r="872">
      <c r="B872" s="1110"/>
      <c r="C872" s="1110"/>
      <c r="D872" s="1111"/>
      <c r="E872" s="1110"/>
      <c r="F872" s="1110"/>
    </row>
    <row r="873">
      <c r="B873" s="1110"/>
      <c r="C873" s="1110"/>
      <c r="D873" s="1111"/>
      <c r="E873" s="1110"/>
      <c r="F873" s="1110"/>
    </row>
    <row r="874">
      <c r="B874" s="1110"/>
      <c r="C874" s="1110"/>
      <c r="D874" s="1111"/>
      <c r="E874" s="1110"/>
      <c r="F874" s="1110"/>
    </row>
    <row r="875">
      <c r="B875" s="1110"/>
      <c r="C875" s="1110"/>
      <c r="D875" s="1111"/>
      <c r="E875" s="1110"/>
      <c r="F875" s="1110"/>
    </row>
    <row r="876">
      <c r="B876" s="1110"/>
      <c r="C876" s="1110"/>
      <c r="D876" s="1111"/>
      <c r="E876" s="1110"/>
      <c r="F876" s="1110"/>
    </row>
    <row r="877">
      <c r="B877" s="1110"/>
      <c r="C877" s="1110"/>
      <c r="D877" s="1111"/>
      <c r="E877" s="1110"/>
      <c r="F877" s="1110"/>
    </row>
    <row r="878">
      <c r="B878" s="1110"/>
      <c r="C878" s="1110"/>
      <c r="D878" s="1111"/>
      <c r="E878" s="1110"/>
      <c r="F878" s="1110"/>
    </row>
    <row r="879">
      <c r="B879" s="1110"/>
      <c r="C879" s="1110"/>
      <c r="D879" s="1111"/>
      <c r="E879" s="1110"/>
      <c r="F879" s="1110"/>
    </row>
    <row r="880">
      <c r="B880" s="1110"/>
      <c r="C880" s="1110"/>
      <c r="D880" s="1111"/>
      <c r="E880" s="1110"/>
      <c r="F880" s="1110"/>
    </row>
    <row r="881">
      <c r="B881" s="1110"/>
      <c r="C881" s="1110"/>
      <c r="D881" s="1111"/>
      <c r="E881" s="1110"/>
      <c r="F881" s="1110"/>
    </row>
    <row r="882">
      <c r="B882" s="1110"/>
      <c r="C882" s="1110"/>
      <c r="D882" s="1111"/>
      <c r="E882" s="1110"/>
      <c r="F882" s="1110"/>
    </row>
    <row r="883">
      <c r="B883" s="1110"/>
      <c r="C883" s="1110"/>
      <c r="D883" s="1111"/>
      <c r="E883" s="1110"/>
      <c r="F883" s="1110"/>
    </row>
    <row r="884">
      <c r="B884" s="1110"/>
      <c r="C884" s="1110"/>
      <c r="D884" s="1111"/>
      <c r="E884" s="1110"/>
      <c r="F884" s="1110"/>
    </row>
    <row r="885">
      <c r="B885" s="1110"/>
      <c r="C885" s="1110"/>
      <c r="D885" s="1111"/>
      <c r="E885" s="1110"/>
      <c r="F885" s="1110"/>
    </row>
    <row r="886">
      <c r="B886" s="1110"/>
      <c r="C886" s="1110"/>
      <c r="D886" s="1111"/>
      <c r="E886" s="1110"/>
      <c r="F886" s="1110"/>
    </row>
    <row r="887">
      <c r="B887" s="1110"/>
      <c r="C887" s="1110"/>
      <c r="D887" s="1111"/>
      <c r="E887" s="1110"/>
      <c r="F887" s="1110"/>
    </row>
    <row r="888">
      <c r="B888" s="1110"/>
      <c r="C888" s="1110"/>
      <c r="D888" s="1111"/>
      <c r="E888" s="1110"/>
      <c r="F888" s="1110"/>
    </row>
    <row r="889">
      <c r="B889" s="1110"/>
      <c r="C889" s="1110"/>
      <c r="D889" s="1111"/>
      <c r="E889" s="1110"/>
      <c r="F889" s="1110"/>
    </row>
    <row r="890">
      <c r="B890" s="1110"/>
      <c r="C890" s="1110"/>
      <c r="D890" s="1111"/>
      <c r="E890" s="1110"/>
      <c r="F890" s="1110"/>
    </row>
    <row r="891">
      <c r="B891" s="1110"/>
      <c r="C891" s="1110"/>
      <c r="D891" s="1111"/>
      <c r="E891" s="1110"/>
      <c r="F891" s="1110"/>
    </row>
    <row r="892">
      <c r="B892" s="1110"/>
      <c r="C892" s="1110"/>
      <c r="D892" s="1111"/>
      <c r="E892" s="1110"/>
      <c r="F892" s="1110"/>
    </row>
    <row r="893">
      <c r="B893" s="1110"/>
      <c r="C893" s="1110"/>
      <c r="D893" s="1111"/>
      <c r="E893" s="1110"/>
      <c r="F893" s="1110"/>
    </row>
    <row r="894">
      <c r="B894" s="1110"/>
      <c r="C894" s="1110"/>
      <c r="D894" s="1111"/>
      <c r="E894" s="1110"/>
      <c r="F894" s="1110"/>
    </row>
    <row r="895">
      <c r="B895" s="1110"/>
      <c r="C895" s="1110"/>
      <c r="D895" s="1111"/>
      <c r="E895" s="1110"/>
      <c r="F895" s="1110"/>
    </row>
    <row r="896">
      <c r="B896" s="1110"/>
      <c r="C896" s="1110"/>
      <c r="D896" s="1111"/>
      <c r="E896" s="1110"/>
      <c r="F896" s="1110"/>
    </row>
    <row r="897">
      <c r="B897" s="1110"/>
      <c r="C897" s="1110"/>
      <c r="D897" s="1111"/>
      <c r="E897" s="1110"/>
      <c r="F897" s="1110"/>
    </row>
    <row r="898">
      <c r="B898" s="1110"/>
      <c r="C898" s="1110"/>
      <c r="D898" s="1111"/>
      <c r="E898" s="1110"/>
      <c r="F898" s="1110"/>
    </row>
    <row r="899">
      <c r="B899" s="1110"/>
      <c r="C899" s="1110"/>
      <c r="D899" s="1111"/>
      <c r="E899" s="1110"/>
      <c r="F899" s="1110"/>
    </row>
    <row r="900">
      <c r="B900" s="1110"/>
      <c r="C900" s="1110"/>
      <c r="D900" s="1111"/>
      <c r="E900" s="1110"/>
      <c r="F900" s="1110"/>
    </row>
    <row r="901">
      <c r="B901" s="1110"/>
      <c r="C901" s="1110"/>
      <c r="D901" s="1111"/>
      <c r="E901" s="1110"/>
      <c r="F901" s="1110"/>
    </row>
    <row r="902">
      <c r="B902" s="1110"/>
      <c r="C902" s="1110"/>
      <c r="D902" s="1111"/>
      <c r="E902" s="1110"/>
      <c r="F902" s="1110"/>
    </row>
    <row r="903">
      <c r="B903" s="1110"/>
      <c r="C903" s="1110"/>
      <c r="D903" s="1111"/>
      <c r="E903" s="1110"/>
      <c r="F903" s="1110"/>
    </row>
    <row r="904">
      <c r="B904" s="1110"/>
      <c r="C904" s="1110"/>
      <c r="D904" s="1111"/>
      <c r="E904" s="1110"/>
      <c r="F904" s="1110"/>
    </row>
    <row r="905">
      <c r="B905" s="1110"/>
      <c r="C905" s="1110"/>
      <c r="D905" s="1111"/>
      <c r="E905" s="1110"/>
      <c r="F905" s="1110"/>
    </row>
    <row r="906">
      <c r="B906" s="1110"/>
      <c r="C906" s="1110"/>
      <c r="D906" s="1111"/>
      <c r="E906" s="1110"/>
      <c r="F906" s="1110"/>
    </row>
    <row r="907">
      <c r="B907" s="1110"/>
      <c r="C907" s="1110"/>
      <c r="D907" s="1111"/>
      <c r="E907" s="1110"/>
      <c r="F907" s="1110"/>
    </row>
    <row r="908">
      <c r="B908" s="1110"/>
      <c r="C908" s="1110"/>
      <c r="D908" s="1111"/>
      <c r="E908" s="1110"/>
      <c r="F908" s="1110"/>
    </row>
    <row r="909">
      <c r="B909" s="1110"/>
      <c r="C909" s="1110"/>
      <c r="D909" s="1111"/>
      <c r="E909" s="1110"/>
      <c r="F909" s="1110"/>
    </row>
    <row r="910">
      <c r="B910" s="1110"/>
      <c r="C910" s="1110"/>
      <c r="D910" s="1111"/>
      <c r="E910" s="1110"/>
      <c r="F910" s="1110"/>
    </row>
    <row r="911">
      <c r="B911" s="1110"/>
      <c r="C911" s="1110"/>
      <c r="D911" s="1111"/>
      <c r="E911" s="1110"/>
      <c r="F911" s="1110"/>
    </row>
    <row r="912">
      <c r="B912" s="1110"/>
      <c r="C912" s="1110"/>
      <c r="D912" s="1111"/>
      <c r="E912" s="1110"/>
      <c r="F912" s="1110"/>
    </row>
    <row r="913">
      <c r="B913" s="1110"/>
      <c r="C913" s="1110"/>
      <c r="D913" s="1111"/>
      <c r="E913" s="1110"/>
      <c r="F913" s="1110"/>
    </row>
    <row r="914">
      <c r="B914" s="1110"/>
      <c r="C914" s="1110"/>
      <c r="D914" s="1111"/>
      <c r="E914" s="1110"/>
      <c r="F914" s="1110"/>
    </row>
    <row r="915">
      <c r="B915" s="1110"/>
      <c r="C915" s="1110"/>
      <c r="D915" s="1111"/>
      <c r="E915" s="1110"/>
      <c r="F915" s="1110"/>
    </row>
    <row r="916">
      <c r="B916" s="1110"/>
      <c r="C916" s="1110"/>
      <c r="D916" s="1111"/>
      <c r="E916" s="1110"/>
      <c r="F916" s="1110"/>
    </row>
    <row r="917">
      <c r="B917" s="1110"/>
      <c r="C917" s="1110"/>
      <c r="D917" s="1111"/>
      <c r="E917" s="1110"/>
      <c r="F917" s="1110"/>
    </row>
    <row r="918">
      <c r="B918" s="1110"/>
      <c r="C918" s="1110"/>
      <c r="D918" s="1111"/>
      <c r="E918" s="1110"/>
      <c r="F918" s="1110"/>
    </row>
    <row r="919">
      <c r="B919" s="1110"/>
      <c r="C919" s="1110"/>
      <c r="D919" s="1111"/>
      <c r="E919" s="1110"/>
      <c r="F919" s="1110"/>
    </row>
    <row r="920">
      <c r="B920" s="1110"/>
      <c r="C920" s="1110"/>
      <c r="D920" s="1111"/>
      <c r="E920" s="1110"/>
      <c r="F920" s="1110"/>
    </row>
    <row r="921">
      <c r="B921" s="1110"/>
      <c r="C921" s="1110"/>
      <c r="D921" s="1111"/>
      <c r="E921" s="1110"/>
      <c r="F921" s="1110"/>
    </row>
    <row r="922">
      <c r="B922" s="1110"/>
      <c r="C922" s="1110"/>
      <c r="D922" s="1111"/>
      <c r="E922" s="1110"/>
      <c r="F922" s="1110"/>
    </row>
    <row r="923">
      <c r="B923" s="1110"/>
      <c r="C923" s="1110"/>
      <c r="D923" s="1111"/>
      <c r="E923" s="1110"/>
      <c r="F923" s="1110"/>
    </row>
    <row r="924">
      <c r="B924" s="1110"/>
      <c r="C924" s="1110"/>
      <c r="D924" s="1111"/>
      <c r="E924" s="1110"/>
      <c r="F924" s="1110"/>
    </row>
    <row r="925">
      <c r="B925" s="1110"/>
      <c r="C925" s="1110"/>
      <c r="D925" s="1111"/>
      <c r="E925" s="1110"/>
      <c r="F925" s="1110"/>
    </row>
    <row r="926">
      <c r="B926" s="1110"/>
      <c r="C926" s="1110"/>
      <c r="D926" s="1111"/>
      <c r="E926" s="1110"/>
      <c r="F926" s="1110"/>
    </row>
    <row r="927">
      <c r="B927" s="1110"/>
      <c r="C927" s="1110"/>
      <c r="D927" s="1111"/>
      <c r="E927" s="1110"/>
      <c r="F927" s="1110"/>
    </row>
    <row r="928">
      <c r="B928" s="1110"/>
      <c r="C928" s="1110"/>
      <c r="D928" s="1111"/>
      <c r="E928" s="1110"/>
      <c r="F928" s="1110"/>
    </row>
    <row r="929">
      <c r="B929" s="1110"/>
      <c r="C929" s="1110"/>
      <c r="D929" s="1111"/>
      <c r="E929" s="1110"/>
      <c r="F929" s="1110"/>
    </row>
    <row r="930">
      <c r="B930" s="1110"/>
      <c r="C930" s="1110"/>
      <c r="D930" s="1111"/>
      <c r="E930" s="1110"/>
      <c r="F930" s="1110"/>
    </row>
    <row r="931">
      <c r="B931" s="1110"/>
      <c r="C931" s="1110"/>
      <c r="D931" s="1111"/>
      <c r="E931" s="1110"/>
      <c r="F931" s="1110"/>
    </row>
    <row r="932">
      <c r="B932" s="1110"/>
      <c r="C932" s="1110"/>
      <c r="D932" s="1111"/>
      <c r="E932" s="1110"/>
      <c r="F932" s="1110"/>
    </row>
    <row r="933">
      <c r="B933" s="1110"/>
      <c r="C933" s="1110"/>
      <c r="D933" s="1111"/>
      <c r="E933" s="1110"/>
      <c r="F933" s="1110"/>
    </row>
    <row r="934">
      <c r="B934" s="1110"/>
      <c r="C934" s="1110"/>
      <c r="D934" s="1111"/>
      <c r="E934" s="1110"/>
      <c r="F934" s="1110"/>
    </row>
    <row r="935">
      <c r="B935" s="1110"/>
      <c r="C935" s="1110"/>
      <c r="D935" s="1111"/>
      <c r="E935" s="1110"/>
      <c r="F935" s="1110"/>
    </row>
    <row r="936">
      <c r="B936" s="1110"/>
      <c r="C936" s="1110"/>
      <c r="D936" s="1111"/>
      <c r="E936" s="1110"/>
      <c r="F936" s="1110"/>
    </row>
    <row r="937">
      <c r="B937" s="1110"/>
      <c r="C937" s="1110"/>
      <c r="D937" s="1111"/>
      <c r="E937" s="1110"/>
      <c r="F937" s="1110"/>
    </row>
    <row r="938">
      <c r="B938" s="1110"/>
      <c r="C938" s="1110"/>
      <c r="D938" s="1111"/>
      <c r="E938" s="1110"/>
      <c r="F938" s="1110"/>
    </row>
    <row r="939">
      <c r="B939" s="1110"/>
      <c r="C939" s="1110"/>
      <c r="D939" s="1111"/>
      <c r="E939" s="1110"/>
      <c r="F939" s="1110"/>
    </row>
    <row r="940">
      <c r="B940" s="1110"/>
      <c r="C940" s="1110"/>
      <c r="D940" s="1111"/>
      <c r="E940" s="1110"/>
      <c r="F940" s="1110"/>
    </row>
    <row r="941">
      <c r="B941" s="1110"/>
      <c r="C941" s="1110"/>
      <c r="D941" s="1111"/>
      <c r="E941" s="1110"/>
      <c r="F941" s="1110"/>
    </row>
    <row r="942">
      <c r="B942" s="1110"/>
      <c r="C942" s="1110"/>
      <c r="D942" s="1111"/>
      <c r="E942" s="1110"/>
      <c r="F942" s="1110"/>
    </row>
    <row r="943">
      <c r="B943" s="1110"/>
      <c r="C943" s="1110"/>
      <c r="D943" s="1111"/>
      <c r="E943" s="1110"/>
      <c r="F943" s="1110"/>
    </row>
    <row r="944">
      <c r="B944" s="1110"/>
      <c r="C944" s="1110"/>
      <c r="D944" s="1111"/>
      <c r="E944" s="1110"/>
      <c r="F944" s="1110"/>
    </row>
    <row r="945">
      <c r="B945" s="1110"/>
      <c r="C945" s="1110"/>
      <c r="D945" s="1111"/>
      <c r="E945" s="1110"/>
      <c r="F945" s="1110"/>
    </row>
    <row r="946">
      <c r="B946" s="1110"/>
      <c r="C946" s="1110"/>
      <c r="D946" s="1111"/>
      <c r="E946" s="1110"/>
      <c r="F946" s="1110"/>
    </row>
    <row r="947">
      <c r="B947" s="1110"/>
      <c r="C947" s="1110"/>
      <c r="D947" s="1111"/>
      <c r="E947" s="1110"/>
      <c r="F947" s="1110"/>
    </row>
    <row r="948">
      <c r="B948" s="1110"/>
      <c r="C948" s="1110"/>
      <c r="D948" s="1111"/>
      <c r="E948" s="1110"/>
      <c r="F948" s="1110"/>
    </row>
    <row r="949">
      <c r="B949" s="1110"/>
      <c r="C949" s="1110"/>
      <c r="D949" s="1111"/>
      <c r="E949" s="1110"/>
      <c r="F949" s="1110"/>
    </row>
    <row r="950">
      <c r="B950" s="1110"/>
      <c r="C950" s="1110"/>
      <c r="D950" s="1111"/>
      <c r="E950" s="1110"/>
      <c r="F950" s="1110"/>
    </row>
    <row r="951">
      <c r="B951" s="1110"/>
      <c r="C951" s="1110"/>
      <c r="D951" s="1111"/>
      <c r="E951" s="1110"/>
      <c r="F951" s="1110"/>
    </row>
    <row r="952">
      <c r="B952" s="1110"/>
      <c r="C952" s="1110"/>
      <c r="D952" s="1111"/>
      <c r="E952" s="1110"/>
      <c r="F952" s="1110"/>
    </row>
    <row r="953">
      <c r="B953" s="1110"/>
      <c r="C953" s="1110"/>
      <c r="D953" s="1111"/>
      <c r="E953" s="1110"/>
      <c r="F953" s="1110"/>
    </row>
    <row r="954">
      <c r="B954" s="1110"/>
      <c r="C954" s="1110"/>
      <c r="D954" s="1111"/>
      <c r="E954" s="1110"/>
      <c r="F954" s="1110"/>
    </row>
    <row r="955">
      <c r="B955" s="1110"/>
      <c r="C955" s="1110"/>
      <c r="D955" s="1111"/>
      <c r="E955" s="1110"/>
      <c r="F955" s="1110"/>
    </row>
    <row r="956">
      <c r="B956" s="1110"/>
      <c r="C956" s="1110"/>
      <c r="D956" s="1111"/>
      <c r="E956" s="1110"/>
      <c r="F956" s="1110"/>
    </row>
    <row r="957">
      <c r="B957" s="1110"/>
      <c r="C957" s="1110"/>
      <c r="D957" s="1111"/>
      <c r="E957" s="1110"/>
      <c r="F957" s="1110"/>
    </row>
    <row r="958">
      <c r="B958" s="1110"/>
      <c r="C958" s="1110"/>
      <c r="D958" s="1111"/>
      <c r="E958" s="1110"/>
      <c r="F958" s="1110"/>
    </row>
    <row r="959">
      <c r="B959" s="1110"/>
      <c r="C959" s="1110"/>
      <c r="D959" s="1111"/>
      <c r="E959" s="1110"/>
      <c r="F959" s="1110"/>
    </row>
    <row r="960">
      <c r="B960" s="1110"/>
      <c r="C960" s="1110"/>
      <c r="D960" s="1111"/>
      <c r="E960" s="1110"/>
      <c r="F960" s="1110"/>
    </row>
    <row r="961">
      <c r="B961" s="1110"/>
      <c r="C961" s="1110"/>
      <c r="D961" s="1111"/>
      <c r="E961" s="1110"/>
      <c r="F961" s="1110"/>
    </row>
    <row r="962">
      <c r="B962" s="1110"/>
      <c r="C962" s="1110"/>
      <c r="D962" s="1111"/>
      <c r="E962" s="1110"/>
      <c r="F962" s="1110"/>
    </row>
    <row r="963">
      <c r="B963" s="1110"/>
      <c r="C963" s="1110"/>
      <c r="D963" s="1111"/>
      <c r="E963" s="1110"/>
      <c r="F963" s="1110"/>
    </row>
    <row r="964">
      <c r="B964" s="1110"/>
      <c r="C964" s="1110"/>
      <c r="D964" s="1111"/>
      <c r="E964" s="1110"/>
      <c r="F964" s="1110"/>
    </row>
    <row r="965">
      <c r="B965" s="1110"/>
      <c r="C965" s="1110"/>
      <c r="D965" s="1111"/>
      <c r="E965" s="1110"/>
      <c r="F965" s="1110"/>
    </row>
    <row r="966">
      <c r="B966" s="1110"/>
      <c r="C966" s="1110"/>
      <c r="D966" s="1111"/>
      <c r="E966" s="1110"/>
      <c r="F966" s="1110"/>
    </row>
    <row r="967">
      <c r="B967" s="1110"/>
      <c r="C967" s="1110"/>
      <c r="D967" s="1111"/>
      <c r="E967" s="1110"/>
      <c r="F967" s="1110"/>
    </row>
    <row r="968">
      <c r="B968" s="1110"/>
      <c r="C968" s="1110"/>
      <c r="D968" s="1111"/>
      <c r="E968" s="1110"/>
      <c r="F968" s="1110"/>
    </row>
    <row r="969">
      <c r="B969" s="1110"/>
      <c r="C969" s="1110"/>
      <c r="D969" s="1111"/>
      <c r="E969" s="1110"/>
      <c r="F969" s="1110"/>
    </row>
    <row r="970">
      <c r="B970" s="1110"/>
      <c r="C970" s="1110"/>
      <c r="D970" s="1111"/>
      <c r="E970" s="1110"/>
      <c r="F970" s="1110"/>
    </row>
    <row r="971">
      <c r="B971" s="1110"/>
      <c r="C971" s="1110"/>
      <c r="D971" s="1111"/>
      <c r="E971" s="1110"/>
      <c r="F971" s="1110"/>
    </row>
    <row r="972">
      <c r="B972" s="1110"/>
      <c r="C972" s="1110"/>
      <c r="D972" s="1111"/>
      <c r="E972" s="1110"/>
      <c r="F972" s="1110"/>
    </row>
    <row r="973">
      <c r="B973" s="1110"/>
      <c r="C973" s="1110"/>
      <c r="D973" s="1111"/>
      <c r="E973" s="1110"/>
      <c r="F973" s="1110"/>
    </row>
    <row r="974">
      <c r="B974" s="1110"/>
      <c r="C974" s="1110"/>
      <c r="D974" s="1111"/>
      <c r="E974" s="1110"/>
      <c r="F974" s="1110"/>
    </row>
    <row r="975">
      <c r="B975" s="1110"/>
      <c r="C975" s="1110"/>
      <c r="D975" s="1111"/>
      <c r="E975" s="1110"/>
      <c r="F975" s="1110"/>
    </row>
    <row r="976">
      <c r="B976" s="1110"/>
      <c r="C976" s="1110"/>
      <c r="D976" s="1111"/>
      <c r="E976" s="1110"/>
      <c r="F976" s="1110"/>
    </row>
    <row r="977">
      <c r="B977" s="1110"/>
      <c r="C977" s="1110"/>
      <c r="D977" s="1111"/>
      <c r="E977" s="1110"/>
      <c r="F977" s="1110"/>
    </row>
    <row r="978">
      <c r="B978" s="1110"/>
      <c r="C978" s="1110"/>
      <c r="D978" s="1111"/>
      <c r="E978" s="1110"/>
      <c r="F978" s="1110"/>
    </row>
    <row r="979">
      <c r="B979" s="1110"/>
      <c r="C979" s="1110"/>
      <c r="D979" s="1111"/>
      <c r="E979" s="1110"/>
      <c r="F979" s="1110"/>
    </row>
    <row r="980">
      <c r="B980" s="1110"/>
      <c r="C980" s="1110"/>
      <c r="D980" s="1111"/>
      <c r="E980" s="1110"/>
      <c r="F980" s="1110"/>
    </row>
    <row r="981">
      <c r="B981" s="1110"/>
      <c r="C981" s="1110"/>
      <c r="D981" s="1111"/>
      <c r="E981" s="1110"/>
      <c r="F981" s="1110"/>
    </row>
    <row r="982">
      <c r="B982" s="1110"/>
      <c r="C982" s="1110"/>
      <c r="D982" s="1111"/>
      <c r="E982" s="1110"/>
      <c r="F982" s="1110"/>
    </row>
    <row r="983">
      <c r="B983" s="1110"/>
      <c r="C983" s="1110"/>
      <c r="D983" s="1111"/>
      <c r="E983" s="1110"/>
      <c r="F983" s="1110"/>
    </row>
    <row r="984">
      <c r="B984" s="1110"/>
      <c r="C984" s="1110"/>
      <c r="D984" s="1111"/>
      <c r="E984" s="1110"/>
      <c r="F984" s="1110"/>
    </row>
    <row r="985">
      <c r="B985" s="1110"/>
      <c r="C985" s="1110"/>
      <c r="D985" s="1111"/>
      <c r="E985" s="1110"/>
      <c r="F985" s="1110"/>
    </row>
    <row r="986">
      <c r="B986" s="1110"/>
      <c r="C986" s="1110"/>
      <c r="D986" s="1111"/>
      <c r="E986" s="1110"/>
      <c r="F986" s="1110"/>
    </row>
    <row r="987">
      <c r="B987" s="1110"/>
      <c r="C987" s="1110"/>
      <c r="D987" s="1111"/>
      <c r="E987" s="1110"/>
      <c r="F987" s="1110"/>
    </row>
    <row r="988">
      <c r="B988" s="1110"/>
      <c r="C988" s="1110"/>
      <c r="D988" s="1111"/>
      <c r="E988" s="1110"/>
      <c r="F988" s="1110"/>
    </row>
    <row r="989">
      <c r="B989" s="1110"/>
      <c r="C989" s="1110"/>
      <c r="D989" s="1111"/>
      <c r="E989" s="1110"/>
      <c r="F989" s="1110"/>
    </row>
    <row r="990">
      <c r="B990" s="1110"/>
      <c r="C990" s="1110"/>
      <c r="D990" s="1111"/>
      <c r="E990" s="1110"/>
      <c r="F990" s="1110"/>
    </row>
    <row r="991">
      <c r="B991" s="1110"/>
      <c r="C991" s="1110"/>
      <c r="D991" s="1111"/>
      <c r="E991" s="1110"/>
      <c r="F991" s="1110"/>
    </row>
    <row r="992">
      <c r="B992" s="1110"/>
      <c r="C992" s="1110"/>
      <c r="D992" s="1111"/>
      <c r="E992" s="1110"/>
      <c r="F992" s="1110"/>
    </row>
    <row r="993">
      <c r="B993" s="1110"/>
      <c r="C993" s="1110"/>
      <c r="D993" s="1111"/>
      <c r="E993" s="1110"/>
      <c r="F993" s="1110"/>
    </row>
    <row r="994">
      <c r="B994" s="1110"/>
      <c r="C994" s="1110"/>
      <c r="D994" s="1111"/>
      <c r="E994" s="1110"/>
      <c r="F994" s="1110"/>
    </row>
    <row r="995">
      <c r="B995" s="1110"/>
      <c r="C995" s="1110"/>
      <c r="D995" s="1111"/>
      <c r="E995" s="1110"/>
      <c r="F995" s="1110"/>
    </row>
    <row r="996">
      <c r="B996" s="1110"/>
      <c r="C996" s="1110"/>
      <c r="D996" s="1111"/>
      <c r="E996" s="1110"/>
      <c r="F996" s="1110"/>
    </row>
    <row r="997">
      <c r="B997" s="1110"/>
      <c r="C997" s="1110"/>
      <c r="D997" s="1111"/>
      <c r="E997" s="1110"/>
      <c r="F997" s="1110"/>
    </row>
    <row r="998">
      <c r="B998" s="1110"/>
      <c r="C998" s="1110"/>
      <c r="D998" s="1111"/>
      <c r="E998" s="1110"/>
      <c r="F998" s="1110"/>
    </row>
    <row r="999">
      <c r="B999" s="1110"/>
      <c r="C999" s="1110"/>
      <c r="D999" s="1111"/>
      <c r="E999" s="1110"/>
      <c r="F999" s="1110"/>
    </row>
    <row r="1000">
      <c r="B1000" s="1110"/>
      <c r="C1000" s="1110"/>
      <c r="D1000" s="1111"/>
      <c r="E1000" s="1110"/>
      <c r="F1000" s="1110"/>
    </row>
  </sheetData>
  <drawing r:id="rId1"/>
</worksheet>
</file>